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392" yWindow="-108" windowWidth="14856" windowHeight="12732" tabRatio="994" firstSheet="20" activeTab="32"/>
  </bookViews>
  <sheets>
    <sheet name="Adj Highlights" sheetId="2" r:id="rId1"/>
    <sheet name="GAAP Highlights" sheetId="3" r:id="rId2"/>
    <sheet name="Earnings" sheetId="4" r:id="rId3"/>
    <sheet name="Enterprise Value" sheetId="5" r:id="rId4"/>
    <sheet name="Multiples" sheetId="6" r:id="rId5"/>
    <sheet name="Per Share" sheetId="7" r:id="rId6"/>
    <sheet name="Stock Value" sheetId="8" r:id="rId7"/>
    <sheet name="Income - Adjusted" sheetId="9" r:id="rId8"/>
    <sheet name="Income - GAAP" sheetId="10" r:id="rId9"/>
    <sheet name="Income - As Reported" sheetId="11" r:id="rId10"/>
    <sheet name="Reconciliation" sheetId="12" r:id="rId11"/>
    <sheet name="SBC &amp; Amort" sheetId="13" r:id="rId12"/>
    <sheet name="Adj %" sheetId="14" r:id="rId13"/>
    <sheet name="GAAP %" sheetId="15" r:id="rId14"/>
    <sheet name="Bal Sheet - Standardized" sheetId="16" r:id="rId15"/>
    <sheet name="Bal Sheet - As Reported" sheetId="17" r:id="rId16"/>
    <sheet name="Bal Sheet - Common Size" sheetId="18" r:id="rId17"/>
    <sheet name="Cash Flow - Standardized" sheetId="19" r:id="rId18"/>
    <sheet name="Cash Flow - As Reported" sheetId="20" r:id="rId19"/>
    <sheet name="Profitability" sheetId="21" r:id="rId20"/>
    <sheet name="Growth" sheetId="22" r:id="rId21"/>
    <sheet name="Credit" sheetId="23" r:id="rId22"/>
    <sheet name="Liquidity" sheetId="24" r:id="rId23"/>
    <sheet name="Working Capital" sheetId="25" r:id="rId24"/>
    <sheet name="Yield Analysis" sheetId="26" r:id="rId25"/>
    <sheet name="DuPont Analysis" sheetId="27" r:id="rId26"/>
    <sheet name="CAPEX &amp; Depreciation" sheetId="28" r:id="rId27"/>
    <sheet name="Addl - Overview" sheetId="29" r:id="rId28"/>
    <sheet name="As Reported Summary" sheetId="30" r:id="rId29"/>
    <sheet name="Dividend Summary" sheetId="31" r:id="rId30"/>
    <sheet name="Sources of Capital" sheetId="32" r:id="rId31"/>
    <sheet name="Comprehensive Income" sheetId="33" r:id="rId32"/>
    <sheet name="ESG - Overview" sheetId="34" r:id="rId33"/>
  </sheets>
  <calcPr calcId="125725"/>
</workbook>
</file>

<file path=xl/calcChain.xml><?xml version="1.0" encoding="utf-8"?>
<calcChain xmlns="http://schemas.openxmlformats.org/spreadsheetml/2006/main">
  <c r="I27" i="34"/>
  <c r="E27"/>
  <c r="K26"/>
  <c r="G26"/>
  <c r="C26"/>
  <c r="I25"/>
  <c r="E25"/>
  <c r="K24"/>
  <c r="G24"/>
  <c r="C24"/>
  <c r="I23"/>
  <c r="E23"/>
  <c r="K22"/>
  <c r="G22"/>
  <c r="C22"/>
  <c r="I21"/>
  <c r="E21"/>
  <c r="K18"/>
  <c r="G18"/>
  <c r="C18"/>
  <c r="I16"/>
  <c r="E16"/>
  <c r="K15"/>
  <c r="G15"/>
  <c r="C15"/>
  <c r="I14"/>
  <c r="E14"/>
  <c r="K9"/>
  <c r="G9"/>
  <c r="C9"/>
  <c r="I6"/>
  <c r="E6"/>
  <c r="J16" i="33"/>
  <c r="F16"/>
  <c r="K15"/>
  <c r="G15"/>
  <c r="C15"/>
  <c r="H14"/>
  <c r="D14"/>
  <c r="I12"/>
  <c r="E12"/>
  <c r="J11"/>
  <c r="F11"/>
  <c r="K10"/>
  <c r="G10"/>
  <c r="C10"/>
  <c r="H9"/>
  <c r="D9"/>
  <c r="I8"/>
  <c r="E8"/>
  <c r="J7"/>
  <c r="F7"/>
  <c r="K6"/>
  <c r="G6"/>
  <c r="C6"/>
  <c r="I17" i="32"/>
  <c r="E17"/>
  <c r="K15"/>
  <c r="G15"/>
  <c r="C15"/>
  <c r="I14"/>
  <c r="E14"/>
  <c r="K13"/>
  <c r="G13"/>
  <c r="C13"/>
  <c r="I12"/>
  <c r="E12"/>
  <c r="K10"/>
  <c r="G10"/>
  <c r="C10"/>
  <c r="I9"/>
  <c r="E9"/>
  <c r="K8"/>
  <c r="G8"/>
  <c r="C8"/>
  <c r="I7"/>
  <c r="E7"/>
  <c r="K6"/>
  <c r="G6"/>
  <c r="C6"/>
  <c r="I16" i="31"/>
  <c r="E16"/>
  <c r="K15"/>
  <c r="G15"/>
  <c r="C15"/>
  <c r="I14"/>
  <c r="E14"/>
  <c r="K13"/>
  <c r="G13"/>
  <c r="C13"/>
  <c r="I12"/>
  <c r="E12"/>
  <c r="K11"/>
  <c r="G11"/>
  <c r="C11"/>
  <c r="I10"/>
  <c r="E10"/>
  <c r="K9"/>
  <c r="G9"/>
  <c r="C9"/>
  <c r="I8"/>
  <c r="E8"/>
  <c r="K7"/>
  <c r="G7"/>
  <c r="C7"/>
  <c r="I6"/>
  <c r="E6"/>
  <c r="K31" i="30"/>
  <c r="G31"/>
  <c r="C31"/>
  <c r="I30"/>
  <c r="E30"/>
  <c r="K28"/>
  <c r="G28"/>
  <c r="C28"/>
  <c r="I26"/>
  <c r="E26"/>
  <c r="K22"/>
  <c r="G22"/>
  <c r="C22"/>
  <c r="I21"/>
  <c r="E21"/>
  <c r="K19"/>
  <c r="G19"/>
  <c r="C19"/>
  <c r="I17"/>
  <c r="E17"/>
  <c r="K16"/>
  <c r="G16"/>
  <c r="C16"/>
  <c r="I12"/>
  <c r="E12"/>
  <c r="K10"/>
  <c r="G10"/>
  <c r="C10"/>
  <c r="I8"/>
  <c r="E8"/>
  <c r="J37" i="29"/>
  <c r="F37"/>
  <c r="K36"/>
  <c r="G36"/>
  <c r="C36"/>
  <c r="H35"/>
  <c r="D35"/>
  <c r="I34"/>
  <c r="E34"/>
  <c r="J33"/>
  <c r="F33"/>
  <c r="K31"/>
  <c r="G31"/>
  <c r="C31"/>
  <c r="H30"/>
  <c r="D30"/>
  <c r="I29"/>
  <c r="E29"/>
  <c r="J28"/>
  <c r="F28"/>
  <c r="K27"/>
  <c r="G27"/>
  <c r="C27"/>
  <c r="H26"/>
  <c r="D26"/>
  <c r="I25"/>
  <c r="E25"/>
  <c r="J24"/>
  <c r="F24"/>
  <c r="K22"/>
  <c r="G22"/>
  <c r="C22"/>
  <c r="H21"/>
  <c r="D21"/>
  <c r="I20"/>
  <c r="E20"/>
  <c r="J18"/>
  <c r="F18"/>
  <c r="K17"/>
  <c r="G17"/>
  <c r="C17"/>
  <c r="H16"/>
  <c r="D16"/>
  <c r="I15"/>
  <c r="E15"/>
  <c r="J14"/>
  <c r="F14"/>
  <c r="K13"/>
  <c r="G13"/>
  <c r="C13"/>
  <c r="H11"/>
  <c r="D11"/>
  <c r="I10"/>
  <c r="E10"/>
  <c r="J9"/>
  <c r="F9"/>
  <c r="K7"/>
  <c r="G7"/>
  <c r="C7"/>
  <c r="I17" i="28"/>
  <c r="E17"/>
  <c r="K16"/>
  <c r="G16"/>
  <c r="C16"/>
  <c r="I15"/>
  <c r="E15"/>
  <c r="K14"/>
  <c r="G14"/>
  <c r="C14"/>
  <c r="I13"/>
  <c r="E13"/>
  <c r="K12"/>
  <c r="G12"/>
  <c r="C12"/>
  <c r="I11"/>
  <c r="E11"/>
  <c r="K10"/>
  <c r="G10"/>
  <c r="C10"/>
  <c r="I9"/>
  <c r="E9"/>
  <c r="K8"/>
  <c r="G8"/>
  <c r="C8"/>
  <c r="I7"/>
  <c r="E7"/>
  <c r="K6"/>
  <c r="G6"/>
  <c r="C6"/>
  <c r="I23" i="27"/>
  <c r="E23"/>
  <c r="K22"/>
  <c r="G22"/>
  <c r="C22"/>
  <c r="I21"/>
  <c r="E21"/>
  <c r="K19"/>
  <c r="G19"/>
  <c r="C19"/>
  <c r="I17"/>
  <c r="E17"/>
  <c r="K15"/>
  <c r="G15"/>
  <c r="C15"/>
  <c r="I13"/>
  <c r="E13"/>
  <c r="K11"/>
  <c r="G11"/>
  <c r="C11"/>
  <c r="I9"/>
  <c r="E9"/>
  <c r="K7"/>
  <c r="G7"/>
  <c r="C7"/>
  <c r="I43" i="26"/>
  <c r="E43"/>
  <c r="K42"/>
  <c r="G42"/>
  <c r="C42"/>
  <c r="J27" i="34"/>
  <c r="F27"/>
  <c r="L26"/>
  <c r="H26"/>
  <c r="D26"/>
  <c r="J25"/>
  <c r="F25"/>
  <c r="L24"/>
  <c r="H24"/>
  <c r="D24"/>
  <c r="J23"/>
  <c r="F23"/>
  <c r="L22"/>
  <c r="H22"/>
  <c r="D22"/>
  <c r="J21"/>
  <c r="F21"/>
  <c r="L18"/>
  <c r="H18"/>
  <c r="D18"/>
  <c r="J16"/>
  <c r="F16"/>
  <c r="L15"/>
  <c r="H15"/>
  <c r="D15"/>
  <c r="J14"/>
  <c r="F14"/>
  <c r="L9"/>
  <c r="H9"/>
  <c r="D9"/>
  <c r="J6"/>
  <c r="F6"/>
  <c r="K16" i="33"/>
  <c r="G16"/>
  <c r="C16"/>
  <c r="H15"/>
  <c r="D15"/>
  <c r="I14"/>
  <c r="E14"/>
  <c r="J12"/>
  <c r="F12"/>
  <c r="K11"/>
  <c r="G11"/>
  <c r="C11"/>
  <c r="H10"/>
  <c r="D10"/>
  <c r="I9"/>
  <c r="E9"/>
  <c r="J8"/>
  <c r="F8"/>
  <c r="K7"/>
  <c r="G7"/>
  <c r="C7"/>
  <c r="H6"/>
  <c r="D6"/>
  <c r="J17" i="32"/>
  <c r="F17"/>
  <c r="L15"/>
  <c r="H15"/>
  <c r="D15"/>
  <c r="J14"/>
  <c r="F14"/>
  <c r="L13"/>
  <c r="H13"/>
  <c r="D13"/>
  <c r="J12"/>
  <c r="F12"/>
  <c r="L10"/>
  <c r="H10"/>
  <c r="D10"/>
  <c r="J9"/>
  <c r="F9"/>
  <c r="L8"/>
  <c r="H8"/>
  <c r="D8"/>
  <c r="J7"/>
  <c r="F7"/>
  <c r="L6"/>
  <c r="H6"/>
  <c r="D6"/>
  <c r="J16" i="31"/>
  <c r="F16"/>
  <c r="L15"/>
  <c r="H15"/>
  <c r="D15"/>
  <c r="J14"/>
  <c r="F14"/>
  <c r="L13"/>
  <c r="H13"/>
  <c r="D13"/>
  <c r="J12"/>
  <c r="F12"/>
  <c r="L11"/>
  <c r="H11"/>
  <c r="D11"/>
  <c r="J10"/>
  <c r="F10"/>
  <c r="L9"/>
  <c r="H9"/>
  <c r="D9"/>
  <c r="J8"/>
  <c r="F8"/>
  <c r="L7"/>
  <c r="H7"/>
  <c r="D7"/>
  <c r="J6"/>
  <c r="F6"/>
  <c r="L31" i="30"/>
  <c r="H31"/>
  <c r="D31"/>
  <c r="J30"/>
  <c r="F30"/>
  <c r="L28"/>
  <c r="H28"/>
  <c r="D28"/>
  <c r="J26"/>
  <c r="F26"/>
  <c r="L22"/>
  <c r="H22"/>
  <c r="D22"/>
  <c r="J21"/>
  <c r="F21"/>
  <c r="L19"/>
  <c r="H19"/>
  <c r="D19"/>
  <c r="J17"/>
  <c r="F17"/>
  <c r="L16"/>
  <c r="H16"/>
  <c r="D16"/>
  <c r="J12"/>
  <c r="F12"/>
  <c r="L10"/>
  <c r="H10"/>
  <c r="D10"/>
  <c r="J8"/>
  <c r="F8"/>
  <c r="K37" i="29"/>
  <c r="G37"/>
  <c r="C37"/>
  <c r="H36"/>
  <c r="D36"/>
  <c r="I35"/>
  <c r="E35"/>
  <c r="J34"/>
  <c r="F34"/>
  <c r="K33"/>
  <c r="G33"/>
  <c r="C33"/>
  <c r="H31"/>
  <c r="D31"/>
  <c r="I30"/>
  <c r="E30"/>
  <c r="J29"/>
  <c r="F29"/>
  <c r="K28"/>
  <c r="G28"/>
  <c r="C28"/>
  <c r="H27"/>
  <c r="D27"/>
  <c r="I26"/>
  <c r="E26"/>
  <c r="J25"/>
  <c r="F25"/>
  <c r="K24"/>
  <c r="G24"/>
  <c r="C24"/>
  <c r="H22"/>
  <c r="D22"/>
  <c r="I21"/>
  <c r="E21"/>
  <c r="J20"/>
  <c r="F20"/>
  <c r="K18"/>
  <c r="G18"/>
  <c r="C18"/>
  <c r="H17"/>
  <c r="D17"/>
  <c r="I16"/>
  <c r="E16"/>
  <c r="J15"/>
  <c r="F15"/>
  <c r="K14"/>
  <c r="G14"/>
  <c r="C14"/>
  <c r="H13"/>
  <c r="D13"/>
  <c r="I11"/>
  <c r="E11"/>
  <c r="J10"/>
  <c r="F10"/>
  <c r="K9"/>
  <c r="G9"/>
  <c r="C9"/>
  <c r="H7"/>
  <c r="D7"/>
  <c r="J17" i="28"/>
  <c r="F17"/>
  <c r="L16"/>
  <c r="H16"/>
  <c r="D16"/>
  <c r="J15"/>
  <c r="F15"/>
  <c r="L14"/>
  <c r="H14"/>
  <c r="D14"/>
  <c r="J13"/>
  <c r="F13"/>
  <c r="L12"/>
  <c r="H12"/>
  <c r="D12"/>
  <c r="J11"/>
  <c r="F11"/>
  <c r="L10"/>
  <c r="H10"/>
  <c r="D10"/>
  <c r="J9"/>
  <c r="F9"/>
  <c r="L8"/>
  <c r="H8"/>
  <c r="D8"/>
  <c r="J7"/>
  <c r="F7"/>
  <c r="L6"/>
  <c r="H6"/>
  <c r="D6"/>
  <c r="J23" i="27"/>
  <c r="F23"/>
  <c r="L22"/>
  <c r="H22"/>
  <c r="D22"/>
  <c r="J21"/>
  <c r="F21"/>
  <c r="L19"/>
  <c r="H19"/>
  <c r="D19"/>
  <c r="J17"/>
  <c r="F17"/>
  <c r="L15"/>
  <c r="H15"/>
  <c r="D15"/>
  <c r="J13"/>
  <c r="F13"/>
  <c r="L11"/>
  <c r="H11"/>
  <c r="D11"/>
  <c r="J9"/>
  <c r="F9"/>
  <c r="L7"/>
  <c r="H7"/>
  <c r="D7"/>
  <c r="J43" i="26"/>
  <c r="F43"/>
  <c r="L42"/>
  <c r="H42"/>
  <c r="D42"/>
  <c r="K27" i="34"/>
  <c r="G27"/>
  <c r="C27"/>
  <c r="I26"/>
  <c r="E26"/>
  <c r="K25"/>
  <c r="G25"/>
  <c r="C25"/>
  <c r="I24"/>
  <c r="E24"/>
  <c r="K23"/>
  <c r="G23"/>
  <c r="C23"/>
  <c r="I22"/>
  <c r="E22"/>
  <c r="K21"/>
  <c r="G21"/>
  <c r="C21"/>
  <c r="I18"/>
  <c r="E18"/>
  <c r="K16"/>
  <c r="G16"/>
  <c r="C16"/>
  <c r="I15"/>
  <c r="E15"/>
  <c r="K14"/>
  <c r="G14"/>
  <c r="C14"/>
  <c r="I9"/>
  <c r="E9"/>
  <c r="K6"/>
  <c r="G6"/>
  <c r="C6"/>
  <c r="H16" i="33"/>
  <c r="D16"/>
  <c r="I15"/>
  <c r="E15"/>
  <c r="J14"/>
  <c r="F14"/>
  <c r="K12"/>
  <c r="G12"/>
  <c r="C12"/>
  <c r="H11"/>
  <c r="D11"/>
  <c r="I10"/>
  <c r="E10"/>
  <c r="J9"/>
  <c r="F9"/>
  <c r="K8"/>
  <c r="G8"/>
  <c r="C8"/>
  <c r="H7"/>
  <c r="D7"/>
  <c r="I6"/>
  <c r="E6"/>
  <c r="K17" i="32"/>
  <c r="G17"/>
  <c r="C17"/>
  <c r="I15"/>
  <c r="E15"/>
  <c r="K14"/>
  <c r="G14"/>
  <c r="C14"/>
  <c r="I13"/>
  <c r="E13"/>
  <c r="K12"/>
  <c r="G12"/>
  <c r="C12"/>
  <c r="I10"/>
  <c r="E10"/>
  <c r="K9"/>
  <c r="G9"/>
  <c r="C9"/>
  <c r="I8"/>
  <c r="E8"/>
  <c r="K7"/>
  <c r="G7"/>
  <c r="C7"/>
  <c r="I6"/>
  <c r="E6"/>
  <c r="K16" i="31"/>
  <c r="G16"/>
  <c r="C16"/>
  <c r="I15"/>
  <c r="E15"/>
  <c r="K14"/>
  <c r="G14"/>
  <c r="C14"/>
  <c r="I13"/>
  <c r="E13"/>
  <c r="K12"/>
  <c r="G12"/>
  <c r="C12"/>
  <c r="I11"/>
  <c r="E11"/>
  <c r="K10"/>
  <c r="G10"/>
  <c r="C10"/>
  <c r="I9"/>
  <c r="E9"/>
  <c r="K8"/>
  <c r="G8"/>
  <c r="C8"/>
  <c r="I7"/>
  <c r="E7"/>
  <c r="K6"/>
  <c r="G6"/>
  <c r="C6"/>
  <c r="I31" i="30"/>
  <c r="E31"/>
  <c r="K30"/>
  <c r="G30"/>
  <c r="C30"/>
  <c r="I28"/>
  <c r="E28"/>
  <c r="K26"/>
  <c r="G26"/>
  <c r="C26"/>
  <c r="I22"/>
  <c r="E22"/>
  <c r="K21"/>
  <c r="G21"/>
  <c r="C21"/>
  <c r="I19"/>
  <c r="E19"/>
  <c r="K17"/>
  <c r="G17"/>
  <c r="C17"/>
  <c r="I16"/>
  <c r="E16"/>
  <c r="K12"/>
  <c r="G12"/>
  <c r="C12"/>
  <c r="I10"/>
  <c r="E10"/>
  <c r="K8"/>
  <c r="G8"/>
  <c r="C8"/>
  <c r="H37" i="29"/>
  <c r="D37"/>
  <c r="I36"/>
  <c r="E36"/>
  <c r="J35"/>
  <c r="F35"/>
  <c r="K34"/>
  <c r="G34"/>
  <c r="C34"/>
  <c r="H33"/>
  <c r="D33"/>
  <c r="I31"/>
  <c r="E31"/>
  <c r="J30"/>
  <c r="F30"/>
  <c r="K29"/>
  <c r="G29"/>
  <c r="C29"/>
  <c r="H28"/>
  <c r="D28"/>
  <c r="I27"/>
  <c r="E27"/>
  <c r="J26"/>
  <c r="F26"/>
  <c r="K25"/>
  <c r="G25"/>
  <c r="C25"/>
  <c r="H24"/>
  <c r="D24"/>
  <c r="I22"/>
  <c r="E22"/>
  <c r="J21"/>
  <c r="F21"/>
  <c r="K20"/>
  <c r="G20"/>
  <c r="C20"/>
  <c r="H18"/>
  <c r="D18"/>
  <c r="I17"/>
  <c r="E17"/>
  <c r="J16"/>
  <c r="F16"/>
  <c r="K15"/>
  <c r="G15"/>
  <c r="C15"/>
  <c r="H14"/>
  <c r="D14"/>
  <c r="I13"/>
  <c r="E13"/>
  <c r="J11"/>
  <c r="F11"/>
  <c r="K10"/>
  <c r="G10"/>
  <c r="C10"/>
  <c r="H9"/>
  <c r="D9"/>
  <c r="I7"/>
  <c r="E7"/>
  <c r="K17" i="28"/>
  <c r="G17"/>
  <c r="C17"/>
  <c r="I16"/>
  <c r="E16"/>
  <c r="K15"/>
  <c r="G15"/>
  <c r="C15"/>
  <c r="I14"/>
  <c r="E14"/>
  <c r="K13"/>
  <c r="G13"/>
  <c r="C13"/>
  <c r="I12"/>
  <c r="E12"/>
  <c r="K11"/>
  <c r="G11"/>
  <c r="C11"/>
  <c r="I10"/>
  <c r="E10"/>
  <c r="K9"/>
  <c r="G9"/>
  <c r="C9"/>
  <c r="I8"/>
  <c r="E8"/>
  <c r="K7"/>
  <c r="G7"/>
  <c r="C7"/>
  <c r="I6"/>
  <c r="E6"/>
  <c r="K23" i="27"/>
  <c r="G23"/>
  <c r="C23"/>
  <c r="I22"/>
  <c r="E22"/>
  <c r="K21"/>
  <c r="G21"/>
  <c r="C21"/>
  <c r="I19"/>
  <c r="E19"/>
  <c r="K17"/>
  <c r="G17"/>
  <c r="C17"/>
  <c r="I15"/>
  <c r="E15"/>
  <c r="K13"/>
  <c r="G13"/>
  <c r="C13"/>
  <c r="I11"/>
  <c r="E11"/>
  <c r="K9"/>
  <c r="G9"/>
  <c r="C9"/>
  <c r="I7"/>
  <c r="E7"/>
  <c r="K43" i="26"/>
  <c r="G43"/>
  <c r="C43"/>
  <c r="I42"/>
  <c r="E42"/>
  <c r="J26" i="34"/>
  <c r="D25"/>
  <c r="H23"/>
  <c r="L21"/>
  <c r="F18"/>
  <c r="J15"/>
  <c r="D14"/>
  <c r="H6"/>
  <c r="J15" i="33"/>
  <c r="C14"/>
  <c r="E11"/>
  <c r="G9"/>
  <c r="I7"/>
  <c r="L17" i="32"/>
  <c r="F15"/>
  <c r="J13"/>
  <c r="D12"/>
  <c r="H9"/>
  <c r="L7"/>
  <c r="F6"/>
  <c r="J15" i="31"/>
  <c r="D14"/>
  <c r="H12"/>
  <c r="L10"/>
  <c r="F9"/>
  <c r="J7"/>
  <c r="D6"/>
  <c r="H30" i="30"/>
  <c r="L26"/>
  <c r="F22"/>
  <c r="J19"/>
  <c r="D17"/>
  <c r="H12"/>
  <c r="L8"/>
  <c r="E37" i="29"/>
  <c r="G35"/>
  <c r="I33"/>
  <c r="K30"/>
  <c r="D29"/>
  <c r="F27"/>
  <c r="H25"/>
  <c r="J22"/>
  <c r="C21"/>
  <c r="E18"/>
  <c r="G16"/>
  <c r="I14"/>
  <c r="K11"/>
  <c r="D10"/>
  <c r="F7"/>
  <c r="J16" i="28"/>
  <c r="D15"/>
  <c r="H13"/>
  <c r="L11"/>
  <c r="F10"/>
  <c r="J8"/>
  <c r="D7"/>
  <c r="H23" i="27"/>
  <c r="L21"/>
  <c r="F19"/>
  <c r="J15"/>
  <c r="D13"/>
  <c r="H9"/>
  <c r="L43" i="26"/>
  <c r="F42"/>
  <c r="I41"/>
  <c r="E41"/>
  <c r="K40"/>
  <c r="G40"/>
  <c r="C40"/>
  <c r="I39"/>
  <c r="E39"/>
  <c r="K38"/>
  <c r="G38"/>
  <c r="C38"/>
  <c r="I37"/>
  <c r="E37"/>
  <c r="K36"/>
  <c r="G36"/>
  <c r="C36"/>
  <c r="I34"/>
  <c r="E34"/>
  <c r="K33"/>
  <c r="G33"/>
  <c r="C33"/>
  <c r="I32"/>
  <c r="E32"/>
  <c r="K31"/>
  <c r="G31"/>
  <c r="C31"/>
  <c r="I30"/>
  <c r="E30"/>
  <c r="K29"/>
  <c r="G29"/>
  <c r="C29"/>
  <c r="I26"/>
  <c r="E26"/>
  <c r="K25"/>
  <c r="G25"/>
  <c r="C25"/>
  <c r="I24"/>
  <c r="E24"/>
  <c r="K23"/>
  <c r="G23"/>
  <c r="C23"/>
  <c r="I22"/>
  <c r="E22"/>
  <c r="K20"/>
  <c r="G20"/>
  <c r="C20"/>
  <c r="I19"/>
  <c r="E19"/>
  <c r="K18"/>
  <c r="G18"/>
  <c r="C18"/>
  <c r="I17"/>
  <c r="E17"/>
  <c r="K16"/>
  <c r="G16"/>
  <c r="C16"/>
  <c r="I15"/>
  <c r="E15"/>
  <c r="K14"/>
  <c r="G14"/>
  <c r="C14"/>
  <c r="I13"/>
  <c r="E13"/>
  <c r="K11"/>
  <c r="G11"/>
  <c r="C11"/>
  <c r="I10"/>
  <c r="E10"/>
  <c r="K9"/>
  <c r="G9"/>
  <c r="C9"/>
  <c r="I8"/>
  <c r="E8"/>
  <c r="K7"/>
  <c r="G7"/>
  <c r="C7"/>
  <c r="I20" i="25"/>
  <c r="E20"/>
  <c r="K19"/>
  <c r="G19"/>
  <c r="C19"/>
  <c r="I18"/>
  <c r="E18"/>
  <c r="K17"/>
  <c r="G17"/>
  <c r="C17"/>
  <c r="I16"/>
  <c r="E16"/>
  <c r="K14"/>
  <c r="G14"/>
  <c r="C14"/>
  <c r="I13"/>
  <c r="E13"/>
  <c r="K11"/>
  <c r="G11"/>
  <c r="C11"/>
  <c r="I10"/>
  <c r="E10"/>
  <c r="K9"/>
  <c r="G9"/>
  <c r="C9"/>
  <c r="I8"/>
  <c r="E8"/>
  <c r="K7"/>
  <c r="G7"/>
  <c r="C7"/>
  <c r="I6"/>
  <c r="E6"/>
  <c r="K25" i="24"/>
  <c r="G25"/>
  <c r="C25"/>
  <c r="I22"/>
  <c r="E22"/>
  <c r="K21"/>
  <c r="G21"/>
  <c r="C21"/>
  <c r="I20"/>
  <c r="E20"/>
  <c r="K18"/>
  <c r="G18"/>
  <c r="C18"/>
  <c r="I17"/>
  <c r="E17"/>
  <c r="K16"/>
  <c r="G16"/>
  <c r="C16"/>
  <c r="I14"/>
  <c r="E14"/>
  <c r="K13"/>
  <c r="G13"/>
  <c r="C13"/>
  <c r="I12"/>
  <c r="E12"/>
  <c r="K10"/>
  <c r="G10"/>
  <c r="C10"/>
  <c r="I9"/>
  <c r="E9"/>
  <c r="K8"/>
  <c r="G8"/>
  <c r="C8"/>
  <c r="I7"/>
  <c r="E7"/>
  <c r="K6"/>
  <c r="G6"/>
  <c r="C6"/>
  <c r="I41" i="23"/>
  <c r="E41"/>
  <c r="K40"/>
  <c r="G40"/>
  <c r="C40"/>
  <c r="I39"/>
  <c r="E39"/>
  <c r="K37"/>
  <c r="G37"/>
  <c r="C37"/>
  <c r="I36"/>
  <c r="E36"/>
  <c r="K34"/>
  <c r="G34"/>
  <c r="C34"/>
  <c r="I33"/>
  <c r="E33"/>
  <c r="K32"/>
  <c r="G32"/>
  <c r="C32"/>
  <c r="I30"/>
  <c r="E30"/>
  <c r="K29"/>
  <c r="G29"/>
  <c r="C29"/>
  <c r="I28"/>
  <c r="E28"/>
  <c r="K27"/>
  <c r="G27"/>
  <c r="C27"/>
  <c r="I25"/>
  <c r="E25"/>
  <c r="K24"/>
  <c r="G24"/>
  <c r="C24"/>
  <c r="I22"/>
  <c r="E22"/>
  <c r="K21"/>
  <c r="G21"/>
  <c r="C21"/>
  <c r="I20"/>
  <c r="E20"/>
  <c r="K18"/>
  <c r="G18"/>
  <c r="C18"/>
  <c r="I17"/>
  <c r="E17"/>
  <c r="K16"/>
  <c r="G16"/>
  <c r="C16"/>
  <c r="I14"/>
  <c r="E14"/>
  <c r="K13"/>
  <c r="G13"/>
  <c r="C13"/>
  <c r="I11"/>
  <c r="E11"/>
  <c r="K10"/>
  <c r="G10"/>
  <c r="C10"/>
  <c r="I8"/>
  <c r="E8"/>
  <c r="K7"/>
  <c r="G7"/>
  <c r="C7"/>
  <c r="I6"/>
  <c r="E6"/>
  <c r="K87" i="22"/>
  <c r="G87"/>
  <c r="C87"/>
  <c r="I86"/>
  <c r="E86"/>
  <c r="K85"/>
  <c r="G85"/>
  <c r="C85"/>
  <c r="I84"/>
  <c r="E84"/>
  <c r="K83"/>
  <c r="G83"/>
  <c r="C83"/>
  <c r="I82"/>
  <c r="E82"/>
  <c r="K80"/>
  <c r="G80"/>
  <c r="C80"/>
  <c r="I79"/>
  <c r="E79"/>
  <c r="K78"/>
  <c r="G78"/>
  <c r="C78"/>
  <c r="I77"/>
  <c r="E77"/>
  <c r="K76"/>
  <c r="G76"/>
  <c r="C76"/>
  <c r="I75"/>
  <c r="E75"/>
  <c r="K74"/>
  <c r="G74"/>
  <c r="C74"/>
  <c r="I73"/>
  <c r="E73"/>
  <c r="K72"/>
  <c r="G72"/>
  <c r="C72"/>
  <c r="I71"/>
  <c r="E71"/>
  <c r="K70"/>
  <c r="G70"/>
  <c r="C70"/>
  <c r="I69"/>
  <c r="E69"/>
  <c r="K67"/>
  <c r="G67"/>
  <c r="C67"/>
  <c r="I66"/>
  <c r="E66"/>
  <c r="K65"/>
  <c r="G65"/>
  <c r="C65"/>
  <c r="I64"/>
  <c r="E64"/>
  <c r="K63"/>
  <c r="G63"/>
  <c r="C63"/>
  <c r="I62"/>
  <c r="E62"/>
  <c r="K61"/>
  <c r="G61"/>
  <c r="C61"/>
  <c r="I60"/>
  <c r="E60"/>
  <c r="K57"/>
  <c r="G57"/>
  <c r="C57"/>
  <c r="I55"/>
  <c r="E55"/>
  <c r="K54"/>
  <c r="G54"/>
  <c r="C54"/>
  <c r="I53"/>
  <c r="E53"/>
  <c r="K52"/>
  <c r="G52"/>
  <c r="C52"/>
  <c r="I51"/>
  <c r="E51"/>
  <c r="K50"/>
  <c r="G50"/>
  <c r="C50"/>
  <c r="I49"/>
  <c r="E49"/>
  <c r="K48"/>
  <c r="G48"/>
  <c r="C48"/>
  <c r="I47"/>
  <c r="E47"/>
  <c r="K46"/>
  <c r="G46"/>
  <c r="C46"/>
  <c r="I45"/>
  <c r="E45"/>
  <c r="K43"/>
  <c r="G43"/>
  <c r="C43"/>
  <c r="I42"/>
  <c r="E42"/>
  <c r="K41"/>
  <c r="G41"/>
  <c r="C41"/>
  <c r="I40"/>
  <c r="E40"/>
  <c r="K39"/>
  <c r="G39"/>
  <c r="C39"/>
  <c r="I38"/>
  <c r="E38"/>
  <c r="K37"/>
  <c r="G37"/>
  <c r="C37"/>
  <c r="I36"/>
  <c r="E36"/>
  <c r="K33"/>
  <c r="G33"/>
  <c r="C33"/>
  <c r="I32"/>
  <c r="E32"/>
  <c r="K31"/>
  <c r="G31"/>
  <c r="C31"/>
  <c r="I30"/>
  <c r="E30"/>
  <c r="K28"/>
  <c r="G28"/>
  <c r="C28"/>
  <c r="I27"/>
  <c r="E27"/>
  <c r="K26"/>
  <c r="G26"/>
  <c r="C26"/>
  <c r="I25"/>
  <c r="E25"/>
  <c r="K24"/>
  <c r="G24"/>
  <c r="C24"/>
  <c r="I23"/>
  <c r="E23"/>
  <c r="K22"/>
  <c r="G22"/>
  <c r="C22"/>
  <c r="I21"/>
  <c r="E21"/>
  <c r="K20"/>
  <c r="G20"/>
  <c r="C20"/>
  <c r="I19"/>
  <c r="E19"/>
  <c r="K18"/>
  <c r="G18"/>
  <c r="C18"/>
  <c r="I17"/>
  <c r="E17"/>
  <c r="K16"/>
  <c r="G16"/>
  <c r="C16"/>
  <c r="I14"/>
  <c r="E14"/>
  <c r="K13"/>
  <c r="G13"/>
  <c r="C13"/>
  <c r="I12"/>
  <c r="E12"/>
  <c r="K11"/>
  <c r="G11"/>
  <c r="C11"/>
  <c r="I10"/>
  <c r="E10"/>
  <c r="K9"/>
  <c r="G9"/>
  <c r="C9"/>
  <c r="I8"/>
  <c r="E8"/>
  <c r="K7"/>
  <c r="G7"/>
  <c r="C7"/>
  <c r="I24" i="21"/>
  <c r="E24"/>
  <c r="K23"/>
  <c r="G23"/>
  <c r="C23"/>
  <c r="I22"/>
  <c r="E22"/>
  <c r="K19"/>
  <c r="G19"/>
  <c r="C19"/>
  <c r="I18"/>
  <c r="E18"/>
  <c r="K17"/>
  <c r="G17"/>
  <c r="C17"/>
  <c r="I16"/>
  <c r="E16"/>
  <c r="K15"/>
  <c r="G15"/>
  <c r="C15"/>
  <c r="I14"/>
  <c r="E14"/>
  <c r="K13"/>
  <c r="G13"/>
  <c r="C13"/>
  <c r="I10"/>
  <c r="E10"/>
  <c r="K9"/>
  <c r="G9"/>
  <c r="C9"/>
  <c r="I8"/>
  <c r="E8"/>
  <c r="K7"/>
  <c r="G7"/>
  <c r="C7"/>
  <c r="I67" i="20"/>
  <c r="E67"/>
  <c r="K66"/>
  <c r="G66"/>
  <c r="D27" i="34"/>
  <c r="H25"/>
  <c r="L23"/>
  <c r="F22"/>
  <c r="J18"/>
  <c r="D16"/>
  <c r="H14"/>
  <c r="L6"/>
  <c r="E16" i="33"/>
  <c r="G14"/>
  <c r="I11"/>
  <c r="K9"/>
  <c r="D8"/>
  <c r="F6"/>
  <c r="J15" i="32"/>
  <c r="D14"/>
  <c r="H12"/>
  <c r="L9"/>
  <c r="F8"/>
  <c r="J6"/>
  <c r="D16" i="31"/>
  <c r="H14"/>
  <c r="L12"/>
  <c r="F11"/>
  <c r="J9"/>
  <c r="D8"/>
  <c r="H6"/>
  <c r="L30" i="30"/>
  <c r="F28"/>
  <c r="J22"/>
  <c r="D21"/>
  <c r="H17"/>
  <c r="L12"/>
  <c r="F10"/>
  <c r="I37" i="29"/>
  <c r="K35"/>
  <c r="D34"/>
  <c r="F31"/>
  <c r="H29"/>
  <c r="J27"/>
  <c r="C26"/>
  <c r="E24"/>
  <c r="G21"/>
  <c r="I18"/>
  <c r="K16"/>
  <c r="D15"/>
  <c r="F13"/>
  <c r="H10"/>
  <c r="J7"/>
  <c r="D17" i="28"/>
  <c r="H15"/>
  <c r="L13"/>
  <c r="F12"/>
  <c r="J10"/>
  <c r="D9"/>
  <c r="H7"/>
  <c r="L23" i="27"/>
  <c r="F22"/>
  <c r="J19"/>
  <c r="D17"/>
  <c r="H13"/>
  <c r="L9"/>
  <c r="F7"/>
  <c r="J42" i="26"/>
  <c r="J41"/>
  <c r="F41"/>
  <c r="L40"/>
  <c r="H40"/>
  <c r="D40"/>
  <c r="J39"/>
  <c r="F39"/>
  <c r="L38"/>
  <c r="H38"/>
  <c r="D38"/>
  <c r="J37"/>
  <c r="F37"/>
  <c r="L36"/>
  <c r="H36"/>
  <c r="D36"/>
  <c r="J34"/>
  <c r="F34"/>
  <c r="L33"/>
  <c r="H33"/>
  <c r="D33"/>
  <c r="J32"/>
  <c r="F32"/>
  <c r="L31"/>
  <c r="H31"/>
  <c r="D31"/>
  <c r="J30"/>
  <c r="F30"/>
  <c r="L29"/>
  <c r="H29"/>
  <c r="D29"/>
  <c r="J26"/>
  <c r="F26"/>
  <c r="L25"/>
  <c r="H25"/>
  <c r="D25"/>
  <c r="J24"/>
  <c r="F24"/>
  <c r="L23"/>
  <c r="H23"/>
  <c r="D23"/>
  <c r="J22"/>
  <c r="F22"/>
  <c r="L20"/>
  <c r="H20"/>
  <c r="D20"/>
  <c r="J19"/>
  <c r="F19"/>
  <c r="L18"/>
  <c r="H18"/>
  <c r="D18"/>
  <c r="J17"/>
  <c r="F17"/>
  <c r="L16"/>
  <c r="H16"/>
  <c r="D16"/>
  <c r="J15"/>
  <c r="F15"/>
  <c r="L14"/>
  <c r="H14"/>
  <c r="D14"/>
  <c r="J13"/>
  <c r="F13"/>
  <c r="L11"/>
  <c r="H11"/>
  <c r="D11"/>
  <c r="J10"/>
  <c r="F10"/>
  <c r="L9"/>
  <c r="H9"/>
  <c r="D9"/>
  <c r="J8"/>
  <c r="F8"/>
  <c r="L7"/>
  <c r="H7"/>
  <c r="D7"/>
  <c r="J20" i="25"/>
  <c r="F20"/>
  <c r="L19"/>
  <c r="H19"/>
  <c r="D19"/>
  <c r="J18"/>
  <c r="F18"/>
  <c r="L17"/>
  <c r="H17"/>
  <c r="D17"/>
  <c r="J16"/>
  <c r="F16"/>
  <c r="L14"/>
  <c r="H14"/>
  <c r="D14"/>
  <c r="J13"/>
  <c r="F13"/>
  <c r="L11"/>
  <c r="H11"/>
  <c r="D11"/>
  <c r="J10"/>
  <c r="F10"/>
  <c r="L9"/>
  <c r="H9"/>
  <c r="D9"/>
  <c r="J8"/>
  <c r="F8"/>
  <c r="L7"/>
  <c r="H7"/>
  <c r="D7"/>
  <c r="J6"/>
  <c r="F6"/>
  <c r="L25" i="24"/>
  <c r="H25"/>
  <c r="D25"/>
  <c r="J22"/>
  <c r="F22"/>
  <c r="L21"/>
  <c r="H21"/>
  <c r="D21"/>
  <c r="J20"/>
  <c r="F20"/>
  <c r="L18"/>
  <c r="H18"/>
  <c r="D18"/>
  <c r="J17"/>
  <c r="F17"/>
  <c r="L16"/>
  <c r="H16"/>
  <c r="D16"/>
  <c r="J14"/>
  <c r="F14"/>
  <c r="L13"/>
  <c r="H13"/>
  <c r="D13"/>
  <c r="J12"/>
  <c r="F12"/>
  <c r="L10"/>
  <c r="H10"/>
  <c r="D10"/>
  <c r="J9"/>
  <c r="F9"/>
  <c r="L8"/>
  <c r="H8"/>
  <c r="D8"/>
  <c r="J7"/>
  <c r="F7"/>
  <c r="L6"/>
  <c r="H6"/>
  <c r="D6"/>
  <c r="J41" i="23"/>
  <c r="F41"/>
  <c r="L40"/>
  <c r="H40"/>
  <c r="D40"/>
  <c r="J39"/>
  <c r="F39"/>
  <c r="L37"/>
  <c r="H37"/>
  <c r="D37"/>
  <c r="J36"/>
  <c r="F36"/>
  <c r="L34"/>
  <c r="H34"/>
  <c r="D34"/>
  <c r="J33"/>
  <c r="F33"/>
  <c r="L32"/>
  <c r="H32"/>
  <c r="D32"/>
  <c r="J30"/>
  <c r="F30"/>
  <c r="L29"/>
  <c r="H29"/>
  <c r="D29"/>
  <c r="J28"/>
  <c r="F28"/>
  <c r="L27"/>
  <c r="H27"/>
  <c r="D27"/>
  <c r="J25"/>
  <c r="F25"/>
  <c r="L24"/>
  <c r="H24"/>
  <c r="D24"/>
  <c r="J22"/>
  <c r="F22"/>
  <c r="L21"/>
  <c r="H21"/>
  <c r="D21"/>
  <c r="J20"/>
  <c r="F20"/>
  <c r="L18"/>
  <c r="H18"/>
  <c r="D18"/>
  <c r="J17"/>
  <c r="F17"/>
  <c r="L16"/>
  <c r="H16"/>
  <c r="D16"/>
  <c r="J14"/>
  <c r="F14"/>
  <c r="L13"/>
  <c r="H13"/>
  <c r="D13"/>
  <c r="J11"/>
  <c r="F11"/>
  <c r="L10"/>
  <c r="H10"/>
  <c r="D10"/>
  <c r="J8"/>
  <c r="F8"/>
  <c r="L7"/>
  <c r="H7"/>
  <c r="D7"/>
  <c r="J6"/>
  <c r="F6"/>
  <c r="L87" i="22"/>
  <c r="H87"/>
  <c r="D87"/>
  <c r="J86"/>
  <c r="F86"/>
  <c r="L85"/>
  <c r="H85"/>
  <c r="D85"/>
  <c r="J84"/>
  <c r="F84"/>
  <c r="L83"/>
  <c r="H83"/>
  <c r="D83"/>
  <c r="J82"/>
  <c r="F82"/>
  <c r="L80"/>
  <c r="H80"/>
  <c r="D80"/>
  <c r="J79"/>
  <c r="F79"/>
  <c r="L78"/>
  <c r="H78"/>
  <c r="D78"/>
  <c r="J77"/>
  <c r="F77"/>
  <c r="L76"/>
  <c r="H76"/>
  <c r="D76"/>
  <c r="J75"/>
  <c r="F75"/>
  <c r="L74"/>
  <c r="H74"/>
  <c r="D74"/>
  <c r="J73"/>
  <c r="F73"/>
  <c r="L72"/>
  <c r="H72"/>
  <c r="D72"/>
  <c r="J71"/>
  <c r="F71"/>
  <c r="L70"/>
  <c r="H70"/>
  <c r="D70"/>
  <c r="J69"/>
  <c r="F69"/>
  <c r="L67"/>
  <c r="H67"/>
  <c r="D67"/>
  <c r="J66"/>
  <c r="F66"/>
  <c r="L65"/>
  <c r="H65"/>
  <c r="D65"/>
  <c r="J64"/>
  <c r="F64"/>
  <c r="L63"/>
  <c r="H63"/>
  <c r="D63"/>
  <c r="J62"/>
  <c r="F62"/>
  <c r="L61"/>
  <c r="H61"/>
  <c r="D61"/>
  <c r="J60"/>
  <c r="F60"/>
  <c r="L57"/>
  <c r="H57"/>
  <c r="D57"/>
  <c r="J55"/>
  <c r="F55"/>
  <c r="L54"/>
  <c r="H54"/>
  <c r="D54"/>
  <c r="J53"/>
  <c r="F53"/>
  <c r="L52"/>
  <c r="H52"/>
  <c r="D52"/>
  <c r="J51"/>
  <c r="F51"/>
  <c r="L50"/>
  <c r="H50"/>
  <c r="D50"/>
  <c r="J49"/>
  <c r="F49"/>
  <c r="L48"/>
  <c r="H48"/>
  <c r="D48"/>
  <c r="J47"/>
  <c r="F47"/>
  <c r="L46"/>
  <c r="H46"/>
  <c r="D46"/>
  <c r="J45"/>
  <c r="F45"/>
  <c r="L43"/>
  <c r="H43"/>
  <c r="D43"/>
  <c r="J42"/>
  <c r="F42"/>
  <c r="L41"/>
  <c r="H41"/>
  <c r="D41"/>
  <c r="J40"/>
  <c r="F40"/>
  <c r="L39"/>
  <c r="H39"/>
  <c r="D39"/>
  <c r="J38"/>
  <c r="F38"/>
  <c r="L37"/>
  <c r="H37"/>
  <c r="D37"/>
  <c r="J36"/>
  <c r="F36"/>
  <c r="L33"/>
  <c r="H33"/>
  <c r="D33"/>
  <c r="J32"/>
  <c r="F32"/>
  <c r="L31"/>
  <c r="H31"/>
  <c r="D31"/>
  <c r="J30"/>
  <c r="F30"/>
  <c r="L28"/>
  <c r="H28"/>
  <c r="D28"/>
  <c r="J27"/>
  <c r="F27"/>
  <c r="L26"/>
  <c r="H26"/>
  <c r="D26"/>
  <c r="J25"/>
  <c r="F25"/>
  <c r="L24"/>
  <c r="H24"/>
  <c r="D24"/>
  <c r="J23"/>
  <c r="F23"/>
  <c r="L22"/>
  <c r="H22"/>
  <c r="D22"/>
  <c r="J21"/>
  <c r="F21"/>
  <c r="L20"/>
  <c r="H20"/>
  <c r="D20"/>
  <c r="J19"/>
  <c r="F19"/>
  <c r="L18"/>
  <c r="H18"/>
  <c r="D18"/>
  <c r="J17"/>
  <c r="F17"/>
  <c r="L16"/>
  <c r="H16"/>
  <c r="D16"/>
  <c r="J14"/>
  <c r="F14"/>
  <c r="L13"/>
  <c r="H13"/>
  <c r="D13"/>
  <c r="J12"/>
  <c r="F12"/>
  <c r="L11"/>
  <c r="H11"/>
  <c r="D11"/>
  <c r="J10"/>
  <c r="F10"/>
  <c r="L9"/>
  <c r="H9"/>
  <c r="D9"/>
  <c r="J8"/>
  <c r="F8"/>
  <c r="L7"/>
  <c r="H7"/>
  <c r="D7"/>
  <c r="J24" i="21"/>
  <c r="F24"/>
  <c r="L23"/>
  <c r="H23"/>
  <c r="D23"/>
  <c r="J22"/>
  <c r="F22"/>
  <c r="L19"/>
  <c r="H19"/>
  <c r="D19"/>
  <c r="J18"/>
  <c r="F18"/>
  <c r="L17"/>
  <c r="H17"/>
  <c r="D17"/>
  <c r="J16"/>
  <c r="F16"/>
  <c r="L15"/>
  <c r="H15"/>
  <c r="D15"/>
  <c r="J14"/>
  <c r="F14"/>
  <c r="L13"/>
  <c r="H13"/>
  <c r="D13"/>
  <c r="J10"/>
  <c r="F10"/>
  <c r="L9"/>
  <c r="H9"/>
  <c r="D9"/>
  <c r="J8"/>
  <c r="F8"/>
  <c r="L7"/>
  <c r="H7"/>
  <c r="D7"/>
  <c r="J67" i="20"/>
  <c r="F67"/>
  <c r="L66"/>
  <c r="H66"/>
  <c r="D66"/>
  <c r="J65"/>
  <c r="F65"/>
  <c r="L64"/>
  <c r="H64"/>
  <c r="D64"/>
  <c r="J63"/>
  <c r="F63"/>
  <c r="L62"/>
  <c r="H62"/>
  <c r="D62"/>
  <c r="J61"/>
  <c r="F61"/>
  <c r="L60"/>
  <c r="H60"/>
  <c r="D60"/>
  <c r="J59"/>
  <c r="F59"/>
  <c r="L58"/>
  <c r="L25" i="34"/>
  <c r="J22"/>
  <c r="H16"/>
  <c r="F9"/>
  <c r="K14" i="33"/>
  <c r="F10"/>
  <c r="J6"/>
  <c r="H14" i="32"/>
  <c r="F10"/>
  <c r="D7"/>
  <c r="L14" i="31"/>
  <c r="J11"/>
  <c r="H8"/>
  <c r="F31" i="30"/>
  <c r="D26"/>
  <c r="L17"/>
  <c r="J10"/>
  <c r="F36" i="29"/>
  <c r="J31"/>
  <c r="E28"/>
  <c r="I24"/>
  <c r="D20"/>
  <c r="H15"/>
  <c r="C11"/>
  <c r="H17" i="28"/>
  <c r="F14"/>
  <c r="D11"/>
  <c r="L7"/>
  <c r="J22" i="27"/>
  <c r="H17"/>
  <c r="F11"/>
  <c r="D43" i="26"/>
  <c r="G41"/>
  <c r="I40"/>
  <c r="K39"/>
  <c r="C39"/>
  <c r="E38"/>
  <c r="G37"/>
  <c r="I36"/>
  <c r="K34"/>
  <c r="C34"/>
  <c r="E33"/>
  <c r="G32"/>
  <c r="I31"/>
  <c r="K30"/>
  <c r="C30"/>
  <c r="E29"/>
  <c r="G26"/>
  <c r="I25"/>
  <c r="K24"/>
  <c r="C24"/>
  <c r="E23"/>
  <c r="G22"/>
  <c r="I20"/>
  <c r="K19"/>
  <c r="C19"/>
  <c r="E18"/>
  <c r="G17"/>
  <c r="I16"/>
  <c r="K15"/>
  <c r="C15"/>
  <c r="E14"/>
  <c r="G13"/>
  <c r="I11"/>
  <c r="K10"/>
  <c r="C10"/>
  <c r="E9"/>
  <c r="G8"/>
  <c r="I7"/>
  <c r="K20" i="25"/>
  <c r="C20"/>
  <c r="E19"/>
  <c r="G18"/>
  <c r="I17"/>
  <c r="K16"/>
  <c r="C16"/>
  <c r="E14"/>
  <c r="G13"/>
  <c r="I11"/>
  <c r="K10"/>
  <c r="C10"/>
  <c r="E9"/>
  <c r="G8"/>
  <c r="I7"/>
  <c r="K6"/>
  <c r="C6"/>
  <c r="E25" i="24"/>
  <c r="G22"/>
  <c r="I21"/>
  <c r="K20"/>
  <c r="C20"/>
  <c r="E18"/>
  <c r="G17"/>
  <c r="I16"/>
  <c r="K14"/>
  <c r="C14"/>
  <c r="E13"/>
  <c r="G12"/>
  <c r="I10"/>
  <c r="K9"/>
  <c r="C9"/>
  <c r="E8"/>
  <c r="G7"/>
  <c r="I6"/>
  <c r="K41" i="23"/>
  <c r="C41"/>
  <c r="E40"/>
  <c r="G39"/>
  <c r="I37"/>
  <c r="K36"/>
  <c r="C36"/>
  <c r="E34"/>
  <c r="G33"/>
  <c r="I32"/>
  <c r="K30"/>
  <c r="C30"/>
  <c r="E29"/>
  <c r="G28"/>
  <c r="I27"/>
  <c r="K25"/>
  <c r="C25"/>
  <c r="E24"/>
  <c r="G22"/>
  <c r="I21"/>
  <c r="K20"/>
  <c r="C20"/>
  <c r="E18"/>
  <c r="G17"/>
  <c r="I16"/>
  <c r="K14"/>
  <c r="C14"/>
  <c r="E13"/>
  <c r="G11"/>
  <c r="I10"/>
  <c r="K8"/>
  <c r="C8"/>
  <c r="E7"/>
  <c r="G6"/>
  <c r="I87" i="22"/>
  <c r="K86"/>
  <c r="C86"/>
  <c r="E85"/>
  <c r="G84"/>
  <c r="I83"/>
  <c r="K82"/>
  <c r="C82"/>
  <c r="E80"/>
  <c r="G79"/>
  <c r="I78"/>
  <c r="K77"/>
  <c r="C77"/>
  <c r="E76"/>
  <c r="G75"/>
  <c r="I74"/>
  <c r="K73"/>
  <c r="C73"/>
  <c r="E72"/>
  <c r="G71"/>
  <c r="I70"/>
  <c r="K69"/>
  <c r="C69"/>
  <c r="E67"/>
  <c r="G66"/>
  <c r="I65"/>
  <c r="K64"/>
  <c r="C64"/>
  <c r="E63"/>
  <c r="G62"/>
  <c r="I61"/>
  <c r="K60"/>
  <c r="C60"/>
  <c r="E57"/>
  <c r="G55"/>
  <c r="I54"/>
  <c r="K53"/>
  <c r="C53"/>
  <c r="E52"/>
  <c r="G51"/>
  <c r="I50"/>
  <c r="K49"/>
  <c r="C49"/>
  <c r="E48"/>
  <c r="G47"/>
  <c r="I46"/>
  <c r="K45"/>
  <c r="C45"/>
  <c r="E43"/>
  <c r="G42"/>
  <c r="I41"/>
  <c r="K40"/>
  <c r="C40"/>
  <c r="E39"/>
  <c r="G38"/>
  <c r="I37"/>
  <c r="K36"/>
  <c r="C36"/>
  <c r="E33"/>
  <c r="G32"/>
  <c r="I31"/>
  <c r="K30"/>
  <c r="C30"/>
  <c r="E28"/>
  <c r="G27"/>
  <c r="I26"/>
  <c r="K25"/>
  <c r="C25"/>
  <c r="E24"/>
  <c r="G23"/>
  <c r="I22"/>
  <c r="K21"/>
  <c r="C21"/>
  <c r="E20"/>
  <c r="G19"/>
  <c r="I18"/>
  <c r="K17"/>
  <c r="C17"/>
  <c r="E16"/>
  <c r="G14"/>
  <c r="I13"/>
  <c r="K12"/>
  <c r="C12"/>
  <c r="E11"/>
  <c r="G10"/>
  <c r="I9"/>
  <c r="K8"/>
  <c r="C8"/>
  <c r="E7"/>
  <c r="G24" i="21"/>
  <c r="I23"/>
  <c r="K22"/>
  <c r="C22"/>
  <c r="E19"/>
  <c r="G18"/>
  <c r="I17"/>
  <c r="K16"/>
  <c r="C16"/>
  <c r="E15"/>
  <c r="G14"/>
  <c r="I13"/>
  <c r="K10"/>
  <c r="C10"/>
  <c r="E9"/>
  <c r="G8"/>
  <c r="I7"/>
  <c r="K67" i="20"/>
  <c r="C67"/>
  <c r="E66"/>
  <c r="I65"/>
  <c r="D65"/>
  <c r="I64"/>
  <c r="C64"/>
  <c r="H63"/>
  <c r="C63"/>
  <c r="G62"/>
  <c r="L61"/>
  <c r="G61"/>
  <c r="K60"/>
  <c r="F60"/>
  <c r="K59"/>
  <c r="E59"/>
  <c r="J58"/>
  <c r="F58"/>
  <c r="L57"/>
  <c r="H57"/>
  <c r="D57"/>
  <c r="J56"/>
  <c r="F56"/>
  <c r="L55"/>
  <c r="H55"/>
  <c r="D55"/>
  <c r="J54"/>
  <c r="F54"/>
  <c r="L53"/>
  <c r="H53"/>
  <c r="D53"/>
  <c r="J51"/>
  <c r="F51"/>
  <c r="L50"/>
  <c r="H50"/>
  <c r="D50"/>
  <c r="J49"/>
  <c r="F49"/>
  <c r="L48"/>
  <c r="H48"/>
  <c r="D48"/>
  <c r="J47"/>
  <c r="F47"/>
  <c r="L46"/>
  <c r="H46"/>
  <c r="D46"/>
  <c r="J45"/>
  <c r="F45"/>
  <c r="L44"/>
  <c r="H44"/>
  <c r="D44"/>
  <c r="J43"/>
  <c r="F43"/>
  <c r="L41"/>
  <c r="H41"/>
  <c r="D41"/>
  <c r="J40"/>
  <c r="F40"/>
  <c r="L39"/>
  <c r="H39"/>
  <c r="D39"/>
  <c r="J38"/>
  <c r="F38"/>
  <c r="L37"/>
  <c r="H37"/>
  <c r="D37"/>
  <c r="J36"/>
  <c r="F36"/>
  <c r="L35"/>
  <c r="H35"/>
  <c r="D35"/>
  <c r="J34"/>
  <c r="F34"/>
  <c r="L33"/>
  <c r="H33"/>
  <c r="D33"/>
  <c r="J32"/>
  <c r="F32"/>
  <c r="L31"/>
  <c r="H31"/>
  <c r="D31"/>
  <c r="J30"/>
  <c r="F30"/>
  <c r="L29"/>
  <c r="H29"/>
  <c r="D29"/>
  <c r="J28"/>
  <c r="F28"/>
  <c r="L27"/>
  <c r="H27"/>
  <c r="D27"/>
  <c r="J26"/>
  <c r="F26"/>
  <c r="L25"/>
  <c r="H25"/>
  <c r="D25"/>
  <c r="J24"/>
  <c r="F24"/>
  <c r="L23"/>
  <c r="H23"/>
  <c r="D23"/>
  <c r="J22"/>
  <c r="F22"/>
  <c r="L21"/>
  <c r="H21"/>
  <c r="D21"/>
  <c r="J20"/>
  <c r="F20"/>
  <c r="L19"/>
  <c r="H19"/>
  <c r="D19"/>
  <c r="J18"/>
  <c r="F18"/>
  <c r="L17"/>
  <c r="H17"/>
  <c r="D17"/>
  <c r="J16"/>
  <c r="F16"/>
  <c r="L15"/>
  <c r="H15"/>
  <c r="D15"/>
  <c r="J14"/>
  <c r="F14"/>
  <c r="L13"/>
  <c r="H13"/>
  <c r="D13"/>
  <c r="J12"/>
  <c r="F12"/>
  <c r="L11"/>
  <c r="H11"/>
  <c r="D11"/>
  <c r="J10"/>
  <c r="F10"/>
  <c r="L9"/>
  <c r="H9"/>
  <c r="D9"/>
  <c r="J8"/>
  <c r="F8"/>
  <c r="K66" i="19"/>
  <c r="G66"/>
  <c r="C66"/>
  <c r="H65"/>
  <c r="D65"/>
  <c r="I64"/>
  <c r="E64"/>
  <c r="J63"/>
  <c r="F63"/>
  <c r="K62"/>
  <c r="G62"/>
  <c r="C62"/>
  <c r="H61"/>
  <c r="D61"/>
  <c r="I60"/>
  <c r="E60"/>
  <c r="J59"/>
  <c r="F59"/>
  <c r="K58"/>
  <c r="G58"/>
  <c r="C58"/>
  <c r="H55"/>
  <c r="D55"/>
  <c r="I54"/>
  <c r="E54"/>
  <c r="J52"/>
  <c r="F52"/>
  <c r="K50"/>
  <c r="G50"/>
  <c r="C50"/>
  <c r="H48"/>
  <c r="D48"/>
  <c r="I47"/>
  <c r="E47"/>
  <c r="J46"/>
  <c r="F46"/>
  <c r="K45"/>
  <c r="G45"/>
  <c r="C45"/>
  <c r="H44"/>
  <c r="D44"/>
  <c r="I43"/>
  <c r="E43"/>
  <c r="J42"/>
  <c r="F42"/>
  <c r="K41"/>
  <c r="G41"/>
  <c r="C41"/>
  <c r="H40"/>
  <c r="D40"/>
  <c r="I39"/>
  <c r="E39"/>
  <c r="J38"/>
  <c r="F38"/>
  <c r="K35"/>
  <c r="G35"/>
  <c r="C35"/>
  <c r="H34"/>
  <c r="D34"/>
  <c r="I33"/>
  <c r="E33"/>
  <c r="J32"/>
  <c r="F32"/>
  <c r="K31"/>
  <c r="G31"/>
  <c r="C31"/>
  <c r="H30"/>
  <c r="D30"/>
  <c r="I29"/>
  <c r="E29"/>
  <c r="J28"/>
  <c r="F28"/>
  <c r="K27"/>
  <c r="G27"/>
  <c r="C27"/>
  <c r="H26"/>
  <c r="D26"/>
  <c r="I25"/>
  <c r="E25"/>
  <c r="J24"/>
  <c r="F24"/>
  <c r="K23"/>
  <c r="G23"/>
  <c r="C23"/>
  <c r="H22"/>
  <c r="D22"/>
  <c r="I21"/>
  <c r="E21"/>
  <c r="J20"/>
  <c r="F20"/>
  <c r="K19"/>
  <c r="G19"/>
  <c r="C19"/>
  <c r="H16"/>
  <c r="D16"/>
  <c r="I15"/>
  <c r="E15"/>
  <c r="J14"/>
  <c r="F14"/>
  <c r="K13"/>
  <c r="G13"/>
  <c r="C13"/>
  <c r="H12"/>
  <c r="D12"/>
  <c r="I11"/>
  <c r="E11"/>
  <c r="J10"/>
  <c r="F10"/>
  <c r="K9"/>
  <c r="G9"/>
  <c r="C9"/>
  <c r="H8"/>
  <c r="D8"/>
  <c r="I7"/>
  <c r="E7"/>
  <c r="K6" i="18"/>
  <c r="G6"/>
  <c r="C6"/>
  <c r="I215" i="17"/>
  <c r="E215"/>
  <c r="K214"/>
  <c r="G214"/>
  <c r="C214"/>
  <c r="I213"/>
  <c r="E213"/>
  <c r="K212"/>
  <c r="G212"/>
  <c r="C212"/>
  <c r="I211"/>
  <c r="E211"/>
  <c r="F26" i="34"/>
  <c r="D23"/>
  <c r="L16"/>
  <c r="J9"/>
  <c r="F15" i="33"/>
  <c r="J10"/>
  <c r="E7"/>
  <c r="L14" i="32"/>
  <c r="J10"/>
  <c r="H7"/>
  <c r="F15" i="31"/>
  <c r="D12"/>
  <c r="L8"/>
  <c r="J31" i="30"/>
  <c r="H26"/>
  <c r="F19"/>
  <c r="D12"/>
  <c r="J36" i="29"/>
  <c r="E33"/>
  <c r="I28"/>
  <c r="D25"/>
  <c r="H20"/>
  <c r="C16"/>
  <c r="G11"/>
  <c r="L17" i="28"/>
  <c r="J14"/>
  <c r="H11"/>
  <c r="F8"/>
  <c r="D23" i="27"/>
  <c r="L17"/>
  <c r="J11"/>
  <c r="H43" i="26"/>
  <c r="H41"/>
  <c r="J40"/>
  <c r="L39"/>
  <c r="D39"/>
  <c r="F38"/>
  <c r="H37"/>
  <c r="J36"/>
  <c r="L34"/>
  <c r="D34"/>
  <c r="F33"/>
  <c r="H32"/>
  <c r="J31"/>
  <c r="L30"/>
  <c r="D30"/>
  <c r="F29"/>
  <c r="H26"/>
  <c r="J25"/>
  <c r="L24"/>
  <c r="D24"/>
  <c r="F23"/>
  <c r="H22"/>
  <c r="J20"/>
  <c r="L19"/>
  <c r="D19"/>
  <c r="F18"/>
  <c r="H17"/>
  <c r="J16"/>
  <c r="L15"/>
  <c r="D15"/>
  <c r="F14"/>
  <c r="H13"/>
  <c r="J11"/>
  <c r="L10"/>
  <c r="D10"/>
  <c r="F9"/>
  <c r="H8"/>
  <c r="J7"/>
  <c r="L20" i="25"/>
  <c r="D20"/>
  <c r="F19"/>
  <c r="H18"/>
  <c r="J17"/>
  <c r="L16"/>
  <c r="D16"/>
  <c r="F14"/>
  <c r="H13"/>
  <c r="J11"/>
  <c r="L10"/>
  <c r="D10"/>
  <c r="F9"/>
  <c r="H8"/>
  <c r="J7"/>
  <c r="L6"/>
  <c r="D6"/>
  <c r="F25" i="24"/>
  <c r="H22"/>
  <c r="J21"/>
  <c r="L20"/>
  <c r="D20"/>
  <c r="F18"/>
  <c r="H17"/>
  <c r="J16"/>
  <c r="L14"/>
  <c r="D14"/>
  <c r="F13"/>
  <c r="H12"/>
  <c r="J10"/>
  <c r="L9"/>
  <c r="D9"/>
  <c r="F8"/>
  <c r="H7"/>
  <c r="J6"/>
  <c r="L41" i="23"/>
  <c r="D41"/>
  <c r="F40"/>
  <c r="H39"/>
  <c r="J37"/>
  <c r="L36"/>
  <c r="D36"/>
  <c r="F34"/>
  <c r="H33"/>
  <c r="J32"/>
  <c r="L30"/>
  <c r="D30"/>
  <c r="F29"/>
  <c r="H28"/>
  <c r="J27"/>
  <c r="L25"/>
  <c r="D25"/>
  <c r="F24"/>
  <c r="H22"/>
  <c r="J21"/>
  <c r="L20"/>
  <c r="D20"/>
  <c r="F18"/>
  <c r="H17"/>
  <c r="J16"/>
  <c r="L14"/>
  <c r="D14"/>
  <c r="F13"/>
  <c r="H11"/>
  <c r="J10"/>
  <c r="L8"/>
  <c r="D8"/>
  <c r="F7"/>
  <c r="H6"/>
  <c r="J87" i="22"/>
  <c r="L86"/>
  <c r="D86"/>
  <c r="F85"/>
  <c r="H84"/>
  <c r="J83"/>
  <c r="L82"/>
  <c r="D82"/>
  <c r="F80"/>
  <c r="H79"/>
  <c r="J78"/>
  <c r="L77"/>
  <c r="D77"/>
  <c r="F76"/>
  <c r="H75"/>
  <c r="J74"/>
  <c r="L73"/>
  <c r="D73"/>
  <c r="F72"/>
  <c r="H71"/>
  <c r="J70"/>
  <c r="L69"/>
  <c r="D69"/>
  <c r="F67"/>
  <c r="H66"/>
  <c r="J65"/>
  <c r="L64"/>
  <c r="D64"/>
  <c r="F63"/>
  <c r="H62"/>
  <c r="J61"/>
  <c r="L60"/>
  <c r="D60"/>
  <c r="F57"/>
  <c r="H55"/>
  <c r="J54"/>
  <c r="L53"/>
  <c r="D53"/>
  <c r="F52"/>
  <c r="H51"/>
  <c r="J50"/>
  <c r="L49"/>
  <c r="D49"/>
  <c r="F48"/>
  <c r="H47"/>
  <c r="J46"/>
  <c r="L45"/>
  <c r="D45"/>
  <c r="F43"/>
  <c r="H42"/>
  <c r="J41"/>
  <c r="L40"/>
  <c r="D40"/>
  <c r="F39"/>
  <c r="H38"/>
  <c r="J37"/>
  <c r="L36"/>
  <c r="D36"/>
  <c r="F33"/>
  <c r="H32"/>
  <c r="J31"/>
  <c r="L30"/>
  <c r="D30"/>
  <c r="F28"/>
  <c r="H27"/>
  <c r="J26"/>
  <c r="L25"/>
  <c r="D25"/>
  <c r="F24"/>
  <c r="H23"/>
  <c r="J22"/>
  <c r="L21"/>
  <c r="D21"/>
  <c r="F20"/>
  <c r="H19"/>
  <c r="J18"/>
  <c r="L17"/>
  <c r="D17"/>
  <c r="F16"/>
  <c r="H14"/>
  <c r="J13"/>
  <c r="L12"/>
  <c r="D12"/>
  <c r="F11"/>
  <c r="H10"/>
  <c r="J9"/>
  <c r="L8"/>
  <c r="D8"/>
  <c r="F7"/>
  <c r="H24" i="21"/>
  <c r="J23"/>
  <c r="L22"/>
  <c r="D22"/>
  <c r="F19"/>
  <c r="H18"/>
  <c r="J17"/>
  <c r="L16"/>
  <c r="D16"/>
  <c r="F15"/>
  <c r="H14"/>
  <c r="J13"/>
  <c r="L10"/>
  <c r="D10"/>
  <c r="F9"/>
  <c r="H8"/>
  <c r="J7"/>
  <c r="L67" i="20"/>
  <c r="D67"/>
  <c r="F66"/>
  <c r="K65"/>
  <c r="E65"/>
  <c r="J64"/>
  <c r="E64"/>
  <c r="I63"/>
  <c r="D63"/>
  <c r="I62"/>
  <c r="C62"/>
  <c r="H61"/>
  <c r="C61"/>
  <c r="G60"/>
  <c r="L59"/>
  <c r="G59"/>
  <c r="K58"/>
  <c r="G58"/>
  <c r="C58"/>
  <c r="I57"/>
  <c r="E57"/>
  <c r="K56"/>
  <c r="G56"/>
  <c r="C56"/>
  <c r="I55"/>
  <c r="E55"/>
  <c r="K54"/>
  <c r="G54"/>
  <c r="C54"/>
  <c r="I53"/>
  <c r="E53"/>
  <c r="K51"/>
  <c r="G51"/>
  <c r="C51"/>
  <c r="I50"/>
  <c r="E50"/>
  <c r="K49"/>
  <c r="G49"/>
  <c r="C49"/>
  <c r="I48"/>
  <c r="E48"/>
  <c r="K47"/>
  <c r="G47"/>
  <c r="C47"/>
  <c r="I46"/>
  <c r="E46"/>
  <c r="K45"/>
  <c r="G45"/>
  <c r="C45"/>
  <c r="I44"/>
  <c r="E44"/>
  <c r="K43"/>
  <c r="G43"/>
  <c r="C43"/>
  <c r="I41"/>
  <c r="E41"/>
  <c r="K40"/>
  <c r="G40"/>
  <c r="C40"/>
  <c r="I39"/>
  <c r="E39"/>
  <c r="K38"/>
  <c r="G38"/>
  <c r="C38"/>
  <c r="I37"/>
  <c r="E37"/>
  <c r="K36"/>
  <c r="G36"/>
  <c r="C36"/>
  <c r="I35"/>
  <c r="E35"/>
  <c r="K34"/>
  <c r="G34"/>
  <c r="C34"/>
  <c r="I33"/>
  <c r="E33"/>
  <c r="K32"/>
  <c r="G32"/>
  <c r="C32"/>
  <c r="I31"/>
  <c r="E31"/>
  <c r="K30"/>
  <c r="G30"/>
  <c r="C30"/>
  <c r="I29"/>
  <c r="E29"/>
  <c r="K28"/>
  <c r="G28"/>
  <c r="C28"/>
  <c r="I27"/>
  <c r="E27"/>
  <c r="K26"/>
  <c r="G26"/>
  <c r="C26"/>
  <c r="I25"/>
  <c r="E25"/>
  <c r="K24"/>
  <c r="G24"/>
  <c r="C24"/>
  <c r="I23"/>
  <c r="E23"/>
  <c r="K22"/>
  <c r="G22"/>
  <c r="C22"/>
  <c r="I21"/>
  <c r="E21"/>
  <c r="K20"/>
  <c r="G20"/>
  <c r="C20"/>
  <c r="I19"/>
  <c r="E19"/>
  <c r="K18"/>
  <c r="G18"/>
  <c r="C18"/>
  <c r="I17"/>
  <c r="E17"/>
  <c r="K16"/>
  <c r="G16"/>
  <c r="C16"/>
  <c r="I15"/>
  <c r="E15"/>
  <c r="K14"/>
  <c r="G14"/>
  <c r="C14"/>
  <c r="I13"/>
  <c r="E13"/>
  <c r="K12"/>
  <c r="G12"/>
  <c r="C12"/>
  <c r="I11"/>
  <c r="E11"/>
  <c r="K10"/>
  <c r="G10"/>
  <c r="C10"/>
  <c r="I9"/>
  <c r="E9"/>
  <c r="K8"/>
  <c r="G8"/>
  <c r="C8"/>
  <c r="H66" i="19"/>
  <c r="D66"/>
  <c r="I65"/>
  <c r="E65"/>
  <c r="J64"/>
  <c r="F64"/>
  <c r="K63"/>
  <c r="G63"/>
  <c r="C63"/>
  <c r="H62"/>
  <c r="D62"/>
  <c r="I61"/>
  <c r="E61"/>
  <c r="J60"/>
  <c r="F60"/>
  <c r="K59"/>
  <c r="G59"/>
  <c r="C59"/>
  <c r="H58"/>
  <c r="D58"/>
  <c r="I55"/>
  <c r="E55"/>
  <c r="J54"/>
  <c r="F54"/>
  <c r="K52"/>
  <c r="G52"/>
  <c r="C52"/>
  <c r="H50"/>
  <c r="D50"/>
  <c r="I48"/>
  <c r="E48"/>
  <c r="J47"/>
  <c r="F47"/>
  <c r="K46"/>
  <c r="G46"/>
  <c r="C46"/>
  <c r="H45"/>
  <c r="D45"/>
  <c r="I44"/>
  <c r="E44"/>
  <c r="J43"/>
  <c r="F43"/>
  <c r="K42"/>
  <c r="G42"/>
  <c r="C42"/>
  <c r="H41"/>
  <c r="D41"/>
  <c r="I40"/>
  <c r="E40"/>
  <c r="J39"/>
  <c r="F39"/>
  <c r="K38"/>
  <c r="G38"/>
  <c r="C38"/>
  <c r="H35"/>
  <c r="D35"/>
  <c r="I34"/>
  <c r="E34"/>
  <c r="J33"/>
  <c r="F33"/>
  <c r="K32"/>
  <c r="G32"/>
  <c r="C32"/>
  <c r="H31"/>
  <c r="D31"/>
  <c r="I30"/>
  <c r="E30"/>
  <c r="J29"/>
  <c r="F29"/>
  <c r="K28"/>
  <c r="G28"/>
  <c r="C28"/>
  <c r="H27"/>
  <c r="D27"/>
  <c r="I26"/>
  <c r="E26"/>
  <c r="J25"/>
  <c r="F25"/>
  <c r="K24"/>
  <c r="G24"/>
  <c r="C24"/>
  <c r="H23"/>
  <c r="D23"/>
  <c r="I22"/>
  <c r="E22"/>
  <c r="J21"/>
  <c r="F21"/>
  <c r="K20"/>
  <c r="G20"/>
  <c r="C20"/>
  <c r="H19"/>
  <c r="D19"/>
  <c r="I16"/>
  <c r="E16"/>
  <c r="J15"/>
  <c r="F15"/>
  <c r="K14"/>
  <c r="G14"/>
  <c r="C14"/>
  <c r="H13"/>
  <c r="D13"/>
  <c r="I12"/>
  <c r="E12"/>
  <c r="J11"/>
  <c r="F11"/>
  <c r="K10"/>
  <c r="G10"/>
  <c r="C10"/>
  <c r="H9"/>
  <c r="D9"/>
  <c r="I8"/>
  <c r="E8"/>
  <c r="J7"/>
  <c r="F7"/>
  <c r="L6" i="18"/>
  <c r="H6"/>
  <c r="D6"/>
  <c r="J215" i="17"/>
  <c r="F215"/>
  <c r="L214"/>
  <c r="H214"/>
  <c r="D214"/>
  <c r="J213"/>
  <c r="F213"/>
  <c r="L212"/>
  <c r="H212"/>
  <c r="D212"/>
  <c r="J211"/>
  <c r="F211"/>
  <c r="L210"/>
  <c r="F24" i="34"/>
  <c r="L14"/>
  <c r="D12" i="33"/>
  <c r="D17" i="32"/>
  <c r="J8"/>
  <c r="F13" i="31"/>
  <c r="L6"/>
  <c r="H21" i="30"/>
  <c r="D8"/>
  <c r="C30" i="29"/>
  <c r="K21"/>
  <c r="J13"/>
  <c r="L15" i="28"/>
  <c r="H9"/>
  <c r="D21" i="27"/>
  <c r="J7"/>
  <c r="C41" i="26"/>
  <c r="G39"/>
  <c r="K37"/>
  <c r="E36"/>
  <c r="I33"/>
  <c r="C32"/>
  <c r="G30"/>
  <c r="K26"/>
  <c r="E25"/>
  <c r="I23"/>
  <c r="C22"/>
  <c r="G19"/>
  <c r="K17"/>
  <c r="E16"/>
  <c r="I14"/>
  <c r="C13"/>
  <c r="G10"/>
  <c r="K8"/>
  <c r="E7"/>
  <c r="I19" i="25"/>
  <c r="C18"/>
  <c r="G16"/>
  <c r="K13"/>
  <c r="E11"/>
  <c r="I9"/>
  <c r="C8"/>
  <c r="G6"/>
  <c r="K22" i="24"/>
  <c r="E21"/>
  <c r="I18"/>
  <c r="C17"/>
  <c r="G14"/>
  <c r="K12"/>
  <c r="E10"/>
  <c r="I8"/>
  <c r="C7"/>
  <c r="G41" i="23"/>
  <c r="K39"/>
  <c r="E37"/>
  <c r="I34"/>
  <c r="C33"/>
  <c r="G30"/>
  <c r="K28"/>
  <c r="E27"/>
  <c r="I24"/>
  <c r="C22"/>
  <c r="G20"/>
  <c r="K17"/>
  <c r="E16"/>
  <c r="I13"/>
  <c r="C11"/>
  <c r="G8"/>
  <c r="K6"/>
  <c r="E87" i="22"/>
  <c r="I85"/>
  <c r="C84"/>
  <c r="G82"/>
  <c r="K79"/>
  <c r="E78"/>
  <c r="I76"/>
  <c r="C75"/>
  <c r="G73"/>
  <c r="K71"/>
  <c r="E70"/>
  <c r="I67"/>
  <c r="C66"/>
  <c r="G64"/>
  <c r="K62"/>
  <c r="E61"/>
  <c r="I57"/>
  <c r="C55"/>
  <c r="G53"/>
  <c r="K51"/>
  <c r="E50"/>
  <c r="I48"/>
  <c r="C47"/>
  <c r="G45"/>
  <c r="K42"/>
  <c r="E41"/>
  <c r="I39"/>
  <c r="C38"/>
  <c r="G36"/>
  <c r="K32"/>
  <c r="E31"/>
  <c r="I28"/>
  <c r="C27"/>
  <c r="G25"/>
  <c r="K23"/>
  <c r="E22"/>
  <c r="I20"/>
  <c r="C19"/>
  <c r="G17"/>
  <c r="K14"/>
  <c r="E13"/>
  <c r="I11"/>
  <c r="C10"/>
  <c r="G8"/>
  <c r="K24" i="21"/>
  <c r="E23"/>
  <c r="I19"/>
  <c r="C18"/>
  <c r="G16"/>
  <c r="K14"/>
  <c r="E13"/>
  <c r="I9"/>
  <c r="C8"/>
  <c r="G67" i="20"/>
  <c r="L65"/>
  <c r="K64"/>
  <c r="K63"/>
  <c r="J62"/>
  <c r="I61"/>
  <c r="I60"/>
  <c r="H59"/>
  <c r="H58"/>
  <c r="J57"/>
  <c r="L56"/>
  <c r="D56"/>
  <c r="F55"/>
  <c r="H54"/>
  <c r="J53"/>
  <c r="L51"/>
  <c r="D51"/>
  <c r="F50"/>
  <c r="H49"/>
  <c r="J48"/>
  <c r="L47"/>
  <c r="D47"/>
  <c r="F46"/>
  <c r="H45"/>
  <c r="J44"/>
  <c r="L43"/>
  <c r="D43"/>
  <c r="F41"/>
  <c r="H40"/>
  <c r="J39"/>
  <c r="L38"/>
  <c r="D38"/>
  <c r="F37"/>
  <c r="H36"/>
  <c r="J35"/>
  <c r="L34"/>
  <c r="D34"/>
  <c r="F33"/>
  <c r="H32"/>
  <c r="J31"/>
  <c r="L30"/>
  <c r="D30"/>
  <c r="F29"/>
  <c r="H28"/>
  <c r="J27"/>
  <c r="L26"/>
  <c r="D26"/>
  <c r="F25"/>
  <c r="H24"/>
  <c r="J23"/>
  <c r="L22"/>
  <c r="D22"/>
  <c r="F21"/>
  <c r="H20"/>
  <c r="J19"/>
  <c r="L18"/>
  <c r="D18"/>
  <c r="F17"/>
  <c r="H16"/>
  <c r="J15"/>
  <c r="L14"/>
  <c r="D14"/>
  <c r="F13"/>
  <c r="H12"/>
  <c r="J11"/>
  <c r="L10"/>
  <c r="D10"/>
  <c r="F9"/>
  <c r="H8"/>
  <c r="I66" i="19"/>
  <c r="J65"/>
  <c r="K64"/>
  <c r="C64"/>
  <c r="D63"/>
  <c r="E62"/>
  <c r="F61"/>
  <c r="G60"/>
  <c r="H59"/>
  <c r="I58"/>
  <c r="J55"/>
  <c r="K54"/>
  <c r="C54"/>
  <c r="D52"/>
  <c r="E50"/>
  <c r="F48"/>
  <c r="G47"/>
  <c r="H46"/>
  <c r="I45"/>
  <c r="J44"/>
  <c r="K43"/>
  <c r="C43"/>
  <c r="D42"/>
  <c r="E41"/>
  <c r="F40"/>
  <c r="G39"/>
  <c r="H38"/>
  <c r="I35"/>
  <c r="J34"/>
  <c r="K33"/>
  <c r="C33"/>
  <c r="D32"/>
  <c r="E31"/>
  <c r="F30"/>
  <c r="G29"/>
  <c r="H28"/>
  <c r="I27"/>
  <c r="J26"/>
  <c r="K25"/>
  <c r="C25"/>
  <c r="D24"/>
  <c r="E23"/>
  <c r="F22"/>
  <c r="G21"/>
  <c r="H20"/>
  <c r="I19"/>
  <c r="J16"/>
  <c r="K15"/>
  <c r="C15"/>
  <c r="D14"/>
  <c r="E13"/>
  <c r="F12"/>
  <c r="G11"/>
  <c r="H10"/>
  <c r="I9"/>
  <c r="J8"/>
  <c r="K7"/>
  <c r="C7"/>
  <c r="E6" i="18"/>
  <c r="G215" i="17"/>
  <c r="I214"/>
  <c r="K213"/>
  <c r="C213"/>
  <c r="E212"/>
  <c r="G211"/>
  <c r="J210"/>
  <c r="F210"/>
  <c r="L209"/>
  <c r="H209"/>
  <c r="D209"/>
  <c r="J208"/>
  <c r="F208"/>
  <c r="L207"/>
  <c r="H207"/>
  <c r="D207"/>
  <c r="J206"/>
  <c r="F206"/>
  <c r="L205"/>
  <c r="H205"/>
  <c r="D205"/>
  <c r="J204"/>
  <c r="F204"/>
  <c r="L203"/>
  <c r="H203"/>
  <c r="D203"/>
  <c r="J202"/>
  <c r="F202"/>
  <c r="L201"/>
  <c r="H201"/>
  <c r="D201"/>
  <c r="J200"/>
  <c r="F200"/>
  <c r="L199"/>
  <c r="H199"/>
  <c r="D199"/>
  <c r="J198"/>
  <c r="F198"/>
  <c r="L197"/>
  <c r="H197"/>
  <c r="D197"/>
  <c r="J196"/>
  <c r="F196"/>
  <c r="L195"/>
  <c r="H195"/>
  <c r="D195"/>
  <c r="J194"/>
  <c r="F194"/>
  <c r="L193"/>
  <c r="H193"/>
  <c r="D193"/>
  <c r="J192"/>
  <c r="F192"/>
  <c r="L191"/>
  <c r="H191"/>
  <c r="D191"/>
  <c r="J190"/>
  <c r="F190"/>
  <c r="L189"/>
  <c r="H189"/>
  <c r="D189"/>
  <c r="J188"/>
  <c r="F188"/>
  <c r="L187"/>
  <c r="H187"/>
  <c r="D187"/>
  <c r="J186"/>
  <c r="F186"/>
  <c r="L185"/>
  <c r="H185"/>
  <c r="D185"/>
  <c r="J184"/>
  <c r="F184"/>
  <c r="L183"/>
  <c r="H183"/>
  <c r="D183"/>
  <c r="J182"/>
  <c r="F182"/>
  <c r="L181"/>
  <c r="H181"/>
  <c r="D181"/>
  <c r="J180"/>
  <c r="F180"/>
  <c r="L179"/>
  <c r="H179"/>
  <c r="D179"/>
  <c r="J178"/>
  <c r="F178"/>
  <c r="L177"/>
  <c r="H177"/>
  <c r="D177"/>
  <c r="J176"/>
  <c r="F176"/>
  <c r="L175"/>
  <c r="H175"/>
  <c r="D175"/>
  <c r="J174"/>
  <c r="F174"/>
  <c r="L173"/>
  <c r="H173"/>
  <c r="D173"/>
  <c r="J172"/>
  <c r="F172"/>
  <c r="L171"/>
  <c r="H171"/>
  <c r="D171"/>
  <c r="J170"/>
  <c r="F170"/>
  <c r="L169"/>
  <c r="H169"/>
  <c r="D169"/>
  <c r="J168"/>
  <c r="F168"/>
  <c r="L167"/>
  <c r="H167"/>
  <c r="D167"/>
  <c r="J166"/>
  <c r="F166"/>
  <c r="L165"/>
  <c r="H165"/>
  <c r="D165"/>
  <c r="J164"/>
  <c r="F164"/>
  <c r="L163"/>
  <c r="H163"/>
  <c r="D163"/>
  <c r="J162"/>
  <c r="F162"/>
  <c r="L161"/>
  <c r="H161"/>
  <c r="D161"/>
  <c r="J160"/>
  <c r="F160"/>
  <c r="L159"/>
  <c r="H159"/>
  <c r="D159"/>
  <c r="J158"/>
  <c r="F158"/>
  <c r="L157"/>
  <c r="H157"/>
  <c r="D157"/>
  <c r="J156"/>
  <c r="F156"/>
  <c r="L155"/>
  <c r="H155"/>
  <c r="D155"/>
  <c r="J154"/>
  <c r="F154"/>
  <c r="L153"/>
  <c r="H153"/>
  <c r="D153"/>
  <c r="J152"/>
  <c r="F152"/>
  <c r="L151"/>
  <c r="H151"/>
  <c r="D151"/>
  <c r="J150"/>
  <c r="F150"/>
  <c r="L149"/>
  <c r="H149"/>
  <c r="D149"/>
  <c r="J148"/>
  <c r="F148"/>
  <c r="L147"/>
  <c r="H147"/>
  <c r="D147"/>
  <c r="J146"/>
  <c r="F146"/>
  <c r="L145"/>
  <c r="H145"/>
  <c r="D145"/>
  <c r="J144"/>
  <c r="F144"/>
  <c r="L143"/>
  <c r="H143"/>
  <c r="D143"/>
  <c r="J142"/>
  <c r="F142"/>
  <c r="L141"/>
  <c r="H141"/>
  <c r="D141"/>
  <c r="J140"/>
  <c r="F140"/>
  <c r="L139"/>
  <c r="H139"/>
  <c r="D139"/>
  <c r="J138"/>
  <c r="F138"/>
  <c r="L137"/>
  <c r="H137"/>
  <c r="D137"/>
  <c r="J136"/>
  <c r="F136"/>
  <c r="L135"/>
  <c r="H135"/>
  <c r="D135"/>
  <c r="J134"/>
  <c r="F134"/>
  <c r="L133"/>
  <c r="H133"/>
  <c r="D133"/>
  <c r="J132"/>
  <c r="F132"/>
  <c r="L131"/>
  <c r="H131"/>
  <c r="D131"/>
  <c r="J130"/>
  <c r="F130"/>
  <c r="L129"/>
  <c r="H129"/>
  <c r="D129"/>
  <c r="J128"/>
  <c r="F128"/>
  <c r="L127"/>
  <c r="H127"/>
  <c r="D127"/>
  <c r="J126"/>
  <c r="F126"/>
  <c r="L125"/>
  <c r="H125"/>
  <c r="D125"/>
  <c r="J124"/>
  <c r="F124"/>
  <c r="L123"/>
  <c r="H123"/>
  <c r="D123"/>
  <c r="J122"/>
  <c r="F122"/>
  <c r="L121"/>
  <c r="H121"/>
  <c r="D121"/>
  <c r="J120"/>
  <c r="F120"/>
  <c r="L119"/>
  <c r="H119"/>
  <c r="D119"/>
  <c r="J118"/>
  <c r="F118"/>
  <c r="L117"/>
  <c r="H117"/>
  <c r="D117"/>
  <c r="J116"/>
  <c r="F116"/>
  <c r="L115"/>
  <c r="H115"/>
  <c r="D115"/>
  <c r="J114"/>
  <c r="F114"/>
  <c r="L113"/>
  <c r="H113"/>
  <c r="D113"/>
  <c r="J112"/>
  <c r="F112"/>
  <c r="L111"/>
  <c r="H111"/>
  <c r="D111"/>
  <c r="J110"/>
  <c r="F110"/>
  <c r="L109"/>
  <c r="H109"/>
  <c r="D109"/>
  <c r="J108"/>
  <c r="F108"/>
  <c r="L107"/>
  <c r="H107"/>
  <c r="D107"/>
  <c r="J106"/>
  <c r="F106"/>
  <c r="L105"/>
  <c r="H105"/>
  <c r="D105"/>
  <c r="J104"/>
  <c r="F104"/>
  <c r="L103"/>
  <c r="H103"/>
  <c r="D103"/>
  <c r="J102"/>
  <c r="F102"/>
  <c r="L101"/>
  <c r="H101"/>
  <c r="D101"/>
  <c r="J100"/>
  <c r="F100"/>
  <c r="L99"/>
  <c r="H99"/>
  <c r="D99"/>
  <c r="J98"/>
  <c r="F98"/>
  <c r="L97"/>
  <c r="H97"/>
  <c r="D97"/>
  <c r="J96"/>
  <c r="F96"/>
  <c r="L95"/>
  <c r="H95"/>
  <c r="D95"/>
  <c r="J94"/>
  <c r="F94"/>
  <c r="L93"/>
  <c r="H93"/>
  <c r="D93"/>
  <c r="J92"/>
  <c r="F92"/>
  <c r="L91"/>
  <c r="H91"/>
  <c r="D91"/>
  <c r="J90"/>
  <c r="F90"/>
  <c r="L89"/>
  <c r="H89"/>
  <c r="D89"/>
  <c r="J88"/>
  <c r="F88"/>
  <c r="L87"/>
  <c r="H87"/>
  <c r="D87"/>
  <c r="J86"/>
  <c r="F86"/>
  <c r="L85"/>
  <c r="H85"/>
  <c r="D85"/>
  <c r="J84"/>
  <c r="F84"/>
  <c r="L83"/>
  <c r="H83"/>
  <c r="D83"/>
  <c r="J82"/>
  <c r="F82"/>
  <c r="L81"/>
  <c r="H81"/>
  <c r="D81"/>
  <c r="J80"/>
  <c r="F80"/>
  <c r="L79"/>
  <c r="H79"/>
  <c r="D79"/>
  <c r="J78"/>
  <c r="F78"/>
  <c r="L77"/>
  <c r="H77"/>
  <c r="D77"/>
  <c r="J76"/>
  <c r="F76"/>
  <c r="L75"/>
  <c r="H75"/>
  <c r="D75"/>
  <c r="J74"/>
  <c r="F74"/>
  <c r="L73"/>
  <c r="H73"/>
  <c r="D73"/>
  <c r="J72"/>
  <c r="F72"/>
  <c r="L71"/>
  <c r="H71"/>
  <c r="D71"/>
  <c r="J70"/>
  <c r="F70"/>
  <c r="L69"/>
  <c r="H69"/>
  <c r="D69"/>
  <c r="J68"/>
  <c r="F68"/>
  <c r="L67"/>
  <c r="H67"/>
  <c r="D67"/>
  <c r="J66"/>
  <c r="F66"/>
  <c r="L65"/>
  <c r="H65"/>
  <c r="D65"/>
  <c r="J64"/>
  <c r="F64"/>
  <c r="L63"/>
  <c r="H63"/>
  <c r="D63"/>
  <c r="J62"/>
  <c r="F62"/>
  <c r="L60"/>
  <c r="H60"/>
  <c r="D60"/>
  <c r="J59"/>
  <c r="F59"/>
  <c r="L58"/>
  <c r="H58"/>
  <c r="D58"/>
  <c r="J57"/>
  <c r="F57"/>
  <c r="L56"/>
  <c r="H56"/>
  <c r="D56"/>
  <c r="J55"/>
  <c r="F55"/>
  <c r="L54"/>
  <c r="H54"/>
  <c r="D54"/>
  <c r="J53"/>
  <c r="F53"/>
  <c r="L52"/>
  <c r="H52"/>
  <c r="D52"/>
  <c r="J51"/>
  <c r="F51"/>
  <c r="L50"/>
  <c r="H50"/>
  <c r="D50"/>
  <c r="J48"/>
  <c r="F48"/>
  <c r="L47"/>
  <c r="H47"/>
  <c r="D47"/>
  <c r="J46"/>
  <c r="F46"/>
  <c r="L45"/>
  <c r="H45"/>
  <c r="D45"/>
  <c r="J44"/>
  <c r="F44"/>
  <c r="L43"/>
  <c r="H43"/>
  <c r="D43"/>
  <c r="J42"/>
  <c r="F42"/>
  <c r="L41"/>
  <c r="H41"/>
  <c r="D41"/>
  <c r="J40"/>
  <c r="F40"/>
  <c r="L39"/>
  <c r="H39"/>
  <c r="D39"/>
  <c r="J37"/>
  <c r="F37"/>
  <c r="L36"/>
  <c r="H36"/>
  <c r="D36"/>
  <c r="J35"/>
  <c r="F35"/>
  <c r="L34"/>
  <c r="H34"/>
  <c r="D34"/>
  <c r="J33"/>
  <c r="F33"/>
  <c r="L32"/>
  <c r="H32"/>
  <c r="D32"/>
  <c r="J31"/>
  <c r="F31"/>
  <c r="L30"/>
  <c r="H30"/>
  <c r="D30"/>
  <c r="J29"/>
  <c r="F29"/>
  <c r="L28"/>
  <c r="H28"/>
  <c r="D28"/>
  <c r="J27"/>
  <c r="F27"/>
  <c r="L25"/>
  <c r="H25"/>
  <c r="D25"/>
  <c r="J24"/>
  <c r="F24"/>
  <c r="L23"/>
  <c r="H23"/>
  <c r="D23"/>
  <c r="J22"/>
  <c r="F22"/>
  <c r="L21"/>
  <c r="H21"/>
  <c r="D21"/>
  <c r="J20"/>
  <c r="F20"/>
  <c r="L19"/>
  <c r="H19"/>
  <c r="D19"/>
  <c r="J18"/>
  <c r="F18"/>
  <c r="L17"/>
  <c r="H17"/>
  <c r="D17"/>
  <c r="J16"/>
  <c r="F16"/>
  <c r="L14"/>
  <c r="H14"/>
  <c r="D14"/>
  <c r="J13"/>
  <c r="F13"/>
  <c r="L12"/>
  <c r="H12"/>
  <c r="D12"/>
  <c r="J11"/>
  <c r="F11"/>
  <c r="L10"/>
  <c r="H10"/>
  <c r="D10"/>
  <c r="J9"/>
  <c r="F9"/>
  <c r="L8"/>
  <c r="H8"/>
  <c r="D8"/>
  <c r="J172" i="16"/>
  <c r="F172"/>
  <c r="L171"/>
  <c r="H171"/>
  <c r="D171"/>
  <c r="J170"/>
  <c r="F170"/>
  <c r="L169"/>
  <c r="H169"/>
  <c r="D169"/>
  <c r="J168"/>
  <c r="F168"/>
  <c r="L167"/>
  <c r="H167"/>
  <c r="D167"/>
  <c r="J166"/>
  <c r="F166"/>
  <c r="L165"/>
  <c r="H165"/>
  <c r="D165"/>
  <c r="J164"/>
  <c r="F164"/>
  <c r="L163"/>
  <c r="H163"/>
  <c r="D163"/>
  <c r="J162"/>
  <c r="F162"/>
  <c r="L161"/>
  <c r="H161"/>
  <c r="D161"/>
  <c r="J160"/>
  <c r="F160"/>
  <c r="L159"/>
  <c r="H159"/>
  <c r="D159"/>
  <c r="J158"/>
  <c r="F158"/>
  <c r="L153"/>
  <c r="H153"/>
  <c r="D153"/>
  <c r="J151"/>
  <c r="F151"/>
  <c r="L149"/>
  <c r="H149"/>
  <c r="D149"/>
  <c r="J147"/>
  <c r="F147"/>
  <c r="L145"/>
  <c r="H145"/>
  <c r="D145"/>
  <c r="J143"/>
  <c r="F143"/>
  <c r="L141"/>
  <c r="H141"/>
  <c r="D141"/>
  <c r="J139"/>
  <c r="F139"/>
  <c r="L137"/>
  <c r="H137"/>
  <c r="D137"/>
  <c r="J135"/>
  <c r="F135"/>
  <c r="L133"/>
  <c r="H133"/>
  <c r="D133"/>
  <c r="J131"/>
  <c r="F131"/>
  <c r="L129"/>
  <c r="H129"/>
  <c r="D129"/>
  <c r="J127"/>
  <c r="F127"/>
  <c r="L125"/>
  <c r="H125"/>
  <c r="D125"/>
  <c r="J123"/>
  <c r="F123"/>
  <c r="L121"/>
  <c r="H121"/>
  <c r="D121"/>
  <c r="J119"/>
  <c r="F119"/>
  <c r="L117"/>
  <c r="H117"/>
  <c r="D117"/>
  <c r="J115"/>
  <c r="F115"/>
  <c r="L113"/>
  <c r="H113"/>
  <c r="D113"/>
  <c r="J111"/>
  <c r="F111"/>
  <c r="L109"/>
  <c r="H109"/>
  <c r="D109"/>
  <c r="J107"/>
  <c r="F107"/>
  <c r="L105"/>
  <c r="H105"/>
  <c r="D105"/>
  <c r="J103"/>
  <c r="F103"/>
  <c r="L101"/>
  <c r="H101"/>
  <c r="D101"/>
  <c r="J99"/>
  <c r="F99"/>
  <c r="L97"/>
  <c r="H97"/>
  <c r="D97"/>
  <c r="J95"/>
  <c r="F95"/>
  <c r="L93"/>
  <c r="H93"/>
  <c r="D93"/>
  <c r="J91"/>
  <c r="F91"/>
  <c r="L89"/>
  <c r="H89"/>
  <c r="D89"/>
  <c r="J87"/>
  <c r="F87"/>
  <c r="L85"/>
  <c r="H85"/>
  <c r="D85"/>
  <c r="J83"/>
  <c r="F83"/>
  <c r="L81"/>
  <c r="H81"/>
  <c r="D81"/>
  <c r="J79"/>
  <c r="F79"/>
  <c r="L77"/>
  <c r="H77"/>
  <c r="D77"/>
  <c r="J75"/>
  <c r="F75"/>
  <c r="L71"/>
  <c r="H71"/>
  <c r="D71"/>
  <c r="J69"/>
  <c r="F69"/>
  <c r="L67"/>
  <c r="H67"/>
  <c r="D67"/>
  <c r="J65"/>
  <c r="F65"/>
  <c r="L63"/>
  <c r="H63"/>
  <c r="D63"/>
  <c r="J61"/>
  <c r="F61"/>
  <c r="L59"/>
  <c r="H59"/>
  <c r="D59"/>
  <c r="J57"/>
  <c r="F57"/>
  <c r="L55"/>
  <c r="H55"/>
  <c r="D55"/>
  <c r="J53"/>
  <c r="F53"/>
  <c r="L51"/>
  <c r="H51"/>
  <c r="D51"/>
  <c r="J49"/>
  <c r="F49"/>
  <c r="L47"/>
  <c r="H47"/>
  <c r="D47"/>
  <c r="J45"/>
  <c r="F45"/>
  <c r="L43"/>
  <c r="H43"/>
  <c r="D43"/>
  <c r="J41"/>
  <c r="F41"/>
  <c r="L39"/>
  <c r="H39"/>
  <c r="D39"/>
  <c r="J37"/>
  <c r="F37"/>
  <c r="L35"/>
  <c r="H35"/>
  <c r="D35"/>
  <c r="J33"/>
  <c r="F33"/>
  <c r="L31"/>
  <c r="H31"/>
  <c r="D31"/>
  <c r="J29"/>
  <c r="F29"/>
  <c r="L27"/>
  <c r="H27"/>
  <c r="D27"/>
  <c r="J25"/>
  <c r="F25"/>
  <c r="L23"/>
  <c r="H23"/>
  <c r="D23"/>
  <c r="J21"/>
  <c r="F21"/>
  <c r="L19"/>
  <c r="H19"/>
  <c r="D19"/>
  <c r="J17"/>
  <c r="F17"/>
  <c r="L15"/>
  <c r="H15"/>
  <c r="D15"/>
  <c r="J13"/>
  <c r="F13"/>
  <c r="L11"/>
  <c r="H11"/>
  <c r="D11"/>
  <c r="J9"/>
  <c r="F9"/>
  <c r="L7"/>
  <c r="H7"/>
  <c r="D7"/>
  <c r="I6" i="15"/>
  <c r="E6"/>
  <c r="J6" i="14"/>
  <c r="F6"/>
  <c r="L28" i="13"/>
  <c r="H28"/>
  <c r="D28"/>
  <c r="J27"/>
  <c r="F27"/>
  <c r="L26"/>
  <c r="H26"/>
  <c r="D26"/>
  <c r="J25"/>
  <c r="F25"/>
  <c r="L18"/>
  <c r="H18"/>
  <c r="D18"/>
  <c r="J17"/>
  <c r="F17"/>
  <c r="L16"/>
  <c r="H16"/>
  <c r="D16"/>
  <c r="J15"/>
  <c r="F15"/>
  <c r="L12"/>
  <c r="H12"/>
  <c r="D12"/>
  <c r="J11"/>
  <c r="F11"/>
  <c r="L10"/>
  <c r="H10"/>
  <c r="D10"/>
  <c r="J9"/>
  <c r="F9"/>
  <c r="L8"/>
  <c r="H8"/>
  <c r="D8"/>
  <c r="J7"/>
  <c r="F7"/>
  <c r="K51" i="12"/>
  <c r="G51"/>
  <c r="C51"/>
  <c r="H50"/>
  <c r="D50"/>
  <c r="I49"/>
  <c r="E49"/>
  <c r="J48"/>
  <c r="F48"/>
  <c r="K47"/>
  <c r="G47"/>
  <c r="C47"/>
  <c r="H46"/>
  <c r="D46"/>
  <c r="J24" i="34"/>
  <c r="F15"/>
  <c r="H12" i="33"/>
  <c r="H17" i="32"/>
  <c r="D9"/>
  <c r="J13" i="31"/>
  <c r="F7"/>
  <c r="L21" i="30"/>
  <c r="H8"/>
  <c r="G30" i="29"/>
  <c r="F22"/>
  <c r="E14"/>
  <c r="F16" i="28"/>
  <c r="L9"/>
  <c r="H21" i="27"/>
  <c r="D9"/>
  <c r="D41" i="26"/>
  <c r="H39"/>
  <c r="L37"/>
  <c r="F36"/>
  <c r="J33"/>
  <c r="D32"/>
  <c r="H30"/>
  <c r="L26"/>
  <c r="F25"/>
  <c r="J23"/>
  <c r="D22"/>
  <c r="H19"/>
  <c r="L17"/>
  <c r="F16"/>
  <c r="J14"/>
  <c r="D13"/>
  <c r="H10"/>
  <c r="L8"/>
  <c r="F7"/>
  <c r="J19" i="25"/>
  <c r="D18"/>
  <c r="H16"/>
  <c r="L13"/>
  <c r="F11"/>
  <c r="J9"/>
  <c r="D8"/>
  <c r="H6"/>
  <c r="L22" i="24"/>
  <c r="F21"/>
  <c r="J18"/>
  <c r="D17"/>
  <c r="H14"/>
  <c r="L12"/>
  <c r="F10"/>
  <c r="J8"/>
  <c r="D7"/>
  <c r="H41" i="23"/>
  <c r="L39"/>
  <c r="F37"/>
  <c r="J34"/>
  <c r="D33"/>
  <c r="H30"/>
  <c r="L28"/>
  <c r="F27"/>
  <c r="J24"/>
  <c r="D22"/>
  <c r="H20"/>
  <c r="L17"/>
  <c r="F16"/>
  <c r="J13"/>
  <c r="D11"/>
  <c r="H8"/>
  <c r="L6"/>
  <c r="F87" i="22"/>
  <c r="J85"/>
  <c r="D84"/>
  <c r="H82"/>
  <c r="L79"/>
  <c r="F78"/>
  <c r="J76"/>
  <c r="D75"/>
  <c r="H73"/>
  <c r="L71"/>
  <c r="F70"/>
  <c r="J67"/>
  <c r="D66"/>
  <c r="H64"/>
  <c r="L62"/>
  <c r="F61"/>
  <c r="J57"/>
  <c r="D55"/>
  <c r="H53"/>
  <c r="L51"/>
  <c r="F50"/>
  <c r="J48"/>
  <c r="D47"/>
  <c r="H45"/>
  <c r="L42"/>
  <c r="F41"/>
  <c r="J39"/>
  <c r="D38"/>
  <c r="H36"/>
  <c r="L32"/>
  <c r="F31"/>
  <c r="J28"/>
  <c r="D27"/>
  <c r="H25"/>
  <c r="L23"/>
  <c r="F22"/>
  <c r="J20"/>
  <c r="D19"/>
  <c r="H17"/>
  <c r="L14"/>
  <c r="F13"/>
  <c r="J11"/>
  <c r="D10"/>
  <c r="H8"/>
  <c r="L24" i="21"/>
  <c r="F23"/>
  <c r="J19"/>
  <c r="D18"/>
  <c r="H16"/>
  <c r="L14"/>
  <c r="F13"/>
  <c r="J9"/>
  <c r="D8"/>
  <c r="H67" i="20"/>
  <c r="C66"/>
  <c r="C65"/>
  <c r="L63"/>
  <c r="K62"/>
  <c r="K61"/>
  <c r="J60"/>
  <c r="I59"/>
  <c r="I58"/>
  <c r="K57"/>
  <c r="C57"/>
  <c r="E56"/>
  <c r="G55"/>
  <c r="I54"/>
  <c r="K53"/>
  <c r="C53"/>
  <c r="E51"/>
  <c r="G50"/>
  <c r="I49"/>
  <c r="K48"/>
  <c r="C48"/>
  <c r="E47"/>
  <c r="G46"/>
  <c r="I45"/>
  <c r="K44"/>
  <c r="C44"/>
  <c r="E43"/>
  <c r="G41"/>
  <c r="I40"/>
  <c r="K39"/>
  <c r="C39"/>
  <c r="E38"/>
  <c r="G37"/>
  <c r="I36"/>
  <c r="K35"/>
  <c r="C35"/>
  <c r="E34"/>
  <c r="G33"/>
  <c r="I32"/>
  <c r="K31"/>
  <c r="C31"/>
  <c r="E30"/>
  <c r="G29"/>
  <c r="I28"/>
  <c r="K27"/>
  <c r="C27"/>
  <c r="E26"/>
  <c r="G25"/>
  <c r="I24"/>
  <c r="K23"/>
  <c r="C23"/>
  <c r="E22"/>
  <c r="G21"/>
  <c r="I20"/>
  <c r="K19"/>
  <c r="C19"/>
  <c r="E18"/>
  <c r="G17"/>
  <c r="I16"/>
  <c r="K15"/>
  <c r="C15"/>
  <c r="E14"/>
  <c r="G13"/>
  <c r="I12"/>
  <c r="K11"/>
  <c r="C11"/>
  <c r="E10"/>
  <c r="G9"/>
  <c r="I8"/>
  <c r="J66" i="19"/>
  <c r="K65"/>
  <c r="C65"/>
  <c r="D64"/>
  <c r="E63"/>
  <c r="F62"/>
  <c r="G61"/>
  <c r="H60"/>
  <c r="I59"/>
  <c r="J58"/>
  <c r="K55"/>
  <c r="C55"/>
  <c r="D54"/>
  <c r="E52"/>
  <c r="F50"/>
  <c r="G48"/>
  <c r="H47"/>
  <c r="I46"/>
  <c r="J45"/>
  <c r="K44"/>
  <c r="C44"/>
  <c r="D43"/>
  <c r="E42"/>
  <c r="F41"/>
  <c r="G40"/>
  <c r="H39"/>
  <c r="I38"/>
  <c r="J35"/>
  <c r="K34"/>
  <c r="C34"/>
  <c r="D33"/>
  <c r="E32"/>
  <c r="F31"/>
  <c r="G30"/>
  <c r="H29"/>
  <c r="I28"/>
  <c r="J27"/>
  <c r="K26"/>
  <c r="C26"/>
  <c r="D25"/>
  <c r="E24"/>
  <c r="F23"/>
  <c r="G22"/>
  <c r="H21"/>
  <c r="I20"/>
  <c r="J19"/>
  <c r="K16"/>
  <c r="C16"/>
  <c r="D15"/>
  <c r="E14"/>
  <c r="F13"/>
  <c r="G12"/>
  <c r="H11"/>
  <c r="I10"/>
  <c r="J9"/>
  <c r="K8"/>
  <c r="C8"/>
  <c r="D7"/>
  <c r="F6" i="18"/>
  <c r="H215" i="17"/>
  <c r="J214"/>
  <c r="L213"/>
  <c r="D213"/>
  <c r="F212"/>
  <c r="H211"/>
  <c r="K210"/>
  <c r="G210"/>
  <c r="C210"/>
  <c r="I209"/>
  <c r="E209"/>
  <c r="K208"/>
  <c r="G208"/>
  <c r="C208"/>
  <c r="I207"/>
  <c r="E207"/>
  <c r="K206"/>
  <c r="G206"/>
  <c r="C206"/>
  <c r="I205"/>
  <c r="E205"/>
  <c r="K204"/>
  <c r="G204"/>
  <c r="C204"/>
  <c r="I203"/>
  <c r="E203"/>
  <c r="K202"/>
  <c r="G202"/>
  <c r="C202"/>
  <c r="I201"/>
  <c r="E201"/>
  <c r="K200"/>
  <c r="G200"/>
  <c r="C200"/>
  <c r="I199"/>
  <c r="E199"/>
  <c r="K198"/>
  <c r="G198"/>
  <c r="C198"/>
  <c r="I197"/>
  <c r="E197"/>
  <c r="K196"/>
  <c r="G196"/>
  <c r="C196"/>
  <c r="I195"/>
  <c r="E195"/>
  <c r="K194"/>
  <c r="G194"/>
  <c r="C194"/>
  <c r="I193"/>
  <c r="E193"/>
  <c r="K192"/>
  <c r="G192"/>
  <c r="C192"/>
  <c r="I191"/>
  <c r="E191"/>
  <c r="K190"/>
  <c r="G190"/>
  <c r="C190"/>
  <c r="I189"/>
  <c r="E189"/>
  <c r="K188"/>
  <c r="G188"/>
  <c r="C188"/>
  <c r="I187"/>
  <c r="E187"/>
  <c r="K186"/>
  <c r="G186"/>
  <c r="C186"/>
  <c r="I185"/>
  <c r="E185"/>
  <c r="K184"/>
  <c r="G184"/>
  <c r="C184"/>
  <c r="I183"/>
  <c r="E183"/>
  <c r="K182"/>
  <c r="G182"/>
  <c r="C182"/>
  <c r="I181"/>
  <c r="E181"/>
  <c r="K180"/>
  <c r="G180"/>
  <c r="C180"/>
  <c r="I179"/>
  <c r="E179"/>
  <c r="K178"/>
  <c r="G178"/>
  <c r="C178"/>
  <c r="I177"/>
  <c r="E177"/>
  <c r="K176"/>
  <c r="G176"/>
  <c r="C176"/>
  <c r="I175"/>
  <c r="E175"/>
  <c r="K174"/>
  <c r="G174"/>
  <c r="C174"/>
  <c r="I173"/>
  <c r="E173"/>
  <c r="K172"/>
  <c r="G172"/>
  <c r="C172"/>
  <c r="I171"/>
  <c r="E171"/>
  <c r="K170"/>
  <c r="G170"/>
  <c r="C170"/>
  <c r="I169"/>
  <c r="E169"/>
  <c r="K168"/>
  <c r="G168"/>
  <c r="C168"/>
  <c r="I167"/>
  <c r="E167"/>
  <c r="K166"/>
  <c r="G166"/>
  <c r="C166"/>
  <c r="I165"/>
  <c r="E165"/>
  <c r="K164"/>
  <c r="G164"/>
  <c r="C164"/>
  <c r="I163"/>
  <c r="E163"/>
  <c r="K162"/>
  <c r="G162"/>
  <c r="C162"/>
  <c r="I161"/>
  <c r="E161"/>
  <c r="K160"/>
  <c r="G160"/>
  <c r="C160"/>
  <c r="I159"/>
  <c r="E159"/>
  <c r="K158"/>
  <c r="G158"/>
  <c r="C158"/>
  <c r="I157"/>
  <c r="E157"/>
  <c r="K156"/>
  <c r="G156"/>
  <c r="C156"/>
  <c r="I155"/>
  <c r="E155"/>
  <c r="K154"/>
  <c r="G154"/>
  <c r="C154"/>
  <c r="I153"/>
  <c r="E153"/>
  <c r="K152"/>
  <c r="G152"/>
  <c r="C152"/>
  <c r="I151"/>
  <c r="E151"/>
  <c r="K150"/>
  <c r="G150"/>
  <c r="C150"/>
  <c r="I149"/>
  <c r="E149"/>
  <c r="K148"/>
  <c r="G148"/>
  <c r="C148"/>
  <c r="I147"/>
  <c r="E147"/>
  <c r="K146"/>
  <c r="G146"/>
  <c r="C146"/>
  <c r="I145"/>
  <c r="E145"/>
  <c r="K144"/>
  <c r="G144"/>
  <c r="C144"/>
  <c r="I143"/>
  <c r="E143"/>
  <c r="K142"/>
  <c r="G142"/>
  <c r="C142"/>
  <c r="I141"/>
  <c r="E141"/>
  <c r="K140"/>
  <c r="G140"/>
  <c r="C140"/>
  <c r="I139"/>
  <c r="E139"/>
  <c r="K138"/>
  <c r="G138"/>
  <c r="C138"/>
  <c r="I137"/>
  <c r="E137"/>
  <c r="K136"/>
  <c r="G136"/>
  <c r="C136"/>
  <c r="I135"/>
  <c r="E135"/>
  <c r="K134"/>
  <c r="G134"/>
  <c r="C134"/>
  <c r="I133"/>
  <c r="E133"/>
  <c r="K132"/>
  <c r="G132"/>
  <c r="C132"/>
  <c r="I131"/>
  <c r="E131"/>
  <c r="K130"/>
  <c r="G130"/>
  <c r="C130"/>
  <c r="I129"/>
  <c r="E129"/>
  <c r="K128"/>
  <c r="G128"/>
  <c r="C128"/>
  <c r="I127"/>
  <c r="E127"/>
  <c r="K126"/>
  <c r="G126"/>
  <c r="C126"/>
  <c r="I125"/>
  <c r="E125"/>
  <c r="K124"/>
  <c r="G124"/>
  <c r="C124"/>
  <c r="I123"/>
  <c r="E123"/>
  <c r="K122"/>
  <c r="G122"/>
  <c r="C122"/>
  <c r="I121"/>
  <c r="E121"/>
  <c r="K120"/>
  <c r="G120"/>
  <c r="C120"/>
  <c r="I119"/>
  <c r="E119"/>
  <c r="K118"/>
  <c r="G118"/>
  <c r="C118"/>
  <c r="I117"/>
  <c r="E117"/>
  <c r="K116"/>
  <c r="G116"/>
  <c r="C116"/>
  <c r="I115"/>
  <c r="E115"/>
  <c r="K114"/>
  <c r="G114"/>
  <c r="C114"/>
  <c r="I113"/>
  <c r="E113"/>
  <c r="K112"/>
  <c r="G112"/>
  <c r="C112"/>
  <c r="I111"/>
  <c r="E111"/>
  <c r="K110"/>
  <c r="G110"/>
  <c r="C110"/>
  <c r="I109"/>
  <c r="E109"/>
  <c r="K108"/>
  <c r="G108"/>
  <c r="C108"/>
  <c r="I107"/>
  <c r="E107"/>
  <c r="K106"/>
  <c r="G106"/>
  <c r="C106"/>
  <c r="I105"/>
  <c r="E105"/>
  <c r="K104"/>
  <c r="G104"/>
  <c r="C104"/>
  <c r="I103"/>
  <c r="E103"/>
  <c r="K102"/>
  <c r="G102"/>
  <c r="C102"/>
  <c r="I101"/>
  <c r="E101"/>
  <c r="K100"/>
  <c r="G100"/>
  <c r="C100"/>
  <c r="I99"/>
  <c r="E99"/>
  <c r="K98"/>
  <c r="G98"/>
  <c r="C98"/>
  <c r="I97"/>
  <c r="E97"/>
  <c r="K96"/>
  <c r="G96"/>
  <c r="C96"/>
  <c r="I95"/>
  <c r="E95"/>
  <c r="K94"/>
  <c r="G94"/>
  <c r="C94"/>
  <c r="I93"/>
  <c r="E93"/>
  <c r="K92"/>
  <c r="G92"/>
  <c r="C92"/>
  <c r="I91"/>
  <c r="E91"/>
  <c r="K90"/>
  <c r="G90"/>
  <c r="C90"/>
  <c r="I89"/>
  <c r="E89"/>
  <c r="K88"/>
  <c r="G88"/>
  <c r="C88"/>
  <c r="I87"/>
  <c r="E87"/>
  <c r="K86"/>
  <c r="G86"/>
  <c r="C86"/>
  <c r="I85"/>
  <c r="E85"/>
  <c r="K84"/>
  <c r="G84"/>
  <c r="C84"/>
  <c r="I83"/>
  <c r="E83"/>
  <c r="K82"/>
  <c r="G82"/>
  <c r="C82"/>
  <c r="I81"/>
  <c r="E81"/>
  <c r="K80"/>
  <c r="G80"/>
  <c r="C80"/>
  <c r="I79"/>
  <c r="E79"/>
  <c r="K78"/>
  <c r="G78"/>
  <c r="C78"/>
  <c r="I77"/>
  <c r="E77"/>
  <c r="K76"/>
  <c r="G76"/>
  <c r="C76"/>
  <c r="I75"/>
  <c r="E75"/>
  <c r="K74"/>
  <c r="G74"/>
  <c r="C74"/>
  <c r="I73"/>
  <c r="E73"/>
  <c r="K72"/>
  <c r="G72"/>
  <c r="C72"/>
  <c r="I71"/>
  <c r="E71"/>
  <c r="K70"/>
  <c r="G70"/>
  <c r="C70"/>
  <c r="I69"/>
  <c r="E69"/>
  <c r="K68"/>
  <c r="G68"/>
  <c r="C68"/>
  <c r="I67"/>
  <c r="E67"/>
  <c r="K66"/>
  <c r="G66"/>
  <c r="C66"/>
  <c r="I65"/>
  <c r="E65"/>
  <c r="K64"/>
  <c r="G64"/>
  <c r="C64"/>
  <c r="I63"/>
  <c r="E63"/>
  <c r="K62"/>
  <c r="G62"/>
  <c r="C62"/>
  <c r="I60"/>
  <c r="E60"/>
  <c r="K59"/>
  <c r="G59"/>
  <c r="C59"/>
  <c r="I58"/>
  <c r="E58"/>
  <c r="K57"/>
  <c r="G57"/>
  <c r="C57"/>
  <c r="I56"/>
  <c r="E56"/>
  <c r="K55"/>
  <c r="G55"/>
  <c r="C55"/>
  <c r="I54"/>
  <c r="E54"/>
  <c r="K53"/>
  <c r="G53"/>
  <c r="C53"/>
  <c r="I52"/>
  <c r="E52"/>
  <c r="K51"/>
  <c r="G51"/>
  <c r="C51"/>
  <c r="I50"/>
  <c r="E50"/>
  <c r="K48"/>
  <c r="G48"/>
  <c r="C48"/>
  <c r="I47"/>
  <c r="E47"/>
  <c r="K46"/>
  <c r="G46"/>
  <c r="C46"/>
  <c r="I45"/>
  <c r="E45"/>
  <c r="K44"/>
  <c r="G44"/>
  <c r="C44"/>
  <c r="I43"/>
  <c r="E43"/>
  <c r="K42"/>
  <c r="G42"/>
  <c r="C42"/>
  <c r="I41"/>
  <c r="E41"/>
  <c r="K40"/>
  <c r="G40"/>
  <c r="C40"/>
  <c r="I39"/>
  <c r="E39"/>
  <c r="K37"/>
  <c r="G37"/>
  <c r="C37"/>
  <c r="I36"/>
  <c r="E36"/>
  <c r="K35"/>
  <c r="G35"/>
  <c r="C35"/>
  <c r="I34"/>
  <c r="E34"/>
  <c r="K33"/>
  <c r="G33"/>
  <c r="C33"/>
  <c r="I32"/>
  <c r="E32"/>
  <c r="K31"/>
  <c r="G31"/>
  <c r="C31"/>
  <c r="I30"/>
  <c r="E30"/>
  <c r="K29"/>
  <c r="G29"/>
  <c r="C29"/>
  <c r="I28"/>
  <c r="E28"/>
  <c r="K27"/>
  <c r="G27"/>
  <c r="C27"/>
  <c r="I25"/>
  <c r="E25"/>
  <c r="K24"/>
  <c r="G24"/>
  <c r="C24"/>
  <c r="I23"/>
  <c r="E23"/>
  <c r="K22"/>
  <c r="G22"/>
  <c r="C22"/>
  <c r="I21"/>
  <c r="E21"/>
  <c r="K20"/>
  <c r="G20"/>
  <c r="C20"/>
  <c r="I19"/>
  <c r="E19"/>
  <c r="K18"/>
  <c r="G18"/>
  <c r="C18"/>
  <c r="I17"/>
  <c r="E17"/>
  <c r="K16"/>
  <c r="G16"/>
  <c r="C16"/>
  <c r="I14"/>
  <c r="E14"/>
  <c r="K13"/>
  <c r="G13"/>
  <c r="C13"/>
  <c r="I12"/>
  <c r="E12"/>
  <c r="K11"/>
  <c r="G11"/>
  <c r="C11"/>
  <c r="I10"/>
  <c r="E10"/>
  <c r="K9"/>
  <c r="G9"/>
  <c r="C9"/>
  <c r="I8"/>
  <c r="E8"/>
  <c r="K172" i="16"/>
  <c r="G172"/>
  <c r="C172"/>
  <c r="I171"/>
  <c r="E171"/>
  <c r="K170"/>
  <c r="G170"/>
  <c r="C170"/>
  <c r="I169"/>
  <c r="E169"/>
  <c r="K168"/>
  <c r="G168"/>
  <c r="C168"/>
  <c r="I167"/>
  <c r="E167"/>
  <c r="K166"/>
  <c r="G166"/>
  <c r="C166"/>
  <c r="I165"/>
  <c r="E165"/>
  <c r="K164"/>
  <c r="G164"/>
  <c r="C164"/>
  <c r="I163"/>
  <c r="E163"/>
  <c r="K162"/>
  <c r="G162"/>
  <c r="C162"/>
  <c r="I161"/>
  <c r="E161"/>
  <c r="K160"/>
  <c r="G160"/>
  <c r="C160"/>
  <c r="I159"/>
  <c r="E159"/>
  <c r="K158"/>
  <c r="G158"/>
  <c r="C158"/>
  <c r="I153"/>
  <c r="E153"/>
  <c r="K151"/>
  <c r="G151"/>
  <c r="C151"/>
  <c r="I149"/>
  <c r="E149"/>
  <c r="K147"/>
  <c r="G147"/>
  <c r="C147"/>
  <c r="I145"/>
  <c r="E145"/>
  <c r="K143"/>
  <c r="G143"/>
  <c r="C143"/>
  <c r="I141"/>
  <c r="E141"/>
  <c r="K139"/>
  <c r="G139"/>
  <c r="C139"/>
  <c r="I137"/>
  <c r="E137"/>
  <c r="K135"/>
  <c r="G135"/>
  <c r="C135"/>
  <c r="I133"/>
  <c r="E133"/>
  <c r="K131"/>
  <c r="G131"/>
  <c r="C131"/>
  <c r="I129"/>
  <c r="E129"/>
  <c r="K127"/>
  <c r="G127"/>
  <c r="C127"/>
  <c r="I125"/>
  <c r="E125"/>
  <c r="K123"/>
  <c r="G123"/>
  <c r="C123"/>
  <c r="I121"/>
  <c r="E121"/>
  <c r="K119"/>
  <c r="G119"/>
  <c r="C119"/>
  <c r="I117"/>
  <c r="E117"/>
  <c r="K115"/>
  <c r="G115"/>
  <c r="C115"/>
  <c r="I113"/>
  <c r="E113"/>
  <c r="K111"/>
  <c r="G111"/>
  <c r="C111"/>
  <c r="I109"/>
  <c r="E109"/>
  <c r="K107"/>
  <c r="G107"/>
  <c r="C107"/>
  <c r="I105"/>
  <c r="E105"/>
  <c r="K103"/>
  <c r="G103"/>
  <c r="C103"/>
  <c r="I101"/>
  <c r="E101"/>
  <c r="K99"/>
  <c r="G99"/>
  <c r="C99"/>
  <c r="I97"/>
  <c r="E97"/>
  <c r="K95"/>
  <c r="G95"/>
  <c r="C95"/>
  <c r="I93"/>
  <c r="E93"/>
  <c r="K91"/>
  <c r="G91"/>
  <c r="C91"/>
  <c r="I89"/>
  <c r="E89"/>
  <c r="K87"/>
  <c r="G87"/>
  <c r="C87"/>
  <c r="I85"/>
  <c r="E85"/>
  <c r="K83"/>
  <c r="G83"/>
  <c r="C83"/>
  <c r="I81"/>
  <c r="E81"/>
  <c r="K79"/>
  <c r="G79"/>
  <c r="C79"/>
  <c r="I77"/>
  <c r="E77"/>
  <c r="K75"/>
  <c r="G75"/>
  <c r="C75"/>
  <c r="I71"/>
  <c r="E71"/>
  <c r="K69"/>
  <c r="G69"/>
  <c r="C69"/>
  <c r="I67"/>
  <c r="E67"/>
  <c r="K65"/>
  <c r="G65"/>
  <c r="C65"/>
  <c r="I63"/>
  <c r="E63"/>
  <c r="K61"/>
  <c r="G61"/>
  <c r="C61"/>
  <c r="I59"/>
  <c r="E59"/>
  <c r="K57"/>
  <c r="G57"/>
  <c r="C57"/>
  <c r="I55"/>
  <c r="E55"/>
  <c r="K53"/>
  <c r="G53"/>
  <c r="C53"/>
  <c r="I51"/>
  <c r="E51"/>
  <c r="K49"/>
  <c r="G49"/>
  <c r="C49"/>
  <c r="I47"/>
  <c r="E47"/>
  <c r="K45"/>
  <c r="G45"/>
  <c r="C45"/>
  <c r="I43"/>
  <c r="E43"/>
  <c r="K41"/>
  <c r="G41"/>
  <c r="C41"/>
  <c r="I39"/>
  <c r="E39"/>
  <c r="K37"/>
  <c r="G37"/>
  <c r="C37"/>
  <c r="I35"/>
  <c r="E35"/>
  <c r="K33"/>
  <c r="G33"/>
  <c r="C33"/>
  <c r="I31"/>
  <c r="E31"/>
  <c r="K29"/>
  <c r="G29"/>
  <c r="C29"/>
  <c r="I27"/>
  <c r="E27"/>
  <c r="K25"/>
  <c r="G25"/>
  <c r="C25"/>
  <c r="I23"/>
  <c r="E23"/>
  <c r="K21"/>
  <c r="G21"/>
  <c r="C21"/>
  <c r="I19"/>
  <c r="E19"/>
  <c r="K17"/>
  <c r="G17"/>
  <c r="C17"/>
  <c r="I15"/>
  <c r="E15"/>
  <c r="K13"/>
  <c r="G13"/>
  <c r="C13"/>
  <c r="I11"/>
  <c r="E11"/>
  <c r="K9"/>
  <c r="G9"/>
  <c r="C9"/>
  <c r="I7"/>
  <c r="E7"/>
  <c r="J6" i="15"/>
  <c r="F6"/>
  <c r="K6" i="14"/>
  <c r="G6"/>
  <c r="C6"/>
  <c r="I28" i="13"/>
  <c r="E28"/>
  <c r="K27"/>
  <c r="G27"/>
  <c r="C27"/>
  <c r="I26"/>
  <c r="E26"/>
  <c r="K25"/>
  <c r="G25"/>
  <c r="C25"/>
  <c r="I18"/>
  <c r="E18"/>
  <c r="K17"/>
  <c r="G17"/>
  <c r="C17"/>
  <c r="I16"/>
  <c r="E16"/>
  <c r="K15"/>
  <c r="G15"/>
  <c r="C15"/>
  <c r="I12"/>
  <c r="E12"/>
  <c r="K11"/>
  <c r="G11"/>
  <c r="C11"/>
  <c r="I10"/>
  <c r="E10"/>
  <c r="K9"/>
  <c r="G9"/>
  <c r="C9"/>
  <c r="I8"/>
  <c r="E8"/>
  <c r="K7"/>
  <c r="G7"/>
  <c r="C7"/>
  <c r="H51" i="12"/>
  <c r="D51"/>
  <c r="I50"/>
  <c r="E50"/>
  <c r="J49"/>
  <c r="F49"/>
  <c r="K48"/>
  <c r="G48"/>
  <c r="C48"/>
  <c r="H47"/>
  <c r="D47"/>
  <c r="I46"/>
  <c r="E46"/>
  <c r="D21" i="34"/>
  <c r="H8" i="33"/>
  <c r="H16" i="31"/>
  <c r="J28" i="30"/>
  <c r="H34" i="29"/>
  <c r="F17"/>
  <c r="J12" i="28"/>
  <c r="L13" i="27"/>
  <c r="E40" i="26"/>
  <c r="C37"/>
  <c r="K32"/>
  <c r="I29"/>
  <c r="G24"/>
  <c r="E20"/>
  <c r="C17"/>
  <c r="K13"/>
  <c r="I9"/>
  <c r="G20" i="25"/>
  <c r="E17"/>
  <c r="C13"/>
  <c r="K8"/>
  <c r="I25" i="24"/>
  <c r="G20"/>
  <c r="E16"/>
  <c r="C12"/>
  <c r="K7"/>
  <c r="I40" i="23"/>
  <c r="G36"/>
  <c r="E32"/>
  <c r="C28"/>
  <c r="K22"/>
  <c r="I18"/>
  <c r="G14"/>
  <c r="E10"/>
  <c r="C6"/>
  <c r="K84" i="22"/>
  <c r="I80"/>
  <c r="G77"/>
  <c r="E74"/>
  <c r="C71"/>
  <c r="K66"/>
  <c r="I63"/>
  <c r="G60"/>
  <c r="E54"/>
  <c r="C51"/>
  <c r="K47"/>
  <c r="I43"/>
  <c r="G40"/>
  <c r="E37"/>
  <c r="C32"/>
  <c r="K27"/>
  <c r="I24"/>
  <c r="G21"/>
  <c r="E18"/>
  <c r="C14"/>
  <c r="K10"/>
  <c r="I7"/>
  <c r="G22" i="21"/>
  <c r="E17"/>
  <c r="C14"/>
  <c r="K8"/>
  <c r="I66" i="20"/>
  <c r="F64"/>
  <c r="E62"/>
  <c r="C60"/>
  <c r="D58"/>
  <c r="H56"/>
  <c r="L54"/>
  <c r="F53"/>
  <c r="J50"/>
  <c r="D49"/>
  <c r="H47"/>
  <c r="L45"/>
  <c r="F44"/>
  <c r="J41"/>
  <c r="D40"/>
  <c r="H38"/>
  <c r="L36"/>
  <c r="F35"/>
  <c r="J33"/>
  <c r="D32"/>
  <c r="H30"/>
  <c r="L28"/>
  <c r="F27"/>
  <c r="J25"/>
  <c r="D24"/>
  <c r="H22"/>
  <c r="L20"/>
  <c r="F19"/>
  <c r="J17"/>
  <c r="D16"/>
  <c r="H14"/>
  <c r="L12"/>
  <c r="F11"/>
  <c r="J9"/>
  <c r="D8"/>
  <c r="F65" i="19"/>
  <c r="H63"/>
  <c r="J61"/>
  <c r="C60"/>
  <c r="E58"/>
  <c r="G54"/>
  <c r="I50"/>
  <c r="K47"/>
  <c r="D46"/>
  <c r="F44"/>
  <c r="H42"/>
  <c r="J40"/>
  <c r="C39"/>
  <c r="E35"/>
  <c r="G33"/>
  <c r="I31"/>
  <c r="K29"/>
  <c r="D28"/>
  <c r="F26"/>
  <c r="H24"/>
  <c r="J22"/>
  <c r="C21"/>
  <c r="E19"/>
  <c r="G15"/>
  <c r="I13"/>
  <c r="K11"/>
  <c r="D10"/>
  <c r="F8"/>
  <c r="I6" i="18"/>
  <c r="C215" i="17"/>
  <c r="G213"/>
  <c r="K211"/>
  <c r="H210"/>
  <c r="J209"/>
  <c r="L208"/>
  <c r="D208"/>
  <c r="F207"/>
  <c r="H206"/>
  <c r="J205"/>
  <c r="L204"/>
  <c r="D204"/>
  <c r="F203"/>
  <c r="H202"/>
  <c r="J201"/>
  <c r="L200"/>
  <c r="D200"/>
  <c r="F199"/>
  <c r="H198"/>
  <c r="J197"/>
  <c r="L196"/>
  <c r="D196"/>
  <c r="F195"/>
  <c r="H194"/>
  <c r="J193"/>
  <c r="L192"/>
  <c r="D192"/>
  <c r="F191"/>
  <c r="H190"/>
  <c r="J189"/>
  <c r="L188"/>
  <c r="D188"/>
  <c r="F187"/>
  <c r="H186"/>
  <c r="J185"/>
  <c r="L184"/>
  <c r="D184"/>
  <c r="F183"/>
  <c r="H182"/>
  <c r="J181"/>
  <c r="L180"/>
  <c r="D180"/>
  <c r="F179"/>
  <c r="H178"/>
  <c r="J177"/>
  <c r="L176"/>
  <c r="D176"/>
  <c r="F175"/>
  <c r="H174"/>
  <c r="J173"/>
  <c r="L172"/>
  <c r="D172"/>
  <c r="F171"/>
  <c r="H170"/>
  <c r="J169"/>
  <c r="L168"/>
  <c r="D168"/>
  <c r="F167"/>
  <c r="H166"/>
  <c r="J165"/>
  <c r="L164"/>
  <c r="D164"/>
  <c r="F163"/>
  <c r="H162"/>
  <c r="J161"/>
  <c r="L160"/>
  <c r="D160"/>
  <c r="F159"/>
  <c r="H158"/>
  <c r="J157"/>
  <c r="L156"/>
  <c r="D156"/>
  <c r="F155"/>
  <c r="H154"/>
  <c r="J153"/>
  <c r="L152"/>
  <c r="D152"/>
  <c r="F151"/>
  <c r="H150"/>
  <c r="J149"/>
  <c r="L148"/>
  <c r="D148"/>
  <c r="F147"/>
  <c r="H146"/>
  <c r="J145"/>
  <c r="L144"/>
  <c r="D144"/>
  <c r="F143"/>
  <c r="H142"/>
  <c r="J141"/>
  <c r="L140"/>
  <c r="D140"/>
  <c r="F139"/>
  <c r="H138"/>
  <c r="J137"/>
  <c r="L136"/>
  <c r="D136"/>
  <c r="F135"/>
  <c r="H134"/>
  <c r="J133"/>
  <c r="L132"/>
  <c r="D132"/>
  <c r="F131"/>
  <c r="H130"/>
  <c r="J129"/>
  <c r="L128"/>
  <c r="D128"/>
  <c r="F127"/>
  <c r="H126"/>
  <c r="J125"/>
  <c r="L124"/>
  <c r="D124"/>
  <c r="F123"/>
  <c r="H122"/>
  <c r="J121"/>
  <c r="L120"/>
  <c r="D120"/>
  <c r="F119"/>
  <c r="H118"/>
  <c r="J117"/>
  <c r="L116"/>
  <c r="D116"/>
  <c r="F115"/>
  <c r="H114"/>
  <c r="J113"/>
  <c r="L112"/>
  <c r="D112"/>
  <c r="F111"/>
  <c r="H110"/>
  <c r="J109"/>
  <c r="L108"/>
  <c r="D108"/>
  <c r="F107"/>
  <c r="H106"/>
  <c r="J105"/>
  <c r="L104"/>
  <c r="D104"/>
  <c r="F103"/>
  <c r="H102"/>
  <c r="J101"/>
  <c r="L100"/>
  <c r="D100"/>
  <c r="F99"/>
  <c r="H98"/>
  <c r="J97"/>
  <c r="L96"/>
  <c r="D96"/>
  <c r="F95"/>
  <c r="H94"/>
  <c r="J93"/>
  <c r="L92"/>
  <c r="D92"/>
  <c r="F91"/>
  <c r="H90"/>
  <c r="J89"/>
  <c r="L88"/>
  <c r="D88"/>
  <c r="F87"/>
  <c r="H86"/>
  <c r="J85"/>
  <c r="L84"/>
  <c r="D84"/>
  <c r="F83"/>
  <c r="H82"/>
  <c r="J81"/>
  <c r="L80"/>
  <c r="D80"/>
  <c r="F79"/>
  <c r="H78"/>
  <c r="J77"/>
  <c r="L76"/>
  <c r="D76"/>
  <c r="F75"/>
  <c r="H74"/>
  <c r="J73"/>
  <c r="L72"/>
  <c r="D72"/>
  <c r="F71"/>
  <c r="H70"/>
  <c r="J69"/>
  <c r="L68"/>
  <c r="D68"/>
  <c r="F67"/>
  <c r="H66"/>
  <c r="J65"/>
  <c r="L64"/>
  <c r="D64"/>
  <c r="F63"/>
  <c r="H62"/>
  <c r="J60"/>
  <c r="L59"/>
  <c r="D59"/>
  <c r="F58"/>
  <c r="H57"/>
  <c r="J56"/>
  <c r="L55"/>
  <c r="D55"/>
  <c r="F54"/>
  <c r="H53"/>
  <c r="J52"/>
  <c r="L51"/>
  <c r="D51"/>
  <c r="F50"/>
  <c r="H48"/>
  <c r="J47"/>
  <c r="L46"/>
  <c r="D46"/>
  <c r="F45"/>
  <c r="H44"/>
  <c r="J43"/>
  <c r="L42"/>
  <c r="D42"/>
  <c r="F41"/>
  <c r="H40"/>
  <c r="J39"/>
  <c r="L37"/>
  <c r="D37"/>
  <c r="F36"/>
  <c r="H35"/>
  <c r="J34"/>
  <c r="L33"/>
  <c r="D33"/>
  <c r="F32"/>
  <c r="H31"/>
  <c r="J30"/>
  <c r="L29"/>
  <c r="D29"/>
  <c r="F28"/>
  <c r="H27"/>
  <c r="J25"/>
  <c r="L24"/>
  <c r="D24"/>
  <c r="F23"/>
  <c r="H22"/>
  <c r="J21"/>
  <c r="L20"/>
  <c r="D20"/>
  <c r="F19"/>
  <c r="H18"/>
  <c r="J17"/>
  <c r="L16"/>
  <c r="D16"/>
  <c r="F14"/>
  <c r="H13"/>
  <c r="J12"/>
  <c r="L11"/>
  <c r="D11"/>
  <c r="F10"/>
  <c r="H9"/>
  <c r="J8"/>
  <c r="L172" i="16"/>
  <c r="D172"/>
  <c r="F171"/>
  <c r="H170"/>
  <c r="J169"/>
  <c r="L168"/>
  <c r="D168"/>
  <c r="F167"/>
  <c r="H166"/>
  <c r="J165"/>
  <c r="L164"/>
  <c r="D164"/>
  <c r="F163"/>
  <c r="H162"/>
  <c r="J161"/>
  <c r="L160"/>
  <c r="D160"/>
  <c r="F159"/>
  <c r="H158"/>
  <c r="J153"/>
  <c r="L151"/>
  <c r="D151"/>
  <c r="F149"/>
  <c r="H147"/>
  <c r="J145"/>
  <c r="L143"/>
  <c r="D143"/>
  <c r="F141"/>
  <c r="H139"/>
  <c r="J137"/>
  <c r="L135"/>
  <c r="D135"/>
  <c r="F133"/>
  <c r="H131"/>
  <c r="J129"/>
  <c r="L127"/>
  <c r="D127"/>
  <c r="F125"/>
  <c r="H123"/>
  <c r="J121"/>
  <c r="L119"/>
  <c r="D119"/>
  <c r="F117"/>
  <c r="H115"/>
  <c r="J113"/>
  <c r="L111"/>
  <c r="D111"/>
  <c r="F109"/>
  <c r="H107"/>
  <c r="J105"/>
  <c r="L103"/>
  <c r="D103"/>
  <c r="F101"/>
  <c r="H99"/>
  <c r="J97"/>
  <c r="L95"/>
  <c r="D95"/>
  <c r="F93"/>
  <c r="H91"/>
  <c r="J89"/>
  <c r="L87"/>
  <c r="D87"/>
  <c r="F85"/>
  <c r="H83"/>
  <c r="J81"/>
  <c r="L79"/>
  <c r="D79"/>
  <c r="F77"/>
  <c r="H75"/>
  <c r="J71"/>
  <c r="L69"/>
  <c r="D69"/>
  <c r="F67"/>
  <c r="H65"/>
  <c r="J63"/>
  <c r="L61"/>
  <c r="D61"/>
  <c r="F59"/>
  <c r="H57"/>
  <c r="J55"/>
  <c r="L53"/>
  <c r="D53"/>
  <c r="F51"/>
  <c r="H49"/>
  <c r="J47"/>
  <c r="L45"/>
  <c r="D45"/>
  <c r="F43"/>
  <c r="H41"/>
  <c r="J39"/>
  <c r="L37"/>
  <c r="D37"/>
  <c r="F35"/>
  <c r="H33"/>
  <c r="J31"/>
  <c r="L29"/>
  <c r="D29"/>
  <c r="F27"/>
  <c r="H25"/>
  <c r="J23"/>
  <c r="L21"/>
  <c r="D21"/>
  <c r="F19"/>
  <c r="H17"/>
  <c r="J15"/>
  <c r="L13"/>
  <c r="D13"/>
  <c r="F11"/>
  <c r="H9"/>
  <c r="J7"/>
  <c r="K6" i="15"/>
  <c r="C6"/>
  <c r="D6" i="14"/>
  <c r="F28" i="13"/>
  <c r="H27"/>
  <c r="J26"/>
  <c r="L25"/>
  <c r="D25"/>
  <c r="F18"/>
  <c r="H17"/>
  <c r="J16"/>
  <c r="L15"/>
  <c r="D15"/>
  <c r="F12"/>
  <c r="H11"/>
  <c r="J10"/>
  <c r="L9"/>
  <c r="D9"/>
  <c r="F8"/>
  <c r="H7"/>
  <c r="I51" i="12"/>
  <c r="J50"/>
  <c r="K49"/>
  <c r="C49"/>
  <c r="D48"/>
  <c r="E47"/>
  <c r="F46"/>
  <c r="I45"/>
  <c r="E45"/>
  <c r="J44"/>
  <c r="F44"/>
  <c r="K41"/>
  <c r="G41"/>
  <c r="C41"/>
  <c r="H40"/>
  <c r="D40"/>
  <c r="I39"/>
  <c r="E39"/>
  <c r="J38"/>
  <c r="F38"/>
  <c r="K37"/>
  <c r="G37"/>
  <c r="C37"/>
  <c r="H36"/>
  <c r="D36"/>
  <c r="I35"/>
  <c r="E35"/>
  <c r="J34"/>
  <c r="F34"/>
  <c r="K31"/>
  <c r="G31"/>
  <c r="C31"/>
  <c r="H30"/>
  <c r="D30"/>
  <c r="I29"/>
  <c r="E29"/>
  <c r="J28"/>
  <c r="F28"/>
  <c r="K27"/>
  <c r="G27"/>
  <c r="C27"/>
  <c r="H24"/>
  <c r="D24"/>
  <c r="I23"/>
  <c r="E23"/>
  <c r="J22"/>
  <c r="F22"/>
  <c r="K21"/>
  <c r="G21"/>
  <c r="C21"/>
  <c r="H18"/>
  <c r="D18"/>
  <c r="I17"/>
  <c r="E17"/>
  <c r="J16"/>
  <c r="F16"/>
  <c r="K15"/>
  <c r="G15"/>
  <c r="C15"/>
  <c r="H14"/>
  <c r="D14"/>
  <c r="I13"/>
  <c r="E13"/>
  <c r="J12"/>
  <c r="F12"/>
  <c r="K11"/>
  <c r="G11"/>
  <c r="C11"/>
  <c r="H10"/>
  <c r="D10"/>
  <c r="I9"/>
  <c r="E9"/>
  <c r="J8"/>
  <c r="F8"/>
  <c r="K7"/>
  <c r="G7"/>
  <c r="C7"/>
  <c r="I134" i="11"/>
  <c r="E134"/>
  <c r="K133"/>
  <c r="G133"/>
  <c r="C133"/>
  <c r="I132"/>
  <c r="E132"/>
  <c r="K131"/>
  <c r="G131"/>
  <c r="C131"/>
  <c r="I130"/>
  <c r="E130"/>
  <c r="K129"/>
  <c r="G129"/>
  <c r="C129"/>
  <c r="I128"/>
  <c r="E128"/>
  <c r="K127"/>
  <c r="G127"/>
  <c r="C127"/>
  <c r="I126"/>
  <c r="E126"/>
  <c r="K125"/>
  <c r="G125"/>
  <c r="C125"/>
  <c r="I124"/>
  <c r="E124"/>
  <c r="K123"/>
  <c r="G123"/>
  <c r="C123"/>
  <c r="I122"/>
  <c r="E122"/>
  <c r="K121"/>
  <c r="G121"/>
  <c r="C121"/>
  <c r="I120"/>
  <c r="E120"/>
  <c r="K119"/>
  <c r="G119"/>
  <c r="C119"/>
  <c r="I118"/>
  <c r="E118"/>
  <c r="K117"/>
  <c r="G117"/>
  <c r="C117"/>
  <c r="I116"/>
  <c r="E116"/>
  <c r="K115"/>
  <c r="G115"/>
  <c r="C115"/>
  <c r="I114"/>
  <c r="E114"/>
  <c r="K113"/>
  <c r="G113"/>
  <c r="C113"/>
  <c r="I112"/>
  <c r="E112"/>
  <c r="K111"/>
  <c r="G111"/>
  <c r="C111"/>
  <c r="I110"/>
  <c r="E110"/>
  <c r="K109"/>
  <c r="G109"/>
  <c r="C109"/>
  <c r="I108"/>
  <c r="E108"/>
  <c r="K107"/>
  <c r="G107"/>
  <c r="C107"/>
  <c r="I106"/>
  <c r="E106"/>
  <c r="K105"/>
  <c r="G105"/>
  <c r="C105"/>
  <c r="I104"/>
  <c r="E104"/>
  <c r="K103"/>
  <c r="G103"/>
  <c r="C103"/>
  <c r="I102"/>
  <c r="E102"/>
  <c r="K101"/>
  <c r="G101"/>
  <c r="C101"/>
  <c r="I100"/>
  <c r="E100"/>
  <c r="K99"/>
  <c r="G99"/>
  <c r="C99"/>
  <c r="I98"/>
  <c r="E98"/>
  <c r="K97"/>
  <c r="G97"/>
  <c r="C97"/>
  <c r="I96"/>
  <c r="E96"/>
  <c r="K95"/>
  <c r="G95"/>
  <c r="C95"/>
  <c r="I94"/>
  <c r="E94"/>
  <c r="K93"/>
  <c r="G93"/>
  <c r="C93"/>
  <c r="I92"/>
  <c r="E92"/>
  <c r="K91"/>
  <c r="G91"/>
  <c r="C91"/>
  <c r="I90"/>
  <c r="E90"/>
  <c r="K89"/>
  <c r="G89"/>
  <c r="C89"/>
  <c r="I88"/>
  <c r="E88"/>
  <c r="K87"/>
  <c r="G87"/>
  <c r="C87"/>
  <c r="I86"/>
  <c r="E86"/>
  <c r="K85"/>
  <c r="G85"/>
  <c r="C85"/>
  <c r="I84"/>
  <c r="E84"/>
  <c r="K83"/>
  <c r="G83"/>
  <c r="C83"/>
  <c r="I82"/>
  <c r="E82"/>
  <c r="K81"/>
  <c r="G81"/>
  <c r="C81"/>
  <c r="I80"/>
  <c r="E80"/>
  <c r="K79"/>
  <c r="G79"/>
  <c r="C79"/>
  <c r="I78"/>
  <c r="E78"/>
  <c r="K77"/>
  <c r="G77"/>
  <c r="C77"/>
  <c r="I76"/>
  <c r="E76"/>
  <c r="K75"/>
  <c r="G75"/>
  <c r="C75"/>
  <c r="I74"/>
  <c r="E74"/>
  <c r="K73"/>
  <c r="G73"/>
  <c r="C73"/>
  <c r="I72"/>
  <c r="E72"/>
  <c r="K71"/>
  <c r="G71"/>
  <c r="C71"/>
  <c r="I70"/>
  <c r="E70"/>
  <c r="K69"/>
  <c r="G69"/>
  <c r="C69"/>
  <c r="I68"/>
  <c r="E68"/>
  <c r="K67"/>
  <c r="G67"/>
  <c r="C67"/>
  <c r="I66"/>
  <c r="E66"/>
  <c r="K65"/>
  <c r="G65"/>
  <c r="C65"/>
  <c r="I63"/>
  <c r="E63"/>
  <c r="K62"/>
  <c r="G62"/>
  <c r="C62"/>
  <c r="I60"/>
  <c r="E60"/>
  <c r="K59"/>
  <c r="G59"/>
  <c r="C59"/>
  <c r="I58"/>
  <c r="E58"/>
  <c r="K57"/>
  <c r="G57"/>
  <c r="C57"/>
  <c r="I56"/>
  <c r="E56"/>
  <c r="K55"/>
  <c r="G55"/>
  <c r="C55"/>
  <c r="I54"/>
  <c r="E54"/>
  <c r="K51"/>
  <c r="G51"/>
  <c r="C51"/>
  <c r="I50"/>
  <c r="E50"/>
  <c r="K49"/>
  <c r="G49"/>
  <c r="C49"/>
  <c r="I48"/>
  <c r="E48"/>
  <c r="K47"/>
  <c r="G47"/>
  <c r="C47"/>
  <c r="I46"/>
  <c r="E46"/>
  <c r="K45"/>
  <c r="G45"/>
  <c r="C45"/>
  <c r="I44"/>
  <c r="E44"/>
  <c r="K43"/>
  <c r="G43"/>
  <c r="C43"/>
  <c r="I42"/>
  <c r="E42"/>
  <c r="K41"/>
  <c r="G41"/>
  <c r="C41"/>
  <c r="I39"/>
  <c r="E39"/>
  <c r="K38"/>
  <c r="G38"/>
  <c r="C38"/>
  <c r="I37"/>
  <c r="E37"/>
  <c r="K36"/>
  <c r="G36"/>
  <c r="C36"/>
  <c r="I35"/>
  <c r="E35"/>
  <c r="K34"/>
  <c r="G34"/>
  <c r="C34"/>
  <c r="I33"/>
  <c r="E33"/>
  <c r="K32"/>
  <c r="G32"/>
  <c r="C32"/>
  <c r="I31"/>
  <c r="E31"/>
  <c r="K30"/>
  <c r="G30"/>
  <c r="C30"/>
  <c r="I29"/>
  <c r="E29"/>
  <c r="K28"/>
  <c r="G28"/>
  <c r="C28"/>
  <c r="I27"/>
  <c r="E27"/>
  <c r="K26"/>
  <c r="G26"/>
  <c r="C26"/>
  <c r="I25"/>
  <c r="E25"/>
  <c r="K24"/>
  <c r="G24"/>
  <c r="C24"/>
  <c r="I23"/>
  <c r="E23"/>
  <c r="K22"/>
  <c r="G22"/>
  <c r="C22"/>
  <c r="I20"/>
  <c r="E20"/>
  <c r="K19"/>
  <c r="G19"/>
  <c r="C19"/>
  <c r="I18"/>
  <c r="E18"/>
  <c r="K17"/>
  <c r="G17"/>
  <c r="C17"/>
  <c r="I16"/>
  <c r="E16"/>
  <c r="K15"/>
  <c r="G15"/>
  <c r="C15"/>
  <c r="I14"/>
  <c r="E14"/>
  <c r="K13"/>
  <c r="G13"/>
  <c r="C13"/>
  <c r="I12"/>
  <c r="E12"/>
  <c r="K10"/>
  <c r="G10"/>
  <c r="C10"/>
  <c r="I9"/>
  <c r="E9"/>
  <c r="K8"/>
  <c r="G8"/>
  <c r="C8"/>
  <c r="H111" i="10"/>
  <c r="D111"/>
  <c r="I110"/>
  <c r="E110"/>
  <c r="J109"/>
  <c r="F109"/>
  <c r="K108"/>
  <c r="G108"/>
  <c r="C108"/>
  <c r="H107"/>
  <c r="D107"/>
  <c r="I106"/>
  <c r="E106"/>
  <c r="J105"/>
  <c r="F105"/>
  <c r="K104"/>
  <c r="G104"/>
  <c r="C104"/>
  <c r="H103"/>
  <c r="D103"/>
  <c r="I102"/>
  <c r="E102"/>
  <c r="J101"/>
  <c r="F101"/>
  <c r="K100"/>
  <c r="G100"/>
  <c r="C100"/>
  <c r="H99"/>
  <c r="D99"/>
  <c r="I95"/>
  <c r="E95"/>
  <c r="J94"/>
  <c r="F94"/>
  <c r="K93"/>
  <c r="G93"/>
  <c r="C93"/>
  <c r="H92"/>
  <c r="D92"/>
  <c r="I90"/>
  <c r="E90"/>
  <c r="J89"/>
  <c r="F89"/>
  <c r="K88"/>
  <c r="G88"/>
  <c r="C88"/>
  <c r="H87"/>
  <c r="D87"/>
  <c r="I85"/>
  <c r="E85"/>
  <c r="J84"/>
  <c r="F84"/>
  <c r="K83"/>
  <c r="G83"/>
  <c r="C83"/>
  <c r="H81"/>
  <c r="D81"/>
  <c r="I80"/>
  <c r="E80"/>
  <c r="J79"/>
  <c r="F79"/>
  <c r="K77"/>
  <c r="G77"/>
  <c r="C77"/>
  <c r="H75"/>
  <c r="D75"/>
  <c r="I73"/>
  <c r="E73"/>
  <c r="J71"/>
  <c r="F71"/>
  <c r="K69"/>
  <c r="G69"/>
  <c r="C69"/>
  <c r="H67"/>
  <c r="D67"/>
  <c r="I65"/>
  <c r="E65"/>
  <c r="J63"/>
  <c r="F63"/>
  <c r="K59"/>
  <c r="G59"/>
  <c r="C59"/>
  <c r="H57"/>
  <c r="D57"/>
  <c r="I55"/>
  <c r="E55"/>
  <c r="J53"/>
  <c r="F53"/>
  <c r="K51"/>
  <c r="G51"/>
  <c r="C51"/>
  <c r="H49"/>
  <c r="D49"/>
  <c r="I47"/>
  <c r="E47"/>
  <c r="J45"/>
  <c r="F45"/>
  <c r="K43"/>
  <c r="G43"/>
  <c r="C43"/>
  <c r="H41"/>
  <c r="D41"/>
  <c r="I39"/>
  <c r="E39"/>
  <c r="J37"/>
  <c r="F37"/>
  <c r="K35"/>
  <c r="G35"/>
  <c r="C35"/>
  <c r="H33"/>
  <c r="D33"/>
  <c r="I31"/>
  <c r="E31"/>
  <c r="J29"/>
  <c r="F29"/>
  <c r="K27"/>
  <c r="G27"/>
  <c r="C27"/>
  <c r="H25"/>
  <c r="D25"/>
  <c r="I23"/>
  <c r="E23"/>
  <c r="J21"/>
  <c r="F21"/>
  <c r="K19"/>
  <c r="G19"/>
  <c r="C19"/>
  <c r="H17"/>
  <c r="D17"/>
  <c r="I8"/>
  <c r="E8"/>
  <c r="J6"/>
  <c r="F6"/>
  <c r="K133" i="9"/>
  <c r="G133"/>
  <c r="C133"/>
  <c r="H132"/>
  <c r="D132"/>
  <c r="I131"/>
  <c r="E131"/>
  <c r="J130"/>
  <c r="F130"/>
  <c r="K129"/>
  <c r="G129"/>
  <c r="C129"/>
  <c r="H128"/>
  <c r="D128"/>
  <c r="I127"/>
  <c r="E127"/>
  <c r="J126"/>
  <c r="F126"/>
  <c r="K125"/>
  <c r="G125"/>
  <c r="C125"/>
  <c r="H124"/>
  <c r="D124"/>
  <c r="I123"/>
  <c r="E123"/>
  <c r="J122"/>
  <c r="F122"/>
  <c r="K121"/>
  <c r="G121"/>
  <c r="C121"/>
  <c r="H117"/>
  <c r="D117"/>
  <c r="I116"/>
  <c r="E116"/>
  <c r="J115"/>
  <c r="F115"/>
  <c r="K114"/>
  <c r="G114"/>
  <c r="C114"/>
  <c r="H112"/>
  <c r="D112"/>
  <c r="I111"/>
  <c r="E111"/>
  <c r="J110"/>
  <c r="F110"/>
  <c r="K109"/>
  <c r="G109"/>
  <c r="C109"/>
  <c r="H107"/>
  <c r="D107"/>
  <c r="I106"/>
  <c r="E106"/>
  <c r="J105"/>
  <c r="F105"/>
  <c r="K103"/>
  <c r="G103"/>
  <c r="C103"/>
  <c r="H102"/>
  <c r="D102"/>
  <c r="I101"/>
  <c r="E101"/>
  <c r="J99"/>
  <c r="F99"/>
  <c r="K97"/>
  <c r="G97"/>
  <c r="C97"/>
  <c r="H95"/>
  <c r="D95"/>
  <c r="I93"/>
  <c r="E93"/>
  <c r="J91"/>
  <c r="F91"/>
  <c r="K89"/>
  <c r="G89"/>
  <c r="C89"/>
  <c r="H87"/>
  <c r="D87"/>
  <c r="I85"/>
  <c r="E85"/>
  <c r="J81"/>
  <c r="F81"/>
  <c r="K79"/>
  <c r="G79"/>
  <c r="C79"/>
  <c r="H77"/>
  <c r="D77"/>
  <c r="I75"/>
  <c r="E75"/>
  <c r="J70"/>
  <c r="F70"/>
  <c r="K63"/>
  <c r="G63"/>
  <c r="C63"/>
  <c r="H60"/>
  <c r="D60"/>
  <c r="I55"/>
  <c r="E55"/>
  <c r="J53"/>
  <c r="F53"/>
  <c r="K51"/>
  <c r="G51"/>
  <c r="C51"/>
  <c r="H49"/>
  <c r="D49"/>
  <c r="I47"/>
  <c r="E47"/>
  <c r="J45"/>
  <c r="F45"/>
  <c r="K43"/>
  <c r="G43"/>
  <c r="C43"/>
  <c r="H41"/>
  <c r="D41"/>
  <c r="I39"/>
  <c r="E39"/>
  <c r="J37"/>
  <c r="F37"/>
  <c r="K35"/>
  <c r="G35"/>
  <c r="C35"/>
  <c r="H33"/>
  <c r="D33"/>
  <c r="I31"/>
  <c r="E31"/>
  <c r="J29"/>
  <c r="F29"/>
  <c r="K27"/>
  <c r="G27"/>
  <c r="C27"/>
  <c r="H25"/>
  <c r="D25"/>
  <c r="I23"/>
  <c r="E23"/>
  <c r="J21"/>
  <c r="F21"/>
  <c r="K19"/>
  <c r="G19"/>
  <c r="C19"/>
  <c r="H17"/>
  <c r="D17"/>
  <c r="I8"/>
  <c r="E8"/>
  <c r="J6"/>
  <c r="F6"/>
  <c r="K14" i="8"/>
  <c r="G14"/>
  <c r="C14"/>
  <c r="H13"/>
  <c r="D13"/>
  <c r="I12"/>
  <c r="E12"/>
  <c r="J10"/>
  <c r="F10"/>
  <c r="K9"/>
  <c r="G9"/>
  <c r="C9"/>
  <c r="H8"/>
  <c r="D8"/>
  <c r="I7"/>
  <c r="E7"/>
  <c r="J6"/>
  <c r="F6"/>
  <c r="K27" i="7"/>
  <c r="G27"/>
  <c r="C27"/>
  <c r="H26"/>
  <c r="D26"/>
  <c r="I25"/>
  <c r="E25"/>
  <c r="J23"/>
  <c r="F23"/>
  <c r="K22"/>
  <c r="G22"/>
  <c r="C22"/>
  <c r="H20"/>
  <c r="D20"/>
  <c r="I19"/>
  <c r="E19"/>
  <c r="J18"/>
  <c r="F18"/>
  <c r="K17"/>
  <c r="G17"/>
  <c r="C17"/>
  <c r="H16"/>
  <c r="D16"/>
  <c r="I15"/>
  <c r="E15"/>
  <c r="J14"/>
  <c r="F14"/>
  <c r="K13"/>
  <c r="G13"/>
  <c r="C13"/>
  <c r="H12"/>
  <c r="D12"/>
  <c r="I11"/>
  <c r="E11"/>
  <c r="J8"/>
  <c r="F8"/>
  <c r="K7"/>
  <c r="G7"/>
  <c r="C7"/>
  <c r="H6"/>
  <c r="D6"/>
  <c r="I58" i="6"/>
  <c r="E58"/>
  <c r="J57"/>
  <c r="F57"/>
  <c r="K56"/>
  <c r="G56"/>
  <c r="C56"/>
  <c r="H55"/>
  <c r="D55"/>
  <c r="I53"/>
  <c r="E53"/>
  <c r="J52"/>
  <c r="F52"/>
  <c r="K51"/>
  <c r="G51"/>
  <c r="C51"/>
  <c r="H49"/>
  <c r="D49"/>
  <c r="I48"/>
  <c r="E48"/>
  <c r="J47"/>
  <c r="F47"/>
  <c r="K46"/>
  <c r="G46"/>
  <c r="C46"/>
  <c r="H44"/>
  <c r="D44"/>
  <c r="I43"/>
  <c r="E43"/>
  <c r="J42"/>
  <c r="F42"/>
  <c r="K41"/>
  <c r="G41"/>
  <c r="C41"/>
  <c r="H39"/>
  <c r="D39"/>
  <c r="I38"/>
  <c r="E38"/>
  <c r="J37"/>
  <c r="F37"/>
  <c r="K36"/>
  <c r="G36"/>
  <c r="C36"/>
  <c r="H34"/>
  <c r="D34"/>
  <c r="I33"/>
  <c r="E33"/>
  <c r="J32"/>
  <c r="F32"/>
  <c r="K31"/>
  <c r="G31"/>
  <c r="C31"/>
  <c r="H29"/>
  <c r="D29"/>
  <c r="I28"/>
  <c r="E28"/>
  <c r="J27"/>
  <c r="F27"/>
  <c r="K26"/>
  <c r="G26"/>
  <c r="C26"/>
  <c r="H24"/>
  <c r="D24"/>
  <c r="I23"/>
  <c r="E23"/>
  <c r="J22"/>
  <c r="F22"/>
  <c r="K21"/>
  <c r="G21"/>
  <c r="C21"/>
  <c r="H19"/>
  <c r="D19"/>
  <c r="I18"/>
  <c r="E18"/>
  <c r="J17"/>
  <c r="F17"/>
  <c r="K16"/>
  <c r="G16"/>
  <c r="C16"/>
  <c r="H14"/>
  <c r="D14"/>
  <c r="I13"/>
  <c r="E13"/>
  <c r="J12"/>
  <c r="F12"/>
  <c r="K11"/>
  <c r="G11"/>
  <c r="C11"/>
  <c r="H9"/>
  <c r="D9"/>
  <c r="I8"/>
  <c r="E8"/>
  <c r="J7"/>
  <c r="F7"/>
  <c r="K6"/>
  <c r="G6"/>
  <c r="C6"/>
  <c r="H33" i="5"/>
  <c r="D33"/>
  <c r="I32"/>
  <c r="E32"/>
  <c r="J31"/>
  <c r="F31"/>
  <c r="K30"/>
  <c r="G30"/>
  <c r="C30"/>
  <c r="H29"/>
  <c r="D29"/>
  <c r="I25"/>
  <c r="E25"/>
  <c r="J24"/>
  <c r="F24"/>
  <c r="K23"/>
  <c r="G23"/>
  <c r="C23"/>
  <c r="H21"/>
  <c r="D21"/>
  <c r="I20"/>
  <c r="E20"/>
  <c r="J19"/>
  <c r="F19"/>
  <c r="K18"/>
  <c r="G18"/>
  <c r="C18"/>
  <c r="H17"/>
  <c r="D17"/>
  <c r="I15"/>
  <c r="E15"/>
  <c r="J14"/>
  <c r="F14"/>
  <c r="K13"/>
  <c r="G13"/>
  <c r="C13"/>
  <c r="H11"/>
  <c r="D11"/>
  <c r="I10"/>
  <c r="E10"/>
  <c r="J9"/>
  <c r="F9"/>
  <c r="K8"/>
  <c r="G8"/>
  <c r="C8"/>
  <c r="H7"/>
  <c r="D7"/>
  <c r="I6"/>
  <c r="E6"/>
  <c r="K45" i="4"/>
  <c r="G45"/>
  <c r="C45"/>
  <c r="I44"/>
  <c r="E44"/>
  <c r="K43"/>
  <c r="G43"/>
  <c r="C43"/>
  <c r="I40"/>
  <c r="E40"/>
  <c r="K39"/>
  <c r="G39"/>
  <c r="C39"/>
  <c r="I37"/>
  <c r="E37"/>
  <c r="K36"/>
  <c r="G36"/>
  <c r="C36"/>
  <c r="I33"/>
  <c r="E33"/>
  <c r="K30"/>
  <c r="G30"/>
  <c r="C30"/>
  <c r="I29"/>
  <c r="E29"/>
  <c r="K27"/>
  <c r="G27"/>
  <c r="C27"/>
  <c r="I26"/>
  <c r="E26"/>
  <c r="K23"/>
  <c r="G23"/>
  <c r="C23"/>
  <c r="I22"/>
  <c r="E22"/>
  <c r="K20"/>
  <c r="G20"/>
  <c r="C20"/>
  <c r="I19"/>
  <c r="E19"/>
  <c r="K16"/>
  <c r="G16"/>
  <c r="C16"/>
  <c r="I15"/>
  <c r="E15"/>
  <c r="K14"/>
  <c r="G14"/>
  <c r="C14"/>
  <c r="I11"/>
  <c r="E11"/>
  <c r="K10"/>
  <c r="G10"/>
  <c r="C10"/>
  <c r="I8"/>
  <c r="E8"/>
  <c r="K7"/>
  <c r="G7"/>
  <c r="C7"/>
  <c r="I24" i="3"/>
  <c r="E24"/>
  <c r="K23"/>
  <c r="G23"/>
  <c r="C23"/>
  <c r="I22"/>
  <c r="E22"/>
  <c r="K20"/>
  <c r="G20"/>
  <c r="C20"/>
  <c r="I19"/>
  <c r="E19"/>
  <c r="K18"/>
  <c r="G18"/>
  <c r="C18"/>
  <c r="I17"/>
  <c r="E17"/>
  <c r="K16"/>
  <c r="G16"/>
  <c r="C16"/>
  <c r="I15"/>
  <c r="E15"/>
  <c r="K14"/>
  <c r="G14"/>
  <c r="C14"/>
  <c r="I12"/>
  <c r="E12"/>
  <c r="K11"/>
  <c r="G11"/>
  <c r="C11"/>
  <c r="I10"/>
  <c r="E10"/>
  <c r="K9"/>
  <c r="G9"/>
  <c r="C9"/>
  <c r="I8"/>
  <c r="E8"/>
  <c r="K7"/>
  <c r="G7"/>
  <c r="C7"/>
  <c r="I6"/>
  <c r="E6"/>
  <c r="J25" i="2"/>
  <c r="F25"/>
  <c r="K24"/>
  <c r="G24"/>
  <c r="C24"/>
  <c r="H23"/>
  <c r="D23"/>
  <c r="I20"/>
  <c r="E20"/>
  <c r="J18"/>
  <c r="F18"/>
  <c r="K16"/>
  <c r="G16"/>
  <c r="C16"/>
  <c r="H14"/>
  <c r="D14"/>
  <c r="I13"/>
  <c r="E13"/>
  <c r="J12"/>
  <c r="F12"/>
  <c r="K10"/>
  <c r="G10"/>
  <c r="C10"/>
  <c r="H9"/>
  <c r="D9"/>
  <c r="I8"/>
  <c r="E8"/>
  <c r="J7"/>
  <c r="F7"/>
  <c r="K6"/>
  <c r="G6"/>
  <c r="C6"/>
  <c r="I16" i="33"/>
  <c r="L12" i="32"/>
  <c r="F16" i="30"/>
  <c r="E9" i="29"/>
  <c r="K41" i="26"/>
  <c r="G34"/>
  <c r="C26"/>
  <c r="I18"/>
  <c r="E11"/>
  <c r="K18" i="25"/>
  <c r="G10"/>
  <c r="C22" i="24"/>
  <c r="I13"/>
  <c r="E6"/>
  <c r="C39" i="23"/>
  <c r="I29"/>
  <c r="E21"/>
  <c r="K11"/>
  <c r="G86" i="22"/>
  <c r="C79"/>
  <c r="I72"/>
  <c r="E65"/>
  <c r="K55"/>
  <c r="G49"/>
  <c r="C42"/>
  <c r="I33"/>
  <c r="C23"/>
  <c r="K19"/>
  <c r="G12"/>
  <c r="C24" i="21"/>
  <c r="I15"/>
  <c r="E7"/>
  <c r="E63" i="20"/>
  <c r="D61"/>
  <c r="F57"/>
  <c r="D54"/>
  <c r="L49"/>
  <c r="J46"/>
  <c r="H43"/>
  <c r="F39"/>
  <c r="D36"/>
  <c r="L32"/>
  <c r="J29"/>
  <c r="H26"/>
  <c r="F23"/>
  <c r="D20"/>
  <c r="L16"/>
  <c r="J13"/>
  <c r="H10"/>
  <c r="E66" i="19"/>
  <c r="I62"/>
  <c r="D59"/>
  <c r="H52"/>
  <c r="C47"/>
  <c r="G43"/>
  <c r="K39"/>
  <c r="F34"/>
  <c r="J30"/>
  <c r="E27"/>
  <c r="I23"/>
  <c r="D20"/>
  <c r="H14"/>
  <c r="C11"/>
  <c r="G7"/>
  <c r="E214" i="17"/>
  <c r="C211"/>
  <c r="F209"/>
  <c r="J207"/>
  <c r="D206"/>
  <c r="H204"/>
  <c r="L202"/>
  <c r="F201"/>
  <c r="J199"/>
  <c r="D198"/>
  <c r="H196"/>
  <c r="L194"/>
  <c r="F193"/>
  <c r="J191"/>
  <c r="D190"/>
  <c r="H188"/>
  <c r="L186"/>
  <c r="F185"/>
  <c r="J183"/>
  <c r="D182"/>
  <c r="H180"/>
  <c r="L178"/>
  <c r="F177"/>
  <c r="J175"/>
  <c r="D174"/>
  <c r="H172"/>
  <c r="L170"/>
  <c r="D170"/>
  <c r="H168"/>
  <c r="D166"/>
  <c r="H164"/>
  <c r="L162"/>
  <c r="F161"/>
  <c r="J159"/>
  <c r="D158"/>
  <c r="H156"/>
  <c r="L154"/>
  <c r="D154"/>
  <c r="H152"/>
  <c r="L150"/>
  <c r="F149"/>
  <c r="J147"/>
  <c r="D146"/>
  <c r="J143"/>
  <c r="D142"/>
  <c r="H140"/>
  <c r="L138"/>
  <c r="F137"/>
  <c r="J135"/>
  <c r="D134"/>
  <c r="H132"/>
  <c r="L130"/>
  <c r="F129"/>
  <c r="H128"/>
  <c r="L126"/>
  <c r="F125"/>
  <c r="J123"/>
  <c r="D122"/>
  <c r="H120"/>
  <c r="L118"/>
  <c r="F117"/>
  <c r="J115"/>
  <c r="F113"/>
  <c r="J111"/>
  <c r="D110"/>
  <c r="H108"/>
  <c r="J107"/>
  <c r="D106"/>
  <c r="H104"/>
  <c r="L102"/>
  <c r="F101"/>
  <c r="J99"/>
  <c r="D98"/>
  <c r="H96"/>
  <c r="L94"/>
  <c r="D94"/>
  <c r="H92"/>
  <c r="D90"/>
  <c r="H88"/>
  <c r="L86"/>
  <c r="D86"/>
  <c r="H84"/>
  <c r="L82"/>
  <c r="F81"/>
  <c r="J79"/>
  <c r="D78"/>
  <c r="H76"/>
  <c r="L74"/>
  <c r="F73"/>
  <c r="J71"/>
  <c r="D70"/>
  <c r="H68"/>
  <c r="L66"/>
  <c r="F65"/>
  <c r="J63"/>
  <c r="F60"/>
  <c r="J58"/>
  <c r="D57"/>
  <c r="H55"/>
  <c r="L53"/>
  <c r="F52"/>
  <c r="J50"/>
  <c r="D48"/>
  <c r="H46"/>
  <c r="L44"/>
  <c r="F43"/>
  <c r="H42"/>
  <c r="L40"/>
  <c r="F39"/>
  <c r="J36"/>
  <c r="D35"/>
  <c r="J32"/>
  <c r="D31"/>
  <c r="H29"/>
  <c r="L27"/>
  <c r="F25"/>
  <c r="J23"/>
  <c r="D22"/>
  <c r="H20"/>
  <c r="L18"/>
  <c r="F17"/>
  <c r="J14"/>
  <c r="D13"/>
  <c r="H11"/>
  <c r="L9"/>
  <c r="F8"/>
  <c r="J171" i="16"/>
  <c r="D170"/>
  <c r="H168"/>
  <c r="L166"/>
  <c r="F165"/>
  <c r="J163"/>
  <c r="D162"/>
  <c r="H160"/>
  <c r="L158"/>
  <c r="F153"/>
  <c r="J149"/>
  <c r="D147"/>
  <c r="H143"/>
  <c r="L139"/>
  <c r="D139"/>
  <c r="H135"/>
  <c r="L131"/>
  <c r="F129"/>
  <c r="J125"/>
  <c r="D123"/>
  <c r="H119"/>
  <c r="L115"/>
  <c r="F113"/>
  <c r="J109"/>
  <c r="D107"/>
  <c r="H103"/>
  <c r="L99"/>
  <c r="F97"/>
  <c r="J93"/>
  <c r="D91"/>
  <c r="H87"/>
  <c r="L83"/>
  <c r="F81"/>
  <c r="J77"/>
  <c r="D75"/>
  <c r="H69"/>
  <c r="L65"/>
  <c r="F63"/>
  <c r="J59"/>
  <c r="D57"/>
  <c r="H53"/>
  <c r="L49"/>
  <c r="F47"/>
  <c r="J43"/>
  <c r="D41"/>
  <c r="H37"/>
  <c r="L33"/>
  <c r="F31"/>
  <c r="J27"/>
  <c r="D25"/>
  <c r="H21"/>
  <c r="L17"/>
  <c r="F15"/>
  <c r="J11"/>
  <c r="D9"/>
  <c r="G6" i="15"/>
  <c r="J28" i="13"/>
  <c r="D27"/>
  <c r="H25"/>
  <c r="L17"/>
  <c r="F16"/>
  <c r="J12"/>
  <c r="D11"/>
  <c r="H9"/>
  <c r="L7"/>
  <c r="E51" i="12"/>
  <c r="F50"/>
  <c r="H48"/>
  <c r="J46"/>
  <c r="G45"/>
  <c r="H44"/>
  <c r="I41"/>
  <c r="J40"/>
  <c r="K39"/>
  <c r="C39"/>
  <c r="D38"/>
  <c r="E37"/>
  <c r="F36"/>
  <c r="G35"/>
  <c r="H34"/>
  <c r="I31"/>
  <c r="J30"/>
  <c r="K29"/>
  <c r="H28"/>
  <c r="D28"/>
  <c r="E27"/>
  <c r="F24"/>
  <c r="G23"/>
  <c r="H22"/>
  <c r="I21"/>
  <c r="J18"/>
  <c r="K17"/>
  <c r="C17"/>
  <c r="H16"/>
  <c r="I15"/>
  <c r="F14"/>
  <c r="K13"/>
  <c r="H12"/>
  <c r="D12"/>
  <c r="E11"/>
  <c r="K9"/>
  <c r="C9"/>
  <c r="D8"/>
  <c r="E7"/>
  <c r="G134" i="11"/>
  <c r="I133"/>
  <c r="K132"/>
  <c r="C132"/>
  <c r="E131"/>
  <c r="G130"/>
  <c r="I129"/>
  <c r="K128"/>
  <c r="C128"/>
  <c r="E127"/>
  <c r="K126"/>
  <c r="I125"/>
  <c r="K124"/>
  <c r="G124"/>
  <c r="I123"/>
  <c r="K122"/>
  <c r="C122"/>
  <c r="I121"/>
  <c r="K120"/>
  <c r="I119"/>
  <c r="E119"/>
  <c r="G118"/>
  <c r="E117"/>
  <c r="K116"/>
  <c r="C116"/>
  <c r="E115"/>
  <c r="G114"/>
  <c r="I113"/>
  <c r="K112"/>
  <c r="C112"/>
  <c r="E111"/>
  <c r="G110"/>
  <c r="E109"/>
  <c r="G108"/>
  <c r="I107"/>
  <c r="K106"/>
  <c r="C106"/>
  <c r="E105"/>
  <c r="G104"/>
  <c r="I103"/>
  <c r="K102"/>
  <c r="C102"/>
  <c r="E101"/>
  <c r="G100"/>
  <c r="I99"/>
  <c r="K98"/>
  <c r="C98"/>
  <c r="E97"/>
  <c r="G96"/>
  <c r="I95"/>
  <c r="K94"/>
  <c r="C94"/>
  <c r="E93"/>
  <c r="G92"/>
  <c r="I91"/>
  <c r="K90"/>
  <c r="C90"/>
  <c r="E89"/>
  <c r="C88"/>
  <c r="E87"/>
  <c r="G86"/>
  <c r="I85"/>
  <c r="E85"/>
  <c r="G84"/>
  <c r="I83"/>
  <c r="K82"/>
  <c r="C82"/>
  <c r="E81"/>
  <c r="C80"/>
  <c r="E79"/>
  <c r="G78"/>
  <c r="I77"/>
  <c r="K76"/>
  <c r="C76"/>
  <c r="E75"/>
  <c r="G74"/>
  <c r="I73"/>
  <c r="K72"/>
  <c r="I71"/>
  <c r="K70"/>
  <c r="I69"/>
  <c r="K68"/>
  <c r="G68"/>
  <c r="I67"/>
  <c r="K66"/>
  <c r="I65"/>
  <c r="K63"/>
  <c r="G63"/>
  <c r="I62"/>
  <c r="K60"/>
  <c r="C60"/>
  <c r="E59"/>
  <c r="G58"/>
  <c r="I57"/>
  <c r="K56"/>
  <c r="C56"/>
  <c r="E55"/>
  <c r="G54"/>
  <c r="I51"/>
  <c r="K50"/>
  <c r="C50"/>
  <c r="E49"/>
  <c r="G48"/>
  <c r="I47"/>
  <c r="K46"/>
  <c r="C46"/>
  <c r="E45"/>
  <c r="K44"/>
  <c r="C44"/>
  <c r="E43"/>
  <c r="K42"/>
  <c r="C42"/>
  <c r="E41"/>
  <c r="G39"/>
  <c r="I38"/>
  <c r="K37"/>
  <c r="C37"/>
  <c r="E36"/>
  <c r="G35"/>
  <c r="I34"/>
  <c r="K33"/>
  <c r="C33"/>
  <c r="E32"/>
  <c r="G31"/>
  <c r="I30"/>
  <c r="K29"/>
  <c r="G29"/>
  <c r="I28"/>
  <c r="K27"/>
  <c r="C27"/>
  <c r="E26"/>
  <c r="G25"/>
  <c r="I24"/>
  <c r="K23"/>
  <c r="G23"/>
  <c r="E22"/>
  <c r="K20"/>
  <c r="C20"/>
  <c r="E19"/>
  <c r="G18"/>
  <c r="I17"/>
  <c r="K16"/>
  <c r="C16"/>
  <c r="K14"/>
  <c r="C14"/>
  <c r="E13"/>
  <c r="G12"/>
  <c r="I10"/>
  <c r="G9"/>
  <c r="I8"/>
  <c r="E8"/>
  <c r="F111" i="10"/>
  <c r="C110"/>
  <c r="H109"/>
  <c r="E108"/>
  <c r="F107"/>
  <c r="K106"/>
  <c r="C106"/>
  <c r="D105"/>
  <c r="J103"/>
  <c r="K102"/>
  <c r="G102"/>
  <c r="H101"/>
  <c r="E100"/>
  <c r="F99"/>
  <c r="K95"/>
  <c r="C95"/>
  <c r="I93"/>
  <c r="J92"/>
  <c r="F92"/>
  <c r="G90"/>
  <c r="D89"/>
  <c r="E88"/>
  <c r="J87"/>
  <c r="K85"/>
  <c r="H84"/>
  <c r="D84"/>
  <c r="E83"/>
  <c r="F81"/>
  <c r="C80"/>
  <c r="D79"/>
  <c r="E77"/>
  <c r="F75"/>
  <c r="G73"/>
  <c r="H71"/>
  <c r="I69"/>
  <c r="J67"/>
  <c r="K65"/>
  <c r="C65"/>
  <c r="D63"/>
  <c r="E59"/>
  <c r="F57"/>
  <c r="G55"/>
  <c r="H53"/>
  <c r="I51"/>
  <c r="E51"/>
  <c r="F49"/>
  <c r="G47"/>
  <c r="H45"/>
  <c r="I43"/>
  <c r="J41"/>
  <c r="F41"/>
  <c r="G39"/>
  <c r="H37"/>
  <c r="I35"/>
  <c r="J33"/>
  <c r="K31"/>
  <c r="G31"/>
  <c r="H29"/>
  <c r="I27"/>
  <c r="J25"/>
  <c r="K23"/>
  <c r="C23"/>
  <c r="D21"/>
  <c r="E19"/>
  <c r="F17"/>
  <c r="G8"/>
  <c r="H6"/>
  <c r="I133" i="9"/>
  <c r="J132"/>
  <c r="G131"/>
  <c r="C131"/>
  <c r="D130"/>
  <c r="J128"/>
  <c r="K127"/>
  <c r="C127"/>
  <c r="D126"/>
  <c r="E125"/>
  <c r="J124"/>
  <c r="K123"/>
  <c r="C123"/>
  <c r="D122"/>
  <c r="E121"/>
  <c r="F117"/>
  <c r="G116"/>
  <c r="D115"/>
  <c r="E114"/>
  <c r="F112"/>
  <c r="G111"/>
  <c r="H110"/>
  <c r="I109"/>
  <c r="J107"/>
  <c r="K106"/>
  <c r="G106"/>
  <c r="H105"/>
  <c r="I103"/>
  <c r="J102"/>
  <c r="K101"/>
  <c r="C101"/>
  <c r="D99"/>
  <c r="I97"/>
  <c r="J95"/>
  <c r="K93"/>
  <c r="C93"/>
  <c r="D91"/>
  <c r="E89"/>
  <c r="J87"/>
  <c r="G85"/>
  <c r="H81"/>
  <c r="H21" i="34"/>
  <c r="C9" i="33"/>
  <c r="L16" i="31"/>
  <c r="D30" i="30"/>
  <c r="C35" i="29"/>
  <c r="J17"/>
  <c r="D13" i="28"/>
  <c r="F15" i="27"/>
  <c r="F40" i="26"/>
  <c r="D37"/>
  <c r="L32"/>
  <c r="J29"/>
  <c r="H24"/>
  <c r="F20"/>
  <c r="D17"/>
  <c r="L13"/>
  <c r="J9"/>
  <c r="H20" i="25"/>
  <c r="F17"/>
  <c r="D13"/>
  <c r="L8"/>
  <c r="J25" i="24"/>
  <c r="H20"/>
  <c r="F16"/>
  <c r="D12"/>
  <c r="L7"/>
  <c r="J40" i="23"/>
  <c r="H36"/>
  <c r="F32"/>
  <c r="D28"/>
  <c r="L22"/>
  <c r="J18"/>
  <c r="H14"/>
  <c r="F10"/>
  <c r="D6"/>
  <c r="L84" i="22"/>
  <c r="J80"/>
  <c r="H77"/>
  <c r="F74"/>
  <c r="D71"/>
  <c r="L66"/>
  <c r="J63"/>
  <c r="H60"/>
  <c r="F54"/>
  <c r="D51"/>
  <c r="L47"/>
  <c r="J43"/>
  <c r="H40"/>
  <c r="F37"/>
  <c r="D32"/>
  <c r="L27"/>
  <c r="J24"/>
  <c r="H21"/>
  <c r="F18"/>
  <c r="D14"/>
  <c r="L10"/>
  <c r="J7"/>
  <c r="H22" i="21"/>
  <c r="F17"/>
  <c r="D14"/>
  <c r="L8"/>
  <c r="J66" i="20"/>
  <c r="G64"/>
  <c r="F62"/>
  <c r="E60"/>
  <c r="E58"/>
  <c r="I56"/>
  <c r="C55"/>
  <c r="G53"/>
  <c r="K50"/>
  <c r="E49"/>
  <c r="I47"/>
  <c r="C46"/>
  <c r="G44"/>
  <c r="K41"/>
  <c r="E40"/>
  <c r="I38"/>
  <c r="C37"/>
  <c r="G35"/>
  <c r="K33"/>
  <c r="E32"/>
  <c r="I30"/>
  <c r="C29"/>
  <c r="G27"/>
  <c r="K25"/>
  <c r="E24"/>
  <c r="I22"/>
  <c r="C21"/>
  <c r="G19"/>
  <c r="K17"/>
  <c r="E16"/>
  <c r="I14"/>
  <c r="C13"/>
  <c r="G11"/>
  <c r="K9"/>
  <c r="E8"/>
  <c r="G65" i="19"/>
  <c r="I63"/>
  <c r="K61"/>
  <c r="D60"/>
  <c r="F58"/>
  <c r="H54"/>
  <c r="J50"/>
  <c r="C48"/>
  <c r="E46"/>
  <c r="G44"/>
  <c r="I42"/>
  <c r="K40"/>
  <c r="D39"/>
  <c r="F35"/>
  <c r="H33"/>
  <c r="J31"/>
  <c r="C30"/>
  <c r="E28"/>
  <c r="G26"/>
  <c r="I24"/>
  <c r="K22"/>
  <c r="D21"/>
  <c r="F19"/>
  <c r="H15"/>
  <c r="J13"/>
  <c r="C12"/>
  <c r="E10"/>
  <c r="G8"/>
  <c r="J6" i="18"/>
  <c r="D215" i="17"/>
  <c r="H213"/>
  <c r="L211"/>
  <c r="I210"/>
  <c r="K209"/>
  <c r="C209"/>
  <c r="E208"/>
  <c r="G207"/>
  <c r="I206"/>
  <c r="K205"/>
  <c r="C205"/>
  <c r="E204"/>
  <c r="G203"/>
  <c r="I202"/>
  <c r="K201"/>
  <c r="C201"/>
  <c r="E200"/>
  <c r="G199"/>
  <c r="I198"/>
  <c r="K197"/>
  <c r="C197"/>
  <c r="E196"/>
  <c r="G195"/>
  <c r="I194"/>
  <c r="K193"/>
  <c r="C193"/>
  <c r="E192"/>
  <c r="G191"/>
  <c r="I190"/>
  <c r="K189"/>
  <c r="C189"/>
  <c r="E188"/>
  <c r="G187"/>
  <c r="I186"/>
  <c r="K185"/>
  <c r="C185"/>
  <c r="E184"/>
  <c r="G183"/>
  <c r="I182"/>
  <c r="K181"/>
  <c r="C181"/>
  <c r="E180"/>
  <c r="G179"/>
  <c r="I178"/>
  <c r="K177"/>
  <c r="C177"/>
  <c r="E176"/>
  <c r="G175"/>
  <c r="I174"/>
  <c r="K173"/>
  <c r="C173"/>
  <c r="E172"/>
  <c r="G171"/>
  <c r="I170"/>
  <c r="K169"/>
  <c r="C169"/>
  <c r="E168"/>
  <c r="G167"/>
  <c r="I166"/>
  <c r="K165"/>
  <c r="C165"/>
  <c r="E164"/>
  <c r="G163"/>
  <c r="I162"/>
  <c r="K161"/>
  <c r="C161"/>
  <c r="E160"/>
  <c r="G159"/>
  <c r="I158"/>
  <c r="K157"/>
  <c r="C157"/>
  <c r="E156"/>
  <c r="G155"/>
  <c r="I154"/>
  <c r="K153"/>
  <c r="C153"/>
  <c r="E152"/>
  <c r="G151"/>
  <c r="I150"/>
  <c r="K149"/>
  <c r="C149"/>
  <c r="E148"/>
  <c r="G147"/>
  <c r="I146"/>
  <c r="K145"/>
  <c r="C145"/>
  <c r="E144"/>
  <c r="G143"/>
  <c r="I142"/>
  <c r="K141"/>
  <c r="C141"/>
  <c r="E140"/>
  <c r="G139"/>
  <c r="I138"/>
  <c r="K137"/>
  <c r="C137"/>
  <c r="E136"/>
  <c r="G135"/>
  <c r="I134"/>
  <c r="K133"/>
  <c r="C133"/>
  <c r="E132"/>
  <c r="G131"/>
  <c r="I130"/>
  <c r="K129"/>
  <c r="C129"/>
  <c r="E128"/>
  <c r="G127"/>
  <c r="I126"/>
  <c r="K125"/>
  <c r="C125"/>
  <c r="E124"/>
  <c r="G123"/>
  <c r="I122"/>
  <c r="K121"/>
  <c r="C121"/>
  <c r="E120"/>
  <c r="G119"/>
  <c r="I118"/>
  <c r="K117"/>
  <c r="C117"/>
  <c r="E116"/>
  <c r="G115"/>
  <c r="I114"/>
  <c r="K113"/>
  <c r="C113"/>
  <c r="E112"/>
  <c r="G111"/>
  <c r="I110"/>
  <c r="K109"/>
  <c r="C109"/>
  <c r="E108"/>
  <c r="G107"/>
  <c r="I106"/>
  <c r="K105"/>
  <c r="C105"/>
  <c r="E104"/>
  <c r="G103"/>
  <c r="I102"/>
  <c r="K101"/>
  <c r="C101"/>
  <c r="E100"/>
  <c r="G99"/>
  <c r="I98"/>
  <c r="K97"/>
  <c r="C97"/>
  <c r="E96"/>
  <c r="G95"/>
  <c r="I94"/>
  <c r="K93"/>
  <c r="C93"/>
  <c r="E92"/>
  <c r="G91"/>
  <c r="I90"/>
  <c r="K89"/>
  <c r="C89"/>
  <c r="E88"/>
  <c r="G87"/>
  <c r="I86"/>
  <c r="K85"/>
  <c r="C85"/>
  <c r="E84"/>
  <c r="G83"/>
  <c r="I82"/>
  <c r="K81"/>
  <c r="C81"/>
  <c r="E80"/>
  <c r="G79"/>
  <c r="I78"/>
  <c r="K77"/>
  <c r="C77"/>
  <c r="E76"/>
  <c r="G75"/>
  <c r="I74"/>
  <c r="K73"/>
  <c r="C73"/>
  <c r="E72"/>
  <c r="G71"/>
  <c r="I70"/>
  <c r="K69"/>
  <c r="C69"/>
  <c r="E68"/>
  <c r="G67"/>
  <c r="I66"/>
  <c r="K65"/>
  <c r="C65"/>
  <c r="E64"/>
  <c r="G63"/>
  <c r="I62"/>
  <c r="K60"/>
  <c r="C60"/>
  <c r="E59"/>
  <c r="G58"/>
  <c r="I57"/>
  <c r="K56"/>
  <c r="C56"/>
  <c r="E55"/>
  <c r="G54"/>
  <c r="I53"/>
  <c r="K52"/>
  <c r="C52"/>
  <c r="E51"/>
  <c r="G50"/>
  <c r="I48"/>
  <c r="K47"/>
  <c r="C47"/>
  <c r="E46"/>
  <c r="G45"/>
  <c r="I44"/>
  <c r="K43"/>
  <c r="C43"/>
  <c r="E42"/>
  <c r="G41"/>
  <c r="I40"/>
  <c r="K39"/>
  <c r="C39"/>
  <c r="E37"/>
  <c r="G36"/>
  <c r="I35"/>
  <c r="K34"/>
  <c r="C34"/>
  <c r="E33"/>
  <c r="G32"/>
  <c r="I31"/>
  <c r="K30"/>
  <c r="C30"/>
  <c r="E29"/>
  <c r="G28"/>
  <c r="I27"/>
  <c r="K25"/>
  <c r="C25"/>
  <c r="E24"/>
  <c r="G23"/>
  <c r="I22"/>
  <c r="K21"/>
  <c r="C21"/>
  <c r="E20"/>
  <c r="G19"/>
  <c r="I18"/>
  <c r="K17"/>
  <c r="C17"/>
  <c r="E16"/>
  <c r="G14"/>
  <c r="I13"/>
  <c r="K12"/>
  <c r="C12"/>
  <c r="E11"/>
  <c r="G10"/>
  <c r="I9"/>
  <c r="K8"/>
  <c r="C8"/>
  <c r="E172" i="16"/>
  <c r="G171"/>
  <c r="I170"/>
  <c r="K169"/>
  <c r="C169"/>
  <c r="E168"/>
  <c r="G167"/>
  <c r="I166"/>
  <c r="K165"/>
  <c r="C165"/>
  <c r="E164"/>
  <c r="G163"/>
  <c r="I162"/>
  <c r="K161"/>
  <c r="C161"/>
  <c r="E160"/>
  <c r="G159"/>
  <c r="I158"/>
  <c r="K153"/>
  <c r="C153"/>
  <c r="E151"/>
  <c r="G149"/>
  <c r="I147"/>
  <c r="K145"/>
  <c r="C145"/>
  <c r="E143"/>
  <c r="G141"/>
  <c r="I139"/>
  <c r="K137"/>
  <c r="C137"/>
  <c r="E135"/>
  <c r="G133"/>
  <c r="I131"/>
  <c r="K129"/>
  <c r="C129"/>
  <c r="E127"/>
  <c r="G125"/>
  <c r="I123"/>
  <c r="K121"/>
  <c r="C121"/>
  <c r="E119"/>
  <c r="G117"/>
  <c r="I115"/>
  <c r="K113"/>
  <c r="C113"/>
  <c r="E111"/>
  <c r="G109"/>
  <c r="I107"/>
  <c r="K105"/>
  <c r="C105"/>
  <c r="E103"/>
  <c r="G101"/>
  <c r="I99"/>
  <c r="K97"/>
  <c r="C97"/>
  <c r="E95"/>
  <c r="G93"/>
  <c r="I91"/>
  <c r="K89"/>
  <c r="C89"/>
  <c r="E87"/>
  <c r="G85"/>
  <c r="I83"/>
  <c r="K81"/>
  <c r="C81"/>
  <c r="E79"/>
  <c r="G77"/>
  <c r="I75"/>
  <c r="K71"/>
  <c r="C71"/>
  <c r="E69"/>
  <c r="G67"/>
  <c r="I65"/>
  <c r="K63"/>
  <c r="C63"/>
  <c r="E61"/>
  <c r="G59"/>
  <c r="I57"/>
  <c r="K55"/>
  <c r="C55"/>
  <c r="E53"/>
  <c r="G51"/>
  <c r="I49"/>
  <c r="K47"/>
  <c r="C47"/>
  <c r="E45"/>
  <c r="G43"/>
  <c r="I41"/>
  <c r="K39"/>
  <c r="C39"/>
  <c r="E37"/>
  <c r="G35"/>
  <c r="I33"/>
  <c r="K31"/>
  <c r="C31"/>
  <c r="E29"/>
  <c r="G27"/>
  <c r="I25"/>
  <c r="K23"/>
  <c r="C23"/>
  <c r="E21"/>
  <c r="G19"/>
  <c r="I17"/>
  <c r="K15"/>
  <c r="C15"/>
  <c r="E13"/>
  <c r="G11"/>
  <c r="I9"/>
  <c r="K7"/>
  <c r="C7"/>
  <c r="D6" i="15"/>
  <c r="E6" i="14"/>
  <c r="G28" i="13"/>
  <c r="I27"/>
  <c r="K26"/>
  <c r="C26"/>
  <c r="E25"/>
  <c r="G18"/>
  <c r="I17"/>
  <c r="K16"/>
  <c r="C16"/>
  <c r="E15"/>
  <c r="G12"/>
  <c r="I11"/>
  <c r="K10"/>
  <c r="C10"/>
  <c r="E9"/>
  <c r="G8"/>
  <c r="I7"/>
  <c r="J51" i="12"/>
  <c r="K50"/>
  <c r="C50"/>
  <c r="D49"/>
  <c r="E48"/>
  <c r="F47"/>
  <c r="G46"/>
  <c r="J45"/>
  <c r="F45"/>
  <c r="K44"/>
  <c r="G44"/>
  <c r="C44"/>
  <c r="H41"/>
  <c r="D41"/>
  <c r="I40"/>
  <c r="E40"/>
  <c r="J39"/>
  <c r="F39"/>
  <c r="K38"/>
  <c r="G38"/>
  <c r="C38"/>
  <c r="H37"/>
  <c r="D37"/>
  <c r="I36"/>
  <c r="E36"/>
  <c r="J35"/>
  <c r="F35"/>
  <c r="K34"/>
  <c r="G34"/>
  <c r="C34"/>
  <c r="H31"/>
  <c r="D31"/>
  <c r="I30"/>
  <c r="E30"/>
  <c r="J29"/>
  <c r="F29"/>
  <c r="K28"/>
  <c r="G28"/>
  <c r="C28"/>
  <c r="H27"/>
  <c r="D27"/>
  <c r="I24"/>
  <c r="E24"/>
  <c r="J23"/>
  <c r="F23"/>
  <c r="K22"/>
  <c r="G22"/>
  <c r="C22"/>
  <c r="H21"/>
  <c r="D21"/>
  <c r="I18"/>
  <c r="E18"/>
  <c r="J17"/>
  <c r="F17"/>
  <c r="K16"/>
  <c r="G16"/>
  <c r="C16"/>
  <c r="H15"/>
  <c r="D15"/>
  <c r="I14"/>
  <c r="E14"/>
  <c r="J13"/>
  <c r="F13"/>
  <c r="K12"/>
  <c r="G12"/>
  <c r="C12"/>
  <c r="H11"/>
  <c r="D11"/>
  <c r="I10"/>
  <c r="E10"/>
  <c r="J9"/>
  <c r="F9"/>
  <c r="K8"/>
  <c r="G8"/>
  <c r="C8"/>
  <c r="H7"/>
  <c r="D7"/>
  <c r="J134" i="11"/>
  <c r="F134"/>
  <c r="L133"/>
  <c r="H133"/>
  <c r="D133"/>
  <c r="J132"/>
  <c r="F132"/>
  <c r="L131"/>
  <c r="H131"/>
  <c r="D131"/>
  <c r="J130"/>
  <c r="F130"/>
  <c r="L129"/>
  <c r="H129"/>
  <c r="D129"/>
  <c r="J128"/>
  <c r="F128"/>
  <c r="L127"/>
  <c r="H127"/>
  <c r="D127"/>
  <c r="J126"/>
  <c r="F126"/>
  <c r="L125"/>
  <c r="H125"/>
  <c r="D125"/>
  <c r="J124"/>
  <c r="F124"/>
  <c r="L123"/>
  <c r="H123"/>
  <c r="D123"/>
  <c r="J122"/>
  <c r="F122"/>
  <c r="L121"/>
  <c r="H121"/>
  <c r="D121"/>
  <c r="J120"/>
  <c r="F120"/>
  <c r="L119"/>
  <c r="H119"/>
  <c r="D119"/>
  <c r="J118"/>
  <c r="F118"/>
  <c r="L117"/>
  <c r="H117"/>
  <c r="D117"/>
  <c r="J116"/>
  <c r="F116"/>
  <c r="L115"/>
  <c r="H115"/>
  <c r="D115"/>
  <c r="J114"/>
  <c r="F114"/>
  <c r="L113"/>
  <c r="H113"/>
  <c r="D113"/>
  <c r="J112"/>
  <c r="F112"/>
  <c r="L111"/>
  <c r="H111"/>
  <c r="D111"/>
  <c r="J110"/>
  <c r="F110"/>
  <c r="L109"/>
  <c r="H109"/>
  <c r="D109"/>
  <c r="J108"/>
  <c r="F108"/>
  <c r="L107"/>
  <c r="H107"/>
  <c r="D107"/>
  <c r="J106"/>
  <c r="F106"/>
  <c r="L105"/>
  <c r="H105"/>
  <c r="D105"/>
  <c r="J104"/>
  <c r="F104"/>
  <c r="L103"/>
  <c r="H103"/>
  <c r="D103"/>
  <c r="J102"/>
  <c r="F102"/>
  <c r="L101"/>
  <c r="H101"/>
  <c r="D101"/>
  <c r="J100"/>
  <c r="F100"/>
  <c r="L99"/>
  <c r="H99"/>
  <c r="D99"/>
  <c r="J98"/>
  <c r="F98"/>
  <c r="L97"/>
  <c r="H97"/>
  <c r="D97"/>
  <c r="J96"/>
  <c r="F96"/>
  <c r="L95"/>
  <c r="H95"/>
  <c r="D95"/>
  <c r="J94"/>
  <c r="F94"/>
  <c r="L93"/>
  <c r="H93"/>
  <c r="D93"/>
  <c r="J92"/>
  <c r="F92"/>
  <c r="L91"/>
  <c r="H91"/>
  <c r="D91"/>
  <c r="J90"/>
  <c r="F90"/>
  <c r="L89"/>
  <c r="H89"/>
  <c r="D89"/>
  <c r="J88"/>
  <c r="F88"/>
  <c r="L87"/>
  <c r="H87"/>
  <c r="D87"/>
  <c r="J86"/>
  <c r="F86"/>
  <c r="L85"/>
  <c r="H85"/>
  <c r="D85"/>
  <c r="J84"/>
  <c r="F84"/>
  <c r="L83"/>
  <c r="H83"/>
  <c r="D83"/>
  <c r="J82"/>
  <c r="F82"/>
  <c r="L81"/>
  <c r="H81"/>
  <c r="D81"/>
  <c r="J80"/>
  <c r="F80"/>
  <c r="L79"/>
  <c r="H79"/>
  <c r="D79"/>
  <c r="J78"/>
  <c r="F78"/>
  <c r="L77"/>
  <c r="H77"/>
  <c r="D77"/>
  <c r="J76"/>
  <c r="F76"/>
  <c r="L75"/>
  <c r="H75"/>
  <c r="D75"/>
  <c r="J74"/>
  <c r="F74"/>
  <c r="L73"/>
  <c r="H73"/>
  <c r="D73"/>
  <c r="J72"/>
  <c r="F72"/>
  <c r="L71"/>
  <c r="H71"/>
  <c r="D71"/>
  <c r="J70"/>
  <c r="F70"/>
  <c r="L69"/>
  <c r="H69"/>
  <c r="D69"/>
  <c r="J68"/>
  <c r="F68"/>
  <c r="L67"/>
  <c r="H67"/>
  <c r="D67"/>
  <c r="J66"/>
  <c r="F66"/>
  <c r="L65"/>
  <c r="H65"/>
  <c r="D65"/>
  <c r="J63"/>
  <c r="F63"/>
  <c r="L62"/>
  <c r="H62"/>
  <c r="D62"/>
  <c r="J60"/>
  <c r="F60"/>
  <c r="L59"/>
  <c r="H59"/>
  <c r="D59"/>
  <c r="J58"/>
  <c r="F58"/>
  <c r="L57"/>
  <c r="H57"/>
  <c r="D57"/>
  <c r="J56"/>
  <c r="F56"/>
  <c r="L55"/>
  <c r="H55"/>
  <c r="D55"/>
  <c r="J54"/>
  <c r="F54"/>
  <c r="L51"/>
  <c r="H51"/>
  <c r="D51"/>
  <c r="J50"/>
  <c r="F50"/>
  <c r="L49"/>
  <c r="H49"/>
  <c r="D49"/>
  <c r="J48"/>
  <c r="F48"/>
  <c r="L47"/>
  <c r="H47"/>
  <c r="D47"/>
  <c r="J46"/>
  <c r="F46"/>
  <c r="L45"/>
  <c r="H45"/>
  <c r="D45"/>
  <c r="J44"/>
  <c r="F44"/>
  <c r="L43"/>
  <c r="H43"/>
  <c r="D43"/>
  <c r="J42"/>
  <c r="F42"/>
  <c r="L41"/>
  <c r="H41"/>
  <c r="D41"/>
  <c r="J39"/>
  <c r="F39"/>
  <c r="L38"/>
  <c r="H38"/>
  <c r="D38"/>
  <c r="J37"/>
  <c r="F37"/>
  <c r="L36"/>
  <c r="H36"/>
  <c r="D36"/>
  <c r="J35"/>
  <c r="F35"/>
  <c r="L34"/>
  <c r="H34"/>
  <c r="D34"/>
  <c r="J33"/>
  <c r="F33"/>
  <c r="L32"/>
  <c r="H32"/>
  <c r="D32"/>
  <c r="J31"/>
  <c r="F31"/>
  <c r="L30"/>
  <c r="H30"/>
  <c r="D30"/>
  <c r="J29"/>
  <c r="F29"/>
  <c r="L28"/>
  <c r="H28"/>
  <c r="D28"/>
  <c r="J27"/>
  <c r="F27"/>
  <c r="L26"/>
  <c r="H26"/>
  <c r="D26"/>
  <c r="J25"/>
  <c r="F25"/>
  <c r="L24"/>
  <c r="H24"/>
  <c r="D24"/>
  <c r="J23"/>
  <c r="F23"/>
  <c r="L22"/>
  <c r="H22"/>
  <c r="D22"/>
  <c r="J20"/>
  <c r="F20"/>
  <c r="L19"/>
  <c r="H19"/>
  <c r="D19"/>
  <c r="J18"/>
  <c r="F18"/>
  <c r="L17"/>
  <c r="H17"/>
  <c r="D17"/>
  <c r="J16"/>
  <c r="F16"/>
  <c r="L15"/>
  <c r="H15"/>
  <c r="D15"/>
  <c r="J14"/>
  <c r="F14"/>
  <c r="L13"/>
  <c r="H13"/>
  <c r="D13"/>
  <c r="J12"/>
  <c r="F12"/>
  <c r="L10"/>
  <c r="H10"/>
  <c r="D10"/>
  <c r="J9"/>
  <c r="F9"/>
  <c r="L8"/>
  <c r="H8"/>
  <c r="D8"/>
  <c r="I111" i="10"/>
  <c r="E111"/>
  <c r="J110"/>
  <c r="F110"/>
  <c r="K109"/>
  <c r="G109"/>
  <c r="C109"/>
  <c r="H108"/>
  <c r="D108"/>
  <c r="I107"/>
  <c r="E107"/>
  <c r="J106"/>
  <c r="F106"/>
  <c r="K105"/>
  <c r="G105"/>
  <c r="C105"/>
  <c r="H104"/>
  <c r="D104"/>
  <c r="I103"/>
  <c r="E103"/>
  <c r="J102"/>
  <c r="F102"/>
  <c r="K101"/>
  <c r="G101"/>
  <c r="C101"/>
  <c r="H100"/>
  <c r="D100"/>
  <c r="I99"/>
  <c r="E99"/>
  <c r="J95"/>
  <c r="F95"/>
  <c r="K94"/>
  <c r="G94"/>
  <c r="C94"/>
  <c r="H93"/>
  <c r="D93"/>
  <c r="I92"/>
  <c r="E92"/>
  <c r="J90"/>
  <c r="F90"/>
  <c r="K89"/>
  <c r="G89"/>
  <c r="C89"/>
  <c r="H88"/>
  <c r="D88"/>
  <c r="I87"/>
  <c r="E87"/>
  <c r="J85"/>
  <c r="F85"/>
  <c r="K84"/>
  <c r="G84"/>
  <c r="C84"/>
  <c r="H83"/>
  <c r="D83"/>
  <c r="I81"/>
  <c r="E81"/>
  <c r="J80"/>
  <c r="F80"/>
  <c r="K79"/>
  <c r="G79"/>
  <c r="C79"/>
  <c r="H77"/>
  <c r="D77"/>
  <c r="I75"/>
  <c r="E75"/>
  <c r="J73"/>
  <c r="F73"/>
  <c r="K71"/>
  <c r="G71"/>
  <c r="C71"/>
  <c r="H69"/>
  <c r="D69"/>
  <c r="I67"/>
  <c r="E67"/>
  <c r="J65"/>
  <c r="F65"/>
  <c r="K63"/>
  <c r="G63"/>
  <c r="C63"/>
  <c r="H59"/>
  <c r="D59"/>
  <c r="I57"/>
  <c r="E57"/>
  <c r="J55"/>
  <c r="F55"/>
  <c r="K53"/>
  <c r="G53"/>
  <c r="C53"/>
  <c r="H51"/>
  <c r="D51"/>
  <c r="I49"/>
  <c r="E49"/>
  <c r="J47"/>
  <c r="F47"/>
  <c r="K45"/>
  <c r="G45"/>
  <c r="C45"/>
  <c r="H43"/>
  <c r="D43"/>
  <c r="I41"/>
  <c r="E41"/>
  <c r="J39"/>
  <c r="F39"/>
  <c r="K37"/>
  <c r="G37"/>
  <c r="C37"/>
  <c r="H35"/>
  <c r="D35"/>
  <c r="I33"/>
  <c r="E33"/>
  <c r="J31"/>
  <c r="F31"/>
  <c r="K29"/>
  <c r="G29"/>
  <c r="C29"/>
  <c r="H27"/>
  <c r="D27"/>
  <c r="I25"/>
  <c r="E25"/>
  <c r="J23"/>
  <c r="F23"/>
  <c r="K21"/>
  <c r="G21"/>
  <c r="C21"/>
  <c r="H19"/>
  <c r="D19"/>
  <c r="I17"/>
  <c r="E17"/>
  <c r="J8"/>
  <c r="F8"/>
  <c r="K6"/>
  <c r="G6"/>
  <c r="C6"/>
  <c r="H133" i="9"/>
  <c r="D133"/>
  <c r="I132"/>
  <c r="E132"/>
  <c r="J131"/>
  <c r="F131"/>
  <c r="K130"/>
  <c r="G130"/>
  <c r="C130"/>
  <c r="H129"/>
  <c r="D129"/>
  <c r="I128"/>
  <c r="E128"/>
  <c r="J127"/>
  <c r="F127"/>
  <c r="K126"/>
  <c r="G126"/>
  <c r="C126"/>
  <c r="H125"/>
  <c r="D125"/>
  <c r="I124"/>
  <c r="E124"/>
  <c r="J123"/>
  <c r="F123"/>
  <c r="K122"/>
  <c r="G122"/>
  <c r="C122"/>
  <c r="H121"/>
  <c r="D121"/>
  <c r="I117"/>
  <c r="E117"/>
  <c r="J116"/>
  <c r="F116"/>
  <c r="K115"/>
  <c r="G115"/>
  <c r="C115"/>
  <c r="H114"/>
  <c r="D114"/>
  <c r="I112"/>
  <c r="E112"/>
  <c r="J111"/>
  <c r="F111"/>
  <c r="K110"/>
  <c r="G110"/>
  <c r="C110"/>
  <c r="H109"/>
  <c r="D109"/>
  <c r="I107"/>
  <c r="E107"/>
  <c r="J106"/>
  <c r="F106"/>
  <c r="K105"/>
  <c r="G105"/>
  <c r="C105"/>
  <c r="H103"/>
  <c r="D103"/>
  <c r="I102"/>
  <c r="E102"/>
  <c r="J101"/>
  <c r="F101"/>
  <c r="K99"/>
  <c r="G99"/>
  <c r="C99"/>
  <c r="H97"/>
  <c r="D97"/>
  <c r="I95"/>
  <c r="E95"/>
  <c r="J93"/>
  <c r="F93"/>
  <c r="K91"/>
  <c r="G91"/>
  <c r="C91"/>
  <c r="H89"/>
  <c r="D89"/>
  <c r="I87"/>
  <c r="E87"/>
  <c r="J85"/>
  <c r="F85"/>
  <c r="K81"/>
  <c r="G81"/>
  <c r="C81"/>
  <c r="H79"/>
  <c r="D79"/>
  <c r="I77"/>
  <c r="E77"/>
  <c r="J75"/>
  <c r="F75"/>
  <c r="K70"/>
  <c r="G70"/>
  <c r="C70"/>
  <c r="H63"/>
  <c r="D63"/>
  <c r="I60"/>
  <c r="E60"/>
  <c r="J55"/>
  <c r="F55"/>
  <c r="K53"/>
  <c r="G53"/>
  <c r="C53"/>
  <c r="H51"/>
  <c r="D51"/>
  <c r="I49"/>
  <c r="E49"/>
  <c r="J47"/>
  <c r="F47"/>
  <c r="K45"/>
  <c r="G45"/>
  <c r="C45"/>
  <c r="H43"/>
  <c r="D43"/>
  <c r="I41"/>
  <c r="E41"/>
  <c r="J39"/>
  <c r="F39"/>
  <c r="K37"/>
  <c r="G37"/>
  <c r="C37"/>
  <c r="H35"/>
  <c r="D35"/>
  <c r="I33"/>
  <c r="E33"/>
  <c r="J31"/>
  <c r="F31"/>
  <c r="K29"/>
  <c r="G29"/>
  <c r="C29"/>
  <c r="H27"/>
  <c r="D27"/>
  <c r="I25"/>
  <c r="E25"/>
  <c r="J23"/>
  <c r="F23"/>
  <c r="K21"/>
  <c r="G21"/>
  <c r="C21"/>
  <c r="H19"/>
  <c r="D19"/>
  <c r="I17"/>
  <c r="E17"/>
  <c r="J8"/>
  <c r="F8"/>
  <c r="K6"/>
  <c r="G6"/>
  <c r="C6"/>
  <c r="H14" i="8"/>
  <c r="D14"/>
  <c r="I13"/>
  <c r="E13"/>
  <c r="J12"/>
  <c r="F12"/>
  <c r="K10"/>
  <c r="G10"/>
  <c r="C10"/>
  <c r="H9"/>
  <c r="D9"/>
  <c r="I8"/>
  <c r="E8"/>
  <c r="J7"/>
  <c r="F7"/>
  <c r="K6"/>
  <c r="G6"/>
  <c r="C6"/>
  <c r="H27" i="7"/>
  <c r="D27"/>
  <c r="I26"/>
  <c r="E26"/>
  <c r="J25"/>
  <c r="F25"/>
  <c r="K23"/>
  <c r="G23"/>
  <c r="C23"/>
  <c r="H22"/>
  <c r="D22"/>
  <c r="I20"/>
  <c r="E20"/>
  <c r="J19"/>
  <c r="F19"/>
  <c r="K18"/>
  <c r="G18"/>
  <c r="C18"/>
  <c r="H17"/>
  <c r="D17"/>
  <c r="I16"/>
  <c r="E16"/>
  <c r="J15"/>
  <c r="F15"/>
  <c r="K14"/>
  <c r="G14"/>
  <c r="C14"/>
  <c r="H13"/>
  <c r="D13"/>
  <c r="I12"/>
  <c r="E12"/>
  <c r="J11"/>
  <c r="F11"/>
  <c r="K8"/>
  <c r="G8"/>
  <c r="C8"/>
  <c r="H7"/>
  <c r="D7"/>
  <c r="I6"/>
  <c r="E6"/>
  <c r="J58" i="6"/>
  <c r="F58"/>
  <c r="K57"/>
  <c r="G57"/>
  <c r="C57"/>
  <c r="H56"/>
  <c r="D56"/>
  <c r="I55"/>
  <c r="E55"/>
  <c r="J53"/>
  <c r="F53"/>
  <c r="K52"/>
  <c r="G52"/>
  <c r="C52"/>
  <c r="H51"/>
  <c r="D51"/>
  <c r="I49"/>
  <c r="E49"/>
  <c r="J48"/>
  <c r="F48"/>
  <c r="K47"/>
  <c r="G47"/>
  <c r="C47"/>
  <c r="H46"/>
  <c r="D46"/>
  <c r="I44"/>
  <c r="E44"/>
  <c r="J43"/>
  <c r="F43"/>
  <c r="K42"/>
  <c r="G42"/>
  <c r="C42"/>
  <c r="H41"/>
  <c r="D41"/>
  <c r="I39"/>
  <c r="E39"/>
  <c r="J38"/>
  <c r="F38"/>
  <c r="K37"/>
  <c r="G37"/>
  <c r="C37"/>
  <c r="H36"/>
  <c r="D36"/>
  <c r="I34"/>
  <c r="E34"/>
  <c r="J33"/>
  <c r="F33"/>
  <c r="K32"/>
  <c r="G32"/>
  <c r="C32"/>
  <c r="H31"/>
  <c r="D31"/>
  <c r="I29"/>
  <c r="E29"/>
  <c r="J28"/>
  <c r="F28"/>
  <c r="K27"/>
  <c r="G27"/>
  <c r="C27"/>
  <c r="H26"/>
  <c r="D26"/>
  <c r="I24"/>
  <c r="E24"/>
  <c r="J23"/>
  <c r="F23"/>
  <c r="K22"/>
  <c r="G22"/>
  <c r="C22"/>
  <c r="H21"/>
  <c r="D21"/>
  <c r="I19"/>
  <c r="E19"/>
  <c r="J18"/>
  <c r="F18"/>
  <c r="K17"/>
  <c r="G17"/>
  <c r="C17"/>
  <c r="H16"/>
  <c r="D16"/>
  <c r="I14"/>
  <c r="E14"/>
  <c r="J13"/>
  <c r="F13"/>
  <c r="K12"/>
  <c r="G12"/>
  <c r="C12"/>
  <c r="H11"/>
  <c r="D11"/>
  <c r="I9"/>
  <c r="E9"/>
  <c r="J8"/>
  <c r="F8"/>
  <c r="K7"/>
  <c r="G7"/>
  <c r="C7"/>
  <c r="H6"/>
  <c r="D6"/>
  <c r="I33" i="5"/>
  <c r="E33"/>
  <c r="J32"/>
  <c r="F32"/>
  <c r="K31"/>
  <c r="G31"/>
  <c r="C31"/>
  <c r="H30"/>
  <c r="D30"/>
  <c r="I29"/>
  <c r="E29"/>
  <c r="J25"/>
  <c r="F25"/>
  <c r="K24"/>
  <c r="G24"/>
  <c r="C24"/>
  <c r="H23"/>
  <c r="D23"/>
  <c r="I21"/>
  <c r="E21"/>
  <c r="J20"/>
  <c r="F20"/>
  <c r="K19"/>
  <c r="G19"/>
  <c r="C19"/>
  <c r="H18"/>
  <c r="D18"/>
  <c r="I17"/>
  <c r="E17"/>
  <c r="J15"/>
  <c r="F15"/>
  <c r="K14"/>
  <c r="G14"/>
  <c r="C14"/>
  <c r="H13"/>
  <c r="D13"/>
  <c r="I11"/>
  <c r="E11"/>
  <c r="J10"/>
  <c r="F10"/>
  <c r="K9"/>
  <c r="G9"/>
  <c r="C9"/>
  <c r="H8"/>
  <c r="D8"/>
  <c r="I7"/>
  <c r="E7"/>
  <c r="J6"/>
  <c r="F6"/>
  <c r="L45" i="4"/>
  <c r="H45"/>
  <c r="D45"/>
  <c r="J44"/>
  <c r="F44"/>
  <c r="L43"/>
  <c r="H43"/>
  <c r="D43"/>
  <c r="J40"/>
  <c r="F40"/>
  <c r="L39"/>
  <c r="H39"/>
  <c r="D39"/>
  <c r="J37"/>
  <c r="F37"/>
  <c r="L36"/>
  <c r="H36"/>
  <c r="D36"/>
  <c r="J33"/>
  <c r="F33"/>
  <c r="L30"/>
  <c r="H30"/>
  <c r="D30"/>
  <c r="J29"/>
  <c r="F29"/>
  <c r="L27"/>
  <c r="H27"/>
  <c r="D27"/>
  <c r="J26"/>
  <c r="F26"/>
  <c r="L23"/>
  <c r="H23"/>
  <c r="D23"/>
  <c r="J22"/>
  <c r="F22"/>
  <c r="L20"/>
  <c r="H20"/>
  <c r="D20"/>
  <c r="J19"/>
  <c r="F19"/>
  <c r="L16"/>
  <c r="H16"/>
  <c r="D16"/>
  <c r="J15"/>
  <c r="F15"/>
  <c r="L14"/>
  <c r="H14"/>
  <c r="D14"/>
  <c r="J11"/>
  <c r="F11"/>
  <c r="L10"/>
  <c r="H10"/>
  <c r="D10"/>
  <c r="J8"/>
  <c r="F8"/>
  <c r="L7"/>
  <c r="H7"/>
  <c r="D7"/>
  <c r="J24" i="3"/>
  <c r="F24"/>
  <c r="L23"/>
  <c r="H23"/>
  <c r="D23"/>
  <c r="J22"/>
  <c r="F22"/>
  <c r="L20"/>
  <c r="H20"/>
  <c r="D20"/>
  <c r="J19"/>
  <c r="F19"/>
  <c r="L18"/>
  <c r="H18"/>
  <c r="D18"/>
  <c r="J17"/>
  <c r="F17"/>
  <c r="L16"/>
  <c r="H16"/>
  <c r="D16"/>
  <c r="J15"/>
  <c r="F15"/>
  <c r="L14"/>
  <c r="H14"/>
  <c r="D14"/>
  <c r="J12"/>
  <c r="F12"/>
  <c r="L11"/>
  <c r="H11"/>
  <c r="D11"/>
  <c r="J10"/>
  <c r="F10"/>
  <c r="L9"/>
  <c r="H9"/>
  <c r="D9"/>
  <c r="J8"/>
  <c r="F8"/>
  <c r="L7"/>
  <c r="H7"/>
  <c r="D7"/>
  <c r="J6"/>
  <c r="F6"/>
  <c r="K25" i="2"/>
  <c r="G25"/>
  <c r="C25"/>
  <c r="H24"/>
  <c r="D24"/>
  <c r="I23"/>
  <c r="E23"/>
  <c r="J20"/>
  <c r="F20"/>
  <c r="K18"/>
  <c r="G18"/>
  <c r="C18"/>
  <c r="H16"/>
  <c r="D16"/>
  <c r="I14"/>
  <c r="E14"/>
  <c r="J13"/>
  <c r="F13"/>
  <c r="K12"/>
  <c r="G12"/>
  <c r="C12"/>
  <c r="H10"/>
  <c r="D10"/>
  <c r="I9"/>
  <c r="E9"/>
  <c r="J8"/>
  <c r="F8"/>
  <c r="K7"/>
  <c r="G7"/>
  <c r="C7"/>
  <c r="H6"/>
  <c r="D6"/>
  <c r="H27" i="34"/>
  <c r="D10" i="31"/>
  <c r="G26" i="29"/>
  <c r="F6" i="28"/>
  <c r="I38" i="26"/>
  <c r="E31"/>
  <c r="K22"/>
  <c r="G15"/>
  <c r="C8"/>
  <c r="I14" i="25"/>
  <c r="E7"/>
  <c r="K17" i="24"/>
  <c r="G9"/>
  <c r="K33" i="23"/>
  <c r="G25"/>
  <c r="C17"/>
  <c r="I7"/>
  <c r="E83" i="22"/>
  <c r="K75"/>
  <c r="G69"/>
  <c r="C62"/>
  <c r="I52"/>
  <c r="E46"/>
  <c r="K38"/>
  <c r="G30"/>
  <c r="E26"/>
  <c r="I16"/>
  <c r="E9"/>
  <c r="K18" i="21"/>
  <c r="G10"/>
  <c r="G65" i="20"/>
  <c r="C59"/>
  <c r="J55"/>
  <c r="H51"/>
  <c r="F48"/>
  <c r="D45"/>
  <c r="L40"/>
  <c r="J37"/>
  <c r="H34"/>
  <c r="F31"/>
  <c r="D28"/>
  <c r="L24"/>
  <c r="J21"/>
  <c r="H18"/>
  <c r="F15"/>
  <c r="D12"/>
  <c r="L8"/>
  <c r="G64" i="19"/>
  <c r="K60"/>
  <c r="F55"/>
  <c r="J48"/>
  <c r="E45"/>
  <c r="I41"/>
  <c r="D38"/>
  <c r="H32"/>
  <c r="C29"/>
  <c r="G25"/>
  <c r="K21"/>
  <c r="F16"/>
  <c r="J12"/>
  <c r="E9"/>
  <c r="K215" i="17"/>
  <c r="I212"/>
  <c r="D210"/>
  <c r="H208"/>
  <c r="L206"/>
  <c r="F205"/>
  <c r="J203"/>
  <c r="D202"/>
  <c r="H200"/>
  <c r="L198"/>
  <c r="F197"/>
  <c r="J195"/>
  <c r="D194"/>
  <c r="H192"/>
  <c r="L190"/>
  <c r="F189"/>
  <c r="J187"/>
  <c r="D186"/>
  <c r="H184"/>
  <c r="L182"/>
  <c r="F181"/>
  <c r="J179"/>
  <c r="D178"/>
  <c r="H176"/>
  <c r="L174"/>
  <c r="F173"/>
  <c r="J171"/>
  <c r="F169"/>
  <c r="J167"/>
  <c r="L166"/>
  <c r="F165"/>
  <c r="J163"/>
  <c r="D162"/>
  <c r="H160"/>
  <c r="L158"/>
  <c r="F157"/>
  <c r="J155"/>
  <c r="F153"/>
  <c r="J151"/>
  <c r="D150"/>
  <c r="H148"/>
  <c r="L146"/>
  <c r="F145"/>
  <c r="H144"/>
  <c r="L142"/>
  <c r="F141"/>
  <c r="J139"/>
  <c r="D138"/>
  <c r="H136"/>
  <c r="L134"/>
  <c r="F133"/>
  <c r="J131"/>
  <c r="D130"/>
  <c r="J127"/>
  <c r="D126"/>
  <c r="H124"/>
  <c r="L122"/>
  <c r="F121"/>
  <c r="J119"/>
  <c r="D118"/>
  <c r="H116"/>
  <c r="L114"/>
  <c r="D114"/>
  <c r="H112"/>
  <c r="L110"/>
  <c r="F109"/>
  <c r="L106"/>
  <c r="F105"/>
  <c r="J103"/>
  <c r="D102"/>
  <c r="H100"/>
  <c r="L98"/>
  <c r="F97"/>
  <c r="J95"/>
  <c r="F93"/>
  <c r="J91"/>
  <c r="L90"/>
  <c r="F89"/>
  <c r="J87"/>
  <c r="F85"/>
  <c r="J83"/>
  <c r="D82"/>
  <c r="H80"/>
  <c r="L78"/>
  <c r="F77"/>
  <c r="J75"/>
  <c r="D74"/>
  <c r="H72"/>
  <c r="L70"/>
  <c r="F69"/>
  <c r="J67"/>
  <c r="D66"/>
  <c r="H64"/>
  <c r="L62"/>
  <c r="D62"/>
  <c r="H59"/>
  <c r="L57"/>
  <c r="F56"/>
  <c r="J54"/>
  <c r="D53"/>
  <c r="H51"/>
  <c r="L48"/>
  <c r="F47"/>
  <c r="J45"/>
  <c r="D44"/>
  <c r="J41"/>
  <c r="D40"/>
  <c r="H37"/>
  <c r="L35"/>
  <c r="F34"/>
  <c r="H33"/>
  <c r="L31"/>
  <c r="F30"/>
  <c r="J28"/>
  <c r="D27"/>
  <c r="H24"/>
  <c r="L22"/>
  <c r="F21"/>
  <c r="J19"/>
  <c r="D18"/>
  <c r="H16"/>
  <c r="L13"/>
  <c r="F12"/>
  <c r="J10"/>
  <c r="D9"/>
  <c r="H172" i="16"/>
  <c r="L170"/>
  <c r="F169"/>
  <c r="J167"/>
  <c r="D166"/>
  <c r="H164"/>
  <c r="L162"/>
  <c r="F161"/>
  <c r="J159"/>
  <c r="D158"/>
  <c r="H151"/>
  <c r="L147"/>
  <c r="F145"/>
  <c r="J141"/>
  <c r="F137"/>
  <c r="J133"/>
  <c r="D131"/>
  <c r="H127"/>
  <c r="L123"/>
  <c r="F121"/>
  <c r="J117"/>
  <c r="D115"/>
  <c r="H111"/>
  <c r="L107"/>
  <c r="F105"/>
  <c r="J101"/>
  <c r="D99"/>
  <c r="H95"/>
  <c r="L91"/>
  <c r="F89"/>
  <c r="J85"/>
  <c r="D83"/>
  <c r="H79"/>
  <c r="L75"/>
  <c r="F71"/>
  <c r="J67"/>
  <c r="D65"/>
  <c r="H61"/>
  <c r="L57"/>
  <c r="F55"/>
  <c r="J51"/>
  <c r="D49"/>
  <c r="H45"/>
  <c r="L41"/>
  <c r="F39"/>
  <c r="J35"/>
  <c r="D33"/>
  <c r="H29"/>
  <c r="L25"/>
  <c r="F23"/>
  <c r="J19"/>
  <c r="D17"/>
  <c r="H13"/>
  <c r="L9"/>
  <c r="F7"/>
  <c r="H6" i="14"/>
  <c r="L27" i="13"/>
  <c r="F26"/>
  <c r="J18"/>
  <c r="D17"/>
  <c r="H15"/>
  <c r="L11"/>
  <c r="F10"/>
  <c r="J8"/>
  <c r="D7"/>
  <c r="G49" i="12"/>
  <c r="I47"/>
  <c r="K45"/>
  <c r="C45"/>
  <c r="D44"/>
  <c r="E41"/>
  <c r="F40"/>
  <c r="G39"/>
  <c r="H38"/>
  <c r="I37"/>
  <c r="J36"/>
  <c r="K35"/>
  <c r="C35"/>
  <c r="D34"/>
  <c r="E31"/>
  <c r="F30"/>
  <c r="G29"/>
  <c r="C29"/>
  <c r="I27"/>
  <c r="J24"/>
  <c r="K23"/>
  <c r="C23"/>
  <c r="D22"/>
  <c r="E21"/>
  <c r="F18"/>
  <c r="G17"/>
  <c r="D16"/>
  <c r="E15"/>
  <c r="J14"/>
  <c r="G13"/>
  <c r="C13"/>
  <c r="I11"/>
  <c r="J10"/>
  <c r="F10"/>
  <c r="G9"/>
  <c r="H8"/>
  <c r="I7"/>
  <c r="K134" i="11"/>
  <c r="C134"/>
  <c r="E133"/>
  <c r="G132"/>
  <c r="I131"/>
  <c r="K130"/>
  <c r="C130"/>
  <c r="E129"/>
  <c r="G128"/>
  <c r="I127"/>
  <c r="G126"/>
  <c r="C126"/>
  <c r="E125"/>
  <c r="C124"/>
  <c r="E123"/>
  <c r="G122"/>
  <c r="E121"/>
  <c r="G120"/>
  <c r="C120"/>
  <c r="K118"/>
  <c r="C118"/>
  <c r="I117"/>
  <c r="G116"/>
  <c r="I115"/>
  <c r="K114"/>
  <c r="C114"/>
  <c r="E113"/>
  <c r="G112"/>
  <c r="I111"/>
  <c r="K110"/>
  <c r="C110"/>
  <c r="I109"/>
  <c r="K108"/>
  <c r="C108"/>
  <c r="E107"/>
  <c r="G106"/>
  <c r="I105"/>
  <c r="K104"/>
  <c r="C104"/>
  <c r="E103"/>
  <c r="G102"/>
  <c r="I101"/>
  <c r="K100"/>
  <c r="C100"/>
  <c r="E99"/>
  <c r="G98"/>
  <c r="I97"/>
  <c r="K96"/>
  <c r="C96"/>
  <c r="E95"/>
  <c r="G94"/>
  <c r="I93"/>
  <c r="K92"/>
  <c r="C92"/>
  <c r="E91"/>
  <c r="G90"/>
  <c r="I89"/>
  <c r="K88"/>
  <c r="G88"/>
  <c r="I87"/>
  <c r="K86"/>
  <c r="C86"/>
  <c r="K84"/>
  <c r="C84"/>
  <c r="E83"/>
  <c r="G82"/>
  <c r="I81"/>
  <c r="K80"/>
  <c r="G80"/>
  <c r="I79"/>
  <c r="K78"/>
  <c r="C78"/>
  <c r="E77"/>
  <c r="G76"/>
  <c r="I75"/>
  <c r="K74"/>
  <c r="C74"/>
  <c r="E73"/>
  <c r="G72"/>
  <c r="C72"/>
  <c r="E71"/>
  <c r="G70"/>
  <c r="C70"/>
  <c r="E69"/>
  <c r="C68"/>
  <c r="E67"/>
  <c r="G66"/>
  <c r="C66"/>
  <c r="E65"/>
  <c r="C63"/>
  <c r="E62"/>
  <c r="G60"/>
  <c r="I59"/>
  <c r="K58"/>
  <c r="C58"/>
  <c r="E57"/>
  <c r="G56"/>
  <c r="I55"/>
  <c r="K54"/>
  <c r="C54"/>
  <c r="E51"/>
  <c r="G50"/>
  <c r="I49"/>
  <c r="K48"/>
  <c r="C48"/>
  <c r="E47"/>
  <c r="G46"/>
  <c r="I45"/>
  <c r="G44"/>
  <c r="I43"/>
  <c r="G42"/>
  <c r="I41"/>
  <c r="K39"/>
  <c r="C39"/>
  <c r="E38"/>
  <c r="G37"/>
  <c r="I36"/>
  <c r="K35"/>
  <c r="C35"/>
  <c r="E34"/>
  <c r="G33"/>
  <c r="I32"/>
  <c r="K31"/>
  <c r="C31"/>
  <c r="E30"/>
  <c r="C29"/>
  <c r="E28"/>
  <c r="G27"/>
  <c r="I26"/>
  <c r="K25"/>
  <c r="C25"/>
  <c r="E24"/>
  <c r="C23"/>
  <c r="I22"/>
  <c r="G20"/>
  <c r="I19"/>
  <c r="K18"/>
  <c r="C18"/>
  <c r="E17"/>
  <c r="G16"/>
  <c r="I15"/>
  <c r="E15"/>
  <c r="G14"/>
  <c r="I13"/>
  <c r="K12"/>
  <c r="C12"/>
  <c r="E10"/>
  <c r="K9"/>
  <c r="C9"/>
  <c r="J111" i="10"/>
  <c r="K110"/>
  <c r="G110"/>
  <c r="D109"/>
  <c r="I108"/>
  <c r="J107"/>
  <c r="G106"/>
  <c r="H105"/>
  <c r="I104"/>
  <c r="E104"/>
  <c r="F103"/>
  <c r="C102"/>
  <c r="D101"/>
  <c r="I100"/>
  <c r="J99"/>
  <c r="G95"/>
  <c r="H94"/>
  <c r="D94"/>
  <c r="E93"/>
  <c r="K90"/>
  <c r="C90"/>
  <c r="H89"/>
  <c r="I88"/>
  <c r="F87"/>
  <c r="G85"/>
  <c r="C85"/>
  <c r="I83"/>
  <c r="J81"/>
  <c r="K80"/>
  <c r="G80"/>
  <c r="H79"/>
  <c r="I77"/>
  <c r="J75"/>
  <c r="K73"/>
  <c r="C73"/>
  <c r="D71"/>
  <c r="E69"/>
  <c r="F67"/>
  <c r="G65"/>
  <c r="H63"/>
  <c r="I59"/>
  <c r="J57"/>
  <c r="K55"/>
  <c r="C55"/>
  <c r="D53"/>
  <c r="J49"/>
  <c r="K47"/>
  <c r="C47"/>
  <c r="D45"/>
  <c r="E43"/>
  <c r="K39"/>
  <c r="C39"/>
  <c r="D37"/>
  <c r="E35"/>
  <c r="F33"/>
  <c r="C31"/>
  <c r="D29"/>
  <c r="E27"/>
  <c r="F25"/>
  <c r="G23"/>
  <c r="H21"/>
  <c r="I19"/>
  <c r="J17"/>
  <c r="K8"/>
  <c r="C8"/>
  <c r="D6"/>
  <c r="E133" i="9"/>
  <c r="F132"/>
  <c r="K131"/>
  <c r="H130"/>
  <c r="I129"/>
  <c r="E129"/>
  <c r="F128"/>
  <c r="G127"/>
  <c r="H126"/>
  <c r="I125"/>
  <c r="F124"/>
  <c r="G123"/>
  <c r="H122"/>
  <c r="I121"/>
  <c r="J117"/>
  <c r="K116"/>
  <c r="C116"/>
  <c r="H115"/>
  <c r="I114"/>
  <c r="J112"/>
  <c r="K111"/>
  <c r="C111"/>
  <c r="D110"/>
  <c r="E109"/>
  <c r="F107"/>
  <c r="C106"/>
  <c r="D105"/>
  <c r="E103"/>
  <c r="F102"/>
  <c r="G101"/>
  <c r="H99"/>
  <c r="E97"/>
  <c r="F95"/>
  <c r="G93"/>
  <c r="H91"/>
  <c r="I89"/>
  <c r="F87"/>
  <c r="K85"/>
  <c r="C85"/>
  <c r="D81"/>
  <c r="H10" i="31"/>
  <c r="J6" i="28"/>
  <c r="F31" i="26"/>
  <c r="H15"/>
  <c r="J14" i="25"/>
  <c r="L17" i="24"/>
  <c r="D39" i="23"/>
  <c r="F21"/>
  <c r="H86" i="22"/>
  <c r="J72"/>
  <c r="L55"/>
  <c r="D42"/>
  <c r="F26"/>
  <c r="H12"/>
  <c r="J15" i="21"/>
  <c r="G63" i="20"/>
  <c r="K55"/>
  <c r="G48"/>
  <c r="C41"/>
  <c r="I34"/>
  <c r="E28"/>
  <c r="K21"/>
  <c r="G15"/>
  <c r="C9"/>
  <c r="C61" i="19"/>
  <c r="K48"/>
  <c r="J41"/>
  <c r="I32"/>
  <c r="H25"/>
  <c r="G16"/>
  <c r="F9"/>
  <c r="J212" i="17"/>
  <c r="I208"/>
  <c r="G205"/>
  <c r="E202"/>
  <c r="C199"/>
  <c r="K195"/>
  <c r="I192"/>
  <c r="G189"/>
  <c r="E186"/>
  <c r="C183"/>
  <c r="K179"/>
  <c r="I176"/>
  <c r="G173"/>
  <c r="E170"/>
  <c r="C167"/>
  <c r="K163"/>
  <c r="I160"/>
  <c r="G157"/>
  <c r="E154"/>
  <c r="C151"/>
  <c r="K147"/>
  <c r="I144"/>
  <c r="G141"/>
  <c r="E138"/>
  <c r="C135"/>
  <c r="K131"/>
  <c r="I128"/>
  <c r="G125"/>
  <c r="E122"/>
  <c r="C119"/>
  <c r="K115"/>
  <c r="I112"/>
  <c r="G109"/>
  <c r="E106"/>
  <c r="C103"/>
  <c r="K99"/>
  <c r="I96"/>
  <c r="G93"/>
  <c r="E90"/>
  <c r="C87"/>
  <c r="K83"/>
  <c r="I80"/>
  <c r="G77"/>
  <c r="E74"/>
  <c r="C71"/>
  <c r="K67"/>
  <c r="I64"/>
  <c r="G60"/>
  <c r="E57"/>
  <c r="C54"/>
  <c r="K50"/>
  <c r="I46"/>
  <c r="G43"/>
  <c r="E40"/>
  <c r="C36"/>
  <c r="K32"/>
  <c r="I29"/>
  <c r="G25"/>
  <c r="E22"/>
  <c r="C19"/>
  <c r="K14"/>
  <c r="I11"/>
  <c r="G8"/>
  <c r="E170" i="16"/>
  <c r="C167"/>
  <c r="K163"/>
  <c r="I160"/>
  <c r="G153"/>
  <c r="E147"/>
  <c r="C141"/>
  <c r="K133"/>
  <c r="I127"/>
  <c r="G121"/>
  <c r="E115"/>
  <c r="C109"/>
  <c r="K101"/>
  <c r="I95"/>
  <c r="G89"/>
  <c r="E83"/>
  <c r="C77"/>
  <c r="K67"/>
  <c r="I61"/>
  <c r="G55"/>
  <c r="E49"/>
  <c r="C43"/>
  <c r="K35"/>
  <c r="I29"/>
  <c r="G23"/>
  <c r="E17"/>
  <c r="C11"/>
  <c r="I6" i="14"/>
  <c r="G26" i="13"/>
  <c r="E17"/>
  <c r="C12"/>
  <c r="K8"/>
  <c r="G50" i="12"/>
  <c r="K46"/>
  <c r="I44"/>
  <c r="K40"/>
  <c r="D39"/>
  <c r="F37"/>
  <c r="H35"/>
  <c r="J31"/>
  <c r="C30"/>
  <c r="E28"/>
  <c r="G24"/>
  <c r="I22"/>
  <c r="K18"/>
  <c r="D17"/>
  <c r="F15"/>
  <c r="H13"/>
  <c r="J11"/>
  <c r="C10"/>
  <c r="E8"/>
  <c r="H134" i="11"/>
  <c r="L132"/>
  <c r="F131"/>
  <c r="J129"/>
  <c r="D128"/>
  <c r="H126"/>
  <c r="L124"/>
  <c r="F123"/>
  <c r="J121"/>
  <c r="D120"/>
  <c r="H118"/>
  <c r="L116"/>
  <c r="F115"/>
  <c r="J113"/>
  <c r="D112"/>
  <c r="H110"/>
  <c r="L108"/>
  <c r="F107"/>
  <c r="J105"/>
  <c r="D104"/>
  <c r="H102"/>
  <c r="L100"/>
  <c r="F99"/>
  <c r="J97"/>
  <c r="D96"/>
  <c r="H94"/>
  <c r="L92"/>
  <c r="F91"/>
  <c r="J89"/>
  <c r="D88"/>
  <c r="H86"/>
  <c r="L84"/>
  <c r="F83"/>
  <c r="J81"/>
  <c r="D80"/>
  <c r="H78"/>
  <c r="L76"/>
  <c r="F75"/>
  <c r="J73"/>
  <c r="D72"/>
  <c r="H70"/>
  <c r="L68"/>
  <c r="F67"/>
  <c r="J65"/>
  <c r="D63"/>
  <c r="H60"/>
  <c r="L58"/>
  <c r="F57"/>
  <c r="J55"/>
  <c r="D54"/>
  <c r="H50"/>
  <c r="L48"/>
  <c r="F47"/>
  <c r="J45"/>
  <c r="D44"/>
  <c r="H42"/>
  <c r="L39"/>
  <c r="F38"/>
  <c r="J36"/>
  <c r="D35"/>
  <c r="H33"/>
  <c r="L31"/>
  <c r="F30"/>
  <c r="J28"/>
  <c r="D27"/>
  <c r="H25"/>
  <c r="L23"/>
  <c r="F22"/>
  <c r="J19"/>
  <c r="D18"/>
  <c r="H16"/>
  <c r="L14"/>
  <c r="F13"/>
  <c r="J10"/>
  <c r="D9"/>
  <c r="G111" i="10"/>
  <c r="I109"/>
  <c r="K107"/>
  <c r="D106"/>
  <c r="F104"/>
  <c r="H102"/>
  <c r="J100"/>
  <c r="C99"/>
  <c r="E94"/>
  <c r="G92"/>
  <c r="I89"/>
  <c r="K87"/>
  <c r="D85"/>
  <c r="F83"/>
  <c r="H80"/>
  <c r="J77"/>
  <c r="C75"/>
  <c r="E71"/>
  <c r="G67"/>
  <c r="I63"/>
  <c r="K57"/>
  <c r="D55"/>
  <c r="F51"/>
  <c r="H47"/>
  <c r="J43"/>
  <c r="C41"/>
  <c r="E37"/>
  <c r="G33"/>
  <c r="I29"/>
  <c r="K25"/>
  <c r="D23"/>
  <c r="F19"/>
  <c r="H8"/>
  <c r="J133" i="9"/>
  <c r="C132"/>
  <c r="E130"/>
  <c r="G128"/>
  <c r="I126"/>
  <c r="K124"/>
  <c r="D123"/>
  <c r="F121"/>
  <c r="H116"/>
  <c r="J114"/>
  <c r="C112"/>
  <c r="E110"/>
  <c r="G107"/>
  <c r="I105"/>
  <c r="K102"/>
  <c r="D101"/>
  <c r="F97"/>
  <c r="H93"/>
  <c r="J89"/>
  <c r="C87"/>
  <c r="E81"/>
  <c r="E79"/>
  <c r="F77"/>
  <c r="G75"/>
  <c r="H70"/>
  <c r="I63"/>
  <c r="J60"/>
  <c r="K55"/>
  <c r="C55"/>
  <c r="D53"/>
  <c r="E51"/>
  <c r="F49"/>
  <c r="G47"/>
  <c r="H45"/>
  <c r="I43"/>
  <c r="J41"/>
  <c r="K39"/>
  <c r="C39"/>
  <c r="D37"/>
  <c r="E35"/>
  <c r="F33"/>
  <c r="G31"/>
  <c r="H29"/>
  <c r="I27"/>
  <c r="J25"/>
  <c r="K23"/>
  <c r="C23"/>
  <c r="D21"/>
  <c r="E19"/>
  <c r="F17"/>
  <c r="G8"/>
  <c r="H6"/>
  <c r="I14" i="8"/>
  <c r="J13"/>
  <c r="K12"/>
  <c r="C12"/>
  <c r="D10"/>
  <c r="E9"/>
  <c r="F8"/>
  <c r="G7"/>
  <c r="H6"/>
  <c r="I27" i="7"/>
  <c r="J26"/>
  <c r="K25"/>
  <c r="C25"/>
  <c r="D23"/>
  <c r="E22"/>
  <c r="F20"/>
  <c r="G19"/>
  <c r="H18"/>
  <c r="I17"/>
  <c r="J16"/>
  <c r="K15"/>
  <c r="C15"/>
  <c r="D14"/>
  <c r="E13"/>
  <c r="F12"/>
  <c r="G11"/>
  <c r="H8"/>
  <c r="I7"/>
  <c r="J6"/>
  <c r="K58" i="6"/>
  <c r="C58"/>
  <c r="D57"/>
  <c r="E56"/>
  <c r="F55"/>
  <c r="G53"/>
  <c r="H52"/>
  <c r="I51"/>
  <c r="J49"/>
  <c r="K48"/>
  <c r="C48"/>
  <c r="D47"/>
  <c r="E46"/>
  <c r="F44"/>
  <c r="G43"/>
  <c r="H42"/>
  <c r="I41"/>
  <c r="J39"/>
  <c r="K38"/>
  <c r="C38"/>
  <c r="D37"/>
  <c r="E36"/>
  <c r="F34"/>
  <c r="G33"/>
  <c r="H32"/>
  <c r="I31"/>
  <c r="J29"/>
  <c r="K28"/>
  <c r="C28"/>
  <c r="D27"/>
  <c r="E26"/>
  <c r="F24"/>
  <c r="G23"/>
  <c r="H22"/>
  <c r="I21"/>
  <c r="J19"/>
  <c r="K18"/>
  <c r="C18"/>
  <c r="D17"/>
  <c r="E16"/>
  <c r="F14"/>
  <c r="G13"/>
  <c r="H12"/>
  <c r="I11"/>
  <c r="J9"/>
  <c r="K8"/>
  <c r="C8"/>
  <c r="D7"/>
  <c r="E6"/>
  <c r="F33" i="5"/>
  <c r="G32"/>
  <c r="H31"/>
  <c r="I30"/>
  <c r="J29"/>
  <c r="K25"/>
  <c r="C25"/>
  <c r="D24"/>
  <c r="E23"/>
  <c r="F21"/>
  <c r="G20"/>
  <c r="H19"/>
  <c r="I18"/>
  <c r="J17"/>
  <c r="K15"/>
  <c r="C15"/>
  <c r="D14"/>
  <c r="E13"/>
  <c r="F11"/>
  <c r="G10"/>
  <c r="H9"/>
  <c r="I8"/>
  <c r="J7"/>
  <c r="K6"/>
  <c r="C6"/>
  <c r="E45" i="4"/>
  <c r="G44"/>
  <c r="I43"/>
  <c r="K40"/>
  <c r="C40"/>
  <c r="E39"/>
  <c r="G37"/>
  <c r="I36"/>
  <c r="K33"/>
  <c r="C33"/>
  <c r="E30"/>
  <c r="G29"/>
  <c r="I27"/>
  <c r="K26"/>
  <c r="C26"/>
  <c r="E23"/>
  <c r="G22"/>
  <c r="I20"/>
  <c r="K19"/>
  <c r="C19"/>
  <c r="E16"/>
  <c r="G15"/>
  <c r="I14"/>
  <c r="K11"/>
  <c r="C11"/>
  <c r="E10"/>
  <c r="G8"/>
  <c r="I7"/>
  <c r="K24" i="3"/>
  <c r="C24"/>
  <c r="E23"/>
  <c r="G22"/>
  <c r="I20"/>
  <c r="K19"/>
  <c r="C19"/>
  <c r="E18"/>
  <c r="G17"/>
  <c r="I16"/>
  <c r="K15"/>
  <c r="C15"/>
  <c r="E14"/>
  <c r="G12"/>
  <c r="I11"/>
  <c r="K10"/>
  <c r="C10"/>
  <c r="E9"/>
  <c r="G8"/>
  <c r="I7"/>
  <c r="K6"/>
  <c r="C6"/>
  <c r="D25" i="2"/>
  <c r="E24"/>
  <c r="F23"/>
  <c r="G20"/>
  <c r="H18"/>
  <c r="I16"/>
  <c r="J14"/>
  <c r="K13"/>
  <c r="C13"/>
  <c r="D12"/>
  <c r="E10"/>
  <c r="F9"/>
  <c r="G8"/>
  <c r="H7"/>
  <c r="I6"/>
  <c r="E38" i="19"/>
  <c r="D29"/>
  <c r="C22"/>
  <c r="K12"/>
  <c r="L215" i="17"/>
  <c r="E210"/>
  <c r="C207"/>
  <c r="K203"/>
  <c r="I200"/>
  <c r="G197"/>
  <c r="E194"/>
  <c r="C191"/>
  <c r="K187"/>
  <c r="I184"/>
  <c r="G181"/>
  <c r="E178"/>
  <c r="C175"/>
  <c r="I168"/>
  <c r="G165"/>
  <c r="E162"/>
  <c r="C159"/>
  <c r="K155"/>
  <c r="I152"/>
  <c r="E146"/>
  <c r="C143"/>
  <c r="I136"/>
  <c r="E130"/>
  <c r="K123"/>
  <c r="G117"/>
  <c r="C111"/>
  <c r="K107"/>
  <c r="G101"/>
  <c r="C95"/>
  <c r="I88"/>
  <c r="E82"/>
  <c r="K75"/>
  <c r="G69"/>
  <c r="C63"/>
  <c r="I55"/>
  <c r="E48"/>
  <c r="K41"/>
  <c r="I37"/>
  <c r="E31"/>
  <c r="K23"/>
  <c r="G17"/>
  <c r="C10"/>
  <c r="I168" i="16"/>
  <c r="E162"/>
  <c r="K149"/>
  <c r="G137"/>
  <c r="C125"/>
  <c r="I111"/>
  <c r="E99"/>
  <c r="K85"/>
  <c r="G71"/>
  <c r="C59"/>
  <c r="I45"/>
  <c r="G39"/>
  <c r="C27"/>
  <c r="I13"/>
  <c r="C28" i="13"/>
  <c r="I15"/>
  <c r="E7"/>
  <c r="H45" i="12"/>
  <c r="J41"/>
  <c r="E38"/>
  <c r="I34"/>
  <c r="F27"/>
  <c r="J21"/>
  <c r="E16"/>
  <c r="I12"/>
  <c r="K10"/>
  <c r="F7"/>
  <c r="D132" i="11"/>
  <c r="L128"/>
  <c r="J125"/>
  <c r="H122"/>
  <c r="F119"/>
  <c r="D116"/>
  <c r="L112"/>
  <c r="J109"/>
  <c r="H106"/>
  <c r="F103"/>
  <c r="D100"/>
  <c r="H98"/>
  <c r="F95"/>
  <c r="D92"/>
  <c r="L88"/>
  <c r="J85"/>
  <c r="H82"/>
  <c r="F79"/>
  <c r="D76"/>
  <c r="L72"/>
  <c r="J69"/>
  <c r="H66"/>
  <c r="F62"/>
  <c r="D58"/>
  <c r="L54"/>
  <c r="F51"/>
  <c r="D48"/>
  <c r="L44"/>
  <c r="J41"/>
  <c r="H37"/>
  <c r="F34"/>
  <c r="D31"/>
  <c r="L27"/>
  <c r="J24"/>
  <c r="D23"/>
  <c r="L18"/>
  <c r="J15"/>
  <c r="H12"/>
  <c r="F8"/>
  <c r="J108" i="10"/>
  <c r="E105"/>
  <c r="I101"/>
  <c r="D95"/>
  <c r="J88"/>
  <c r="E84"/>
  <c r="I79"/>
  <c r="K75"/>
  <c r="F69"/>
  <c r="J59"/>
  <c r="E53"/>
  <c r="I45"/>
  <c r="D39"/>
  <c r="H31"/>
  <c r="C25"/>
  <c r="G17"/>
  <c r="K132" i="9"/>
  <c r="F129"/>
  <c r="J125"/>
  <c r="E122"/>
  <c r="I115"/>
  <c r="K112"/>
  <c r="F109"/>
  <c r="J103"/>
  <c r="E99"/>
  <c r="I91"/>
  <c r="D85"/>
  <c r="J77"/>
  <c r="C75"/>
  <c r="E63"/>
  <c r="G55"/>
  <c r="I51"/>
  <c r="K47"/>
  <c r="D45"/>
  <c r="F41"/>
  <c r="H37"/>
  <c r="J33"/>
  <c r="C31"/>
  <c r="E27"/>
  <c r="F25"/>
  <c r="H21"/>
  <c r="J17"/>
  <c r="C8"/>
  <c r="E14" i="8"/>
  <c r="G12"/>
  <c r="I9"/>
  <c r="K7"/>
  <c r="D6"/>
  <c r="F26" i="7"/>
  <c r="G25"/>
  <c r="I22"/>
  <c r="K19"/>
  <c r="D18"/>
  <c r="F16"/>
  <c r="G15"/>
  <c r="I13"/>
  <c r="K11"/>
  <c r="D8"/>
  <c r="F6"/>
  <c r="H57" i="6"/>
  <c r="J55"/>
  <c r="C53"/>
  <c r="D52"/>
  <c r="F49"/>
  <c r="H47"/>
  <c r="J44"/>
  <c r="C43"/>
  <c r="E41"/>
  <c r="G38"/>
  <c r="H37"/>
  <c r="J34"/>
  <c r="C33"/>
  <c r="E31"/>
  <c r="G28"/>
  <c r="I26"/>
  <c r="K23"/>
  <c r="D22"/>
  <c r="F19"/>
  <c r="G18"/>
  <c r="I16"/>
  <c r="K13"/>
  <c r="D12"/>
  <c r="F9"/>
  <c r="H7"/>
  <c r="K32" i="5"/>
  <c r="D31"/>
  <c r="F29"/>
  <c r="G25"/>
  <c r="I23"/>
  <c r="K20"/>
  <c r="D19"/>
  <c r="F17"/>
  <c r="H14"/>
  <c r="J11"/>
  <c r="C10"/>
  <c r="E8"/>
  <c r="G6"/>
  <c r="K44" i="4"/>
  <c r="E43"/>
  <c r="G40"/>
  <c r="K37"/>
  <c r="E36"/>
  <c r="I30"/>
  <c r="C29"/>
  <c r="G26"/>
  <c r="I23"/>
  <c r="C22"/>
  <c r="G19"/>
  <c r="K15"/>
  <c r="E14"/>
  <c r="I10"/>
  <c r="C8"/>
  <c r="G24" i="3"/>
  <c r="K22"/>
  <c r="E20"/>
  <c r="I18"/>
  <c r="C17"/>
  <c r="G15"/>
  <c r="K12"/>
  <c r="C12"/>
  <c r="G10"/>
  <c r="K8"/>
  <c r="E7"/>
  <c r="H25" i="2"/>
  <c r="J23"/>
  <c r="C20"/>
  <c r="E16"/>
  <c r="G13"/>
  <c r="I10"/>
  <c r="K8"/>
  <c r="D7"/>
  <c r="L27" i="34"/>
  <c r="L41" i="26"/>
  <c r="F11"/>
  <c r="J13" i="24"/>
  <c r="D17" i="23"/>
  <c r="J52" i="22"/>
  <c r="D23"/>
  <c r="H10" i="21"/>
  <c r="E61" i="20"/>
  <c r="K46"/>
  <c r="I26"/>
  <c r="K13"/>
  <c r="E59" i="19"/>
  <c r="C40"/>
  <c r="J23"/>
  <c r="H7"/>
  <c r="K207" i="17"/>
  <c r="G201"/>
  <c r="C195"/>
  <c r="I188"/>
  <c r="E182"/>
  <c r="K175"/>
  <c r="G169"/>
  <c r="E166"/>
  <c r="K159"/>
  <c r="G153"/>
  <c r="C147"/>
  <c r="I140"/>
  <c r="E134"/>
  <c r="K127"/>
  <c r="G121"/>
  <c r="C115"/>
  <c r="I108"/>
  <c r="E102"/>
  <c r="K95"/>
  <c r="G89"/>
  <c r="C83"/>
  <c r="I76"/>
  <c r="E70"/>
  <c r="K63"/>
  <c r="G56"/>
  <c r="C50"/>
  <c r="I42"/>
  <c r="E35"/>
  <c r="K28"/>
  <c r="G21"/>
  <c r="C14"/>
  <c r="I172" i="16"/>
  <c r="E166"/>
  <c r="K159"/>
  <c r="G145"/>
  <c r="K125"/>
  <c r="G113"/>
  <c r="C101"/>
  <c r="I87"/>
  <c r="E75"/>
  <c r="K59"/>
  <c r="G47"/>
  <c r="C35"/>
  <c r="K27"/>
  <c r="G15"/>
  <c r="K28" i="13"/>
  <c r="G16"/>
  <c r="C8"/>
  <c r="C46" i="12"/>
  <c r="G40"/>
  <c r="K36"/>
  <c r="F31"/>
  <c r="J27"/>
  <c r="E22"/>
  <c r="I16"/>
  <c r="D13"/>
  <c r="H9"/>
  <c r="D134" i="11"/>
  <c r="L130"/>
  <c r="J127"/>
  <c r="H124"/>
  <c r="F121"/>
  <c r="D118"/>
  <c r="L114"/>
  <c r="J111"/>
  <c r="H108"/>
  <c r="F105"/>
  <c r="D102"/>
  <c r="L98"/>
  <c r="J95"/>
  <c r="H92"/>
  <c r="F89"/>
  <c r="J87"/>
  <c r="H84"/>
  <c r="F81"/>
  <c r="D78"/>
  <c r="L74"/>
  <c r="J71"/>
  <c r="H68"/>
  <c r="F65"/>
  <c r="D60"/>
  <c r="L56"/>
  <c r="J51"/>
  <c r="H48"/>
  <c r="F45"/>
  <c r="D42"/>
  <c r="L37"/>
  <c r="J34"/>
  <c r="H31"/>
  <c r="F28"/>
  <c r="D25"/>
  <c r="L20"/>
  <c r="J17"/>
  <c r="H14"/>
  <c r="F10"/>
  <c r="C111" i="10"/>
  <c r="G107"/>
  <c r="K103"/>
  <c r="F100"/>
  <c r="J93"/>
  <c r="E89"/>
  <c r="I84"/>
  <c r="D80"/>
  <c r="H73"/>
  <c r="C67"/>
  <c r="G57"/>
  <c r="K49"/>
  <c r="F43"/>
  <c r="J35"/>
  <c r="E29"/>
  <c r="I21"/>
  <c r="D8"/>
  <c r="H131" i="9"/>
  <c r="C128"/>
  <c r="G124"/>
  <c r="K117"/>
  <c r="F114"/>
  <c r="J109"/>
  <c r="E105"/>
  <c r="I99"/>
  <c r="D93"/>
  <c r="H85"/>
  <c r="K77"/>
  <c r="D75"/>
  <c r="F63"/>
  <c r="H55"/>
  <c r="J51"/>
  <c r="C49"/>
  <c r="E45"/>
  <c r="G41"/>
  <c r="I37"/>
  <c r="K33"/>
  <c r="D31"/>
  <c r="F27"/>
  <c r="G25"/>
  <c r="I21"/>
  <c r="K17"/>
  <c r="D8"/>
  <c r="F14" i="8"/>
  <c r="H12"/>
  <c r="J9"/>
  <c r="C8"/>
  <c r="D7"/>
  <c r="F27" i="7"/>
  <c r="H25"/>
  <c r="J22"/>
  <c r="C20"/>
  <c r="E18"/>
  <c r="G16"/>
  <c r="I14"/>
  <c r="K12"/>
  <c r="D11"/>
  <c r="F7"/>
  <c r="H58" i="6"/>
  <c r="J56"/>
  <c r="C55"/>
  <c r="E52"/>
  <c r="G49"/>
  <c r="I47"/>
  <c r="K44"/>
  <c r="D43"/>
  <c r="F41"/>
  <c r="H38"/>
  <c r="J36"/>
  <c r="C34"/>
  <c r="E32"/>
  <c r="G29"/>
  <c r="I27"/>
  <c r="K24"/>
  <c r="E22"/>
  <c r="G19"/>
  <c r="I17"/>
  <c r="K14"/>
  <c r="D13"/>
  <c r="F11"/>
  <c r="H8"/>
  <c r="J6"/>
  <c r="C33" i="5"/>
  <c r="E31"/>
  <c r="G29"/>
  <c r="I24"/>
  <c r="K21"/>
  <c r="D20"/>
  <c r="F18"/>
  <c r="H15"/>
  <c r="J13"/>
  <c r="C11"/>
  <c r="D10"/>
  <c r="F8"/>
  <c r="H6"/>
  <c r="L44" i="4"/>
  <c r="H40"/>
  <c r="L37"/>
  <c r="F36"/>
  <c r="J30"/>
  <c r="D29"/>
  <c r="H26"/>
  <c r="L22"/>
  <c r="F20"/>
  <c r="J16"/>
  <c r="D15"/>
  <c r="H11"/>
  <c r="L8"/>
  <c r="F7"/>
  <c r="J23" i="3"/>
  <c r="D22"/>
  <c r="H19"/>
  <c r="L17"/>
  <c r="F16"/>
  <c r="J14"/>
  <c r="D12"/>
  <c r="F11"/>
  <c r="J9"/>
  <c r="D8"/>
  <c r="H6"/>
  <c r="J24" i="2"/>
  <c r="C23"/>
  <c r="E18"/>
  <c r="G14"/>
  <c r="I12"/>
  <c r="K9"/>
  <c r="C9"/>
  <c r="E7"/>
  <c r="F13" i="32"/>
  <c r="I9" i="29"/>
  <c r="H34" i="26"/>
  <c r="J18"/>
  <c r="L18" i="25"/>
  <c r="D22" i="24"/>
  <c r="F6"/>
  <c r="H25" i="23"/>
  <c r="J7"/>
  <c r="L75" i="22"/>
  <c r="D62"/>
  <c r="F46"/>
  <c r="H30"/>
  <c r="J16"/>
  <c r="L18" i="21"/>
  <c r="H65" i="20"/>
  <c r="G57"/>
  <c r="C50"/>
  <c r="I43"/>
  <c r="E36"/>
  <c r="K29"/>
  <c r="G23"/>
  <c r="C17"/>
  <c r="I10"/>
  <c r="J62" i="19"/>
  <c r="I52"/>
  <c r="H43"/>
  <c r="G34"/>
  <c r="F27"/>
  <c r="E20"/>
  <c r="D11"/>
  <c r="F214" i="17"/>
  <c r="G209"/>
  <c r="E206"/>
  <c r="C203"/>
  <c r="K199"/>
  <c r="I196"/>
  <c r="G193"/>
  <c r="E190"/>
  <c r="C187"/>
  <c r="K183"/>
  <c r="I180"/>
  <c r="G177"/>
  <c r="E174"/>
  <c r="C171"/>
  <c r="K167"/>
  <c r="I164"/>
  <c r="G161"/>
  <c r="E158"/>
  <c r="C155"/>
  <c r="K151"/>
  <c r="I148"/>
  <c r="G145"/>
  <c r="E142"/>
  <c r="C139"/>
  <c r="K135"/>
  <c r="I132"/>
  <c r="G129"/>
  <c r="E126"/>
  <c r="C123"/>
  <c r="K119"/>
  <c r="I116"/>
  <c r="G113"/>
  <c r="E110"/>
  <c r="C107"/>
  <c r="K103"/>
  <c r="I100"/>
  <c r="G97"/>
  <c r="E94"/>
  <c r="C91"/>
  <c r="K87"/>
  <c r="I84"/>
  <c r="G81"/>
  <c r="E78"/>
  <c r="C75"/>
  <c r="K71"/>
  <c r="I68"/>
  <c r="G65"/>
  <c r="E62"/>
  <c r="C58"/>
  <c r="K54"/>
  <c r="I51"/>
  <c r="G47"/>
  <c r="E44"/>
  <c r="C41"/>
  <c r="K36"/>
  <c r="I33"/>
  <c r="G30"/>
  <c r="E27"/>
  <c r="C23"/>
  <c r="K19"/>
  <c r="I16"/>
  <c r="G12"/>
  <c r="E9"/>
  <c r="C171" i="16"/>
  <c r="K167"/>
  <c r="I164"/>
  <c r="G161"/>
  <c r="E158"/>
  <c r="C149"/>
  <c r="K141"/>
  <c r="I135"/>
  <c r="G129"/>
  <c r="E123"/>
  <c r="C117"/>
  <c r="K109"/>
  <c r="I103"/>
  <c r="G97"/>
  <c r="E91"/>
  <c r="C85"/>
  <c r="K77"/>
  <c r="I69"/>
  <c r="G63"/>
  <c r="E57"/>
  <c r="C51"/>
  <c r="K43"/>
  <c r="I37"/>
  <c r="G31"/>
  <c r="E25"/>
  <c r="C19"/>
  <c r="K11"/>
  <c r="H6" i="15"/>
  <c r="E27" i="13"/>
  <c r="C18"/>
  <c r="K12"/>
  <c r="I9"/>
  <c r="F51" i="12"/>
  <c r="J47"/>
  <c r="D45"/>
  <c r="F41"/>
  <c r="H39"/>
  <c r="J37"/>
  <c r="C36"/>
  <c r="E34"/>
  <c r="G30"/>
  <c r="I28"/>
  <c r="K24"/>
  <c r="D23"/>
  <c r="F21"/>
  <c r="H17"/>
  <c r="J15"/>
  <c r="C14"/>
  <c r="E12"/>
  <c r="G10"/>
  <c r="I8"/>
  <c r="L134" i="11"/>
  <c r="F133"/>
  <c r="J131"/>
  <c r="D130"/>
  <c r="H128"/>
  <c r="L126"/>
  <c r="F125"/>
  <c r="J123"/>
  <c r="D122"/>
  <c r="H120"/>
  <c r="L118"/>
  <c r="F117"/>
  <c r="J115"/>
  <c r="D114"/>
  <c r="H112"/>
  <c r="L110"/>
  <c r="F109"/>
  <c r="J107"/>
  <c r="D106"/>
  <c r="H104"/>
  <c r="L102"/>
  <c r="F101"/>
  <c r="J99"/>
  <c r="D98"/>
  <c r="H96"/>
  <c r="L94"/>
  <c r="F93"/>
  <c r="J91"/>
  <c r="D90"/>
  <c r="H88"/>
  <c r="L86"/>
  <c r="F85"/>
  <c r="J83"/>
  <c r="D82"/>
  <c r="H80"/>
  <c r="L78"/>
  <c r="F77"/>
  <c r="J75"/>
  <c r="D74"/>
  <c r="H72"/>
  <c r="L70"/>
  <c r="F69"/>
  <c r="J67"/>
  <c r="D66"/>
  <c r="H63"/>
  <c r="L60"/>
  <c r="F59"/>
  <c r="J57"/>
  <c r="D56"/>
  <c r="H54"/>
  <c r="L50"/>
  <c r="F49"/>
  <c r="J47"/>
  <c r="D46"/>
  <c r="H44"/>
  <c r="L42"/>
  <c r="F41"/>
  <c r="J38"/>
  <c r="D37"/>
  <c r="H35"/>
  <c r="L33"/>
  <c r="F32"/>
  <c r="J30"/>
  <c r="D29"/>
  <c r="H27"/>
  <c r="L25"/>
  <c r="F24"/>
  <c r="J22"/>
  <c r="D20"/>
  <c r="H18"/>
  <c r="L16"/>
  <c r="F15"/>
  <c r="J13"/>
  <c r="D12"/>
  <c r="H9"/>
  <c r="K111" i="10"/>
  <c r="D110"/>
  <c r="F108"/>
  <c r="H106"/>
  <c r="J104"/>
  <c r="C103"/>
  <c r="E101"/>
  <c r="G99"/>
  <c r="I94"/>
  <c r="K92"/>
  <c r="D90"/>
  <c r="F88"/>
  <c r="H85"/>
  <c r="J83"/>
  <c r="C81"/>
  <c r="E79"/>
  <c r="G75"/>
  <c r="I71"/>
  <c r="K67"/>
  <c r="D65"/>
  <c r="F59"/>
  <c r="H55"/>
  <c r="J51"/>
  <c r="C49"/>
  <c r="E45"/>
  <c r="G41"/>
  <c r="I37"/>
  <c r="K33"/>
  <c r="D31"/>
  <c r="F27"/>
  <c r="H23"/>
  <c r="J19"/>
  <c r="C17"/>
  <c r="E6"/>
  <c r="G132" i="9"/>
  <c r="I130"/>
  <c r="K128"/>
  <c r="D127"/>
  <c r="F125"/>
  <c r="H123"/>
  <c r="J121"/>
  <c r="C117"/>
  <c r="E115"/>
  <c r="G112"/>
  <c r="I110"/>
  <c r="K107"/>
  <c r="D106"/>
  <c r="F103"/>
  <c r="H101"/>
  <c r="J97"/>
  <c r="C95"/>
  <c r="E91"/>
  <c r="G87"/>
  <c r="I81"/>
  <c r="F79"/>
  <c r="G77"/>
  <c r="H75"/>
  <c r="I70"/>
  <c r="J63"/>
  <c r="K60"/>
  <c r="C60"/>
  <c r="D55"/>
  <c r="E53"/>
  <c r="F51"/>
  <c r="G49"/>
  <c r="H47"/>
  <c r="I45"/>
  <c r="J43"/>
  <c r="K41"/>
  <c r="C41"/>
  <c r="D39"/>
  <c r="E37"/>
  <c r="F35"/>
  <c r="G33"/>
  <c r="H31"/>
  <c r="I29"/>
  <c r="J27"/>
  <c r="K25"/>
  <c r="C25"/>
  <c r="D23"/>
  <c r="E21"/>
  <c r="F19"/>
  <c r="G17"/>
  <c r="H8"/>
  <c r="I6"/>
  <c r="J14" i="8"/>
  <c r="K13"/>
  <c r="C13"/>
  <c r="D12"/>
  <c r="E10"/>
  <c r="F9"/>
  <c r="G8"/>
  <c r="H7"/>
  <c r="I6"/>
  <c r="J27" i="7"/>
  <c r="K26"/>
  <c r="C26"/>
  <c r="D25"/>
  <c r="E23"/>
  <c r="F22"/>
  <c r="G20"/>
  <c r="H19"/>
  <c r="I18"/>
  <c r="J17"/>
  <c r="K16"/>
  <c r="C16"/>
  <c r="D15"/>
  <c r="E14"/>
  <c r="F13"/>
  <c r="G12"/>
  <c r="H11"/>
  <c r="I8"/>
  <c r="J7"/>
  <c r="K6"/>
  <c r="C6"/>
  <c r="D58" i="6"/>
  <c r="E57"/>
  <c r="F56"/>
  <c r="G55"/>
  <c r="H53"/>
  <c r="I52"/>
  <c r="J51"/>
  <c r="K49"/>
  <c r="C49"/>
  <c r="D48"/>
  <c r="E47"/>
  <c r="F46"/>
  <c r="G44"/>
  <c r="H43"/>
  <c r="I42"/>
  <c r="J41"/>
  <c r="K39"/>
  <c r="C39"/>
  <c r="D38"/>
  <c r="E37"/>
  <c r="F36"/>
  <c r="G34"/>
  <c r="H33"/>
  <c r="I32"/>
  <c r="J31"/>
  <c r="K29"/>
  <c r="C29"/>
  <c r="D28"/>
  <c r="E27"/>
  <c r="F26"/>
  <c r="G24"/>
  <c r="H23"/>
  <c r="I22"/>
  <c r="J21"/>
  <c r="K19"/>
  <c r="C19"/>
  <c r="D18"/>
  <c r="E17"/>
  <c r="F16"/>
  <c r="G14"/>
  <c r="H13"/>
  <c r="I12"/>
  <c r="J11"/>
  <c r="K9"/>
  <c r="C9"/>
  <c r="D8"/>
  <c r="E7"/>
  <c r="F6"/>
  <c r="G33" i="5"/>
  <c r="H32"/>
  <c r="I31"/>
  <c r="J30"/>
  <c r="K29"/>
  <c r="C29"/>
  <c r="D25"/>
  <c r="E24"/>
  <c r="F23"/>
  <c r="G21"/>
  <c r="H20"/>
  <c r="I19"/>
  <c r="J18"/>
  <c r="K17"/>
  <c r="C17"/>
  <c r="D15"/>
  <c r="E14"/>
  <c r="F13"/>
  <c r="G11"/>
  <c r="H10"/>
  <c r="I9"/>
  <c r="J8"/>
  <c r="K7"/>
  <c r="C7"/>
  <c r="D6"/>
  <c r="F45" i="4"/>
  <c r="H44"/>
  <c r="J43"/>
  <c r="L40"/>
  <c r="D40"/>
  <c r="F39"/>
  <c r="H37"/>
  <c r="J36"/>
  <c r="L33"/>
  <c r="D33"/>
  <c r="F30"/>
  <c r="H29"/>
  <c r="J27"/>
  <c r="L26"/>
  <c r="D26"/>
  <c r="F23"/>
  <c r="H22"/>
  <c r="J20"/>
  <c r="L19"/>
  <c r="D19"/>
  <c r="F16"/>
  <c r="H15"/>
  <c r="J14"/>
  <c r="L11"/>
  <c r="D11"/>
  <c r="F10"/>
  <c r="H8"/>
  <c r="J7"/>
  <c r="L24" i="3"/>
  <c r="D24"/>
  <c r="F23"/>
  <c r="H22"/>
  <c r="J20"/>
  <c r="L19"/>
  <c r="D19"/>
  <c r="F18"/>
  <c r="H17"/>
  <c r="J16"/>
  <c r="L15"/>
  <c r="D15"/>
  <c r="F14"/>
  <c r="H12"/>
  <c r="J11"/>
  <c r="L10"/>
  <c r="D10"/>
  <c r="F9"/>
  <c r="H8"/>
  <c r="J7"/>
  <c r="L6"/>
  <c r="D6"/>
  <c r="E25" i="2"/>
  <c r="F24"/>
  <c r="G23"/>
  <c r="H20"/>
  <c r="I18"/>
  <c r="J16"/>
  <c r="K14"/>
  <c r="C14"/>
  <c r="D13"/>
  <c r="E12"/>
  <c r="F10"/>
  <c r="G9"/>
  <c r="H8"/>
  <c r="I7"/>
  <c r="J6"/>
  <c r="D6" i="34"/>
  <c r="K26" i="29"/>
  <c r="J38" i="26"/>
  <c r="L22"/>
  <c r="D8"/>
  <c r="F7" i="25"/>
  <c r="H9" i="24"/>
  <c r="J29" i="23"/>
  <c r="L11"/>
  <c r="D79" i="22"/>
  <c r="F65"/>
  <c r="H49"/>
  <c r="J33"/>
  <c r="L19"/>
  <c r="D24" i="21"/>
  <c r="F7"/>
  <c r="D59" i="20"/>
  <c r="I51"/>
  <c r="E45"/>
  <c r="K37"/>
  <c r="G31"/>
  <c r="C25"/>
  <c r="I18"/>
  <c r="E12"/>
  <c r="H64" i="19"/>
  <c r="G55"/>
  <c r="F45"/>
  <c r="K171" i="17"/>
  <c r="G149"/>
  <c r="K139"/>
  <c r="G133"/>
  <c r="C127"/>
  <c r="I120"/>
  <c r="E114"/>
  <c r="I104"/>
  <c r="E98"/>
  <c r="K91"/>
  <c r="G85"/>
  <c r="C79"/>
  <c r="I72"/>
  <c r="E66"/>
  <c r="K58"/>
  <c r="G52"/>
  <c r="C45"/>
  <c r="G34"/>
  <c r="C28"/>
  <c r="I20"/>
  <c r="E13"/>
  <c r="K171" i="16"/>
  <c r="G165"/>
  <c r="C159"/>
  <c r="I143"/>
  <c r="E131"/>
  <c r="K117"/>
  <c r="G105"/>
  <c r="C93"/>
  <c r="I79"/>
  <c r="E65"/>
  <c r="K51"/>
  <c r="E33"/>
  <c r="K19"/>
  <c r="G7"/>
  <c r="K18" i="13"/>
  <c r="G10"/>
  <c r="I48" i="12"/>
  <c r="C40"/>
  <c r="G36"/>
  <c r="K30"/>
  <c r="D29"/>
  <c r="H23"/>
  <c r="C18"/>
  <c r="G14"/>
  <c r="D9"/>
  <c r="J133" i="11"/>
  <c r="H130"/>
  <c r="F127"/>
  <c r="D124"/>
  <c r="L120"/>
  <c r="J117"/>
  <c r="H114"/>
  <c r="F111"/>
  <c r="D108"/>
  <c r="L104"/>
  <c r="J101"/>
  <c r="L96"/>
  <c r="J93"/>
  <c r="H90"/>
  <c r="F87"/>
  <c r="D84"/>
  <c r="L80"/>
  <c r="J77"/>
  <c r="H74"/>
  <c r="F71"/>
  <c r="D68"/>
  <c r="L63"/>
  <c r="J59"/>
  <c r="H56"/>
  <c r="J49"/>
  <c r="H46"/>
  <c r="F43"/>
  <c r="D39"/>
  <c r="L35"/>
  <c r="J32"/>
  <c r="H29"/>
  <c r="F26"/>
  <c r="H20"/>
  <c r="F17"/>
  <c r="D14"/>
  <c r="L9"/>
  <c r="H110" i="10"/>
  <c r="C107"/>
  <c r="G103"/>
  <c r="K99"/>
  <c r="F93"/>
  <c r="H90"/>
  <c r="C87"/>
  <c r="G81"/>
  <c r="D73"/>
  <c r="H65"/>
  <c r="C57"/>
  <c r="G49"/>
  <c r="K41"/>
  <c r="F35"/>
  <c r="J27"/>
  <c r="E21"/>
  <c r="I6"/>
  <c r="D131" i="9"/>
  <c r="H127"/>
  <c r="C124"/>
  <c r="G117"/>
  <c r="D111"/>
  <c r="H106"/>
  <c r="C102"/>
  <c r="G95"/>
  <c r="K87"/>
  <c r="I79"/>
  <c r="K75"/>
  <c r="D70"/>
  <c r="F60"/>
  <c r="H53"/>
  <c r="J49"/>
  <c r="C47"/>
  <c r="E43"/>
  <c r="G39"/>
  <c r="I35"/>
  <c r="K31"/>
  <c r="D29"/>
  <c r="G23"/>
  <c r="I19"/>
  <c r="K8"/>
  <c r="D6"/>
  <c r="F13" i="8"/>
  <c r="H10"/>
  <c r="J8"/>
  <c r="C7"/>
  <c r="E27" i="7"/>
  <c r="H23"/>
  <c r="J20"/>
  <c r="C19"/>
  <c r="E17"/>
  <c r="H14"/>
  <c r="J12"/>
  <c r="C11"/>
  <c r="E7"/>
  <c r="G58" i="6"/>
  <c r="I56"/>
  <c r="K53"/>
  <c r="E51"/>
  <c r="G48"/>
  <c r="I46"/>
  <c r="K43"/>
  <c r="D42"/>
  <c r="F39"/>
  <c r="I36"/>
  <c r="K33"/>
  <c r="D32"/>
  <c r="F29"/>
  <c r="H27"/>
  <c r="J24"/>
  <c r="C23"/>
  <c r="E21"/>
  <c r="H17"/>
  <c r="J14"/>
  <c r="C13"/>
  <c r="E11"/>
  <c r="G8"/>
  <c r="I6"/>
  <c r="J33" i="5"/>
  <c r="C32"/>
  <c r="E30"/>
  <c r="H24"/>
  <c r="J21"/>
  <c r="C20"/>
  <c r="E18"/>
  <c r="G15"/>
  <c r="I13"/>
  <c r="K10"/>
  <c r="D9"/>
  <c r="F7"/>
  <c r="I45" i="4"/>
  <c r="C44"/>
  <c r="I39"/>
  <c r="C37"/>
  <c r="G33"/>
  <c r="K29"/>
  <c r="E27"/>
  <c r="K22"/>
  <c r="E20"/>
  <c r="I16"/>
  <c r="C15"/>
  <c r="G11"/>
  <c r="K8"/>
  <c r="E7"/>
  <c r="I23" i="3"/>
  <c r="C22"/>
  <c r="G19"/>
  <c r="K17"/>
  <c r="E16"/>
  <c r="I14"/>
  <c r="E11"/>
  <c r="I9"/>
  <c r="C8"/>
  <c r="G6"/>
  <c r="I24" i="2"/>
  <c r="K20"/>
  <c r="D18"/>
  <c r="F14"/>
  <c r="H12"/>
  <c r="J9"/>
  <c r="C8"/>
  <c r="E6"/>
  <c r="J16" i="30"/>
  <c r="D26" i="26"/>
  <c r="H10" i="25"/>
  <c r="L33" i="23"/>
  <c r="F83" i="22"/>
  <c r="H69"/>
  <c r="L38"/>
  <c r="F9"/>
  <c r="E54" i="20"/>
  <c r="G39"/>
  <c r="C33"/>
  <c r="E20"/>
  <c r="F66" i="19"/>
  <c r="D47"/>
  <c r="K30"/>
  <c r="I14"/>
  <c r="D211" i="17"/>
  <c r="I204"/>
  <c r="E198"/>
  <c r="K191"/>
  <c r="G185"/>
  <c r="C179"/>
  <c r="I172"/>
  <c r="C163"/>
  <c r="I156"/>
  <c r="E150"/>
  <c r="K143"/>
  <c r="G137"/>
  <c r="C131"/>
  <c r="I124"/>
  <c r="E118"/>
  <c r="K111"/>
  <c r="G105"/>
  <c r="C99"/>
  <c r="I92"/>
  <c r="E86"/>
  <c r="K79"/>
  <c r="G73"/>
  <c r="C67"/>
  <c r="I59"/>
  <c r="E53"/>
  <c r="K45"/>
  <c r="G39"/>
  <c r="C32"/>
  <c r="I24"/>
  <c r="E18"/>
  <c r="K10"/>
  <c r="G169" i="16"/>
  <c r="C163"/>
  <c r="I151"/>
  <c r="E139"/>
  <c r="C133"/>
  <c r="I119"/>
  <c r="E107"/>
  <c r="K93"/>
  <c r="G81"/>
  <c r="C67"/>
  <c r="I53"/>
  <c r="E41"/>
  <c r="I21"/>
  <c r="E9"/>
  <c r="I25" i="13"/>
  <c r="E11"/>
  <c r="H49" i="12"/>
  <c r="E44"/>
  <c r="I38"/>
  <c r="D35"/>
  <c r="H29"/>
  <c r="C24"/>
  <c r="G18"/>
  <c r="K14"/>
  <c r="F11"/>
  <c r="J7"/>
  <c r="H132" i="11"/>
  <c r="F129"/>
  <c r="D126"/>
  <c r="L122"/>
  <c r="J119"/>
  <c r="H116"/>
  <c r="F113"/>
  <c r="D110"/>
  <c r="L106"/>
  <c r="J103"/>
  <c r="H100"/>
  <c r="F97"/>
  <c r="D94"/>
  <c r="L90"/>
  <c r="D86"/>
  <c r="L82"/>
  <c r="J79"/>
  <c r="H76"/>
  <c r="F73"/>
  <c r="D70"/>
  <c r="L66"/>
  <c r="J62"/>
  <c r="H58"/>
  <c r="F55"/>
  <c r="D50"/>
  <c r="L46"/>
  <c r="J43"/>
  <c r="H39"/>
  <c r="F36"/>
  <c r="D33"/>
  <c r="L29"/>
  <c r="J26"/>
  <c r="H23"/>
  <c r="F19"/>
  <c r="D16"/>
  <c r="L12"/>
  <c r="J8"/>
  <c r="E109" i="10"/>
  <c r="I105"/>
  <c r="D102"/>
  <c r="H95"/>
  <c r="C92"/>
  <c r="G87"/>
  <c r="K81"/>
  <c r="F77"/>
  <c r="J69"/>
  <c r="E63"/>
  <c r="I53"/>
  <c r="D47"/>
  <c r="H39"/>
  <c r="C33"/>
  <c r="G25"/>
  <c r="K17"/>
  <c r="F133" i="9"/>
  <c r="J129"/>
  <c r="E126"/>
  <c r="I122"/>
  <c r="D116"/>
  <c r="H111"/>
  <c r="C107"/>
  <c r="G102"/>
  <c r="K95"/>
  <c r="F89"/>
  <c r="J79"/>
  <c r="C77"/>
  <c r="E70"/>
  <c r="G60"/>
  <c r="I53"/>
  <c r="K49"/>
  <c r="D47"/>
  <c r="F43"/>
  <c r="H39"/>
  <c r="J35"/>
  <c r="C33"/>
  <c r="E29"/>
  <c r="H23"/>
  <c r="J19"/>
  <c r="C17"/>
  <c r="E6"/>
  <c r="G13" i="8"/>
  <c r="I10"/>
  <c r="K8"/>
  <c r="E6"/>
  <c r="G26" i="7"/>
  <c r="I23"/>
  <c r="K20"/>
  <c r="D19"/>
  <c r="F17"/>
  <c r="H15"/>
  <c r="J13"/>
  <c r="C12"/>
  <c r="E8"/>
  <c r="G6"/>
  <c r="I57" i="6"/>
  <c r="K55"/>
  <c r="D53"/>
  <c r="F51"/>
  <c r="H48"/>
  <c r="J46"/>
  <c r="C44"/>
  <c r="E42"/>
  <c r="G39"/>
  <c r="I37"/>
  <c r="K34"/>
  <c r="D33"/>
  <c r="F31"/>
  <c r="H28"/>
  <c r="J26"/>
  <c r="C24"/>
  <c r="D23"/>
  <c r="F21"/>
  <c r="H18"/>
  <c r="J16"/>
  <c r="C14"/>
  <c r="E12"/>
  <c r="G9"/>
  <c r="I7"/>
  <c r="K33" i="5"/>
  <c r="D32"/>
  <c r="F30"/>
  <c r="H25"/>
  <c r="J23"/>
  <c r="C21"/>
  <c r="E19"/>
  <c r="G17"/>
  <c r="I14"/>
  <c r="K11"/>
  <c r="E9"/>
  <c r="G7"/>
  <c r="J45" i="4"/>
  <c r="D44"/>
  <c r="F43"/>
  <c r="J39"/>
  <c r="D37"/>
  <c r="H33"/>
  <c r="L29"/>
  <c r="F27"/>
  <c r="J23"/>
  <c r="D22"/>
  <c r="H19"/>
  <c r="L15"/>
  <c r="F14"/>
  <c r="J10"/>
  <c r="D8"/>
  <c r="H24" i="3"/>
  <c r="L22"/>
  <c r="F20"/>
  <c r="J18"/>
  <c r="D17"/>
  <c r="H15"/>
  <c r="L12"/>
  <c r="H10"/>
  <c r="L8"/>
  <c r="F7"/>
  <c r="I25" i="2"/>
  <c r="K23"/>
  <c r="D20"/>
  <c r="F16"/>
  <c r="H13"/>
  <c r="J10"/>
  <c r="D8"/>
  <c r="F6"/>
</calcChain>
</file>

<file path=xl/sharedStrings.xml><?xml version="1.0" encoding="utf-8"?>
<sst xmlns="http://schemas.openxmlformats.org/spreadsheetml/2006/main" count="4657" uniqueCount="1793">
  <si>
    <t>Revenue</t>
  </si>
  <si>
    <t>Cash &amp; Equivalents</t>
  </si>
  <si>
    <t>Reference Items</t>
  </si>
  <si>
    <t>Right click to show data transparency (not supported for all values)</t>
  </si>
  <si>
    <t>Reliance Communications Ltd (RCOM IN) - Adj Highlights</t>
  </si>
  <si>
    <t>In Millions of INR</t>
  </si>
  <si>
    <t>FY 2010</t>
  </si>
  <si>
    <t>FY 2011</t>
  </si>
  <si>
    <t>FY 2012</t>
  </si>
  <si>
    <t>FY 2013</t>
  </si>
  <si>
    <t>FY 2014</t>
  </si>
  <si>
    <t>FY 2015</t>
  </si>
  <si>
    <t>FY 2016</t>
  </si>
  <si>
    <t>FY 2017</t>
  </si>
  <si>
    <t>FY 2018</t>
  </si>
  <si>
    <t>Current/LTM</t>
  </si>
  <si>
    <t>12 Months Ending</t>
  </si>
  <si>
    <t>03/31/2010</t>
  </si>
  <si>
    <t>03/31/2011</t>
  </si>
  <si>
    <t>03/31/2012</t>
  </si>
  <si>
    <t>03/31/2013</t>
  </si>
  <si>
    <t>03/31/2014</t>
  </si>
  <si>
    <t>03/31/2015</t>
  </si>
  <si>
    <t>03/31/2016</t>
  </si>
  <si>
    <t>03/31/2017</t>
  </si>
  <si>
    <t>03/31/2018</t>
  </si>
  <si>
    <t>12/31/2018</t>
  </si>
  <si>
    <t>Market Capitalization</t>
  </si>
  <si>
    <t>HISTORICAL_MARKET_CAP</t>
  </si>
  <si>
    <t>- Cash &amp; Equivalents</t>
  </si>
  <si>
    <t>CASH_AND_MARKETABLE_SECURITIES</t>
  </si>
  <si>
    <t>+ Preferred &amp; Other</t>
  </si>
  <si>
    <t>PREFERRED_EQUITY_&amp;_MINORITY_INT</t>
  </si>
  <si>
    <t>+ Total Debt</t>
  </si>
  <si>
    <t>SHORT_AND_LONG_TERM_DEBT</t>
  </si>
  <si>
    <t>Enterprise Value</t>
  </si>
  <si>
    <t>ENTERPRISE_VALUE</t>
  </si>
  <si>
    <t>Revenue, Adj</t>
  </si>
  <si>
    <t>SALES_REV_TURN</t>
  </si>
  <si>
    <t xml:space="preserve">  Growth %, YoY</t>
  </si>
  <si>
    <t>SALES_GROWTH</t>
  </si>
  <si>
    <t>Gross Profit, Adj</t>
  </si>
  <si>
    <t>GROSS_PROFIT</t>
  </si>
  <si>
    <t xml:space="preserve">  Margin %</t>
  </si>
  <si>
    <t>—</t>
  </si>
  <si>
    <t>EBITDA, Adj</t>
  </si>
  <si>
    <t>EBITDA</t>
  </si>
  <si>
    <t>Net Income, Adj</t>
  </si>
  <si>
    <t>EARN_FOR_COMMON</t>
  </si>
  <si>
    <t>EPS, Adj</t>
  </si>
  <si>
    <t>IS_DIL_EPS_CONT_OPS</t>
  </si>
  <si>
    <t>Cash from Operations</t>
  </si>
  <si>
    <t>CF_CASH_FROM_OPER</t>
  </si>
  <si>
    <t>Capital Expenditures</t>
  </si>
  <si>
    <t>CAPITAL_EXPEND</t>
  </si>
  <si>
    <t>Free Cash Flow</t>
  </si>
  <si>
    <t>CF_FREE_CASH_FLOW</t>
  </si>
  <si>
    <t>Source: Bloomberg</t>
  </si>
  <si>
    <t>Reliance Communications Ltd (RCOM IN) - GAAP Highlights</t>
  </si>
  <si>
    <t>In Millions of INR except Per Share</t>
  </si>
  <si>
    <t>FY 2009</t>
  </si>
  <si>
    <t>03/31/2009</t>
  </si>
  <si>
    <t>Total Revenues</t>
  </si>
  <si>
    <t>Operating Income</t>
  </si>
  <si>
    <t>IS_OPER_INC</t>
  </si>
  <si>
    <t>Net Income to Common</t>
  </si>
  <si>
    <t>Basic EPS, GAAP</t>
  </si>
  <si>
    <t>IS_EPS</t>
  </si>
  <si>
    <t>Diluted EPS, GAAP</t>
  </si>
  <si>
    <t>IS_DILUTED_EPS</t>
  </si>
  <si>
    <t xml:space="preserve">  Basic Weighted Avg Shares</t>
  </si>
  <si>
    <t>IS_AVG_NUM_SH_FOR_EPS</t>
  </si>
  <si>
    <t xml:space="preserve">  Diluted Weighted Avg Shares</t>
  </si>
  <si>
    <t>IS_SH_FOR_DILUTED_EPS</t>
  </si>
  <si>
    <t>Cash and Equivalents</t>
  </si>
  <si>
    <t>Total Current Assets</t>
  </si>
  <si>
    <t>BS_CUR_ASSET_REPORT</t>
  </si>
  <si>
    <t>Total Assets</t>
  </si>
  <si>
    <t>BS_TOT_ASSET</t>
  </si>
  <si>
    <t>Total Current Liabilities</t>
  </si>
  <si>
    <t>BS_CUR_LIAB</t>
  </si>
  <si>
    <t>Total Liabilities</t>
  </si>
  <si>
    <t>BS_TOT_LIAB2</t>
  </si>
  <si>
    <t>Total Equity</t>
  </si>
  <si>
    <t>TOTAL_EQUITY</t>
  </si>
  <si>
    <t xml:space="preserve">  Shares Out on Balance Sheet</t>
  </si>
  <si>
    <t>BS_SH_OUT</t>
  </si>
  <si>
    <t>Cash From Operations</t>
  </si>
  <si>
    <t>Cash From Investing</t>
  </si>
  <si>
    <t>CF_CASH_FROM_INV_ACT</t>
  </si>
  <si>
    <t>Cash From Financing</t>
  </si>
  <si>
    <t>CF_CASH_FROM_FNC_ACT</t>
  </si>
  <si>
    <t>Reliance Communications Ltd (RCOM IN) - Earnings</t>
  </si>
  <si>
    <t>Consensus Estimate</t>
  </si>
  <si>
    <t>BEST_SALES</t>
  </si>
  <si>
    <t>Comparable Actual</t>
  </si>
  <si>
    <t>IS_COMP_SALES</t>
  </si>
  <si>
    <t xml:space="preserve">  Revenue Surprise %</t>
  </si>
  <si>
    <t xml:space="preserve">  GAAP Actual</t>
  </si>
  <si>
    <t xml:space="preserve">  Adjusted Actual</t>
  </si>
  <si>
    <t>Earnings Per Share</t>
  </si>
  <si>
    <t>IS_COMP_EPS_ADJUSTED</t>
  </si>
  <si>
    <t>EBIT</t>
  </si>
  <si>
    <t>BEST_OPP</t>
  </si>
  <si>
    <t>IS_COMPARABLE_EBIT</t>
  </si>
  <si>
    <t xml:space="preserve">  EBIT Surprise %</t>
  </si>
  <si>
    <t>BEST_EBITDA</t>
  </si>
  <si>
    <t>IS_COMPARABLE_EBITDA</t>
  </si>
  <si>
    <t xml:space="preserve">  EBITDA Surprise %</t>
  </si>
  <si>
    <t>Gross Margin %</t>
  </si>
  <si>
    <t>BEST_GROSS_MARGIN</t>
  </si>
  <si>
    <t>Pretax Income (Loss)</t>
  </si>
  <si>
    <t>BEST_PTP</t>
  </si>
  <si>
    <t>IS_COMP_PTP_EX_STK_BASED_COMP</t>
  </si>
  <si>
    <t xml:space="preserve">  Pretax Income (Loss) Surprise %</t>
  </si>
  <si>
    <t>PRETAX_INC</t>
  </si>
  <si>
    <t>Net Income</t>
  </si>
  <si>
    <t>IS_COMP_NET_INCOME_ADJUST</t>
  </si>
  <si>
    <t>Reliance Communications Ltd (RCOM IN) - Enterprise Value</t>
  </si>
  <si>
    <t>Current</t>
  </si>
  <si>
    <t>03/04/2019</t>
  </si>
  <si>
    <t xml:space="preserve">  - Cash &amp; Equivalents</t>
  </si>
  <si>
    <t xml:space="preserve">  + Preferred Equity</t>
  </si>
  <si>
    <t>BS_PFD_EQTY_&amp;_HYBRID_CPTL</t>
  </si>
  <si>
    <t xml:space="preserve">  + Minority Interest</t>
  </si>
  <si>
    <t>MINORITY_NONCONTROLLING_INTEREST</t>
  </si>
  <si>
    <t xml:space="preserve">  + Total Debt</t>
  </si>
  <si>
    <t>Total Capital</t>
  </si>
  <si>
    <t>BS_TOT_CAP</t>
  </si>
  <si>
    <t>Total Debt/Total Capital</t>
  </si>
  <si>
    <t>TOT_DEBT_TO_TOT_CAP</t>
  </si>
  <si>
    <t>Total Debt/EV</t>
  </si>
  <si>
    <t>TOTAL_DEBT_TO_EV</t>
  </si>
  <si>
    <t>EV/Sales</t>
  </si>
  <si>
    <t>EV_TO_T12M_SALES</t>
  </si>
  <si>
    <t>EV/EBITDA</t>
  </si>
  <si>
    <t>EV_TO_T12M_EBITDA</t>
  </si>
  <si>
    <t>EV/EBIT</t>
  </si>
  <si>
    <t>EV_TO_T12M_EBIT</t>
  </si>
  <si>
    <t>EV/Cash Flow to Firm</t>
  </si>
  <si>
    <t>EV_TO_T12M_CASH_FLOW_FIRM</t>
  </si>
  <si>
    <t>EV/Free Cash Flow to Firm</t>
  </si>
  <si>
    <t>EV_TO_T12M_FREE_CASH_FLOW_FIRM</t>
  </si>
  <si>
    <t>Diluted Market Cap</t>
  </si>
  <si>
    <t>DILUTED_MKT_CAP</t>
  </si>
  <si>
    <t>Diluted Enterprise Value</t>
  </si>
  <si>
    <t>DILUTED_EV</t>
  </si>
  <si>
    <t>Periodic EV to Shares Outstanding</t>
  </si>
  <si>
    <t>EV_TO_SH_OUT</t>
  </si>
  <si>
    <t>Trailing 12 Month Values for Ratios</t>
  </si>
  <si>
    <t>Sales</t>
  </si>
  <si>
    <t>TRAIL_12M_NET_SALES</t>
  </si>
  <si>
    <t>TRAIL_12M_EBITDA</t>
  </si>
  <si>
    <t>TRAIL_12M_OPER_INC</t>
  </si>
  <si>
    <t>Cash Flow To Firm</t>
  </si>
  <si>
    <t>TRAIL_12M_CASH_FLOW_FIRM</t>
  </si>
  <si>
    <t>Free Cash Flow To Firm</t>
  </si>
  <si>
    <t>TRAIL_12M_FREE_CASH_FLOW_FIRM</t>
  </si>
  <si>
    <t>Reliance Communications Ltd (RCOM IN) - Multiples</t>
  </si>
  <si>
    <t>P/E</t>
  </si>
  <si>
    <t>PE_RATIO</t>
  </si>
  <si>
    <t xml:space="preserve">  Average</t>
  </si>
  <si>
    <t>AVERAGE_PRICE_EARNINGS_RATIO</t>
  </si>
  <si>
    <t xml:space="preserve">  High</t>
  </si>
  <si>
    <t>PX_ERN_RATIO_WITH_HIGH_CLOS_PX</t>
  </si>
  <si>
    <t xml:space="preserve">  Low</t>
  </si>
  <si>
    <t>PX_ERN_RATIO_WITH_LOW_CLOS_PX</t>
  </si>
  <si>
    <t>P/Book</t>
  </si>
  <si>
    <t>PX_TO_BOOK_RATIO</t>
  </si>
  <si>
    <t>AVERAGE_PRICE_TO_BOOK_RATIO</t>
  </si>
  <si>
    <t>HIGH_CLOSING_PRICE_TO_BOOK_RATIO</t>
  </si>
  <si>
    <t>LOW_CLOSING_PRICE_TO_BOOK_RATIO</t>
  </si>
  <si>
    <t>P/Tangible Book</t>
  </si>
  <si>
    <t>PX_TO_TANG_BV_PER_SH</t>
  </si>
  <si>
    <t>AVERAGE_PRICE_TO_TANGIBLE_BPS</t>
  </si>
  <si>
    <t>HIGH_PRICE_TO_TANGIBLE_BPS</t>
  </si>
  <si>
    <t>LOW_PRICE_TO_TANGIBLE_BPS</t>
  </si>
  <si>
    <t>P/Sales</t>
  </si>
  <si>
    <t>PX_TO_SALES_RATIO</t>
  </si>
  <si>
    <t>AVERAGE_PRICE_TO_SALES_RATIO</t>
  </si>
  <si>
    <t>HIGH_PX_TO_SALES_RATIO</t>
  </si>
  <si>
    <t>LOW_PX_TO_SALES_RATIO</t>
  </si>
  <si>
    <t>P/Cash Flow</t>
  </si>
  <si>
    <t>PX_TO_CASH_FLOW</t>
  </si>
  <si>
    <t>AVERAGE_PRICE_TO_CASH_FLOW</t>
  </si>
  <si>
    <t>HIGH_CLOSING_PRICE_TO_CASH_FLOW</t>
  </si>
  <si>
    <t>LOW_CLOSING_PRICE_TO_CASH_FLOW</t>
  </si>
  <si>
    <t>P/Free Cash Flow</t>
  </si>
  <si>
    <t>PX_TO_FREE_CASH_FLOW</t>
  </si>
  <si>
    <t>AVERAGE_PRICE_TO_FREE_CASH_FLOW</t>
  </si>
  <si>
    <t>HIGH_PRICE_TO_FREE_CASH_FLOW</t>
  </si>
  <si>
    <t>LOW_PRICE_TO_FREE_CASH_FLOW</t>
  </si>
  <si>
    <t>AVERAGE_EV_TO_T12M_SALES</t>
  </si>
  <si>
    <t>HIGH_EV_TO_T12M_SALES</t>
  </si>
  <si>
    <t>LOW_EV_TO_T12M_SALES</t>
  </si>
  <si>
    <t>AVG_EV_TO_T12M_EBITDA</t>
  </si>
  <si>
    <t>HIGH_EV_TO_T12M_EBITDA</t>
  </si>
  <si>
    <t>LOW_EV_TO_T12M_EBITDA</t>
  </si>
  <si>
    <t>AVERAGE_EV_TO_T12M_EBIT</t>
  </si>
  <si>
    <t>HIGH_EV_TO_T12M_EBIT</t>
  </si>
  <si>
    <t>LOW_EV_TO_T12M_EBIT</t>
  </si>
  <si>
    <t>Price/Share</t>
  </si>
  <si>
    <t>PX_LAST</t>
  </si>
  <si>
    <t>PX_HIGH</t>
  </si>
  <si>
    <t>PX_LOW</t>
  </si>
  <si>
    <t>AVERAGE_ENTERPRISE_VALUE</t>
  </si>
  <si>
    <t>HIGH_ENTERPRISE_VALUE</t>
  </si>
  <si>
    <t>LOW_ENTERPRISE_VALUE</t>
  </si>
  <si>
    <t>Reliance Communications Ltd (RCOM IN) - Per Share</t>
  </si>
  <si>
    <t>Last 12M</t>
  </si>
  <si>
    <t>Basic Shares Outstanding</t>
  </si>
  <si>
    <t>Diluted Weighted Avg Shares</t>
  </si>
  <si>
    <t>Basic Weighted Avg Shares</t>
  </si>
  <si>
    <t>Per Share Data Items</t>
  </si>
  <si>
    <t>REVENUE_PER_SH</t>
  </si>
  <si>
    <t>EBITDA_PER_SH</t>
  </si>
  <si>
    <t>OPER_INC_PER_SH</t>
  </si>
  <si>
    <t>Net Income to Common - Basic</t>
  </si>
  <si>
    <t>Net Income before XO - Basic</t>
  </si>
  <si>
    <t>IS_EARN_BEF_XO_ITEMS_PER_SH</t>
  </si>
  <si>
    <t>Normalized Net Income - Basic</t>
  </si>
  <si>
    <t>IS_BASIC_EPS_CONT_OPS</t>
  </si>
  <si>
    <t>Net Income to Common - Diluted</t>
  </si>
  <si>
    <t>Net Income before XO - Diluted</t>
  </si>
  <si>
    <t>IS_DIL_EPS_BEF_XO</t>
  </si>
  <si>
    <t>Normalized Net Income - Diluted</t>
  </si>
  <si>
    <t>Dividends</t>
  </si>
  <si>
    <t>EQY_DPS</t>
  </si>
  <si>
    <t>Cash Flow</t>
  </si>
  <si>
    <t>CASH_FLOW_PER_SH</t>
  </si>
  <si>
    <t>FREE_CASH_FLOW_PER_SH</t>
  </si>
  <si>
    <t>CASH_ST_INVESTMENTS_PER_SH</t>
  </si>
  <si>
    <t>Book Value</t>
  </si>
  <si>
    <t>BOOK_VAL_PER_SH</t>
  </si>
  <si>
    <t>Tangible Book Value</t>
  </si>
  <si>
    <t>TANG_BOOK_VAL_PER_SH</t>
  </si>
  <si>
    <t>Reliance Communications Ltd (RCOM IN) - Stock Value</t>
  </si>
  <si>
    <t>Last Price</t>
  </si>
  <si>
    <t xml:space="preserve">  Period-over-Period % Change</t>
  </si>
  <si>
    <t>CHG_PCT_PERIOD</t>
  </si>
  <si>
    <t>Open Price</t>
  </si>
  <si>
    <t>PX_OPEN</t>
  </si>
  <si>
    <t>High Price</t>
  </si>
  <si>
    <t>Low Price</t>
  </si>
  <si>
    <t xml:space="preserve">  Current Shares Outstanding</t>
  </si>
  <si>
    <t>EQY_SH_OUT</t>
  </si>
  <si>
    <t xml:space="preserve">  Equity Float</t>
  </si>
  <si>
    <t>EQY_FLOAT</t>
  </si>
  <si>
    <t>Reliance Communications Ltd (RCOM IN) - Adjusted</t>
  </si>
  <si>
    <t xml:space="preserve">    Revenue %</t>
  </si>
  <si>
    <t xml:space="preserve">    + Sales &amp; Services Revenue</t>
  </si>
  <si>
    <t>IS_SALES_AND_SERVICES_REVENUES</t>
  </si>
  <si>
    <t>IS_ADJUSTED_FIN_SUBSIDIARY_REV</t>
  </si>
  <si>
    <t>IS_OTHER_REVENUE</t>
  </si>
  <si>
    <t>IS_COG_AND_SERVICES_SOLD</t>
  </si>
  <si>
    <t>IS_COST_OF_FINANCING_REVENUE</t>
  </si>
  <si>
    <t>IS_D&amp;A_COST_OF_REVENUE</t>
  </si>
  <si>
    <t>IS_RESEARCH_AND_DEVELOPMENT</t>
  </si>
  <si>
    <t xml:space="preserve">  + Other Operating Income</t>
  </si>
  <si>
    <t>IS_OTHER_OPER_INC</t>
  </si>
  <si>
    <t xml:space="preserve">  - Operating Expenses</t>
  </si>
  <si>
    <t>IS_OPERATING_EXPN</t>
  </si>
  <si>
    <t xml:space="preserve">    + Selling, General &amp; Admin</t>
  </si>
  <si>
    <t>IS_SG&amp;A_EXPENSE</t>
  </si>
  <si>
    <t xml:space="preserve">    + Selling &amp; Marketing</t>
  </si>
  <si>
    <t>IS_SELLING_EXPENSES</t>
  </si>
  <si>
    <t xml:space="preserve">    + General &amp; Administrative</t>
  </si>
  <si>
    <t>IS_GENERAL_AND_ADMINISTRATIVE</t>
  </si>
  <si>
    <t xml:space="preserve">    + Research &amp; Development</t>
  </si>
  <si>
    <t>IS_OPEX_R&amp;D</t>
  </si>
  <si>
    <t xml:space="preserve">    + Depreciation &amp; Amortization</t>
  </si>
  <si>
    <t>IS_DEPRECIATION_AND_AMORTIZATION</t>
  </si>
  <si>
    <t xml:space="preserve">    + Prov For Doubtful Accts</t>
  </si>
  <si>
    <t>IS_PROVISION_DOUBTFUL_ACCOUNTS</t>
  </si>
  <si>
    <t xml:space="preserve">    + Other Operating Expense</t>
  </si>
  <si>
    <t>IS_OTHER_OPERATING_EXPENSES</t>
  </si>
  <si>
    <t>Operating Income (Loss)</t>
  </si>
  <si>
    <t xml:space="preserve">  - Non-Operating (Income) Loss</t>
  </si>
  <si>
    <t>IS_NONOP_INCOME_LOSS</t>
  </si>
  <si>
    <t xml:space="preserve">    + Interest Expense, Net</t>
  </si>
  <si>
    <t>IS_NET_INTEREST_EXPENSE</t>
  </si>
  <si>
    <t xml:space="preserve">    + Interest Expense</t>
  </si>
  <si>
    <t>IS_INT_EXPENSE</t>
  </si>
  <si>
    <t xml:space="preserve">    - Interest Income</t>
  </si>
  <si>
    <t>IS_INT_INC</t>
  </si>
  <si>
    <t xml:space="preserve">    + Other Investment (Inc) Loss</t>
  </si>
  <si>
    <t>IS_OTHER_INVESTMENT_INCOME_LOSS</t>
  </si>
  <si>
    <t xml:space="preserve">    + Foreign Exch (Gain) Loss</t>
  </si>
  <si>
    <t>IS_FOREIGN_EXCH_LOSS</t>
  </si>
  <si>
    <t xml:space="preserve">    + (Income) Loss from Affiliates</t>
  </si>
  <si>
    <t>INCOME_LOSS_FROM_AFFILIATES</t>
  </si>
  <si>
    <t xml:space="preserve">    + Other Non-Op (Income) Loss</t>
  </si>
  <si>
    <t>IS_OTHER_NON_OPERATING_INC_LOSS</t>
  </si>
  <si>
    <t>Pretax Income (Loss), Adjusted</t>
  </si>
  <si>
    <t xml:space="preserve">  - Abnormal Losses (Gains)</t>
  </si>
  <si>
    <t>IS_ABNORMAL_ITEM</t>
  </si>
  <si>
    <t>IS_ACQUIRED_IN_PROCESS_R&amp;D</t>
  </si>
  <si>
    <t>IS_MERGER_ACQUISITION_EXPENSE</t>
  </si>
  <si>
    <t>IS_DERIVATIVES_HEDGING</t>
  </si>
  <si>
    <t xml:space="preserve">    + Disposal of Assets</t>
  </si>
  <si>
    <t>IS_GAIN_LOSS_DISPOSAL_ASSETS</t>
  </si>
  <si>
    <t>IS_G_L_ON_EXT_DBT_OR_SETTLE_DBT</t>
  </si>
  <si>
    <t xml:space="preserve">    + Asset Write-Down</t>
  </si>
  <si>
    <t>IS_IMPAIRMENT_ASSETS</t>
  </si>
  <si>
    <t>IS_IMPAIRMENT_GOODWILL_INTANGIBL</t>
  </si>
  <si>
    <t>IS_IMPAIR_OF_INTANG_ASSETS</t>
  </si>
  <si>
    <t>IS_SALE_OF_BUSINESS</t>
  </si>
  <si>
    <t>IS_LEGAL_LITIGATION_SETTLEMENT</t>
  </si>
  <si>
    <t>IS_RESTRUCTURING_EXPENSES</t>
  </si>
  <si>
    <t xml:space="preserve">    + Sale of Investments</t>
  </si>
  <si>
    <t>IS_GAIN_LOSS_ON_INVESTMENTS</t>
  </si>
  <si>
    <t>IS_UNREALIZED_INVESTMENTS</t>
  </si>
  <si>
    <t>IS_INSURANCE_SETTLEMENTS</t>
  </si>
  <si>
    <t>IS_OTHER_ONE_TIME_ITEMS</t>
  </si>
  <si>
    <t>Pretax Income (Loss), GAAP</t>
  </si>
  <si>
    <t xml:space="preserve">  - Income Tax Expense (Benefit)</t>
  </si>
  <si>
    <t>IS_INC_TAX_EXP</t>
  </si>
  <si>
    <t xml:space="preserve">    + Current Income Tax</t>
  </si>
  <si>
    <t>IS_CURRENT_INCOME_TAX_BENEFIT</t>
  </si>
  <si>
    <t xml:space="preserve">    + Deferred Income Tax</t>
  </si>
  <si>
    <t>IS_DEFERRED_INCOME_TAX_BENEFIT</t>
  </si>
  <si>
    <t>IS_TAX_VALN_ALLOWNCE_CREDITS</t>
  </si>
  <si>
    <t>ZAKAT_EXPENSES_&amp;_OTHER_RES_CHRG</t>
  </si>
  <si>
    <t xml:space="preserve">  - (Income) Loss from Affiliates</t>
  </si>
  <si>
    <t>IS_SH_PRO_EQY_MT_INV_NET_OF_TAX</t>
  </si>
  <si>
    <t>Income (Loss) from Cont Ops</t>
  </si>
  <si>
    <t>IS_INC_BEF_XO_ITEM</t>
  </si>
  <si>
    <t xml:space="preserve">  - Net Extraordinary Losses (Gains)</t>
  </si>
  <si>
    <t>XO_GL_NET_OF_TAX</t>
  </si>
  <si>
    <t xml:space="preserve">    + Discontinued Operations</t>
  </si>
  <si>
    <t>IS_DISCONTINUED_OPERATIONS</t>
  </si>
  <si>
    <t xml:space="preserve">    + XO &amp; Accounting Changes</t>
  </si>
  <si>
    <t>IS_EXTRAORD_ITEMS_&amp;_ACCTG_CHNG</t>
  </si>
  <si>
    <t>Income (Loss) Incl. MI</t>
  </si>
  <si>
    <t>NI_INCLUDING_MINORITY_INT_RATIO</t>
  </si>
  <si>
    <t xml:space="preserve">  - Minority Interest</t>
  </si>
  <si>
    <t>MIN_NONCONTROL_INTEREST_CREDITS</t>
  </si>
  <si>
    <t>Net Income, GAAP</t>
  </si>
  <si>
    <t>NET_INCOME</t>
  </si>
  <si>
    <t xml:space="preserve">  - Preferred Dividends</t>
  </si>
  <si>
    <t>IS_TOT_CASH_PFD_DVD</t>
  </si>
  <si>
    <t xml:space="preserve">  - Other Adjustments</t>
  </si>
  <si>
    <t>OTHER_ADJUSTMENTS</t>
  </si>
  <si>
    <t>Net Income Avail to Common, GAAP</t>
  </si>
  <si>
    <t>Net Income Avail to Common, Adj</t>
  </si>
  <si>
    <t xml:space="preserve">  Net Abnormal Losses (Gains)</t>
  </si>
  <si>
    <t>IS_NET_ABNORMAL_ITEMS</t>
  </si>
  <si>
    <t xml:space="preserve">  Net Extraordinary Losses (Gains)</t>
  </si>
  <si>
    <t>Basic EPS from Cont Ops</t>
  </si>
  <si>
    <t>Basic EPS from Cont Ops, Adjusted</t>
  </si>
  <si>
    <t>Diluted EPS from Cont Ops</t>
  </si>
  <si>
    <t>Diluted EPS from Cont Ops, Adjusted</t>
  </si>
  <si>
    <t>Accounting Standard</t>
  </si>
  <si>
    <t>ACCOUNTING_STANDARD</t>
  </si>
  <si>
    <t>IN GAAP</t>
  </si>
  <si>
    <t>EBITDA Margin (T12M)</t>
  </si>
  <si>
    <t>EBITDA_MARGIN</t>
  </si>
  <si>
    <t>EBITA</t>
  </si>
  <si>
    <t>Operating Margin</t>
  </si>
  <si>
    <t>OPER_MARGIN</t>
  </si>
  <si>
    <t>Profit Margin</t>
  </si>
  <si>
    <t>PROF_MARGIN</t>
  </si>
  <si>
    <t>Sales per Employee</t>
  </si>
  <si>
    <t>ACTUAL_SALES_PER_EMPL</t>
  </si>
  <si>
    <t>Dividends per Share</t>
  </si>
  <si>
    <t>Total Cash Common Dividends</t>
  </si>
  <si>
    <t>IS_TOT_CASH_COM_DVD</t>
  </si>
  <si>
    <t>Personnel Expenses</t>
  </si>
  <si>
    <t>IS_PERSONNEL_EXP</t>
  </si>
  <si>
    <t>Export Sales</t>
  </si>
  <si>
    <t>IS_EXPORT_SALES</t>
  </si>
  <si>
    <t>Depreciation Expense</t>
  </si>
  <si>
    <t>IS_DEPR_EXP</t>
  </si>
  <si>
    <t>Rental Expense</t>
  </si>
  <si>
    <t>BS_CURR_RENTAL_EXPENSE</t>
  </si>
  <si>
    <t>Reliance Communications Ltd (RCOM IN) - GAAP</t>
  </si>
  <si>
    <t>IS_FINANCING_REVENUE</t>
  </si>
  <si>
    <t>IS_OPERATING_EXPENSES_R&amp;D</t>
  </si>
  <si>
    <t>OTHER_OPERATING_EXPENSES_RATIO</t>
  </si>
  <si>
    <t>NONOP_INCOME_LOSS</t>
  </si>
  <si>
    <t>OTHER_NONOP_INCOME_LOSS</t>
  </si>
  <si>
    <t>Pretax Income</t>
  </si>
  <si>
    <t>Reliance Communications Ltd (RCOM IN) - As Reported</t>
  </si>
  <si>
    <t>Income Statement</t>
  </si>
  <si>
    <t xml:space="preserve">  Revenues</t>
  </si>
  <si>
    <t>Revenues</t>
  </si>
  <si>
    <t>ARD_REVENUES</t>
  </si>
  <si>
    <t>Service Revenue</t>
  </si>
  <si>
    <t>ARD_SERVICE_REVENUE</t>
  </si>
  <si>
    <t>Sales and Other Income</t>
  </si>
  <si>
    <t>ARD_SALES_OTHER_INCOME</t>
  </si>
  <si>
    <t xml:space="preserve">  Operating Expenses</t>
  </si>
  <si>
    <t>Total Operating Expenses</t>
  </si>
  <si>
    <t>ARD_TOTAL_OPERATING_EXPENSES</t>
  </si>
  <si>
    <t>Cost of Goods Sold</t>
  </si>
  <si>
    <t>ARD_COST_OF_GOODS_SOLD</t>
  </si>
  <si>
    <t>Salaries Wages and Employee Benefits</t>
  </si>
  <si>
    <t>ARD_SALARIES_WAGE_EMPLOYEE_BEN</t>
  </si>
  <si>
    <t>ARD_DEPRECIATION_EXP</t>
  </si>
  <si>
    <t>Selling General and Administrative Expenses</t>
  </si>
  <si>
    <t>ARD_SELLING_GENERAL_ADMIN_EXP</t>
  </si>
  <si>
    <t>Depreciation and Amortization</t>
  </si>
  <si>
    <t>ARD_DEPRECIATION_AMORTIZATION</t>
  </si>
  <si>
    <t>Other Operating Expenses</t>
  </si>
  <si>
    <t>ARD_OTHER_OPERATING_EXPENSES</t>
  </si>
  <si>
    <t>Other Operating Income</t>
  </si>
  <si>
    <t>ARD_OTHER_OPERATING_INC</t>
  </si>
  <si>
    <t>Depreciation Amortization And Write-Downs</t>
  </si>
  <si>
    <t>ARD_DEPR_AMORT_AND_WRITE_DOWNS</t>
  </si>
  <si>
    <t xml:space="preserve">  Non-Operating Expenses</t>
  </si>
  <si>
    <t>Foreign Exchange</t>
  </si>
  <si>
    <t>ARD_FOREIGN_EXCHANGE</t>
  </si>
  <si>
    <t>Equity In Earnings of Affiliate/Joint Ventures</t>
  </si>
  <si>
    <t>ARD_EQY_IN_EARN_AFFILIATE_JV</t>
  </si>
  <si>
    <t>Interest Expense - Net</t>
  </si>
  <si>
    <t>ARD_INT_EXP_NET</t>
  </si>
  <si>
    <t>Other Non-Operating Income</t>
  </si>
  <si>
    <t>ARD_OTHER_NON_OPERATING_INC</t>
  </si>
  <si>
    <t>Income Tax Expense (Benefit)</t>
  </si>
  <si>
    <t>ARD_INCOME_TAX_EXP_BENEFIT</t>
  </si>
  <si>
    <t>Income Before Income Taxes</t>
  </si>
  <si>
    <t>ARD_INCOME_BEFORE_INCOME_TAXES</t>
  </si>
  <si>
    <t>Current Income Tax Expense (Benefit)</t>
  </si>
  <si>
    <t>ARD_CUR_INCOME_TAX_EXP_BENEFIT</t>
  </si>
  <si>
    <t>Deferred Income Tax Expense (Benefit)</t>
  </si>
  <si>
    <t>ARD_DEFERRED_INC_TAX_EXP_BEN</t>
  </si>
  <si>
    <t>Other Non-Operating (Income)/Expense - Net</t>
  </si>
  <si>
    <t>ARD_OTH_NON_OPER_INC_EXP_NET</t>
  </si>
  <si>
    <t>Total Exceptional (Income)/Charges</t>
  </si>
  <si>
    <t>ARD_TOTAL_EXCEPTIONAL_INC_CHARGE</t>
  </si>
  <si>
    <t>Total Financial Losses (Gains)</t>
  </si>
  <si>
    <t>ARD_TOTAL_FINANCIAL_LOSSES_GAINS</t>
  </si>
  <si>
    <t>Total Financial Costs</t>
  </si>
  <si>
    <t>ARD_TOTAL_FINANCIAL_LOSSES</t>
  </si>
  <si>
    <t>Financial Income</t>
  </si>
  <si>
    <t>ARD_FINANCIAL_INCOME</t>
  </si>
  <si>
    <t>Share Profits From Associated Companies</t>
  </si>
  <si>
    <t>ARD_SHARE_PROFITS_FROM_ASSOC_COS</t>
  </si>
  <si>
    <t>Current Taxation - Adjustment</t>
  </si>
  <si>
    <t>ARD_CURRENT_TAXATION_ADJ</t>
  </si>
  <si>
    <t>Business And Capital Taxes</t>
  </si>
  <si>
    <t>ARD_BUSINESS_CAPITAL_TAXES</t>
  </si>
  <si>
    <t>Prior Period Adjustments</t>
  </si>
  <si>
    <t>ARD_PRIOR_PERIOD_ADJUSTMENTS</t>
  </si>
  <si>
    <t>AT (Income) Loss Affiliates and Others</t>
  </si>
  <si>
    <t>ARD_AFTER_TAX_EQTY_METHOD_INVEST</t>
  </si>
  <si>
    <t xml:space="preserve">  Earnings</t>
  </si>
  <si>
    <t>Minority/Non Controlling Interest</t>
  </si>
  <si>
    <t>ARD_MINORITY_NONCONTROL_INTEREST</t>
  </si>
  <si>
    <t>Basic EPS Before XO Items</t>
  </si>
  <si>
    <t>ARD_BASIC_EPS_BEF_XO_ITEMS</t>
  </si>
  <si>
    <t>Basic EPS</t>
  </si>
  <si>
    <t>ARD_BASIC_EPS</t>
  </si>
  <si>
    <t>Diluted EPS Before XO Items</t>
  </si>
  <si>
    <t>ARD_DILUTED_EPS_BEF_XO_ITEMS</t>
  </si>
  <si>
    <t>Diluted EPS</t>
  </si>
  <si>
    <t>ARD_DILUTED_EPS</t>
  </si>
  <si>
    <t>Discontinued Ops Per Share -Basic&amp;Diluted</t>
  </si>
  <si>
    <t>ARD_DISC_OPS_PER_SH_BASIC_DIL</t>
  </si>
  <si>
    <t>Interim Dividend Paid</t>
  </si>
  <si>
    <t>ARD_INTERIM_DIVIDEND_PAID</t>
  </si>
  <si>
    <t>Proposed Final Dividend</t>
  </si>
  <si>
    <t>ARD_PROPOSED_FINAL_DIVIDEND</t>
  </si>
  <si>
    <t>Profit Available for Appropriation</t>
  </si>
  <si>
    <t>ARD_PROFIT_AVAIL_APPROPRIATION</t>
  </si>
  <si>
    <t>Corporate Dividend Tax</t>
  </si>
  <si>
    <t>ARD_CORPORATE_DIVIDEND_TAX</t>
  </si>
  <si>
    <t>ARD_NET_INC</t>
  </si>
  <si>
    <t xml:space="preserve">  Others</t>
  </si>
  <si>
    <t xml:space="preserve">  Comprehensive Income</t>
  </si>
  <si>
    <t>Pension Related Adjustments</t>
  </si>
  <si>
    <t>ARD_PENSION_RELATED_ADJUSTMENTS</t>
  </si>
  <si>
    <t>Other Comprehensive Income</t>
  </si>
  <si>
    <t>ARD_OTHER_COMPREHENSIVE_INCOME</t>
  </si>
  <si>
    <t>Total Comprehensive Income</t>
  </si>
  <si>
    <t>ARD_TOTAL_COMPREHENSIVE_INCOME</t>
  </si>
  <si>
    <t>Foreign Currency Translation Adjustments Tax</t>
  </si>
  <si>
    <t>ARD_FOR_CRNCY_TRANS_ADJ_TAX</t>
  </si>
  <si>
    <t>Comprehensive Income Attrib to Minority Int</t>
  </si>
  <si>
    <t>ARD_COMPREHENSIVE_INC_ATTRIB_MI</t>
  </si>
  <si>
    <t>Net Income - Comprehensive Income</t>
  </si>
  <si>
    <t>ARD_COMPREHENSIVE_INCOME_NET_INC</t>
  </si>
  <si>
    <t>Total Comprehensive Inc Including Minority Int</t>
  </si>
  <si>
    <t>ARD_TOT_COMP_INC_INCL_MIN_INT</t>
  </si>
  <si>
    <t xml:space="preserve">  Extraordinary Items</t>
  </si>
  <si>
    <t>Discontinued Operations Loss/(Benefit) - Net</t>
  </si>
  <si>
    <t>ARD_DISC_OPS_LOSS_BEN_NET</t>
  </si>
  <si>
    <t>Tax On Discontinued Operations</t>
  </si>
  <si>
    <t>ARD_TAX_ON_DISCONTINUED_OPS</t>
  </si>
  <si>
    <t xml:space="preserve">  Reference Items</t>
  </si>
  <si>
    <t>ARDR_SALARIES_WAGE_EMPLOYEE_BEN</t>
  </si>
  <si>
    <t>ARDR_DEPRECIATION_EXP</t>
  </si>
  <si>
    <t>Provision For Doubtful Accounts</t>
  </si>
  <si>
    <t>ARDR_PROV_FOR_DOUBTFUL_ACCTS</t>
  </si>
  <si>
    <t>ARDR_OTHER_OPERATING_EXPENSES</t>
  </si>
  <si>
    <t>Interest Expense</t>
  </si>
  <si>
    <t>ARDR_INT_EXP</t>
  </si>
  <si>
    <t>ARDR_FOREIGN_EXCHANGE</t>
  </si>
  <si>
    <t>(Gain)/Loss On Sale of Assets</t>
  </si>
  <si>
    <t>ARDR_GL_ON_SALE_OF_ASSETS</t>
  </si>
  <si>
    <t>Write-Down/Impairment of Assets</t>
  </si>
  <si>
    <t>ARDR_WRITEDOWN_IMPAIR_OF_ASSETS</t>
  </si>
  <si>
    <t>Interest Income</t>
  </si>
  <si>
    <t>ARDR_INT_INCOME</t>
  </si>
  <si>
    <t>ARDR_INT_EXP_NET</t>
  </si>
  <si>
    <t>General and Administrative Expenses</t>
  </si>
  <si>
    <t>ARDR_GENERAL_ADMINISTRATIVE_EXP</t>
  </si>
  <si>
    <t>ARDR_OTHER_OPERATING_INC</t>
  </si>
  <si>
    <t>Other Tax</t>
  </si>
  <si>
    <t>ARDR_OTHER_TAX</t>
  </si>
  <si>
    <t>Dividends Per Share</t>
  </si>
  <si>
    <t>ARDR_DVD_PER_SH</t>
  </si>
  <si>
    <t>ARDR_BASIC_EPS_BEF_XO_ITEMS</t>
  </si>
  <si>
    <t>ARDR_BASIC_EPS</t>
  </si>
  <si>
    <t>Weighted Avg. Shares - Basic</t>
  </si>
  <si>
    <t>ARDR_WEIGHTED_AVG_SHARES_BASIC</t>
  </si>
  <si>
    <t>ARDR_DILUTED_EPS_BEF_XO_ITEMS</t>
  </si>
  <si>
    <t>ARDR_DILUTED_EPS</t>
  </si>
  <si>
    <t>Weighted Avg. Shares - Diluted</t>
  </si>
  <si>
    <t>ARDR_WEIGHTED_AVG_SHARE_DILUTED</t>
  </si>
  <si>
    <t>Expected Ret Plan Assets-Other/Healthcare</t>
  </si>
  <si>
    <t>ARDR_EXP_RET_PLAN_ASSET_HEALTH</t>
  </si>
  <si>
    <t>Stock Based Compensation Expense</t>
  </si>
  <si>
    <t>ARDR_STK_BASED_COMPENSATION_EXP</t>
  </si>
  <si>
    <t>Fair Value of Post Retirement Plan Assets</t>
  </si>
  <si>
    <t>ARDR_FAIR_VAL_POST_RETIRE_ASSETS</t>
  </si>
  <si>
    <t>Projected Post Retirement Benefit Oblig</t>
  </si>
  <si>
    <t>ARDR_PROJ_POST_RETIRE_BEN_OBLIG</t>
  </si>
  <si>
    <t>Foreign Exchange Losses (Gains)</t>
  </si>
  <si>
    <t>ARDR_FOREIGN_EXCH_GL</t>
  </si>
  <si>
    <t>Dividend Income</t>
  </si>
  <si>
    <t>ARDR_DIVIDEND_INCOME</t>
  </si>
  <si>
    <t>Interest Expense - Borrowings</t>
  </si>
  <si>
    <t>ARDR_INTEREST_EXP_BORROW</t>
  </si>
  <si>
    <t>Amortization of Intangible Assets</t>
  </si>
  <si>
    <t>ARDR_AMORT_OF_INTANGIBLE_ASSETS</t>
  </si>
  <si>
    <t>Purchased Power Costs</t>
  </si>
  <si>
    <t>ARDR_PURCHASED_POWER_COSTS</t>
  </si>
  <si>
    <t>ARDR_SERVICE_REVENUE</t>
  </si>
  <si>
    <t>Pension/Postretirement Benefits Expense</t>
  </si>
  <si>
    <t>ARDR_PENSION_POSTRETIRE_BEN_EXP</t>
  </si>
  <si>
    <t>(Gain)/Loss On Sale of Investments</t>
  </si>
  <si>
    <t>ARDR_GL_ON_SALE_OF_INVESTMENTS</t>
  </si>
  <si>
    <t>ARDR_OTH_NON_OPER_INC_EXP_NET</t>
  </si>
  <si>
    <t>Employer Contribution (Postretirement)</t>
  </si>
  <si>
    <t>ARDR_EMPLOYER_CONTRIB_POST_RETIR</t>
  </si>
  <si>
    <t>Benefits Paid (Postretirement)</t>
  </si>
  <si>
    <t>ARDR_BENEFITS_PAID_POST_RETIR</t>
  </si>
  <si>
    <t>Auditors Remuneration For Audit</t>
  </si>
  <si>
    <t>ARDR_AUDITOR_REMEN_AUDIT</t>
  </si>
  <si>
    <t>Non-Operating Profit/Loss Disp Fix Asset</t>
  </si>
  <si>
    <t>ARDR_NON_OP_PROF_LOSS_DISP_FIXED</t>
  </si>
  <si>
    <t>Other Operating Inc - Int Inc (Non-Oper)</t>
  </si>
  <si>
    <t>ARDR_OTH_OPER_INC_INT_INC_NON_OP</t>
  </si>
  <si>
    <t>Other Operating Inc - Div Inc (Non-Oper)</t>
  </si>
  <si>
    <t>ARDR_OTH_OPER_INC_DIV_INC_NON_OP</t>
  </si>
  <si>
    <t>Final Dividend Per Share</t>
  </si>
  <si>
    <t>ARDR_FINAL_DIVIDEND_PER_SHARE</t>
  </si>
  <si>
    <t>ARDR_TOTAL_FINL_LOSSES_GAINS</t>
  </si>
  <si>
    <t>ARDR_TOTAL_FINANCIAL_LOSSES</t>
  </si>
  <si>
    <t>Wages And Salaries</t>
  </si>
  <si>
    <t>ARDR_WAGES_AND_SALARIES</t>
  </si>
  <si>
    <t>Loss/Gain Disposal LT Invest/Subsid/Assoc</t>
  </si>
  <si>
    <t>ARDR_LOSS_GAIN_DISPOS_LT_INVEST</t>
  </si>
  <si>
    <t>Share-Based Compensation</t>
  </si>
  <si>
    <t>ARDR_SHARE_BASED_COMPENSATION</t>
  </si>
  <si>
    <t>Total Fees Paid To Audit Firms</t>
  </si>
  <si>
    <t>ARDR_TOT_FEES_PAID_AUDIT_FIRMS</t>
  </si>
  <si>
    <t>Weighted Avg NumberPotential Dilutive Shr</t>
  </si>
  <si>
    <t>ARDR_WTD_AVG_NUM_POTEN_DIL_SH</t>
  </si>
  <si>
    <t>ARDR_FINANCIAL_INCOME</t>
  </si>
  <si>
    <t>ARDR_RENTAL_EXP</t>
  </si>
  <si>
    <t>Other Financial Losses</t>
  </si>
  <si>
    <t>ARDR_OTHER_FINANCIAL_LOSSES</t>
  </si>
  <si>
    <t>ARDR_PROPOSED_FINAL_DIVIDEND</t>
  </si>
  <si>
    <t>Retirement Pension And Other Benefits</t>
  </si>
  <si>
    <t>ARDR_RETIREMENT_PENSION_OTH_BEN</t>
  </si>
  <si>
    <t>Travel Expenses</t>
  </si>
  <si>
    <t>ARDR_TRAVEL_EXPENSES</t>
  </si>
  <si>
    <t>Insurance Claims And Expenses</t>
  </si>
  <si>
    <t>ARDR_INSUR_CLAIMS_EXPENSES</t>
  </si>
  <si>
    <t>Other Miscellaneous Non-Operating Income</t>
  </si>
  <si>
    <t>ARDR_OTHER_MISC_NON_OPER_INC</t>
  </si>
  <si>
    <t>Other Finance Income</t>
  </si>
  <si>
    <t>ARDR_OTHER_FINANCE_INCOME</t>
  </si>
  <si>
    <t>Other Operating Income - SAGA</t>
  </si>
  <si>
    <t>ARDR_OTHER_OPER_INCOME_SAGA</t>
  </si>
  <si>
    <t>ARDR_CORPORATE_DIVIDEND_TAX</t>
  </si>
  <si>
    <t>Foreign Exchange Earnings</t>
  </si>
  <si>
    <t>ARDR_FOREIGN_EXCHANGE_EARNINGS</t>
  </si>
  <si>
    <t>Cost Of Stores And Spares</t>
  </si>
  <si>
    <t>ARDR_COST_OF_STORES_AND_SPARES</t>
  </si>
  <si>
    <t xml:space="preserve"> EBITDA - IS</t>
  </si>
  <si>
    <t>ARD_REF_EBITDA_IS</t>
  </si>
  <si>
    <t>Selling Expenses</t>
  </si>
  <si>
    <t>ARDR_SELLING_EXPENSES</t>
  </si>
  <si>
    <t>Advertising Expenses</t>
  </si>
  <si>
    <t>ARDR_ADVERTISING_EXPENSES</t>
  </si>
  <si>
    <t>Service Cost (OPRB)</t>
  </si>
  <si>
    <t>ARDR_SERVICE_COST_OPRB</t>
  </si>
  <si>
    <t>Interest Cost (OPRB)</t>
  </si>
  <si>
    <t>ARDR_INTEREST_COST_OPRB</t>
  </si>
  <si>
    <t>Expected Return On Plan Assets (OPRB)</t>
  </si>
  <si>
    <t>ARDR_EXP_RETURN_PLAN_ASSETS_OPRB</t>
  </si>
  <si>
    <t>Actual Return (Loss) On Plan Assets (OPRB)</t>
  </si>
  <si>
    <t>ARDR_ACTUAL_RET_PLAN_ASSETS_OPRB</t>
  </si>
  <si>
    <t>Actuarial Losses or Gains - OPEB</t>
  </si>
  <si>
    <t>ARDR_ACTUARIAL_LOSSES_GAINS_OPEB</t>
  </si>
  <si>
    <t>EBITDA Margin</t>
  </si>
  <si>
    <t>ARDR_EBITDA_MARGIN</t>
  </si>
  <si>
    <t>Capital Expenditures As Reported</t>
  </si>
  <si>
    <t>ARDR_CAPEX_AS_REPORTED</t>
  </si>
  <si>
    <t>Reliance Communications Ltd (RCOM IN) - Reconciliation</t>
  </si>
  <si>
    <t>EBITDA Reconciliation</t>
  </si>
  <si>
    <t>EBIT, GAAP</t>
  </si>
  <si>
    <t xml:space="preserve">  + Revenue Adjustments</t>
  </si>
  <si>
    <t>IS_REVENUE_ADJUSTMENTS</t>
  </si>
  <si>
    <t xml:space="preserve">  + Cost of Revenue Adjustments</t>
  </si>
  <si>
    <t>IS_COST_OF_REVENUE_ADJUSTMENTS</t>
  </si>
  <si>
    <t xml:space="preserve">  + Other Op Inc Adjustments</t>
  </si>
  <si>
    <t>IS_OTHER_OPER_INC_NONGAAP_ADJUST</t>
  </si>
  <si>
    <t xml:space="preserve">  + SG&amp;A Adjustments</t>
  </si>
  <si>
    <t>IS_SG&amp;A_ADJUSTMENTS</t>
  </si>
  <si>
    <t xml:space="preserve">  + R&amp;D Expense Adjustments</t>
  </si>
  <si>
    <t>IS_R&amp;D_EXPENSE_NONGAAP_ADJUST</t>
  </si>
  <si>
    <t xml:space="preserve">  + D&amp;A Adjustments</t>
  </si>
  <si>
    <t>IS_D&amp;A_NONGAAP_ADJUSTMENTS</t>
  </si>
  <si>
    <t xml:space="preserve">  + Prov for Doubtful Acct Adj</t>
  </si>
  <si>
    <t>IS_PDA_NONGAAP_ADJUSTMENTS</t>
  </si>
  <si>
    <t xml:space="preserve">  + Other Op Exp Adjustments</t>
  </si>
  <si>
    <t>IS_OTHER_OPERATING_EXPN_ADJUST</t>
  </si>
  <si>
    <t>EBIT, Adjusted</t>
  </si>
  <si>
    <t xml:space="preserve">  + Depreciation &amp; Amortization</t>
  </si>
  <si>
    <t>ADJUSTED_D&amp;A_EXPENSES</t>
  </si>
  <si>
    <t>EBITDA, Adjusted</t>
  </si>
  <si>
    <t>EBIT Reconciliation</t>
  </si>
  <si>
    <t xml:space="preserve">  + Disposal of Assets</t>
  </si>
  <si>
    <t>IS_GAIN_LOSS_ON_DISP_OF_AST_OP</t>
  </si>
  <si>
    <t xml:space="preserve">  + Asset Write-Down</t>
  </si>
  <si>
    <t>IS_WRTDWN_IOA_OP</t>
  </si>
  <si>
    <t>Pretax Income Reconciliation</t>
  </si>
  <si>
    <t xml:space="preserve">  + Sale of Investments</t>
  </si>
  <si>
    <t>Net Income Reconciliation</t>
  </si>
  <si>
    <t>Net Inc Avail to Common Sh, GAAP</t>
  </si>
  <si>
    <t xml:space="preserve">  + Discontinued Operations</t>
  </si>
  <si>
    <t xml:space="preserve">  + XO &amp; Accounting Changes</t>
  </si>
  <si>
    <t>Net Inc Avail to Common Cont</t>
  </si>
  <si>
    <t>INC_BEF_XO_LESS_MIN_INT_PREF_DVD</t>
  </si>
  <si>
    <t>IS_DISPOSAL_ASSETS_AFTER_TAX</t>
  </si>
  <si>
    <t>IS_WRTOFF_IMPAIR_ASSET_AFTER_TAX</t>
  </si>
  <si>
    <t>IS_SALE_OF_INVESTMENTS_AFTER_TAX</t>
  </si>
  <si>
    <t>Earnings Per Share Reconciliation</t>
  </si>
  <si>
    <t>IS_DISC_OPS_DILUTED_SH</t>
  </si>
  <si>
    <t>IS_XO_ITEMS_&amp;_ACCTG_CHNG_DIL_SH</t>
  </si>
  <si>
    <t>IS_DISPOSAL_ASSETS_DILUTED_SHARE</t>
  </si>
  <si>
    <t>IS_WRTOFF_IMPAIR_AST_DILUTED_SH</t>
  </si>
  <si>
    <t>IS_SALE_INVESTMENTS_DILUTED_SH</t>
  </si>
  <si>
    <t>Reliance Communications Ltd (RCOM IN) - SBC &amp; Amort</t>
  </si>
  <si>
    <t>Basic EPS Ex-SBC, Adj</t>
  </si>
  <si>
    <t>BASIC_EPS_EX_STK_BASED_COMP</t>
  </si>
  <si>
    <t>Diluted EPS Ex-SBC, Adj</t>
  </si>
  <si>
    <t>DILUTED_EPS_EX_STK_BASED_COMP</t>
  </si>
  <si>
    <t>Basic EPS Ex-Amortization, Adj</t>
  </si>
  <si>
    <t>ADJ_EPS_EX_AMORT_TOT_INTANG_BAS</t>
  </si>
  <si>
    <t>Diluted EPS Ex-Amortization, Adj</t>
  </si>
  <si>
    <t>ADJ_EPS_EX_AMORT_TOT_INTANG_DIL</t>
  </si>
  <si>
    <t>Basic EPS Ex-SBC &amp; Amort, Adj</t>
  </si>
  <si>
    <t>ADJ_EPS_EX_SBC_AMORT_TOT_INT_BAS</t>
  </si>
  <si>
    <t>Diluted EPS Ex-SBC &amp; Amort, Adj</t>
  </si>
  <si>
    <t>ADJ_EPS_EX_SBC_AMORT_TOT_INT_DIL</t>
  </si>
  <si>
    <t>Stock Based Compensation</t>
  </si>
  <si>
    <t>Pre-Tax</t>
  </si>
  <si>
    <t>IS_EXPENSE_STOCK_BASED_COMP</t>
  </si>
  <si>
    <t>After-Tax</t>
  </si>
  <si>
    <t>IS_STK_BASED_COMP_AFT_TAX</t>
  </si>
  <si>
    <t>Per Basic Share</t>
  </si>
  <si>
    <t>IS_STK_BASED_COMP_PER_BAS_SH</t>
  </si>
  <si>
    <t>Per Diluted Share</t>
  </si>
  <si>
    <t>IS_STK_BASED_COMP_PER_DIL_SH</t>
  </si>
  <si>
    <t>Amortization of Acquisition Related Intangibles</t>
  </si>
  <si>
    <t>Amortization of Total Intangibles</t>
  </si>
  <si>
    <t>IS_AMORT_OF_TOT_INTANG_PRETX</t>
  </si>
  <si>
    <t>IS_AMORT_OF_TOT_INTANG_AFT_TAX</t>
  </si>
  <si>
    <t>IS_AMORT_OF_TOT_INTANG_P_BAS_SH</t>
  </si>
  <si>
    <t>IS_AMORT_OF_TOT_INTANG_P_DIL_SH</t>
  </si>
  <si>
    <t>Reliance Communications Ltd (RCOM IN) - Adj %</t>
  </si>
  <si>
    <t>Reliance Communications Ltd (RCOM IN) - GAAP %</t>
  </si>
  <si>
    <t>Reliance Communications Ltd (RCOM IN) - Standardized</t>
  </si>
  <si>
    <t xml:space="preserve">  + Cash, Cash Equivalents &amp; STI</t>
  </si>
  <si>
    <t>C&amp;CE_AND_STI_DETAILED</t>
  </si>
  <si>
    <t xml:space="preserve">    Assets %</t>
  </si>
  <si>
    <t xml:space="preserve">    + Cash &amp; Cash Equivalents</t>
  </si>
  <si>
    <t>BS_CASH_NEAR_CASH_ITEM</t>
  </si>
  <si>
    <t xml:space="preserve">    + ST Investments</t>
  </si>
  <si>
    <t>BS_MKT_SEC_OTHER_ST_INVEST</t>
  </si>
  <si>
    <t xml:space="preserve">  + Accounts &amp; Notes Receiv</t>
  </si>
  <si>
    <t>BS_ACCT_NOTE_RCV</t>
  </si>
  <si>
    <t xml:space="preserve">    + Accounts Receivable, Net</t>
  </si>
  <si>
    <t>BS_ACCTS_REC_EXCL_NOTES_REC</t>
  </si>
  <si>
    <t xml:space="preserve">    + Notes Receivable, Net</t>
  </si>
  <si>
    <t>NOTES_RECEIVABLE</t>
  </si>
  <si>
    <t xml:space="preserve">  + Unbilled Revenues</t>
  </si>
  <si>
    <t>BS_UNBILLED_REVENUES</t>
  </si>
  <si>
    <t xml:space="preserve">  + Inventories</t>
  </si>
  <si>
    <t>BS_INVENTORIES</t>
  </si>
  <si>
    <t xml:space="preserve">    + Raw Materials</t>
  </si>
  <si>
    <t>INVTRY_RAW_MATERIALS</t>
  </si>
  <si>
    <t xml:space="preserve">    + Work In Process</t>
  </si>
  <si>
    <t>INVTRY_IN_PROGRESS</t>
  </si>
  <si>
    <t xml:space="preserve">    + Finished Goods</t>
  </si>
  <si>
    <t>INVTRY_FINISHED_GOODS</t>
  </si>
  <si>
    <t xml:space="preserve">    + Other Inventory</t>
  </si>
  <si>
    <t>BS_OTHER_INV</t>
  </si>
  <si>
    <t xml:space="preserve">  + Other ST Assets</t>
  </si>
  <si>
    <t>OTHER_CURRENT_ASSETS_DETAILED</t>
  </si>
  <si>
    <t xml:space="preserve">    + Prepaid Expenses</t>
  </si>
  <si>
    <t>BS_PREPAY</t>
  </si>
  <si>
    <t xml:space="preserve">    + Assets Held-for-Sale</t>
  </si>
  <si>
    <t>BS_ASSETS_HELD_FOR_SALE_ST</t>
  </si>
  <si>
    <t xml:space="preserve">    + Taxes Receivable</t>
  </si>
  <si>
    <t>BS_TAXES_RECEIVABLE_SHORT_TERM</t>
  </si>
  <si>
    <t xml:space="preserve">    + Misc ST Assets</t>
  </si>
  <si>
    <t>BS_OTHER_CUR_ASSET_LESS_PREPAY</t>
  </si>
  <si>
    <t xml:space="preserve">  + Property, Plant &amp; Equip, Net</t>
  </si>
  <si>
    <t>BS_NET_FIX_ASSET</t>
  </si>
  <si>
    <t xml:space="preserve">    + Property, Plant &amp; Equip</t>
  </si>
  <si>
    <t>BS_GROSS_FIX_ASSET</t>
  </si>
  <si>
    <t xml:space="preserve">    - Accumulated Depreciation</t>
  </si>
  <si>
    <t>BS_ACCUM_DEPR</t>
  </si>
  <si>
    <t xml:space="preserve">  + LT Investments &amp; Receivables</t>
  </si>
  <si>
    <t>BS_LT_INVEST</t>
  </si>
  <si>
    <t xml:space="preserve">    + LT Investments</t>
  </si>
  <si>
    <t>BS_LONG_TERM_INVESTMENTS</t>
  </si>
  <si>
    <t xml:space="preserve">  + Other LT Assets</t>
  </si>
  <si>
    <t>BS_OTHER_ASSETS_DEF_CHRG_OTHER</t>
  </si>
  <si>
    <t xml:space="preserve">    + Total Intangible Assets</t>
  </si>
  <si>
    <t>BS_DISCLOSED_INTANGIBLES</t>
  </si>
  <si>
    <t xml:space="preserve">    + Goodwill</t>
  </si>
  <si>
    <t>BS_GOODWILL</t>
  </si>
  <si>
    <t xml:space="preserve">    + Other Intangible Assets</t>
  </si>
  <si>
    <t>OTHER_INTANGIBLE_ASSETS_DETAILED</t>
  </si>
  <si>
    <t xml:space="preserve">    + Prepaid Expense</t>
  </si>
  <si>
    <t>BS_PREPAID_EXPENSE_LT</t>
  </si>
  <si>
    <t xml:space="preserve">    + Deferred Tax Assets</t>
  </si>
  <si>
    <t>BS_DEFERRED_TAX_ASSETS_LT</t>
  </si>
  <si>
    <t xml:space="preserve">    + Investments in Affiliates</t>
  </si>
  <si>
    <t>BS_INVEST_IN_ASSOC_CO</t>
  </si>
  <si>
    <t xml:space="preserve">    + Misc LT Assets</t>
  </si>
  <si>
    <t>OTHER_NONCURRENT_ASSETS_DETAILED</t>
  </si>
  <si>
    <t>Total Noncurrent Assets</t>
  </si>
  <si>
    <t>BS_TOT_NON_CUR_ASSET</t>
  </si>
  <si>
    <t>Liabilities &amp; Shareholders' Equity</t>
  </si>
  <si>
    <t xml:space="preserve">  + Payables &amp; Accruals</t>
  </si>
  <si>
    <t>ACCT_PAYABLE_&amp;_ACCRUALS_DETAILED</t>
  </si>
  <si>
    <t xml:space="preserve">    Total Liab &amp; Equity %</t>
  </si>
  <si>
    <t xml:space="preserve">    + Accounts Payable</t>
  </si>
  <si>
    <t>BS_ACCT_PAYABLE</t>
  </si>
  <si>
    <t xml:space="preserve">    + Accrued Taxes</t>
  </si>
  <si>
    <t>BS_TAXES_PAYABLE</t>
  </si>
  <si>
    <t xml:space="preserve">    + Interest &amp; Dividends Payable</t>
  </si>
  <si>
    <t>BS_INTEREST_&amp;_DIVIDENDS_PAYABLE</t>
  </si>
  <si>
    <t xml:space="preserve">    + Other Payables &amp; Accruals</t>
  </si>
  <si>
    <t>BS_ACCRUAL</t>
  </si>
  <si>
    <t xml:space="preserve">  + ST Debt</t>
  </si>
  <si>
    <t>BS_ST_BORROW</t>
  </si>
  <si>
    <t xml:space="preserve">    + ST Borrowings</t>
  </si>
  <si>
    <t>SHORT_TERM_DEBT_DETAILED</t>
  </si>
  <si>
    <t xml:space="preserve">    + ST Capital Leases</t>
  </si>
  <si>
    <t>ST_CAPITAL_LEASE_OBLIGATIONS</t>
  </si>
  <si>
    <t xml:space="preserve">    + Current Portion of LT Debt</t>
  </si>
  <si>
    <t>BS_CURR_PORTION_LT_DEBT</t>
  </si>
  <si>
    <t xml:space="preserve">  + Other ST Liabilities</t>
  </si>
  <si>
    <t>OTHER_CURRENT_LIABS_SUB_DETAILED</t>
  </si>
  <si>
    <t xml:space="preserve">    + Deferred Revenue</t>
  </si>
  <si>
    <t>ST_DEFERRED_REVENUE</t>
  </si>
  <si>
    <t xml:space="preserve">    + Derivatives &amp; Hedging</t>
  </si>
  <si>
    <t>BS_DERIVATIVE_&amp;_HEDGING_LIABS_ST</t>
  </si>
  <si>
    <t xml:space="preserve">    + Misc ST Liabilities</t>
  </si>
  <si>
    <t>OTHER_CURRENT_LIABS_DETAILED</t>
  </si>
  <si>
    <t xml:space="preserve">  + LT Debt</t>
  </si>
  <si>
    <t>BS_LT_BORROW</t>
  </si>
  <si>
    <t xml:space="preserve">    + LT Borrowings</t>
  </si>
  <si>
    <t>LONG_TERM_BORROWINGS_DETAILED</t>
  </si>
  <si>
    <t xml:space="preserve">    + LT Capital Leases</t>
  </si>
  <si>
    <t>LT_CAPITAL_LEASE_OBLIGATIONS</t>
  </si>
  <si>
    <t xml:space="preserve">  + Other LT Liabilities</t>
  </si>
  <si>
    <t>OTHER_NONCUR_LIABS_SUB_DETAILED</t>
  </si>
  <si>
    <t xml:space="preserve">    + Accrued Liabilities</t>
  </si>
  <si>
    <t>BS_ACCRUED_LIABILITIES</t>
  </si>
  <si>
    <t xml:space="preserve">    + Pension Liabilities</t>
  </si>
  <si>
    <t>PENSION_LIABILITIES</t>
  </si>
  <si>
    <t xml:space="preserve">    + Pensions</t>
  </si>
  <si>
    <t>BS_PENSIONS_LT_LIABS</t>
  </si>
  <si>
    <t xml:space="preserve">    + Other Post-Ret Benefits</t>
  </si>
  <si>
    <t>BS_OPRB_LT_LIABS</t>
  </si>
  <si>
    <t xml:space="preserve">    + Deferred Compensation</t>
  </si>
  <si>
    <t>BS_DEFERRED_COMP_LT_LIABS</t>
  </si>
  <si>
    <t>LT_DEFERRED_REVENUE</t>
  </si>
  <si>
    <t xml:space="preserve">    + Deferred Tax Liabilities</t>
  </si>
  <si>
    <t>BS_DEFERRED_TAX_LIABILITIES_LT</t>
  </si>
  <si>
    <t>BS_DERIVATIVE_&amp;_HEDGING_LIABS_LT</t>
  </si>
  <si>
    <t xml:space="preserve">    + Misc LT Liabilities</t>
  </si>
  <si>
    <t>OTHER_NONCURRENT_LIABS_DETAILED</t>
  </si>
  <si>
    <t>Total Noncurrent Liabilities</t>
  </si>
  <si>
    <t>NON_CUR_LIAB</t>
  </si>
  <si>
    <t xml:space="preserve">  + Preferred Equity and Hybrid Capital</t>
  </si>
  <si>
    <t xml:space="preserve">  + Share Capital &amp; APIC</t>
  </si>
  <si>
    <t>BS_SH_CAP_AND_APIC</t>
  </si>
  <si>
    <t xml:space="preserve">    + Common Stock</t>
  </si>
  <si>
    <t>BS_COMMON_STOCK</t>
  </si>
  <si>
    <t xml:space="preserve">    + Additional Paid in Capital</t>
  </si>
  <si>
    <t>BS_ADD_PAID_IN_CAP</t>
  </si>
  <si>
    <t xml:space="preserve">  - Treasury Stock</t>
  </si>
  <si>
    <t>BS_AMT_OF_TSY_STOCK</t>
  </si>
  <si>
    <t xml:space="preserve">  + Retained Earnings</t>
  </si>
  <si>
    <t>BS_PURE_RETAINED_EARNINGS</t>
  </si>
  <si>
    <t xml:space="preserve">  + Other Equity</t>
  </si>
  <si>
    <t>OTHER_INS_RES_TO_SHRHLDR_EQY</t>
  </si>
  <si>
    <t>Equity Before Minority Interest</t>
  </si>
  <si>
    <t>EQTY_BEF_MINORITY_INT_DETAILED</t>
  </si>
  <si>
    <t xml:space="preserve">  + Minority/Non Controlling Interest</t>
  </si>
  <si>
    <t>Total Liabilities &amp; Equity</t>
  </si>
  <si>
    <t>TOT_LIAB_AND_EQY</t>
  </si>
  <si>
    <t>Shares Outstanding</t>
  </si>
  <si>
    <t>Number of Treasury Shares</t>
  </si>
  <si>
    <t>BS_NUM_OF_TSY_SH</t>
  </si>
  <si>
    <t>Pension Obligations</t>
  </si>
  <si>
    <t>BS_PENSION_RSRV</t>
  </si>
  <si>
    <t>Future Minimum Operating Lease Obligations</t>
  </si>
  <si>
    <t>BS_FUTURE_MIN_OPER_LEASE_OBLIG</t>
  </si>
  <si>
    <t>Capital Leases - Total</t>
  </si>
  <si>
    <t>BS_TOTAL_CAPITAL_LEASES</t>
  </si>
  <si>
    <t>Percent Of Foreign Ownership</t>
  </si>
  <si>
    <t>BS_PERCENT_OF_FOREIGN_OWNERSHIP</t>
  </si>
  <si>
    <t>Number Of Shareholders</t>
  </si>
  <si>
    <t>BS_NUM_OF_SHAREHOLDERS</t>
  </si>
  <si>
    <t>Options Granted During Period</t>
  </si>
  <si>
    <t>BS_OPTIONS_GRANTED</t>
  </si>
  <si>
    <t>Options Outstanding at Period End</t>
  </si>
  <si>
    <t>BS_OPTIONS_OUTSTANDING</t>
  </si>
  <si>
    <t>Net Debt</t>
  </si>
  <si>
    <t>NET_DEBT</t>
  </si>
  <si>
    <t>Net Debt to Equity</t>
  </si>
  <si>
    <t>NET_DEBT_TO_SHRHLDR_EQTY</t>
  </si>
  <si>
    <t>Tangible Common Equity Ratio</t>
  </si>
  <si>
    <t>TCE_RATIO</t>
  </si>
  <si>
    <t>Current Ratio</t>
  </si>
  <si>
    <t>CUR_RATIO</t>
  </si>
  <si>
    <t>Cash Conversion Cycle</t>
  </si>
  <si>
    <t>CASH_CONVERSION_CYCLE</t>
  </si>
  <si>
    <t>Number of Employees</t>
  </si>
  <si>
    <t>NUM_OF_EMPLOYEES</t>
  </si>
  <si>
    <t>Balance Sheet</t>
  </si>
  <si>
    <t xml:space="preserve">  Stockholder Equity</t>
  </si>
  <si>
    <t>Minority/Non Controlling Int (Stckhldrs Eqty)</t>
  </si>
  <si>
    <t>ARD_MIN_NONCONTROL_INT_SE</t>
  </si>
  <si>
    <t>Total Shareholders Equity</t>
  </si>
  <si>
    <t>ARD_TOTAL_SHAREHOLDERS_EQUITY</t>
  </si>
  <si>
    <t>Total Reserve</t>
  </si>
  <si>
    <t>ARD_TOTAL_RESERVE</t>
  </si>
  <si>
    <t>Total Share Capital</t>
  </si>
  <si>
    <t>ARD_TOTAL_SHARE_CAPITAL</t>
  </si>
  <si>
    <t>Total Shareholders Equity Excluding Minority</t>
  </si>
  <si>
    <t>ARD_TOT_SHARE_EQY_EXCL_MINORITY</t>
  </si>
  <si>
    <t>Common Stock &amp; Subscribed Stock</t>
  </si>
  <si>
    <t>ARD_COMMON_STOCK_SUBSCRIBED_STK</t>
  </si>
  <si>
    <t>Total Liabilities and Shareholders Equity</t>
  </si>
  <si>
    <t>ARD_TOT_LIAB_AND_SHAREHOLDER_EQY</t>
  </si>
  <si>
    <t xml:space="preserve">  Non Current Liabilities</t>
  </si>
  <si>
    <t>ARD_TOT_NONCURRENT_LIABILITIES</t>
  </si>
  <si>
    <t>Long Term Debt</t>
  </si>
  <si>
    <t>ARD_LT_DEBT</t>
  </si>
  <si>
    <t>Deferred Income Taxes (Liabilities)</t>
  </si>
  <si>
    <t>ARD_DEFERRED_INCOME_TAXES_LIAB</t>
  </si>
  <si>
    <t>Deferred/Unearned Revenue (Long-Term)</t>
  </si>
  <si>
    <t>ARD_DEFERRED_UNEARNED_REV_LT</t>
  </si>
  <si>
    <t>Other Noncurrent Liabilities</t>
  </si>
  <si>
    <t>ARD_OTH_NONCURRENT_LIABILITIES</t>
  </si>
  <si>
    <t>Deferred Tax Liabilities (Long-Term)</t>
  </si>
  <si>
    <t>ARD_DEFERRED_TAX_LIAB_LT</t>
  </si>
  <si>
    <t>ARD_TOTAL_CURRENT_LIABILITIES</t>
  </si>
  <si>
    <t>Deferred Expenses (Long-Term)</t>
  </si>
  <si>
    <t>ARD_DEFERRED_EXPENSES_LT</t>
  </si>
  <si>
    <t>Provisions For Liabilities And Charges &amp; Other</t>
  </si>
  <si>
    <t>ARD_PROV_LIAB_CHARGES_AND_OTHER</t>
  </si>
  <si>
    <t>Other Financial Liabilities (Long-Term)</t>
  </si>
  <si>
    <t>ARD_OTHER_FINANCIAL_LIAB_LT</t>
  </si>
  <si>
    <t xml:space="preserve">  Noncurrent Assets</t>
  </si>
  <si>
    <t>Long Term Investments</t>
  </si>
  <si>
    <t>ARD_LT_INVEST</t>
  </si>
  <si>
    <t>Property Plant &amp; Equipment - Net</t>
  </si>
  <si>
    <t>ARD_PROPERTY_PLANT_EQUIP_NET</t>
  </si>
  <si>
    <t>Other Intangible Assets</t>
  </si>
  <si>
    <t>ARD_OTHER_INTANGIBLE_ASSET</t>
  </si>
  <si>
    <t>Goodwill</t>
  </si>
  <si>
    <t>ARD_GOODWLL</t>
  </si>
  <si>
    <t>Deferred Tax Assets (Long-Term)</t>
  </si>
  <si>
    <t>ARD_DEFERRED_TAX_ASSETS_LT</t>
  </si>
  <si>
    <t>Long-Term Loans And Other Debtors</t>
  </si>
  <si>
    <t>ARD_LONG_TERM_LOANS_OTHER_DEBTOR</t>
  </si>
  <si>
    <t>Construction In Progress-Net</t>
  </si>
  <si>
    <t>ARD_CONSTRUCTION_PROGRESS_NET</t>
  </si>
  <si>
    <t>Equity Investments In Associates/Affiliates</t>
  </si>
  <si>
    <t>ARD_EQY_INVEST_ASSOC_AFFILIATES</t>
  </si>
  <si>
    <t>Intangible Assets Excluding Goodwill</t>
  </si>
  <si>
    <t>ARD_INTANG_ASSETS_EXCL_GOODWILL</t>
  </si>
  <si>
    <t>Other Financial Assets (Long-Term)</t>
  </si>
  <si>
    <t>ARD_OTHER_FINANCIAL_ASSETS_LT</t>
  </si>
  <si>
    <t>Total Fixed Assets</t>
  </si>
  <si>
    <t>ARD_TOTAL_FIXED_ASSETS</t>
  </si>
  <si>
    <t xml:space="preserve">  Current Assets</t>
  </si>
  <si>
    <t>ARD_CASH_AND_EQUIVALENTS</t>
  </si>
  <si>
    <t>Accounts Receivable - Trade</t>
  </si>
  <si>
    <t>ARD_ACCTS_RECEIVABLE_TRADE</t>
  </si>
  <si>
    <t>Inventories</t>
  </si>
  <si>
    <t>ARD_INVENTORY</t>
  </si>
  <si>
    <t>Assets Held For Sale</t>
  </si>
  <si>
    <t>ARD_ASSETS_HELD_FOR_SALE</t>
  </si>
  <si>
    <t>Other Current Assets</t>
  </si>
  <si>
    <t>ARD_OTHER_CURRENT_ASSETS</t>
  </si>
  <si>
    <t>Short-Term Investments</t>
  </si>
  <si>
    <t>ARD_ST_INVEST</t>
  </si>
  <si>
    <t>Accounts Receivable And Other Receivables</t>
  </si>
  <si>
    <t>ARD_ACCTS_REC_OTHER_REC</t>
  </si>
  <si>
    <t>Short-Term Loans</t>
  </si>
  <si>
    <t>ARD_ST_LOANS</t>
  </si>
  <si>
    <t>Other Financial Assets - Short Term</t>
  </si>
  <si>
    <t>ARD_OTHER_FINL_ASSETS_ST</t>
  </si>
  <si>
    <t>ARD_TOTAL_CUR_ASSETS</t>
  </si>
  <si>
    <t xml:space="preserve">  Current Liabilities</t>
  </si>
  <si>
    <t>Other Noncurrent Assets</t>
  </si>
  <si>
    <t>ARD_OTHER_NONCURRENT_ASSET</t>
  </si>
  <si>
    <t>Accounts Payable - Trade</t>
  </si>
  <si>
    <t>ARD_ACCOUNTS_PAYABLE_TRADE</t>
  </si>
  <si>
    <t>Short-Term Borrowings</t>
  </si>
  <si>
    <t>ARD_ST_BORROW</t>
  </si>
  <si>
    <t>Deferred/Unearned Revenue (Short-Term)</t>
  </si>
  <si>
    <t>ARD_DEFERRED_UNEARNED_REV_ST</t>
  </si>
  <si>
    <t>Other Current Liabilities</t>
  </si>
  <si>
    <t>ARD_OTHER_CURRENT_LIABILITIES</t>
  </si>
  <si>
    <t>Income Taxes Accrued/Payable</t>
  </si>
  <si>
    <t>ARD_INCOME_TAX_ACCRUED_PAYABLE</t>
  </si>
  <si>
    <t>ARD_TOT_ASSETS</t>
  </si>
  <si>
    <t>Net Current Assets</t>
  </si>
  <si>
    <t>ARD_NET_CURRENT_ASSETS</t>
  </si>
  <si>
    <t>Total Non-Current Assets</t>
  </si>
  <si>
    <t>ARD_TOTAL_NONCURRENT_ASSETS</t>
  </si>
  <si>
    <t>Short-Term Provisions</t>
  </si>
  <si>
    <t>ARD_ST_PROVISIONS</t>
  </si>
  <si>
    <t>Other Financial Liabilities (Short-Term)</t>
  </si>
  <si>
    <t>ARD_OTHER_FINANCIAL_LIAB_ST</t>
  </si>
  <si>
    <t>ARDR_ACCTS_RECEIVABLE_TRADE</t>
  </si>
  <si>
    <t>ARDR_INVENTORY</t>
  </si>
  <si>
    <t>Restricted Cash (ST)</t>
  </si>
  <si>
    <t>ARDR_RESTRICTED_CASH_ST</t>
  </si>
  <si>
    <t>ARDR_ASSETS_HELD_SALE</t>
  </si>
  <si>
    <t>ARDR_OTHER_CURRENT_ASSETS</t>
  </si>
  <si>
    <t>ARDR_LT_INVEST</t>
  </si>
  <si>
    <t>Buildings</t>
  </si>
  <si>
    <t>ARDR_BUILDING</t>
  </si>
  <si>
    <t>Leasehold Improvements</t>
  </si>
  <si>
    <t>ARDR_LEASEHOLD_IMPROVEMENTS</t>
  </si>
  <si>
    <t>Construction In Progress</t>
  </si>
  <si>
    <t>ARDR_CONSTRUCTION_IN_PROGRESS</t>
  </si>
  <si>
    <t>Furniture/Machinery/Equipment</t>
  </si>
  <si>
    <t>ARDR_FURNITURE_MACHINERY_EQUIP</t>
  </si>
  <si>
    <t>Property Plant &amp; Equipment - Gross</t>
  </si>
  <si>
    <t>ARDR_PROPERTY_PLANT_EQUIP_GROSS</t>
  </si>
  <si>
    <t>Accumulated Depreciation</t>
  </si>
  <si>
    <t>ARDR_ACCUMULATED_DEPREC</t>
  </si>
  <si>
    <t>ARDR_PROPERTY_PLANT_EQUIP_NET</t>
  </si>
  <si>
    <t>Total Intangible Assets - Net</t>
  </si>
  <si>
    <t>ARDR_TOTAL_INTANGIBLE_ASSET_NET</t>
  </si>
  <si>
    <t>ARDR_OTHER_INTANGIBLE_ASSET</t>
  </si>
  <si>
    <t>ARDR_GOODWLL</t>
  </si>
  <si>
    <t>Patents/Trademarks/Copyrights</t>
  </si>
  <si>
    <t>ARDR_PATENTS_TRADEMRK_COPYRIGHT</t>
  </si>
  <si>
    <t>ARDR_OTHER_NONCURRENT_ASSET</t>
  </si>
  <si>
    <t>ARDR_ACCOUNTS_PAYABLE_TRADE</t>
  </si>
  <si>
    <t>Current Portion of Long-Term Debt</t>
  </si>
  <si>
    <t>ARDR_CURRENT_PORTION_OF_LT_DEBT</t>
  </si>
  <si>
    <t>Short-Term Capital Lease Obligations</t>
  </si>
  <si>
    <t>ARDR_ST_CAP_LEASE_OBLIGATIONS</t>
  </si>
  <si>
    <t>ARDR_ST_BORROW</t>
  </si>
  <si>
    <t>Accrued Compensation/Postretirement Oblig</t>
  </si>
  <si>
    <t>ARDR_ACC_COMP_POSTRETIRE_OBLIG</t>
  </si>
  <si>
    <t>Interest Accrued/Payable</t>
  </si>
  <si>
    <t>ARDR_INTEREST_ACCRUED_PAYABLE</t>
  </si>
  <si>
    <t>Dividends Accrued/Payable</t>
  </si>
  <si>
    <t>ARDR_DVD_ACCRUED_PAYABLE</t>
  </si>
  <si>
    <t>ARDR_OTHER_CURRENT_LIABILITIES</t>
  </si>
  <si>
    <t>Notes Payable (LT)</t>
  </si>
  <si>
    <t>ARDR_NOTES_PAYABLE_LT</t>
  </si>
  <si>
    <t>Long Term Capital Lease Obligations</t>
  </si>
  <si>
    <t>ARDR_LT_CAP_LEASE_OBLIGATIONS</t>
  </si>
  <si>
    <t>Convertible Debt (LT)</t>
  </si>
  <si>
    <t>ARDR_CONVERTIBLE_DEBT_LT</t>
  </si>
  <si>
    <t>ARDR_LT_DEBT</t>
  </si>
  <si>
    <t>Deferred/Unearned Revenue (LT)</t>
  </si>
  <si>
    <t>ARDR_DEFERRED_UNEARNED_REV_LT</t>
  </si>
  <si>
    <t>ARDR_OTH_NONCURRENT_LIABILITIES</t>
  </si>
  <si>
    <t>Min/Non Cntrlling Int(Stckhldrs Eqty)</t>
  </si>
  <si>
    <t>ARDR_MIN_NONCONTROL_INT_SE</t>
  </si>
  <si>
    <t>Common Stock</t>
  </si>
  <si>
    <t>ARDR_COMMON_STOCK</t>
  </si>
  <si>
    <t>Additional Paid In Capital</t>
  </si>
  <si>
    <t>ARDR_ADDITIONAL_PAID_IN_CAPITAL</t>
  </si>
  <si>
    <t>Retained Earnings (Accumulated Deficit)</t>
  </si>
  <si>
    <t>ARDR_RETAINED_EARN_ACC_DEFICIT</t>
  </si>
  <si>
    <t>ARDR_SHARES_OUTSTANDING</t>
  </si>
  <si>
    <t>Par Value</t>
  </si>
  <si>
    <t>ARDR_PAR_VALUE</t>
  </si>
  <si>
    <t>Finished Goods</t>
  </si>
  <si>
    <t>ARDR_FINISHED_GOOD</t>
  </si>
  <si>
    <t>ARDR_INCOME_TAX_ACCRUED_PAYABLE</t>
  </si>
  <si>
    <t>Shares Issued</t>
  </si>
  <si>
    <t>ARDR_SHARES_ISSUED</t>
  </si>
  <si>
    <t>Other Inventory</t>
  </si>
  <si>
    <t>ARDR_OTHER_INVENTORY</t>
  </si>
  <si>
    <t>(Over/Underfunded) Post Retirement Benefit</t>
  </si>
  <si>
    <t>ARDR_OVER_UNDER_POST_RETIRE_BEN</t>
  </si>
  <si>
    <t>Rental Expense - Year 1</t>
  </si>
  <si>
    <t>ARDR_RENTAL_EXP_YR1</t>
  </si>
  <si>
    <t>Rental Expense - Beyond Year 5</t>
  </si>
  <si>
    <t>ARDR_RENTAL_EXP_BEYOND_YR5</t>
  </si>
  <si>
    <t>Deferred Tax Liabilities (LT)</t>
  </si>
  <si>
    <t>ARDR_DEFERRED_TAX_LIAB_LT</t>
  </si>
  <si>
    <t>Deferred Tax Assets (LT)</t>
  </si>
  <si>
    <t>ARDR_DEFERRED_TAX_ASSETS_LT</t>
  </si>
  <si>
    <t>Allowance For Doubtful Accounts</t>
  </si>
  <si>
    <t>ARDR_ALLOW_FOR_DOUBTFUL_ACCTS</t>
  </si>
  <si>
    <t>Unbilled Revenue</t>
  </si>
  <si>
    <t>ARDR_UNBILLED_REVENUE</t>
  </si>
  <si>
    <t>Capitalized Software - Net</t>
  </si>
  <si>
    <t>ARDR_CAPITALIZED_SOFTWARE_NET</t>
  </si>
  <si>
    <t>ARDR_TOTAL_SHAREHOLDERS_EQUITY</t>
  </si>
  <si>
    <t>Total Capital Leases</t>
  </si>
  <si>
    <t>ARDR_TOTAL_CAPITAL_LEASES</t>
  </si>
  <si>
    <t>Accrued Interest Receivable</t>
  </si>
  <si>
    <t>ARDR_ACCRUED_INT_RECEIVABLE</t>
  </si>
  <si>
    <t>Unsecured Debt</t>
  </si>
  <si>
    <t>ARDR_UNSECURED_DEBT</t>
  </si>
  <si>
    <t>Cash and Due From Banks</t>
  </si>
  <si>
    <t>ARDR_CASH_AND_DUE_FROM_BANKS</t>
  </si>
  <si>
    <t>ARDR_ST_INVEST</t>
  </si>
  <si>
    <t>Customer Deposits/Advances (ST)</t>
  </si>
  <si>
    <t>ARDR_CUSTOMER_DEPOSIT_ADV_ST</t>
  </si>
  <si>
    <t>Other Receivables (ST)</t>
  </si>
  <si>
    <t>ARDR_OTHER_RECEIVABLES_ST</t>
  </si>
  <si>
    <t>Prepaid Expenses (LT)</t>
  </si>
  <si>
    <t>ARDR_PREPAID_EXPENSES_LT</t>
  </si>
  <si>
    <t>Customer Deposits/Advances (Long-Term)</t>
  </si>
  <si>
    <t>ARDR_CUSTOMER_DEPOSIT_ADVANCE_LT</t>
  </si>
  <si>
    <t>ARDR_TOT_LIAB_AND_SHHOLDER_EQY</t>
  </si>
  <si>
    <t>Other Reserves</t>
  </si>
  <si>
    <t>ARDR_OTHER_RESERVES</t>
  </si>
  <si>
    <t>Statutory Capital</t>
  </si>
  <si>
    <t>ARDR_STATUTORY_CAPITAL</t>
  </si>
  <si>
    <t>Other Payables</t>
  </si>
  <si>
    <t>ARDR_OTHER_PAYABLES</t>
  </si>
  <si>
    <t>Licenses</t>
  </si>
  <si>
    <t>ARDR_LICENSES</t>
  </si>
  <si>
    <t>Cumulative Translation Adjustment</t>
  </si>
  <si>
    <t>ARDR_CUM_TRANSLATION_ADJUST</t>
  </si>
  <si>
    <t>% Of Foreign Shareholders</t>
  </si>
  <si>
    <t>ARDR_%_OF_FOREIGN_SHAREHOLDERS</t>
  </si>
  <si>
    <t>ARDR_LT_LOANS_AND_OTHER_DEBTOR</t>
  </si>
  <si>
    <t>Accumulated Amortization Intangible Assets</t>
  </si>
  <si>
    <t>ARDR_ACCCUM_AMORT_INTANG_ASSET</t>
  </si>
  <si>
    <t>Authorized Capital</t>
  </si>
  <si>
    <t>ARDR_AUTHORIZED_CAPITAL</t>
  </si>
  <si>
    <t>Bank Loans - Noncurrent</t>
  </si>
  <si>
    <t>ARDR_BANK_LOANS_NONCURRENT</t>
  </si>
  <si>
    <t>Capital Reserve</t>
  </si>
  <si>
    <t>ARDR_CAPITAL_RSRV</t>
  </si>
  <si>
    <t>Total Contingent Payable</t>
  </si>
  <si>
    <t>ARDR_TOTAL_CONTIGENT_PAYABLE</t>
  </si>
  <si>
    <t>Deferred Tax - Net</t>
  </si>
  <si>
    <t>ARDR_DEFERRED_TAX_NET</t>
  </si>
  <si>
    <t>Intangible Assets - Gross</t>
  </si>
  <si>
    <t>ARDR_INTANGIBLE_ASSET_GROSS</t>
  </si>
  <si>
    <t>Investment - Cost Method</t>
  </si>
  <si>
    <t>ARDR_INVESTMENT_COST_METHOD</t>
  </si>
  <si>
    <t>Time Deposits -Maturity Less Than 3 Months</t>
  </si>
  <si>
    <t>ARDR_TIME_DEP_MTY_LESS_THAN_3M</t>
  </si>
  <si>
    <t>ARDR_ST_LOANS</t>
  </si>
  <si>
    <t>ARDR_OPTIONS_GRANTED_DURING_PER</t>
  </si>
  <si>
    <t>Options Outstanding End Period</t>
  </si>
  <si>
    <t>ARDR_OPTIONS_OUTSTANDING_END_PER</t>
  </si>
  <si>
    <t>Other Creditors (ST)</t>
  </si>
  <si>
    <t>ARDR_OTHER_CREDITORS_ST</t>
  </si>
  <si>
    <t>Other Long-Term Loans/Borrowings</t>
  </si>
  <si>
    <t>ARDR_OTHER_LT_LOANS_BORROWINGS</t>
  </si>
  <si>
    <t>Other Provisions For Liabilities &amp; Charges</t>
  </si>
  <si>
    <t>ARDR_OTHER_PROV_FOR_LIAB_CHARGES</t>
  </si>
  <si>
    <t>Other Reserve</t>
  </si>
  <si>
    <t>ARDR_OTHER_RESERVE</t>
  </si>
  <si>
    <t>Other Short-Term Loans/Borrowings</t>
  </si>
  <si>
    <t>ARDR_OTHER_ST_LOANS_BORROWINGS</t>
  </si>
  <si>
    <t>Trade Receivables-Gross</t>
  </si>
  <si>
    <t>ARDR_TRADE_RECEIVABLES_GROSS</t>
  </si>
  <si>
    <t>Total Number Of Shareholders</t>
  </si>
  <si>
    <t>ARDR_TOTAL_NUMBER_OF_SHRHLDRS</t>
  </si>
  <si>
    <t>Provisions For Liabilities/Charges/Other</t>
  </si>
  <si>
    <t>ARDR_PROV_LIAB_CHARGES_AND_OTHER</t>
  </si>
  <si>
    <t>Shares Authorized</t>
  </si>
  <si>
    <t>ARDR_SHARES_AUTHORIZED</t>
  </si>
  <si>
    <t>Fixed Deposits</t>
  </si>
  <si>
    <t>ARDR_FIXED_DEPOSITS</t>
  </si>
  <si>
    <t>ARDR_OTHER_FINL_ASSETS_ST</t>
  </si>
  <si>
    <t>Prepayment/Advance</t>
  </si>
  <si>
    <t>ARDR_PREPAYMENT_ADVANCE</t>
  </si>
  <si>
    <t>Authorized Common Stocks (Number)</t>
  </si>
  <si>
    <t>ARDR_AUTH_COMMON_STOCKS_NUMBER</t>
  </si>
  <si>
    <t>Authorized Common Capital (Amount)</t>
  </si>
  <si>
    <t>ARDR_AUTH_COMM_CAPT_AMT</t>
  </si>
  <si>
    <t>Bonds Payable</t>
  </si>
  <si>
    <t>ARDR_BONDS_PAYABLE</t>
  </si>
  <si>
    <t>Plant And Equipment - Gross</t>
  </si>
  <si>
    <t>ARDR_PLANT_AND_EQUIPMENT_GROSS</t>
  </si>
  <si>
    <t>Capital Commit Contracted Not Provided For</t>
  </si>
  <si>
    <t>ARDR_CAP_COMMIT_CNT_NOT_PROVIDED</t>
  </si>
  <si>
    <t>Cash on Hand</t>
  </si>
  <si>
    <t>ARDR_CASH_ON_HAND</t>
  </si>
  <si>
    <t>Construction In Progress - Net</t>
  </si>
  <si>
    <t>ARDR_CONSTRUCTION_PROGRESS_NET</t>
  </si>
  <si>
    <t>Spares And Consumables</t>
  </si>
  <si>
    <t>ARDR_SPARES_AND_CONSUMABLES</t>
  </si>
  <si>
    <t>Employee Entitlements - Noncurrent</t>
  </si>
  <si>
    <t>ARDR_EMPLOYEE_ENTITLE_NONCUR</t>
  </si>
  <si>
    <t>General Reserves</t>
  </si>
  <si>
    <t>ARDR_GENERAL_RESERVES</t>
  </si>
  <si>
    <t>Equity Investments Associates/Affiliates</t>
  </si>
  <si>
    <t>ARDR_EQY_INVEST_ASSOC_AFFILIATES</t>
  </si>
  <si>
    <t>Operating Leases Expiring Within 2 &amp; 5 Yrs</t>
  </si>
  <si>
    <t>ARDR_OP_LEASES_EXP_2_TO_5YRS</t>
  </si>
  <si>
    <t>ARDR_OTHER_FINL_ASSETS_LT</t>
  </si>
  <si>
    <t>Program And Right Film (Noncurrent)</t>
  </si>
  <si>
    <t>ARDR_PROGRAM_RIGHT_FILM_NON_CURR</t>
  </si>
  <si>
    <t>Other Tax Payable</t>
  </si>
  <si>
    <t>ARDR_OTHER_TAX_PAYABLE</t>
  </si>
  <si>
    <t>Plant Machinery And Equipment - Gross</t>
  </si>
  <si>
    <t>ARDR_PLANT_MACHINERY_EQUIP_GROSS</t>
  </si>
  <si>
    <t>Due To Banks (ST)</t>
  </si>
  <si>
    <t>ARDR_DUE_TO_BANKS_ST</t>
  </si>
  <si>
    <t>Other Provisions - Current</t>
  </si>
  <si>
    <t>ARDR_OTHER_PROVISIONS_CURRENT</t>
  </si>
  <si>
    <t>Debt In Foreign Currency</t>
  </si>
  <si>
    <t>ARDR_DEBT_IN_FOREIGN_CURRENCY</t>
  </si>
  <si>
    <t>Secured Interest Bearing Liabilities</t>
  </si>
  <si>
    <t>ARDR_SECURED_INT_BEARING_LIABS</t>
  </si>
  <si>
    <t>Pension/Postretirement Provisions ST</t>
  </si>
  <si>
    <t>ARDR_PENSION_POSTRETIRE_PROVS_ST</t>
  </si>
  <si>
    <t>Provision For Taxes Long-Term</t>
  </si>
  <si>
    <t>ARDR_PROVISION_FOR_TAXES_LT</t>
  </si>
  <si>
    <t>ARDR_COMMON_STOCK_SUBSCRIBED_STK</t>
  </si>
  <si>
    <t>Other Financial Liabilities (ST)</t>
  </si>
  <si>
    <t>ARDR_OTHER_FINANCIAL_LIAB_ST</t>
  </si>
  <si>
    <t>Freehold Land - Gross</t>
  </si>
  <si>
    <t>ARDR_FREEHOLD_LAND_GROSS</t>
  </si>
  <si>
    <t>Leasehold Land - Gross</t>
  </si>
  <si>
    <t>ARDR_LEASEHOLD_LAND_GROSS</t>
  </si>
  <si>
    <t>Foreign Loans (Other Loans)</t>
  </si>
  <si>
    <t>ARDR_FOREIGN_LOANS_OTHER_LOANS</t>
  </si>
  <si>
    <t>Provision For Wealth Tax</t>
  </si>
  <si>
    <t>ARDR_PROVISION_FOR_WEALTH_TAX</t>
  </si>
  <si>
    <t>ARDR_OTHER_FINANCIAL_LIAB_LT</t>
  </si>
  <si>
    <t>Cash Equivalents</t>
  </si>
  <si>
    <t>ARDR_CASH_EQUIVS</t>
  </si>
  <si>
    <t>Tools Furniture And Fixtures</t>
  </si>
  <si>
    <t>ARDR_TOOLS_FURNITURE_FIXTURES</t>
  </si>
  <si>
    <t>ARDR Commercial Paper Current</t>
  </si>
  <si>
    <t>ARDR_COMMERCIAL_PAPER_CURRENT</t>
  </si>
  <si>
    <t>Motor Vehicles - Gross</t>
  </si>
  <si>
    <t>ARDR_MOTOR_VEHICLES_GROSS</t>
  </si>
  <si>
    <t>Taxes Receivable (Short-Term)</t>
  </si>
  <si>
    <t>ARDR_TAXES_RECEIVABLE_ST</t>
  </si>
  <si>
    <t>Short Term Loan (Secured)</t>
  </si>
  <si>
    <t>ARDR_SHORT_TERM_LOAN_SECURED</t>
  </si>
  <si>
    <t>Short Term Loan (Unsecured)</t>
  </si>
  <si>
    <t>ARDR_SHORT_TERM_LOAN_UNSECURED</t>
  </si>
  <si>
    <t>Long Term Loan (Secured)</t>
  </si>
  <si>
    <t>ARDR_LONG_TERM_LOAN_SECURED</t>
  </si>
  <si>
    <t>Long Term Loan (Unsecured)</t>
  </si>
  <si>
    <t>ARDR_LONG_TERM_LOAN_UNSECURED</t>
  </si>
  <si>
    <t>ARDR Options Cancelled or Forfeited</t>
  </si>
  <si>
    <t>ARDR_OPTIONS_CANCELLED_FORFEITED</t>
  </si>
  <si>
    <t>Current Capital Lease</t>
  </si>
  <si>
    <t>ARDR_CRNT_CAPITAL_LEASE</t>
  </si>
  <si>
    <t>Capital Lease Year 1</t>
  </si>
  <si>
    <t>ARDR_CAPITAL_LEASE_YEAR_1</t>
  </si>
  <si>
    <t>Capital Lease Beyond Year 5</t>
  </si>
  <si>
    <t>ARDR_CAPITAL_LEASE_BEYOND_YEAR_5</t>
  </si>
  <si>
    <t>Total Capital Lease</t>
  </si>
  <si>
    <t>ARDR_TOTAL_CAPITAL_LEASE</t>
  </si>
  <si>
    <t>Investment in Mutual Funds - Short Term</t>
  </si>
  <si>
    <t>ARDR_INVESTMENT_IN_MF_ST</t>
  </si>
  <si>
    <t>Investment in Mutual Funds - Long Term</t>
  </si>
  <si>
    <t>ARDR_INVESTMENT_IN_MF_LT</t>
  </si>
  <si>
    <t>Capital Leases - Years 2 - 5</t>
  </si>
  <si>
    <t>ARDR_CAPITAL_LEASE_YR_2_5</t>
  </si>
  <si>
    <t>OPRB Expense (Income)</t>
  </si>
  <si>
    <t>ARDR_OPRB_EXPENSE_INCOME</t>
  </si>
  <si>
    <t>Avg Exercise Price (Options Outstanding)</t>
  </si>
  <si>
    <t>ARDR_AVG_EXER_PX_OPT_OUTSTANDING</t>
  </si>
  <si>
    <t>Capital Lease Interest</t>
  </si>
  <si>
    <t>ARD_CAPITAL_LEASE_INTEREST</t>
  </si>
  <si>
    <t>Options at Beginning of Period</t>
  </si>
  <si>
    <t>ARDR_OPTIONS_BEGINNING_OF_PERIOD</t>
  </si>
  <si>
    <t>ARDR Present Value of Capital Lease Year 5</t>
  </si>
  <si>
    <t>ARDR_PV_OF_CAPITAL_LEASE_YEAR_5</t>
  </si>
  <si>
    <t>ARDR Present Value of Capital Lease Years 2-5</t>
  </si>
  <si>
    <t>ARDR_PV_OF_CAPITAL_LEASE_YRS_2_5</t>
  </si>
  <si>
    <t>Reliance Communications Ltd (RCOM IN) - Common Size</t>
  </si>
  <si>
    <t>Cash from Operating Activities</t>
  </si>
  <si>
    <t xml:space="preserve">  + Net Income</t>
  </si>
  <si>
    <t>CF_NET_INC</t>
  </si>
  <si>
    <t>CF_DEPR_AMORT</t>
  </si>
  <si>
    <t xml:space="preserve">  + Non-Cash Items</t>
  </si>
  <si>
    <t>NON_CASH_ITEMS_DETAILED</t>
  </si>
  <si>
    <t xml:space="preserve">    + Other Non-Cash Adj</t>
  </si>
  <si>
    <t>OTHER_NON_CASH_ADJ_LESS_DETAILED</t>
  </si>
  <si>
    <t xml:space="preserve">  + Chg in Non-Cash Work Cap</t>
  </si>
  <si>
    <t>CF_CHNG_NON_CASH_WORK_CAP</t>
  </si>
  <si>
    <t xml:space="preserve">    + (Inc) Dec in Inventories</t>
  </si>
  <si>
    <t>CF_CHANGE_IN_INVENTORIES</t>
  </si>
  <si>
    <t xml:space="preserve">    + Inc (Dec) in Accts Payable</t>
  </si>
  <si>
    <t>CF_CHANGE_IN_ACCOUNTS_PAYABLE</t>
  </si>
  <si>
    <t xml:space="preserve">    + Inc (Dec) in Other</t>
  </si>
  <si>
    <t>INC_DEC_IN_OT_OP_AST_LIAB_DETAIL</t>
  </si>
  <si>
    <t xml:space="preserve">  + Net Cash From Disc Ops</t>
  </si>
  <si>
    <t>CF_NET_CASH_DISCONT_OPS_OPER</t>
  </si>
  <si>
    <t>Cash from Investing Activities</t>
  </si>
  <si>
    <t xml:space="preserve">  + Change in Fixed &amp; Intang</t>
  </si>
  <si>
    <t>CHG_IN_FXD_&amp;_INTANG_AST_DETAILED</t>
  </si>
  <si>
    <t xml:space="preserve">    + Disp in Fixed &amp; Intang</t>
  </si>
  <si>
    <t>DISP_FXD_&amp;_INTANGIBLES_DETAILED</t>
  </si>
  <si>
    <t xml:space="preserve">    + Disp of Fixed Prod Assets</t>
  </si>
  <si>
    <t>CF_DISPOSAL_OF_FIXED_PROD_ASSETS</t>
  </si>
  <si>
    <t xml:space="preserve">    + Disp of Intangible Assets</t>
  </si>
  <si>
    <t>CF_DISPOSAL_OF_INTANGIBLE_ASSETS</t>
  </si>
  <si>
    <t xml:space="preserve">    + Acq of Fixed &amp; Intang</t>
  </si>
  <si>
    <t>ACQUIS_FXD_&amp;_INTANG_DETAILED</t>
  </si>
  <si>
    <t xml:space="preserve">    + Acq of Fixed Prod Assets</t>
  </si>
  <si>
    <t>CF_PURCHASE_OF_FIXED_PROD_ASSETS</t>
  </si>
  <si>
    <t xml:space="preserve">    + Acq of Intangible Assets</t>
  </si>
  <si>
    <t>CF_ACQUISITION_OF_INTANG_ASSETS</t>
  </si>
  <si>
    <t xml:space="preserve">  + Net Change in LT Investment</t>
  </si>
  <si>
    <t>NET_CHG_IN_LT_INVEST_DETAILED</t>
  </si>
  <si>
    <t xml:space="preserve">    + Dec in LT Investment</t>
  </si>
  <si>
    <t>CF_DECR_INVEST</t>
  </si>
  <si>
    <t xml:space="preserve">    + Inc in LT Investment</t>
  </si>
  <si>
    <t>CF_INCR_INVEST</t>
  </si>
  <si>
    <t xml:space="preserve">  + Net Cash From Acq &amp; Div</t>
  </si>
  <si>
    <t>CF_NT_CSH_RCVD_PD_FOR_ACQUIS_DIV</t>
  </si>
  <si>
    <t xml:space="preserve">    + Cash from Divestitures</t>
  </si>
  <si>
    <t>CF_CASH_FOR_DIVESTITURES</t>
  </si>
  <si>
    <t xml:space="preserve">    + Cash for Acq of Subs</t>
  </si>
  <si>
    <t>CF_CASH_FOR_ACQUIS_SUBSIDIARIES</t>
  </si>
  <si>
    <t xml:space="preserve">    + Cash for JVs</t>
  </si>
  <si>
    <t>CF_CASH_FOR_JOINT_VENTURES_ASSOC</t>
  </si>
  <si>
    <t xml:space="preserve">  + Other Investing Activities</t>
  </si>
  <si>
    <t>OTHER_INVESTING_ACT_DETAILED</t>
  </si>
  <si>
    <t>CF_NET_CASH_DISCONTINUED_OPS_INV</t>
  </si>
  <si>
    <t>Cash from Financing Activities</t>
  </si>
  <si>
    <t xml:space="preserve">  + Dividends Paid</t>
  </si>
  <si>
    <t>CF_DVD_PAID</t>
  </si>
  <si>
    <t xml:space="preserve">  + Cash From (Repayment) Debt</t>
  </si>
  <si>
    <t>PROC_FR_REPAYMNTS_BOR_DETAILED</t>
  </si>
  <si>
    <t xml:space="preserve">    + Cash From (Repay) ST Debt</t>
  </si>
  <si>
    <t>CF_NET_CHG_IN_ST_DBT_&amp;_CPTL_LEAS</t>
  </si>
  <si>
    <t xml:space="preserve">    + Cash From LT Debt</t>
  </si>
  <si>
    <t>CF_PROC_LT_DEBT_&amp;_CAPITAL_LEASE</t>
  </si>
  <si>
    <t xml:space="preserve">    + Repayments of LT Debt</t>
  </si>
  <si>
    <t>CF_PYMT_LT_DEBT_&amp;_CAPITAL_LEASE</t>
  </si>
  <si>
    <t xml:space="preserve">  + Cash (Repurchase) of Equity</t>
  </si>
  <si>
    <t>PROC_FR_REPURCH_EQTY_DETAILED</t>
  </si>
  <si>
    <t xml:space="preserve">    + Increase in Capital Stock</t>
  </si>
  <si>
    <t>CF_INCR_CAP_STOCK</t>
  </si>
  <si>
    <t xml:space="preserve">    + Decrease in Capital Stock</t>
  </si>
  <si>
    <t>CF_DECR_CAP_STOCK</t>
  </si>
  <si>
    <t xml:space="preserve">  + Other Financing Activities</t>
  </si>
  <si>
    <t>CF_OTHER_FINANCING_ACT_EXCL_FX</t>
  </si>
  <si>
    <t>CF_NET_CASH_DISCONTINUED_OPS_FIN</t>
  </si>
  <si>
    <t>CFF_ACTIVITIES_DETAILED</t>
  </si>
  <si>
    <t xml:space="preserve">  Effect of Foreign Exchange Rates</t>
  </si>
  <si>
    <t>CF_EFFECT_FOREIGN_EXCHANGES</t>
  </si>
  <si>
    <t>Net Changes in Cash</t>
  </si>
  <si>
    <t>CF_NET_CHNG_CASH</t>
  </si>
  <si>
    <t>Cash Paid for Taxes</t>
  </si>
  <si>
    <t>CF_CASH_PAID_FOR_TAX</t>
  </si>
  <si>
    <t>Cash Paid for Interest</t>
  </si>
  <si>
    <t>CF_ACT_CASH_PAID_FOR_INT_DEBT</t>
  </si>
  <si>
    <t>Trailing 12M EBITDA Margin</t>
  </si>
  <si>
    <t>Interest Received</t>
  </si>
  <si>
    <t>CF_INTEREST_RECEIVED</t>
  </si>
  <si>
    <t>Free Cash Flow to Firm</t>
  </si>
  <si>
    <t>CF_FREE_CASH_FLOW_FIRM</t>
  </si>
  <si>
    <t>Free Cash Flow to Equity</t>
  </si>
  <si>
    <t>FREE_CASH_FLOW_EQUITY</t>
  </si>
  <si>
    <t>Free Cash Flow per Basic Share</t>
  </si>
  <si>
    <t>Price to Free Cash Flow</t>
  </si>
  <si>
    <t>Cash Flow to Net Income</t>
  </si>
  <si>
    <t>CASH_FLOW_TO_NET_INC</t>
  </si>
  <si>
    <t xml:space="preserve">  Cash From Operating Activities</t>
  </si>
  <si>
    <t>Depreciation And Amortization - CF</t>
  </si>
  <si>
    <t>ARD_DEPRECIATION_AND_AMORT_CF</t>
  </si>
  <si>
    <t>Provision For Doubtful Accounts - CF</t>
  </si>
  <si>
    <t>ARD_PROVISION_DOUBTFUL_ACCT_CF</t>
  </si>
  <si>
    <t>Discontinued Operations (Operating)</t>
  </si>
  <si>
    <t>ARD_DISCONTINUED_OPS_OPERATING</t>
  </si>
  <si>
    <t>Other Non-Cash Items</t>
  </si>
  <si>
    <t>ARD_OTHER_NON_CASH_ITEMS</t>
  </si>
  <si>
    <t>Change in Inventories</t>
  </si>
  <si>
    <t>ARD_CHANGE_IN_INVENTORIES</t>
  </si>
  <si>
    <t>Change in Accounts Payable</t>
  </si>
  <si>
    <t>ARD_CHANGE_IN_ACCOUNTS_PAYABLE</t>
  </si>
  <si>
    <t>Net Change In Working Capital</t>
  </si>
  <si>
    <t>ARD_NET_CHG_IN_WORKING_CAPITAL</t>
  </si>
  <si>
    <t>Cash Paid For Taxes</t>
  </si>
  <si>
    <t>ARD_CASH_PAID_FOR_TAXES</t>
  </si>
  <si>
    <t>Total Cash Flows From Operations</t>
  </si>
  <si>
    <t>ARD_TOT_CASH_FLOWS_FROM_OPS</t>
  </si>
  <si>
    <t>Write-Offs</t>
  </si>
  <si>
    <t>ARD_WRITE_OFFS</t>
  </si>
  <si>
    <t>Gain (Loss) On Sale of Investments and Mkt Sec</t>
  </si>
  <si>
    <t>ARD_GL_ON_SALE_OF_INV_MKT_SEC</t>
  </si>
  <si>
    <t>Foreign Exchange Gains/Losses</t>
  </si>
  <si>
    <t>ARD_FOREIGN_EXCHANGE_GAIN_LOSS</t>
  </si>
  <si>
    <t>Total Cashflow From Ops Before Working Capital</t>
  </si>
  <si>
    <t>ARD_TOT_CF_FROM_OPS_BEF_WORK_CAP</t>
  </si>
  <si>
    <t>Change In Other Provisions</t>
  </si>
  <si>
    <t>ARD_CHANGE_OTHER_PROVISIONS</t>
  </si>
  <si>
    <t>Gain (Loss) From The Sale Of Fixed Assets</t>
  </si>
  <si>
    <t>ARD_GAIN_LOSS_SALES_FIXED_ASSETS</t>
  </si>
  <si>
    <t>Change In Trade Payables &amp; Other Current Liab</t>
  </si>
  <si>
    <t>ARD_CHNG_TRADE_PAY_OTH_CUR_LIAB</t>
  </si>
  <si>
    <t>Depreciation Amortization &amp; Impairment</t>
  </si>
  <si>
    <t>ARD_DEPRECIATION_AMORT_IMPAIRMNT</t>
  </si>
  <si>
    <t>Unusual Items</t>
  </si>
  <si>
    <t>ARD_UNUSUAL_ITEMS</t>
  </si>
  <si>
    <t>Provisions for Long-Term Investments</t>
  </si>
  <si>
    <t>ARD_PROVISION_FOR_LT_INVESTMENTS</t>
  </si>
  <si>
    <t>ARD_INTEREST_EXPENSE</t>
  </si>
  <si>
    <t>Interest Income - CF</t>
  </si>
  <si>
    <t>ARD_INTEREST_INCOME_CF</t>
  </si>
  <si>
    <t>Dividends Income</t>
  </si>
  <si>
    <t>ARD_DIV_INCOME</t>
  </si>
  <si>
    <t>Gain/Loss On Disposal Of Subsidiaries</t>
  </si>
  <si>
    <t>ARD_GAIN_LOSS_DISPOSAL_SUBSIDS</t>
  </si>
  <si>
    <t>Increase/Decrease In Trade &amp; Other Receivables</t>
  </si>
  <si>
    <t>ARD_INCR_DECR_IN_TRADE_OTHER_REC</t>
  </si>
  <si>
    <t>Profit Before Taxation And Minority Interest</t>
  </si>
  <si>
    <t>ARD_PROF_BEFORE_TAX_MINORITY_INT</t>
  </si>
  <si>
    <t>Tax Paid</t>
  </si>
  <si>
    <t>ARD_TAX_PAID</t>
  </si>
  <si>
    <t>Tax Refund</t>
  </si>
  <si>
    <t>ARD_TAX_REFUND</t>
  </si>
  <si>
    <t>Net Cash From Operating Activities</t>
  </si>
  <si>
    <t>ARD_NET_CASH_FROM_OPERATING_ACT</t>
  </si>
  <si>
    <t>Provision For Doubtful Debt Written Back</t>
  </si>
  <si>
    <t>ARD_PROV_DOUBTFUL_DEBT_WRITEBACK</t>
  </si>
  <si>
    <t>Finance Costs</t>
  </si>
  <si>
    <t>ARD_FINANCE_COSTS</t>
  </si>
  <si>
    <t>Loss/(Profit) On Sale Property Plant &amp; Equip</t>
  </si>
  <si>
    <t>ARD_GL_SALE_PROP_PLANT_EQUIP</t>
  </si>
  <si>
    <t>Net Investment Income - CF</t>
  </si>
  <si>
    <t>ARD_NET_INVESTMENT_INCOME_CF</t>
  </si>
  <si>
    <t>Investments Written Off</t>
  </si>
  <si>
    <t>ARD_INVESTMENTS_WRITTEN_OFF</t>
  </si>
  <si>
    <t>Finance Income Received</t>
  </si>
  <si>
    <t>ARD_FINANCE_INCOME_RECEIVED</t>
  </si>
  <si>
    <t xml:space="preserve">  Cash From Investing Activities</t>
  </si>
  <si>
    <t>Disposal of Fixed Assets</t>
  </si>
  <si>
    <t>ARD_DISPOSAL_OF_FIXED_ASSETS</t>
  </si>
  <si>
    <t>ARD_CAPITAL_EXPENDITURES</t>
  </si>
  <si>
    <t>Proceeds From Investments</t>
  </si>
  <si>
    <t>ARD_PROCEEDS_FROM_INVESTMENTS</t>
  </si>
  <si>
    <t>Purchases of Investments</t>
  </si>
  <si>
    <t>ARD_PURCHASES_OF_INVESTMENTS</t>
  </si>
  <si>
    <t>Other Investing Activities</t>
  </si>
  <si>
    <t>ARD_OTHER_INVESTING_ACTIVITIES</t>
  </si>
  <si>
    <t>Sale of Assets</t>
  </si>
  <si>
    <t>ARD_SALE_OF_ASSETS</t>
  </si>
  <si>
    <t>Interest Received From Investing Activities</t>
  </si>
  <si>
    <t>ARD_INT_REC_FROM_INVESTING_ACT</t>
  </si>
  <si>
    <t>ARDR_INTEREST_INCOME_CF</t>
  </si>
  <si>
    <t>Total Cash Flows From Investing</t>
  </si>
  <si>
    <t>ARD_TOT_CASHFLOWS_FROM_INVESTING</t>
  </si>
  <si>
    <t xml:space="preserve">  Cash from Financing Activities</t>
  </si>
  <si>
    <t>Dividends Paid</t>
  </si>
  <si>
    <t>ARD_DIVIDEND_PD</t>
  </si>
  <si>
    <t>Increase (Decrease) Short-Term Borrowings -Net</t>
  </si>
  <si>
    <t>ARD_INCR_DECR_ST_BORROW_NET</t>
  </si>
  <si>
    <t>Increase In Long-Term Borrowings</t>
  </si>
  <si>
    <t>ARD_INCR_IN_LT_BORROW</t>
  </si>
  <si>
    <t>Decrease In Long-Term Borrowings</t>
  </si>
  <si>
    <t>ARD_DECR_IN_LT_BORROW</t>
  </si>
  <si>
    <t>Issuance of Common Stock</t>
  </si>
  <si>
    <t>ARD_ISSUANCE_OF_COMMON_STOCK</t>
  </si>
  <si>
    <t>Effect of Exchange Rates On Cash</t>
  </si>
  <si>
    <t>ARD_EFF_OF_EXCH_RATES_ON_CASH</t>
  </si>
  <si>
    <t>Debt Financing/Issuance Costs</t>
  </si>
  <si>
    <t>ARD_DEBT_FIN_ISSUANCE_COSTS</t>
  </si>
  <si>
    <t>Other Financing Activities</t>
  </si>
  <si>
    <t>ARD_OTHER_FINANCING_ACTIVITIES</t>
  </si>
  <si>
    <t>Cash Paid For Interest</t>
  </si>
  <si>
    <t>ARD_CASH_PAID_FOR_INTEREST</t>
  </si>
  <si>
    <t>Net Change In Cash</t>
  </si>
  <si>
    <t>ARD_NET_CHANGE_IN_CASH</t>
  </si>
  <si>
    <t>Cash and Cash Equivalents (End of Period)</t>
  </si>
  <si>
    <t>ARD_CASH_CASH_EQUIV_END_OF_PER</t>
  </si>
  <si>
    <t>Cash and Cash Equivalents (Beg of Period)</t>
  </si>
  <si>
    <t>ARD_CASH_CASH_EQUIV_BEG_OF_PER</t>
  </si>
  <si>
    <t>Dividend Paid Including Dividend Tax</t>
  </si>
  <si>
    <t>ARD_DVD_PAID_INCLUDING_DIV_TAX</t>
  </si>
  <si>
    <t>Interest Paid From Financing Activities</t>
  </si>
  <si>
    <t>ARD_INT_PAID_FINANCING_ACTS</t>
  </si>
  <si>
    <t>Total Cash Flows From Financing</t>
  </si>
  <si>
    <t>ARD_TOT_CASHFLOWS_FROM_FINANCING</t>
  </si>
  <si>
    <t>Reliance Communications Ltd (RCOM IN) - Profitability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</si>
  <si>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</si>
  <si>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</si>
  <si>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</si>
  <si>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</si>
  <si>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</si>
  <si>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</si>
  <si>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</si>
  <si>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</si>
  <si>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</si>
  <si>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</si>
  <si>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EBITDA_TO_REVENUE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</si>
  <si>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</si>
  <si>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</si>
  <si>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</si>
  <si>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</si>
  <si>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</si>
  <si>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</si>
  <si>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</si>
  <si>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</si>
  <si>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</si>
  <si>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</si>
  <si>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</si>
  <si>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</si>
  <si>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</si>
  <si>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</si>
  <si>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</si>
  <si>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</si>
  <si>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Reliance Communications Ltd (RCOM IN) - Growth</t>
  </si>
  <si>
    <t>1 Year Growth</t>
  </si>
  <si>
    <t>EBITDA_GROWTH</t>
  </si>
  <si>
    <t>OPER_INC_GROWTH</t>
  </si>
  <si>
    <t>EARN_FOR_COM_GROWTH</t>
  </si>
  <si>
    <t>EPS Diluted</t>
  </si>
  <si>
    <t>DILUTED_EPS_AFT_XO_ITEMS_GROWTH</t>
  </si>
  <si>
    <t>EPS Diluted before XO</t>
  </si>
  <si>
    <t>DILUTED_EPS_BEF_XO_ITEMS_GROWTH</t>
  </si>
  <si>
    <t>EPS Diluted before Abnormal</t>
  </si>
  <si>
    <t>RR_DIL_EPS_CONT_OPS_GROWTH</t>
  </si>
  <si>
    <t>Dividend per Share</t>
  </si>
  <si>
    <t>DIVIDEND_PER_SHARE_1_YEAR_GROWTH</t>
  </si>
  <si>
    <t>Accounts Receivable</t>
  </si>
  <si>
    <t>ACCOUNTS_RECEIVABLE_GROWTH</t>
  </si>
  <si>
    <t>Inventory</t>
  </si>
  <si>
    <t>INVENTORY_GROWTH</t>
  </si>
  <si>
    <t>Fixed Assets</t>
  </si>
  <si>
    <t>NET_FIXED_ASSETS_1_YEAR_GROWTH</t>
  </si>
  <si>
    <t>ASSET_GROWTH</t>
  </si>
  <si>
    <t>Modified Working Capital</t>
  </si>
  <si>
    <t>MODIFIED_WORK_CAP_GROWTH</t>
  </si>
  <si>
    <t>Working Capital</t>
  </si>
  <si>
    <t>WORK_CAP_GROWTH</t>
  </si>
  <si>
    <t>Employees</t>
  </si>
  <si>
    <t>EMPL_GROWTH</t>
  </si>
  <si>
    <t>Accounts Payable</t>
  </si>
  <si>
    <t>ACCOUNTS_PAYABLE_GROWTH_1YR</t>
  </si>
  <si>
    <t>Short-Term Debt</t>
  </si>
  <si>
    <t>SHORT_TERM_DEBT_1_YEAR_GROWTH</t>
  </si>
  <si>
    <t>Total Debt</t>
  </si>
  <si>
    <t>TOTAL_DEBT_1_YEAR_GROWTH</t>
  </si>
  <si>
    <t>TOTAL_EQUITY_1_YEAR_GROWTH</t>
  </si>
  <si>
    <t>Capital</t>
  </si>
  <si>
    <t>GROWTH_IN_CAP</t>
  </si>
  <si>
    <t>Book Value per Share</t>
  </si>
  <si>
    <t>BVPS_GROWTH</t>
  </si>
  <si>
    <t>CASH_FLOW_GROWTH</t>
  </si>
  <si>
    <t>TOT_CAP_EXPEND_GROWTH</t>
  </si>
  <si>
    <t>FREE_CASH_FLOW_1_YEAR_GROWTH</t>
  </si>
  <si>
    <t>Cash Flow to Firm</t>
  </si>
  <si>
    <t>CASH_FLOW_TO_FIRM_1_YEAR_GROWTH</t>
  </si>
  <si>
    <t>5 Year Growth</t>
  </si>
  <si>
    <t>GEO_GROW_NET_SALES</t>
  </si>
  <si>
    <t>GEO_GROW_EBITDA</t>
  </si>
  <si>
    <t>GEO_GROW_OPER_INC</t>
  </si>
  <si>
    <t>NET_INCOME_TO_COMMON_5_YR_GROWTH</t>
  </si>
  <si>
    <t>5Y_GEO_GROWTH_DILUTED_EPS</t>
  </si>
  <si>
    <t>5Y_GEO_GROWTH_DILUTED_EPS_BEF_XO</t>
  </si>
  <si>
    <t>GEO_GROW_DILUTED_EPS_CONT_OPS</t>
  </si>
  <si>
    <t>GEO_GROW_DVD_PER_SH</t>
  </si>
  <si>
    <t>ACCOUNTS_RECEIVABLE_5_YR_GROWTH</t>
  </si>
  <si>
    <t>INVENTORY_5_YEAR_GROWTH</t>
  </si>
  <si>
    <t>NET_FIXED_ASSETS_5_YEAR_GROWTH</t>
  </si>
  <si>
    <t>GEO_GROW_TOT_ASSET</t>
  </si>
  <si>
    <t>EMPLOYEES_5_YEAR_GROWTH</t>
  </si>
  <si>
    <t>ACCOUNTS_PAYABLE_5_YEAR_GROWTH</t>
  </si>
  <si>
    <t>SHORT_TERM_DEBT_5_YEAR_GROWTH</t>
  </si>
  <si>
    <t>TOTAL_DEBT_5_YEAR_GROWTH</t>
  </si>
  <si>
    <t>GEO_GROW_TOT_SHRHLDR_EQY</t>
  </si>
  <si>
    <t>Total Capital 5 Year Growth</t>
  </si>
  <si>
    <t>TOTAL_CAPITAL_5_YEAR_GROWTH</t>
  </si>
  <si>
    <t>GEO_GROW_BOOK_VAL</t>
  </si>
  <si>
    <t>GEO_GROW_CASH_OPER_ACT</t>
  </si>
  <si>
    <t>Sequential Growth</t>
  </si>
  <si>
    <t>REVENUE_SEQUENTIAL_GROWTH</t>
  </si>
  <si>
    <t>EBITDA_SEQUENTIAL_GROWTH</t>
  </si>
  <si>
    <t>OPERATING_INCOME_SEQ_GROWTH</t>
  </si>
  <si>
    <t>NET_INCOME_TO_COMMON_SEQ_GROWTH</t>
  </si>
  <si>
    <t>EPS_DILUTED_SEQUENTIAL_GROWTH</t>
  </si>
  <si>
    <t>EPS_DIL_BEF_EXTRAORD_SEQ_GRWTH</t>
  </si>
  <si>
    <t>EPS_DILUTED_BEF_ABNRML_SEQ_GRWTH</t>
  </si>
  <si>
    <t>DPS_SEQUENTIAL_GROWTH</t>
  </si>
  <si>
    <t>ACCOUNTS_RECEIVABLE_SEQ_GROWTH</t>
  </si>
  <si>
    <t>INVENTORY_SEQUENTIAL_GROWTH</t>
  </si>
  <si>
    <t>FIXED_ASSETS_SEQUENTIAL_GROWTH</t>
  </si>
  <si>
    <t>TOTAL_ASSETS_SEQUENTIAL_GROWTH</t>
  </si>
  <si>
    <t>MODIFIED_WORKING_CPTL_SEQ_GRWTH</t>
  </si>
  <si>
    <t>EMPLOYEES_SEQUENTIAL_GROWTH</t>
  </si>
  <si>
    <t>ACCOUNTS_PAYABLE_SEQ_GROWTH</t>
  </si>
  <si>
    <t>ST_DEBT_SEQUENTIAL_GROWTH</t>
  </si>
  <si>
    <t>TOTAL_DEBT_SEQUENTIAL_GROWTH</t>
  </si>
  <si>
    <t>TOTAL_EQUITY_SEQUENTIAL_GROWTH</t>
  </si>
  <si>
    <t>TOTAL_CAPITAL_SEQUENTIAL_GROWTH</t>
  </si>
  <si>
    <t>BPS_SEQUENTIAL_GROWTH</t>
  </si>
  <si>
    <t>CFO_SEQUENTIAL_GROWTH</t>
  </si>
  <si>
    <t>CAPEX_SEQUENTIAL_GROWTH</t>
  </si>
  <si>
    <t>NET_CHANGE_IN_CASH_SEQ_GROWTH</t>
  </si>
  <si>
    <t>FREE_CASH_FLOW_SEQUENTIAL_GROWTH</t>
  </si>
  <si>
    <t>CF_TO_FIRM_SEQUENTIAL_GROWTH</t>
  </si>
  <si>
    <t>FCF_TO_FIRM_SEQUENTIAL_GROWTH</t>
  </si>
  <si>
    <t>Reliance Communications Ltd (RCOM IN) - Credit</t>
  </si>
  <si>
    <t>Short and Long Term Debt</t>
  </si>
  <si>
    <t xml:space="preserve">  Short-Term Debt</t>
  </si>
  <si>
    <t xml:space="preserve">  Long Term Debt</t>
  </si>
  <si>
    <t>Total Debt/T12M EBITDA</t>
  </si>
  <si>
    <t>TOT_DEBT_TO_EBITDA</t>
  </si>
  <si>
    <t>Net Debt/EBITDA</t>
  </si>
  <si>
    <t>NET_DEBT_TO_EBITDA</t>
  </si>
  <si>
    <t>Total Debt/EBIT</t>
  </si>
  <si>
    <t>TOTAL_DEBT_TO_EBIT</t>
  </si>
  <si>
    <t>Net Debt/EBIT</t>
  </si>
  <si>
    <t>NET_DEBT_TO_EBIT</t>
  </si>
  <si>
    <t>EBITDA to Interest Expense</t>
  </si>
  <si>
    <t>EBITDA_TO_INTEREST_EXPN</t>
  </si>
  <si>
    <t>EBITDA-CapEx/Interest Expense</t>
  </si>
  <si>
    <t>EBITDA_LES_CAP_EXPEND_TO_INT_EXP</t>
  </si>
  <si>
    <t>EBIT to Interest Expense</t>
  </si>
  <si>
    <t>OPER_INC_TO_INT_EXP</t>
  </si>
  <si>
    <t>EBITDA/Cash Interest Paid</t>
  </si>
  <si>
    <t>EBITDA_TO_CASH_INTEREST_PAID</t>
  </si>
  <si>
    <t>EBITDA-CapEx/Cash Interest Paid</t>
  </si>
  <si>
    <t>EBITDA_AFT_CAPEX_TO_CASH_INT_PD</t>
  </si>
  <si>
    <t>EBIT/Cash Interest Paid</t>
  </si>
  <si>
    <t>EBIT_TO_CASH_INTEREST_PAID</t>
  </si>
  <si>
    <t>Cash Interest Paid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</si>
  <si>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</si>
  <si>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</si>
  <si>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</si>
  <si>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</si>
  <si>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</si>
  <si>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</si>
  <si>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</si>
  <si>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</si>
  <si>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</si>
  <si>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</si>
  <si>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</si>
  <si>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Total Debt/Total Assets</t>
  </si>
  <si>
    <t>TOT_DEBT_TO_TOT_ASSET</t>
  </si>
  <si>
    <t>Net Debt/Equity</t>
  </si>
  <si>
    <t>Net Debt/Capital</t>
  </si>
  <si>
    <t>NET_DEBT_%_CAPITAL</t>
  </si>
  <si>
    <t>EBITDA-CapEx</t>
  </si>
  <si>
    <t>EBITDA_AFTER_CAPEX</t>
  </si>
  <si>
    <t>Reliance Communications Ltd (RCOM IN) - Liquidity</t>
  </si>
  <si>
    <t>Cash Ratio</t>
  </si>
  <si>
    <t>CASH_RATIO</t>
  </si>
  <si>
    <t>Quick Ratio</t>
  </si>
  <si>
    <t>QUICK_RATIO</t>
  </si>
  <si>
    <t>CFO/Avg Current Liab</t>
  </si>
  <si>
    <t>CFO_TO_AVG_CURRENT_LIABILITIES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</si>
  <si>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</si>
  <si>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</si>
  <si>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</si>
  <si>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</si>
  <si>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</si>
  <si>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</si>
  <si>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Total Commercial Paper Outstanding</t>
  </si>
  <si>
    <t>BS_TOT_COM_PAPER_ISSUED</t>
  </si>
  <si>
    <t>Reliance Communications Ltd (RCOM IN) - Working Capital</t>
  </si>
  <si>
    <t>Accounts Receivable Turnover</t>
  </si>
  <si>
    <t>ACCT_RCV_TURN</t>
  </si>
  <si>
    <t xml:space="preserve">  Days Sales Outstanding</t>
  </si>
  <si>
    <t>ACCT_RCV_DAYS</t>
  </si>
  <si>
    <t>Inventory Turnover</t>
  </si>
  <si>
    <t>INVENT_TURN</t>
  </si>
  <si>
    <t xml:space="preserve">  Days Inventory Outstanding</t>
  </si>
  <si>
    <t>INVENT_DAYS</t>
  </si>
  <si>
    <t>Accounts Payable Turnover</t>
  </si>
  <si>
    <t>ACCOUNTS_PAYABLE_TURNOVER</t>
  </si>
  <si>
    <t xml:space="preserve">  Accounts Payable Turnover Days</t>
  </si>
  <si>
    <t>ACCOUNTS_PAYABLE_TURNOVER_DAYS</t>
  </si>
  <si>
    <t>Inventory to Cash Days</t>
  </si>
  <si>
    <t>INV_TO_CASH_DAYS</t>
  </si>
  <si>
    <t>Total Inventory</t>
  </si>
  <si>
    <t xml:space="preserve">  Inventory Raw Materials</t>
  </si>
  <si>
    <t xml:space="preserve">  Inventory In Progress</t>
  </si>
  <si>
    <t xml:space="preserve">  Inventory Finished Goods</t>
  </si>
  <si>
    <t xml:space="preserve">  Other Inventory</t>
  </si>
  <si>
    <t>Reliance Communications Ltd (RCOM IN) - Yield Analysis</t>
  </si>
  <si>
    <t>T12 Cash Flows to Equity</t>
  </si>
  <si>
    <t>+ Cash From Operations</t>
  </si>
  <si>
    <t>TRAIL_12M_CASH_FROM_OPER</t>
  </si>
  <si>
    <t>+ Capital Expenditures</t>
  </si>
  <si>
    <t>TRAIL_12M_CAP_EXPEND</t>
  </si>
  <si>
    <t>TRAIL_12M_FREE_CASH_FLOW</t>
  </si>
  <si>
    <t>Free Cash Flow Yield</t>
  </si>
  <si>
    <t>FREE_CASH_FLOW_YIELD</t>
  </si>
  <si>
    <t>T12M_DVDS_PAID</t>
  </si>
  <si>
    <t>Net Share Repurchases</t>
  </si>
  <si>
    <t>T12M_NET_CAPITAL_STOCK</t>
  </si>
  <si>
    <t>Net ST Debt Repayments</t>
  </si>
  <si>
    <t>T12M_CHG_ST_BORROWINGS</t>
  </si>
  <si>
    <t>Net LT Debt Repayments</t>
  </si>
  <si>
    <t>T12M_CHG_LT_DEBT</t>
  </si>
  <si>
    <t>T12_OTHER_CFF</t>
  </si>
  <si>
    <t>T12 Cash to Suppliers of Capital</t>
  </si>
  <si>
    <t>T12_CFF</t>
  </si>
  <si>
    <t>T12 Shareholder Yield</t>
  </si>
  <si>
    <t>SHAREHOLDER_YIELD_CFF</t>
  </si>
  <si>
    <t>- Dividends Paid</t>
  </si>
  <si>
    <t>- Net Share Repurchases</t>
  </si>
  <si>
    <t>T12 Cash to Shareholders</t>
  </si>
  <si>
    <t>RETURNED_CAPITAL_EX_DEBT</t>
  </si>
  <si>
    <t>T12 Shareholder Yield, Ex Debt</t>
  </si>
  <si>
    <t>SHAREHOLDER_YIELD_EX_DEBT</t>
  </si>
  <si>
    <t>T12 Cash Flows to the Firm</t>
  </si>
  <si>
    <t>+ After-Tax Interest Expense</t>
  </si>
  <si>
    <t>AFTER_TAX_INTEREST_EXPENSE</t>
  </si>
  <si>
    <t>Trailing 12M Free Cash Flow To Firm</t>
  </si>
  <si>
    <t>Periodic Enterprise Value</t>
  </si>
  <si>
    <t>T12 FCFF Yield</t>
  </si>
  <si>
    <t>T12M_FCF_TO_FIRM_YIELD</t>
  </si>
  <si>
    <t>- Net ST Debt Repayments</t>
  </si>
  <si>
    <t>- Net LT Debt Repayments</t>
  </si>
  <si>
    <t>- Other Financing Activities</t>
  </si>
  <si>
    <t>T12 Capital Yield</t>
  </si>
  <si>
    <t>CAPITAL_YIELD</t>
  </si>
  <si>
    <t>Reliance Communications Ltd (RCOM IN) - DuPont Analysis</t>
  </si>
  <si>
    <t>Tax Burden</t>
  </si>
  <si>
    <t xml:space="preserve">  Net Inc to Comn/Pre-Tax Profit %</t>
  </si>
  <si>
    <t>TAX_EFFICIENCY</t>
  </si>
  <si>
    <t>Adjustment Factor</t>
  </si>
  <si>
    <t xml:space="preserve">  Normlzd Net Inc/Net Inc to Cmn</t>
  </si>
  <si>
    <t>NORM_NET_INC_TO_NET_INC_FO_COM</t>
  </si>
  <si>
    <t>Interest Burden</t>
  </si>
  <si>
    <t xml:space="preserve">  Pre-Tax Profit/EBIT %</t>
  </si>
  <si>
    <t>INT_BURDEN</t>
  </si>
  <si>
    <t xml:space="preserve">  EBIT/Revenue %</t>
  </si>
  <si>
    <t>T12_EBIT_TO_REVENUE</t>
  </si>
  <si>
    <t>Asset Turnover</t>
  </si>
  <si>
    <t xml:space="preserve">  Revenue/Avg Assets</t>
  </si>
  <si>
    <t>ASSET_TURNOVER</t>
  </si>
  <si>
    <t>Leverage Ratio</t>
  </si>
  <si>
    <t xml:space="preserve">  Avg Assets/Avg Equity</t>
  </si>
  <si>
    <t>FNCL_LVRG</t>
  </si>
  <si>
    <t>Adjusted Return on Equity</t>
  </si>
  <si>
    <t>NORMALIZED_ROE</t>
  </si>
  <si>
    <t>5 Year Average Adj ROE</t>
  </si>
  <si>
    <t>5_YEAR_AVERAGE_ADJUSTED_ROE</t>
  </si>
  <si>
    <t>Payout Ratio</t>
  </si>
  <si>
    <t>Reliance Communications Ltd (RCOM IN) - CAPEX &amp; Depreciation</t>
  </si>
  <si>
    <t>Depreciation Expenses</t>
  </si>
  <si>
    <t>Depr Exp / Net Sales</t>
  </si>
  <si>
    <t>DEPR_EXP_TO_NET_SALES</t>
  </si>
  <si>
    <t>Depr Exp / Net Fixed Assets</t>
  </si>
  <si>
    <t>DEPR_EXP_TO_NET_FIX_ASSET</t>
  </si>
  <si>
    <t>Accum Depr / Total Assets</t>
  </si>
  <si>
    <t>ACCUM_DEPR_TO_TOT_ASSET</t>
  </si>
  <si>
    <t>Accum Depr / Gross Fixed Assets</t>
  </si>
  <si>
    <t>ACCUM_DEPR_TO_GROSS_FA</t>
  </si>
  <si>
    <t>CF_CAP_EXPEND_PRPTY_ADD</t>
  </si>
  <si>
    <t>CAPEX/Sales</t>
  </si>
  <si>
    <t>CAP_EXPEND_TO_SALES</t>
  </si>
  <si>
    <t>CAPEX/Total Assets</t>
  </si>
  <si>
    <t>CAP_EXPEND_TO_TOT_ASSET</t>
  </si>
  <si>
    <t>Capital Expend / Depr Exp</t>
  </si>
  <si>
    <t>CAPEX_TO_DEPR_EXPN_RATIO</t>
  </si>
  <si>
    <t>CAPEX to Depreciation Expense 5 Year Average</t>
  </si>
  <si>
    <t>5Y_AVG_CAPEX_TO_DEPR_EXPN</t>
  </si>
  <si>
    <t>Total Capital Expenditures - 1 Yr Growth</t>
  </si>
  <si>
    <t>Average Age of Assets in Years</t>
  </si>
  <si>
    <t>AVG_AGE_OF_ASSETS_IN_YEARS</t>
  </si>
  <si>
    <t>Reliance Communications Ltd (RCOM IN) - Overview</t>
  </si>
  <si>
    <t>Net Income (Losses)</t>
  </si>
  <si>
    <t>Trailing 12M Earnings per Share</t>
  </si>
  <si>
    <t>TRAIL_12M_EPS</t>
  </si>
  <si>
    <t>Price/T12M Earnings per Share</t>
  </si>
  <si>
    <t>Dividend Payout Ratio</t>
  </si>
  <si>
    <t>Dividend Yield</t>
  </si>
  <si>
    <t>DIVIDEND_12_MONTH_YIELD</t>
  </si>
  <si>
    <t>Net Fixed Assets</t>
  </si>
  <si>
    <t>Price/Book Value per Share</t>
  </si>
  <si>
    <t>Net Tangible Assets per Share</t>
  </si>
  <si>
    <t>Cash Flow per Share</t>
  </si>
  <si>
    <t>Reliance Communications Ltd (RCOM IN) - As Reported Summary</t>
  </si>
  <si>
    <t xml:space="preserve">  Expenses</t>
  </si>
  <si>
    <t xml:space="preserve">  Assets</t>
  </si>
  <si>
    <t xml:space="preserve">  Liabilities</t>
  </si>
  <si>
    <t>Cash Flows</t>
  </si>
  <si>
    <t>Reliance Communications Ltd (RCOM IN) - Dividend Summary</t>
  </si>
  <si>
    <t>Dividends per Share - 5 Yr Geo Growth</t>
  </si>
  <si>
    <t>Cash Dividend Coverage</t>
  </si>
  <si>
    <t>CASH_DVD_COVERAGE</t>
  </si>
  <si>
    <t>Total Cash Preferred Dividends</t>
  </si>
  <si>
    <t>Trailing 12M Preferred Dividends</t>
  </si>
  <si>
    <t>TRAIL_12M_PFD_DVD</t>
  </si>
  <si>
    <t>Trailing 12M Common Dividends</t>
  </si>
  <si>
    <t>TRAIL_12M_COM_DVD</t>
  </si>
  <si>
    <t>Trailing 12M Dividends Per Share</t>
  </si>
  <si>
    <t>TRAIL_12M_DVD_PER_SH</t>
  </si>
  <si>
    <t>Reliance Communications Ltd (RCOM IN) - Sources of Capital</t>
  </si>
  <si>
    <t xml:space="preserve">  Net Change Short Term Debt</t>
  </si>
  <si>
    <t>NET_CHNG_ST_DEBT</t>
  </si>
  <si>
    <t xml:space="preserve">  Net Change Long Term Debt</t>
  </si>
  <si>
    <t>NET_CHNG_LT_DEBT</t>
  </si>
  <si>
    <t xml:space="preserve">  Net Change in Other Liabilities</t>
  </si>
  <si>
    <t>NET_CHNG_SRC_OF_CAP_OTHER_LIAB</t>
  </si>
  <si>
    <t>Net Change in Liabilities</t>
  </si>
  <si>
    <t>NET_CHANGE_LIABILITIES</t>
  </si>
  <si>
    <t>Net Change in Liabilities % of Total</t>
  </si>
  <si>
    <t>INCR_IN_LIAB_PCT_OF_TOT</t>
  </si>
  <si>
    <t xml:space="preserve">  Reinvested Earnings</t>
  </si>
  <si>
    <t>REINVEST_EARN</t>
  </si>
  <si>
    <t xml:space="preserve">  External Equity Financing</t>
  </si>
  <si>
    <t>EXTERN_EQY_FNC</t>
  </si>
  <si>
    <t>Net Change in Total Equity</t>
  </si>
  <si>
    <t>NET_CHANGE_TOTAL_EQUITY</t>
  </si>
  <si>
    <t>Increase In Equity % of Total</t>
  </si>
  <si>
    <t>INCR_IN_EQY_PCT_OF_TOT</t>
  </si>
  <si>
    <t>Capital Employed</t>
  </si>
  <si>
    <t>CAPITAL_EMPLOYED</t>
  </si>
  <si>
    <t>Reliance Communications Ltd (RCOM IN) - Comprehensive Income</t>
  </si>
  <si>
    <t xml:space="preserve">  + Foreign Curr Transl Adj - Other Compreh Income</t>
  </si>
  <si>
    <t>IS_FOREIGN_CRNCY_TRANS_ADJ</t>
  </si>
  <si>
    <t xml:space="preserve">  + Unrealized Gain (Loss)</t>
  </si>
  <si>
    <t>IS_UNREALIZED_GAIN_LOSS_COMP_INC</t>
  </si>
  <si>
    <t xml:space="preserve">  + Pension Related Adjust Other Comprehensive Inc</t>
  </si>
  <si>
    <t>IS_OTHER_COMPREHENSIVE_INCOME</t>
  </si>
  <si>
    <t xml:space="preserve">  + Oth Adj-Oth Comp Inc</t>
  </si>
  <si>
    <t>IS_OTHER_ADJ_COMP_INC</t>
  </si>
  <si>
    <t xml:space="preserve">  + Inc Tax Exp-Oth Comp Inc</t>
  </si>
  <si>
    <t>IS_INC_TAX_EXP_OTHER_COMP_INC</t>
  </si>
  <si>
    <t>Comprehensive Income</t>
  </si>
  <si>
    <t>IS_COMPREHENSIVE_INCOME</t>
  </si>
  <si>
    <t>Basic Comprehensive EPS</t>
  </si>
  <si>
    <t>IS_COMPREHENSIVE_INCOME_PER_SHR</t>
  </si>
  <si>
    <t>ESG Disclosure Score</t>
  </si>
  <si>
    <t>ESG_DISCLOSURE_SCORE</t>
  </si>
  <si>
    <t>Environmental</t>
  </si>
  <si>
    <t>Environmental Disclosure Score</t>
  </si>
  <si>
    <t>ENVIRON_DISCLOSURE_SCORE</t>
  </si>
  <si>
    <t>Social</t>
  </si>
  <si>
    <t>Social Disclosure Score</t>
  </si>
  <si>
    <t>SOCIAL_DISCLOSURE_SCORE</t>
  </si>
  <si>
    <t>NUMBER_EMPLOYEES_CSR</t>
  </si>
  <si>
    <t>% Employees Unionized</t>
  </si>
  <si>
    <t>PCT_EMPLOYEES_UNIONIZED</t>
  </si>
  <si>
    <t>Community Spending</t>
  </si>
  <si>
    <t>COMMUNITY_SPENDING</t>
  </si>
  <si>
    <t>Governance</t>
  </si>
  <si>
    <t>Governance Disclosure Score</t>
  </si>
  <si>
    <t>GOVNCE_DISCLOSURE_SCORE</t>
  </si>
  <si>
    <t>Size of the Board</t>
  </si>
  <si>
    <t>BOARD_SIZE</t>
  </si>
  <si>
    <t>Indep Directors</t>
  </si>
  <si>
    <t>INDEPENDENT_DIRECTORS</t>
  </si>
  <si>
    <t>% Indep Directors</t>
  </si>
  <si>
    <t>PCT_INDEPENDENT_DIRECTORS</t>
  </si>
  <si>
    <t>Board Duration (Years)</t>
  </si>
  <si>
    <t>BOARD_DURATION</t>
  </si>
  <si>
    <t># Board Meetings</t>
  </si>
  <si>
    <t>BOARD_MEETINGS_PER_YR</t>
  </si>
  <si>
    <t>Board Mtg Attendance</t>
  </si>
  <si>
    <t>BOARD_MEETING_ATTENDANCE_PCT</t>
  </si>
</sst>
</file>

<file path=xl/styles.xml><?xml version="1.0" encoding="utf-8"?>
<styleSheet xmlns="http://schemas.openxmlformats.org/spreadsheetml/2006/main">
  <numFmts count="1">
    <numFmt numFmtId="171" formatCode="#,##0.0"/>
  </numFmts>
  <fonts count="29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12" fillId="10" borderId="0" applyNumberFormat="0" applyBorder="0" applyAlignment="0" applyProtection="0"/>
    <xf numFmtId="0" fontId="12" fillId="14" borderId="0" applyNumberFormat="0" applyBorder="0" applyAlignment="0" applyProtection="0"/>
    <xf numFmtId="0" fontId="12" fillId="18" borderId="0" applyNumberFormat="0" applyBorder="0" applyAlignment="0" applyProtection="0"/>
    <xf numFmtId="0" fontId="12" fillId="22" borderId="0" applyNumberFormat="0" applyBorder="0" applyAlignment="0" applyProtection="0"/>
    <xf numFmtId="0" fontId="12" fillId="26" borderId="0" applyNumberFormat="0" applyBorder="0" applyAlignment="0" applyProtection="0"/>
    <xf numFmtId="0" fontId="12" fillId="30" borderId="0" applyNumberFormat="0" applyBorder="0" applyAlignment="0" applyProtection="0"/>
    <xf numFmtId="0" fontId="12" fillId="11" borderId="0" applyNumberFormat="0" applyBorder="0" applyAlignment="0" applyProtection="0"/>
    <xf numFmtId="0" fontId="12" fillId="15" borderId="0" applyNumberFormat="0" applyBorder="0" applyAlignment="0" applyProtection="0"/>
    <xf numFmtId="0" fontId="12" fillId="19" borderId="0" applyNumberFormat="0" applyBorder="0" applyAlignment="0" applyProtection="0"/>
    <xf numFmtId="0" fontId="12" fillId="23" borderId="0" applyNumberFormat="0" applyBorder="0" applyAlignment="0" applyProtection="0"/>
    <xf numFmtId="0" fontId="12" fillId="27" borderId="0" applyNumberFormat="0" applyBorder="0" applyAlignment="0" applyProtection="0"/>
    <xf numFmtId="0" fontId="12" fillId="31" borderId="0" applyNumberFormat="0" applyBorder="0" applyAlignment="0" applyProtection="0"/>
    <xf numFmtId="0" fontId="28" fillId="12" borderId="0" applyNumberFormat="0" applyBorder="0" applyAlignment="0" applyProtection="0"/>
    <xf numFmtId="0" fontId="28" fillId="16" borderId="0" applyNumberFormat="0" applyBorder="0" applyAlignment="0" applyProtection="0"/>
    <xf numFmtId="0" fontId="28" fillId="20" borderId="0" applyNumberFormat="0" applyBorder="0" applyAlignment="0" applyProtection="0"/>
    <xf numFmtId="0" fontId="28" fillId="24" borderId="0" applyNumberFormat="0" applyBorder="0" applyAlignment="0" applyProtection="0"/>
    <xf numFmtId="0" fontId="28" fillId="28" borderId="0" applyNumberFormat="0" applyBorder="0" applyAlignment="0" applyProtection="0"/>
    <xf numFmtId="0" fontId="28" fillId="32" borderId="0" applyNumberFormat="0" applyBorder="0" applyAlignment="0" applyProtection="0"/>
    <xf numFmtId="0" fontId="28" fillId="9" borderId="0" applyNumberFormat="0" applyBorder="0" applyAlignment="0" applyProtection="0"/>
    <xf numFmtId="0" fontId="28" fillId="13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18" fillId="3" borderId="0" applyNumberFormat="0" applyBorder="0" applyAlignment="0" applyProtection="0"/>
    <xf numFmtId="0" fontId="2" fillId="33" borderId="0"/>
    <xf numFmtId="0" fontId="22" fillId="6" borderId="9" applyNumberFormat="0" applyAlignment="0" applyProtection="0"/>
    <xf numFmtId="0" fontId="24" fillId="7" borderId="12" applyNumberFormat="0" applyAlignment="0" applyProtection="0"/>
    <xf numFmtId="0" fontId="26" fillId="0" borderId="0" applyNumberFormat="0" applyFill="0" applyBorder="0" applyAlignment="0" applyProtection="0"/>
    <xf numFmtId="0" fontId="7" fillId="33" borderId="1">
      <alignment horizontal="right"/>
    </xf>
    <xf numFmtId="0" fontId="6" fillId="34" borderId="0" applyNumberFormat="0" applyBorder="0" applyProtection="0">
      <alignment horizontal="center"/>
    </xf>
    <xf numFmtId="0" fontId="7" fillId="33" borderId="3">
      <alignment horizontal="right"/>
    </xf>
    <xf numFmtId="0" fontId="7" fillId="33" borderId="3">
      <alignment horizontal="left"/>
    </xf>
    <xf numFmtId="0" fontId="11" fillId="36" borderId="4" applyNumberFormat="0" applyAlignment="0" applyProtection="0"/>
    <xf numFmtId="0" fontId="8" fillId="34" borderId="5"/>
    <xf numFmtId="0" fontId="10" fillId="34" borderId="5"/>
    <xf numFmtId="0" fontId="9" fillId="34" borderId="5"/>
    <xf numFmtId="0" fontId="17" fillId="2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0" fillId="5" borderId="9" applyNumberFormat="0" applyAlignment="0" applyProtection="0"/>
    <xf numFmtId="0" fontId="23" fillId="0" borderId="11" applyNumberFormat="0" applyFill="0" applyAlignment="0" applyProtection="0"/>
    <xf numFmtId="0" fontId="19" fillId="4" borderId="0" applyNumberFormat="0" applyBorder="0" applyAlignment="0" applyProtection="0"/>
    <xf numFmtId="0" fontId="12" fillId="8" borderId="13" applyNumberFormat="0" applyFont="0" applyAlignment="0" applyProtection="0"/>
    <xf numFmtId="0" fontId="21" fillId="6" borderId="10" applyNumberFormat="0" applyAlignment="0" applyProtection="0"/>
    <xf numFmtId="0" fontId="13" fillId="0" borderId="0" applyNumberFormat="0" applyFill="0" applyBorder="0" applyAlignment="0" applyProtection="0"/>
    <xf numFmtId="0" fontId="27" fillId="0" borderId="14" applyNumberFormat="0" applyFill="0" applyAlignment="0" applyProtection="0"/>
    <xf numFmtId="0" fontId="25" fillId="0" borderId="0" applyNumberFormat="0" applyFill="0" applyBorder="0" applyAlignment="0" applyProtection="0"/>
    <xf numFmtId="0" fontId="5" fillId="33" borderId="15" applyNumberFormat="0" applyProtection="0">
      <alignment horizontal="left" vertical="center" readingOrder="1"/>
    </xf>
    <xf numFmtId="0" fontId="7" fillId="33" borderId="1">
      <alignment horizontal="left"/>
    </xf>
    <xf numFmtId="3" fontId="1" fillId="34" borderId="2">
      <alignment horizontal="right"/>
    </xf>
    <xf numFmtId="171" fontId="1" fillId="34" borderId="2">
      <alignment horizontal="right"/>
    </xf>
    <xf numFmtId="4" fontId="1" fillId="34" borderId="2">
      <alignment horizontal="right"/>
    </xf>
    <xf numFmtId="3" fontId="1" fillId="35" borderId="2">
      <alignment horizontal="right"/>
    </xf>
    <xf numFmtId="171" fontId="1" fillId="35" borderId="2">
      <alignment horizontal="right"/>
    </xf>
    <xf numFmtId="4" fontId="1" fillId="35" borderId="2">
      <alignment horizontal="right"/>
    </xf>
    <xf numFmtId="3" fontId="8" fillId="34" borderId="2">
      <alignment horizontal="right"/>
    </xf>
    <xf numFmtId="171" fontId="8" fillId="34" borderId="2">
      <alignment horizontal="right"/>
    </xf>
    <xf numFmtId="4" fontId="8" fillId="34" borderId="2">
      <alignment horizontal="right"/>
    </xf>
    <xf numFmtId="3" fontId="8" fillId="35" borderId="2">
      <alignment horizontal="right"/>
    </xf>
    <xf numFmtId="171" fontId="8" fillId="35" borderId="2">
      <alignment horizontal="right"/>
    </xf>
    <xf numFmtId="4" fontId="8" fillId="35" borderId="2">
      <alignment horizontal="right"/>
    </xf>
    <xf numFmtId="3" fontId="11" fillId="34" borderId="2">
      <alignment horizontal="right"/>
    </xf>
    <xf numFmtId="171" fontId="11" fillId="34" borderId="2">
      <alignment horizontal="right"/>
    </xf>
    <xf numFmtId="4" fontId="11" fillId="34" borderId="2">
      <alignment horizontal="right"/>
    </xf>
    <xf numFmtId="3" fontId="11" fillId="35" borderId="2">
      <alignment horizontal="right"/>
    </xf>
    <xf numFmtId="171" fontId="11" fillId="35" borderId="2">
      <alignment horizontal="right"/>
    </xf>
    <xf numFmtId="4" fontId="11" fillId="35" borderId="2">
      <alignment horizontal="right"/>
    </xf>
  </cellStyleXfs>
  <cellXfs count="30">
    <xf numFmtId="0" fontId="0" fillId="0" borderId="0" xfId="0"/>
    <xf numFmtId="0" fontId="2" fillId="33" borderId="0" xfId="26" applyNumberFormat="1" applyFont="1" applyFill="1" applyBorder="1" applyAlignment="1" applyProtection="1"/>
    <xf numFmtId="0" fontId="6" fillId="34" borderId="0" xfId="31" applyFont="1" applyFill="1" applyAlignment="1">
      <alignment horizontal="center"/>
    </xf>
    <xf numFmtId="0" fontId="7" fillId="33" borderId="3" xfId="33" applyNumberFormat="1" applyFont="1" applyFill="1" applyBorder="1" applyAlignment="1" applyProtection="1">
      <alignment horizontal="left"/>
    </xf>
    <xf numFmtId="0" fontId="7" fillId="33" borderId="3" xfId="32" applyNumberFormat="1" applyFont="1" applyFill="1" applyBorder="1" applyAlignment="1" applyProtection="1">
      <alignment horizontal="right"/>
    </xf>
    <xf numFmtId="0" fontId="7" fillId="33" borderId="1" xfId="30" applyNumberFormat="1" applyFont="1" applyFill="1" applyBorder="1" applyAlignment="1" applyProtection="1">
      <alignment horizontal="right"/>
    </xf>
    <xf numFmtId="0" fontId="8" fillId="34" borderId="5" xfId="35" applyNumberFormat="1" applyFont="1" applyFill="1" applyBorder="1" applyAlignment="1" applyProtection="1"/>
    <xf numFmtId="0" fontId="11" fillId="36" borderId="4" xfId="34" applyFont="1" applyFill="1" applyBorder="1"/>
    <xf numFmtId="0" fontId="5" fillId="33" borderId="15" xfId="51" applyFont="1" applyFill="1" applyBorder="1" applyAlignment="1">
      <alignment horizontal="left" vertical="center" readingOrder="1"/>
    </xf>
    <xf numFmtId="0" fontId="7" fillId="33" borderId="1" xfId="52">
      <alignment horizontal="left"/>
    </xf>
    <xf numFmtId="0" fontId="3" fillId="34" borderId="5" xfId="37" applyNumberFormat="1" applyFont="1" applyFill="1" applyBorder="1" applyAlignment="1" applyProtection="1"/>
    <xf numFmtId="0" fontId="4" fillId="34" borderId="5" xfId="36" applyNumberFormat="1" applyFont="1" applyFill="1" applyBorder="1" applyAlignment="1" applyProtection="1"/>
    <xf numFmtId="3" fontId="1" fillId="34" borderId="2" xfId="53" applyNumberFormat="1" applyFont="1" applyFill="1" applyBorder="1" applyAlignment="1" applyProtection="1">
      <alignment horizontal="right"/>
    </xf>
    <xf numFmtId="171" fontId="1" fillId="34" borderId="2" xfId="54" applyNumberFormat="1" applyFont="1" applyFill="1" applyBorder="1" applyAlignment="1" applyProtection="1">
      <alignment horizontal="right"/>
    </xf>
    <xf numFmtId="4" fontId="1" fillId="34" borderId="2" xfId="55" applyNumberFormat="1" applyFont="1" applyFill="1" applyBorder="1" applyAlignment="1" applyProtection="1">
      <alignment horizontal="right"/>
    </xf>
    <xf numFmtId="3" fontId="1" fillId="35" borderId="2" xfId="56" applyNumberFormat="1" applyFont="1" applyFill="1" applyBorder="1" applyAlignment="1" applyProtection="1">
      <alignment horizontal="right"/>
    </xf>
    <xf numFmtId="171" fontId="1" fillId="35" borderId="2" xfId="57" applyNumberFormat="1" applyFont="1" applyFill="1" applyBorder="1" applyAlignment="1" applyProtection="1">
      <alignment horizontal="right"/>
    </xf>
    <xf numFmtId="4" fontId="1" fillId="35" borderId="2" xfId="58" applyNumberFormat="1" applyFont="1" applyFill="1" applyBorder="1" applyAlignment="1" applyProtection="1">
      <alignment horizontal="right"/>
    </xf>
    <xf numFmtId="3" fontId="8" fillId="34" borderId="2" xfId="59" applyNumberFormat="1" applyFont="1" applyFill="1" applyBorder="1" applyAlignment="1" applyProtection="1">
      <alignment horizontal="right"/>
    </xf>
    <xf numFmtId="171" fontId="8" fillId="34" borderId="2" xfId="60" applyNumberFormat="1" applyFont="1" applyFill="1" applyBorder="1" applyAlignment="1" applyProtection="1">
      <alignment horizontal="right"/>
    </xf>
    <xf numFmtId="4" fontId="8" fillId="34" borderId="2" xfId="61" applyNumberFormat="1" applyFont="1" applyFill="1" applyBorder="1" applyAlignment="1" applyProtection="1">
      <alignment horizontal="right"/>
    </xf>
    <xf numFmtId="3" fontId="8" fillId="35" borderId="2" xfId="62" applyNumberFormat="1" applyFont="1" applyFill="1" applyBorder="1" applyAlignment="1" applyProtection="1">
      <alignment horizontal="right"/>
    </xf>
    <xf numFmtId="171" fontId="8" fillId="35" borderId="2" xfId="63" applyNumberFormat="1" applyFont="1" applyFill="1" applyBorder="1" applyAlignment="1" applyProtection="1">
      <alignment horizontal="right"/>
    </xf>
    <xf numFmtId="4" fontId="8" fillId="35" borderId="2" xfId="64" applyNumberFormat="1" applyFont="1" applyFill="1" applyBorder="1" applyAlignment="1" applyProtection="1">
      <alignment horizontal="right"/>
    </xf>
    <xf numFmtId="3" fontId="11" fillId="34" borderId="2" xfId="65" applyNumberFormat="1" applyFont="1" applyFill="1" applyBorder="1" applyAlignment="1" applyProtection="1">
      <alignment horizontal="right"/>
    </xf>
    <xf numFmtId="171" fontId="11" fillId="34" borderId="2" xfId="66" applyNumberFormat="1" applyFont="1" applyFill="1" applyBorder="1" applyAlignment="1" applyProtection="1">
      <alignment horizontal="right"/>
    </xf>
    <xf numFmtId="4" fontId="11" fillId="34" borderId="2" xfId="67" applyNumberFormat="1" applyFont="1" applyFill="1" applyBorder="1" applyAlignment="1" applyProtection="1">
      <alignment horizontal="right"/>
    </xf>
    <xf numFmtId="3" fontId="11" fillId="35" borderId="2" xfId="68" applyNumberFormat="1" applyFont="1" applyFill="1" applyBorder="1" applyAlignment="1" applyProtection="1">
      <alignment horizontal="right"/>
    </xf>
    <xf numFmtId="171" fontId="11" fillId="35" borderId="2" xfId="69" applyNumberFormat="1" applyFont="1" applyFill="1" applyBorder="1" applyAlignment="1" applyProtection="1">
      <alignment horizontal="right"/>
    </xf>
    <xf numFmtId="4" fontId="11" fillId="35" borderId="2" xfId="70" applyNumberFormat="1" applyFont="1" applyFill="1" applyBorder="1" applyAlignment="1" applyProtection="1">
      <alignment horizontal="right"/>
    </xf>
  </cellXfs>
  <cellStyles count="7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blp_title_header_row_left" xfId="51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/>
    <cellStyle name="fa_column_header_bottom_left" xfId="52"/>
    <cellStyle name="fa_column_header_empty" xfId="31"/>
    <cellStyle name="fa_column_header_top" xfId="32"/>
    <cellStyle name="fa_column_header_top_left" xfId="33"/>
    <cellStyle name="fa_data_bold_0_grouped" xfId="59"/>
    <cellStyle name="fa_data_bold_1_grouped" xfId="60"/>
    <cellStyle name="fa_data_bold_2_grouped" xfId="61"/>
    <cellStyle name="fa_data_current_bold_0_grouped" xfId="62"/>
    <cellStyle name="fa_data_current_bold_1_grouped" xfId="63"/>
    <cellStyle name="fa_data_current_bold_2_grouped" xfId="64"/>
    <cellStyle name="fa_data_current_italic_0_grouped" xfId="68"/>
    <cellStyle name="fa_data_current_italic_1_grouped" xfId="69"/>
    <cellStyle name="fa_data_current_italic_2_grouped" xfId="70"/>
    <cellStyle name="fa_data_current_standard_0_grouped" xfId="56"/>
    <cellStyle name="fa_data_current_standard_1_grouped" xfId="57"/>
    <cellStyle name="fa_data_current_standard_2_grouped" xfId="58"/>
    <cellStyle name="fa_data_italic_0_grouped" xfId="65"/>
    <cellStyle name="fa_data_italic_1_grouped" xfId="66"/>
    <cellStyle name="fa_data_italic_2_grouped" xfId="67"/>
    <cellStyle name="fa_data_standard_0_grouped" xfId="53"/>
    <cellStyle name="fa_data_standard_1_grouped" xfId="54"/>
    <cellStyle name="fa_data_standard_2_grouped" xfId="55"/>
    <cellStyle name="fa_footer_italic" xfId="34"/>
    <cellStyle name="fa_row_header_bold" xfId="35"/>
    <cellStyle name="fa_row_header_italic" xfId="36"/>
    <cellStyle name="fa_row_header_standard" xfId="37"/>
    <cellStyle name="Good" xfId="38" builtinId="26" customBuiltin="1"/>
    <cellStyle name="Heading 1" xfId="39" builtinId="16" customBuiltin="1"/>
    <cellStyle name="Heading 2" xfId="40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44" builtinId="24" customBuiltin="1"/>
    <cellStyle name="Neutral" xfId="45" builtinId="28" customBuiltin="1"/>
    <cellStyle name="Normal" xfId="0" builtinId="0"/>
    <cellStyle name="Note" xfId="46" builtinId="10" customBuiltin="1"/>
    <cellStyle name="Output" xfId="47" builtinId="21" customBuiltin="1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2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7.2919</v>
        <stp/>
        <stp>##V3_BDHV12</stp>
        <stp>RCOM IN Equity</stp>
        <stp>LOW_EV_TO_T12M_EBITDA</stp>
        <stp>FY 2015</stp>
        <stp>FY 2015</stp>
        <stp>[FA1_ymffleas.xlsx]Multiples!R44C8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44" s="6"/>
      </tp>
      <tp>
        <v>19280</v>
        <stp/>
        <stp>##V3_BDHV12</stp>
        <stp>RCOM IN Equity</stp>
        <stp>ARDR_DEFERRED_TAX_ASSETS_LT</stp>
        <stp>FY 2016</stp>
        <stp>FY 2016</stp>
        <stp>[FA1_ymffleas.xlsx]Bal Sheet - As Reported!R109C10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9" s="17"/>
      </tp>
      <tp>
        <v>36700</v>
        <stp/>
        <stp>##V3_BDHV12</stp>
        <stp>RCOM IN Equity</stp>
        <stp>ARDR_DEFERRED_TAX_ASSETS_LT</stp>
        <stp>FY 2017</stp>
        <stp>FY 2017</stp>
        <stp>[FA1_ymffleas.xlsx]Bal Sheet - As Reported!R109C11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9" s="17"/>
      </tp>
      <tp>
        <v>35740</v>
        <stp/>
        <stp>##V3_BDHV12</stp>
        <stp>RCOM IN Equity</stp>
        <stp>ARDR_DEFERRED_TAX_ASSETS_LT</stp>
        <stp>FY 2018</stp>
        <stp>FY 2018</stp>
        <stp>[FA1_ymffleas.xlsx]Bal Sheet - As Reported!R109C12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9" s="17"/>
      </tp>
      <tp t="s">
        <v>—</v>
        <stp/>
        <stp>##V3_BDHV12</stp>
        <stp>RCOM IN Equity</stp>
        <stp>NUM_OF_EMPLOYEES</stp>
        <stp>FY 2016</stp>
        <stp>FY 2016</stp>
        <stp>[FA1_ymffleas.xlsx]Addl - Overview!R7C9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" s="29"/>
      </tp>
      <tp>
        <v>30.1313</v>
        <stp/>
        <stp>##V3_BDHV12</stp>
        <stp>RCOM IN Equity</stp>
        <stp>INC_BEF_XO_ITEMS_TO_NET_SALES</stp>
        <stp>FY 2009</stp>
        <stp>FY 2009</stp>
        <stp>[FA1_ymffleas.xlsx]Profitability!R17C3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7" s="21"/>
      </tp>
      <tp t="s">
        <v>—</v>
        <stp/>
        <stp>##V3_BDHV12</stp>
        <stp>RCOM IN Equity</stp>
        <stp>NUM_OF_EMPLOYEES</stp>
        <stp>FY 2015</stp>
        <stp>FY 2015</stp>
        <stp>[FA1_ymffleas.xlsx]Addl - Overview!R7C8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" s="29"/>
      </tp>
      <tp>
        <v>24460</v>
        <stp/>
        <stp>##V3_BDHV12</stp>
        <stp>RCOM IN Equity</stp>
        <stp>NUM_OF_EMPLOYEES</stp>
        <stp>FY 2012</stp>
        <stp>FY 2012</stp>
        <stp>[FA1_ymffleas.xlsx]Addl - Overview!R7C5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" s="29"/>
      </tp>
      <tp>
        <v>28065</v>
        <stp/>
        <stp>##V3_BDHV12</stp>
        <stp>RCOM IN Equity</stp>
        <stp>NUM_OF_EMPLOYEES</stp>
        <stp>FY 2011</stp>
        <stp>FY 2011</stp>
        <stp>[FA1_ymffleas.xlsx]Addl - Overview!R7C4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" s="29"/>
      </tp>
      <tp t="s">
        <v>—</v>
        <stp/>
        <stp>##V3_BDHV12</stp>
        <stp>RCOM IN Equity</stp>
        <stp>NUM_OF_EMPLOYEES</stp>
        <stp>FY 2014</stp>
        <stp>FY 2014</stp>
        <stp>[FA1_ymffleas.xlsx]Addl - Overview!R7C7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" s="29"/>
      </tp>
      <tp>
        <v>18653</v>
        <stp/>
        <stp>##V3_BDHV12</stp>
        <stp>RCOM IN Equity</stp>
        <stp>NUM_OF_EMPLOYEES</stp>
        <stp>FY 2013</stp>
        <stp>FY 2013</stp>
        <stp>[FA1_ymffleas.xlsx]Addl - Overview!R7C6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" s="29"/>
      </tp>
      <tp>
        <v>9.9198000000000004</v>
        <stp/>
        <stp>##V3_BDHV12</stp>
        <stp>RCOM IN Equity</stp>
        <stp>AVG_EV_TO_T12M_EBITDA</stp>
        <stp>FY 2015</stp>
        <stp>FY 2015</stp>
        <stp>[FA1_ymffleas.xlsx]Multiples!R42C8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42" s="6"/>
      </tp>
      <tp>
        <v>30974</v>
        <stp/>
        <stp>##V3_BDHV12</stp>
        <stp>RCOM IN Equity</stp>
        <stp>NUM_OF_EMPLOYEES</stp>
        <stp>FY 2010</stp>
        <stp>FY 2010</stp>
        <stp>[FA1_ymffleas.xlsx]Addl - Overview!R7C3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" s="29"/>
      </tp>
      <tp>
        <v>323020</v>
        <stp/>
        <stp>##V3_BDHV12</stp>
        <stp>RCOM IN Equity</stp>
        <stp>BS_CUR_LIAB</stp>
        <stp>FY 2011</stp>
        <stp>FY 2011</stp>
        <stp>[FA1_ymffleas.xlsx]Bal Sheet - Standardized!R101C5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1" s="16"/>
      </tp>
      <tp>
        <v>291987.3</v>
        <stp/>
        <stp>##V3_BDHV12</stp>
        <stp>RCOM IN Equity</stp>
        <stp>BS_CUR_LIAB</stp>
        <stp>FY 2010</stp>
        <stp>FY 2010</stp>
        <stp>[FA1_ymffleas.xlsx]Bal Sheet - Standardized!R101C4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1" s="16"/>
      </tp>
      <tp>
        <v>234390</v>
        <stp/>
        <stp>##V3_BDHV12</stp>
        <stp>RCOM IN Equity</stp>
        <stp>BS_CUR_LIAB</stp>
        <stp>FY 2013</stp>
        <stp>FY 2013</stp>
        <stp>[FA1_ymffleas.xlsx]Bal Sheet - Standardized!R101C7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1" s="16"/>
      </tp>
      <tp>
        <v>224040</v>
        <stp/>
        <stp>##V3_BDHV12</stp>
        <stp>RCOM IN Equity</stp>
        <stp>BS_CUR_LIAB</stp>
        <stp>FY 2012</stp>
        <stp>FY 2012</stp>
        <stp>[FA1_ymffleas.xlsx]Bal Sheet - Standardized!R101C6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1" s="16"/>
      </tp>
      <tp>
        <v>319530.2</v>
        <stp/>
        <stp>##V3_BDHV12</stp>
        <stp>RCOM IN Equity</stp>
        <stp>BS_CUR_LIAB</stp>
        <stp>FY 2009</stp>
        <stp>FY 2009</stp>
        <stp>[FA1_ymffleas.xlsx]Bal Sheet - Standardized!R101C3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1" s="16"/>
      </tp>
      <tp>
        <v>209230</v>
        <stp/>
        <stp>##V3_BDHV12</stp>
        <stp>RCOM IN Equity</stp>
        <stp>BS_CUR_LIAB</stp>
        <stp>FY 2015</stp>
        <stp>FY 2015</stp>
        <stp>[FA1_ymffleas.xlsx]Bal Sheet - Standardized!R101C9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1" s="16"/>
      </tp>
      <tp>
        <v>255380</v>
        <stp/>
        <stp>##V3_BDHV12</stp>
        <stp>RCOM IN Equity</stp>
        <stp>BS_CUR_LIAB</stp>
        <stp>FY 2014</stp>
        <stp>FY 2014</stp>
        <stp>[FA1_ymffleas.xlsx]Bal Sheet - Standardized!R101C8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1" s="16"/>
      </tp>
      <tp>
        <v>3.2077</v>
        <stp/>
        <stp>##V3_BDHV12</stp>
        <stp>RCOM IN Equity</stp>
        <stp>RETURN_COM_EQY</stp>
        <stp>FY 2011</stp>
        <stp>FY 2011</stp>
        <stp>[FA1_ymffleas.xlsx]Profitability!R7C5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7" s="21"/>
      </tp>
      <tp>
        <v>88.661799999999999</v>
        <stp/>
        <stp>##V3_BDHV12</stp>
        <stp>RCOM IN Equity</stp>
        <stp>TAX_EFFICIENCY</stp>
        <stp>FY 2011</stp>
        <stp>FY 2011</stp>
        <stp>[FA1_ymffleas.xlsx]DuPont Analysis!R7C5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7" s="27"/>
      </tp>
      <tp>
        <v>-0.56950000000000001</v>
        <stp/>
        <stp>##V3_BDHV12</stp>
        <stp>RCOM IN Equity</stp>
        <stp>CASH_FLOW_TO_TOT_LIAB</stp>
        <stp>FY 2018</stp>
        <stp>FY 2018</stp>
        <stp>[FA1_ymffleas.xlsx]Liquidity!R20C12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0" s="24"/>
      </tp>
      <tp>
        <v>-5.0308999999999999</v>
        <stp/>
        <stp>##V3_BDHV12</stp>
        <stp>RCOM IN Equity</stp>
        <stp>CASH_FLOW_TO_TOT_LIAB</stp>
        <stp>FY 2017</stp>
        <stp>FY 2017</stp>
        <stp>[FA1_ymffleas.xlsx]Liquidity!R20C11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0" s="24"/>
      </tp>
      <tp>
        <v>19.864799999999999</v>
        <stp/>
        <stp>##V3_BDHV12</stp>
        <stp>RCOM IN Equity</stp>
        <stp>CASH_FLOW_TO_TOT_LIAB</stp>
        <stp>FY 2016</stp>
        <stp>FY 2016</stp>
        <stp>[FA1_ymffleas.xlsx]Liquidity!R20C10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0" s="24"/>
      </tp>
      <tp>
        <v>0.99509999999999998</v>
        <stp/>
        <stp>##V3_BDHV12</stp>
        <stp>RCOM IN Equity</stp>
        <stp>NORM_NET_INC_TO_NET_INC_FO_COM</stp>
        <stp>FY 2013</stp>
        <stp>FY 2013</stp>
        <stp>[FA1_ymffleas.xlsx]DuPont Analysis!R9C7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9" s="27"/>
      </tp>
      <tp>
        <v>32.024799999999999</v>
        <stp/>
        <stp>##V3_BDHV12</stp>
        <stp>RCOM IN Equity</stp>
        <stp>EBITDA_MARGIN</stp>
        <stp>FY 2014</stp>
        <stp>FY 2014</stp>
        <stp>[FA1_ymffleas.xlsx]Addl - Overview!R15C7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5" s="29"/>
      </tp>
      <tp>
        <v>4.0297000000000001</v>
        <stp/>
        <stp>##V3_BDHV12</stp>
        <stp>RCOM IN Equity</stp>
        <stp>NET_DEBT_TO_EBITDA</stp>
        <stp>FY 2011</stp>
        <stp>FY 2011</stp>
        <stp>[FA1_ymffleas.xlsx]Credit!R11C5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1" s="23"/>
      </tp>
      <tp>
        <v>1.3744000000000001</v>
        <stp/>
        <stp>##V3_BDHV12</stp>
        <stp>RCOM IN Equity</stp>
        <stp>EBIT_TO_CASH_INTEREST_PAID</stp>
        <stp>FY 2011</stp>
        <stp>FY 2011</stp>
        <stp>[FA1_ymffleas.xlsx]Credit!R22C5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2" s="23"/>
      </tp>
      <tp>
        <v>0.44009999999999999</v>
        <stp/>
        <stp>##V3_BDHV12</stp>
        <stp>RCOM IN Equity</stp>
        <stp>ALTMAN_Z_SCORE</stp>
        <stp>FY 2016</stp>
        <stp>FY 2016</stp>
        <stp>[FA1_ymffleas.xlsx]Addl - Overview!R31C9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1" s="29"/>
      </tp>
      <tp>
        <v>0.87380000000000002</v>
        <stp/>
        <stp>##V3_BDHV12</stp>
        <stp>RCOM IN Equity</stp>
        <stp>ALTMAN_Z_SCORE</stp>
        <stp>FY 2015</stp>
        <stp>FY 2015</stp>
        <stp>[FA1_ymffleas.xlsx]Addl - Overview!R31C8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1" s="29"/>
      </tp>
      <tp>
        <v>0.76780000000000004</v>
        <stp/>
        <stp>##V3_BDHV12</stp>
        <stp>RCOM IN Equity</stp>
        <stp>ALTMAN_Z_SCORE</stp>
        <stp>FY 2014</stp>
        <stp>FY 2014</stp>
        <stp>[FA1_ymffleas.xlsx]Addl - Overview!R31C7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1" s="29"/>
      </tp>
      <tp>
        <v>0.59789999999999999</v>
        <stp/>
        <stp>##V3_BDHV12</stp>
        <stp>RCOM IN Equity</stp>
        <stp>ALTMAN_Z_SCORE</stp>
        <stp>FY 2013</stp>
        <stp>FY 2013</stp>
        <stp>[FA1_ymffleas.xlsx]Addl - Overview!R31C6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1" s="29"/>
      </tp>
      <tp>
        <v>0.65490000000000004</v>
        <stp/>
        <stp>##V3_BDHV12</stp>
        <stp>RCOM IN Equity</stp>
        <stp>ALTMAN_Z_SCORE</stp>
        <stp>FY 2012</stp>
        <stp>FY 2012</stp>
        <stp>[FA1_ymffleas.xlsx]Addl - Overview!R31C5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1" s="29"/>
      </tp>
      <tp>
        <v>0.5887</v>
        <stp/>
        <stp>##V3_BDHV12</stp>
        <stp>RCOM IN Equity</stp>
        <stp>ALTMAN_Z_SCORE</stp>
        <stp>FY 2011</stp>
        <stp>FY 2011</stp>
        <stp>[FA1_ymffleas.xlsx]Addl - Overview!R31C4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1" s="29"/>
      </tp>
      <tp>
        <v>0.86</v>
        <stp/>
        <stp>##V3_BDHV12</stp>
        <stp>RCOM IN Equity</stp>
        <stp>ALTMAN_Z_SCORE</stp>
        <stp>FY 2010</stp>
        <stp>FY 2010</stp>
        <stp>[FA1_ymffleas.xlsx]Addl - Overview!R31C3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1" s="29"/>
      </tp>
      <tp>
        <v>390890</v>
        <stp/>
        <stp>##V3_BDHV12</stp>
        <stp>RCOM IN Equity</stp>
        <stp>ARDR_SECURED_INT_BEARING_LIABS</stp>
        <stp>FY 2014</stp>
        <stp>FY 2014</stp>
        <stp>[FA1_ymffleas.xlsx]Bal Sheet - As Reported!R178C8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8" s="17"/>
      </tp>
      <tp>
        <v>382640</v>
        <stp/>
        <stp>##V3_BDHV12</stp>
        <stp>RCOM IN Equity</stp>
        <stp>ARDR_SECURED_INT_BEARING_LIABS</stp>
        <stp>FY 2015</stp>
        <stp>FY 2015</stp>
        <stp>[FA1_ymffleas.xlsx]Bal Sheet - As Reported!R178C9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8" s="17"/>
      </tp>
      <tp>
        <v>359640</v>
        <stp/>
        <stp>##V3_BDHV12</stp>
        <stp>RCOM IN Equity</stp>
        <stp>ARDR_SECURED_INT_BEARING_LIABS</stp>
        <stp>FY 2012</stp>
        <stp>FY 2012</stp>
        <stp>[FA1_ymffleas.xlsx]Bal Sheet - As Reported!R178C6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8" s="17"/>
      </tp>
      <tp>
        <v>395400</v>
        <stp/>
        <stp>##V3_BDHV12</stp>
        <stp>RCOM IN Equity</stp>
        <stp>ARDR_SECURED_INT_BEARING_LIABS</stp>
        <stp>FY 2013</stp>
        <stp>FY 2013</stp>
        <stp>[FA1_ymffleas.xlsx]Bal Sheet - As Reported!R178C7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8" s="17"/>
      </tp>
      <tp>
        <v>30000</v>
        <stp/>
        <stp>##V3_BDHV12</stp>
        <stp>RCOM IN Equity</stp>
        <stp>ARDR_SECURED_INT_BEARING_LIABS</stp>
        <stp>FY 2010</stp>
        <stp>FY 2010</stp>
        <stp>[FA1_ymffleas.xlsx]Bal Sheet - As Reported!R178C4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8" s="17"/>
      </tp>
      <tp>
        <v>216930</v>
        <stp/>
        <stp>##V3_BDHV12</stp>
        <stp>RCOM IN Equity</stp>
        <stp>ARDR_SECURED_INT_BEARING_LIABS</stp>
        <stp>FY 2011</stp>
        <stp>FY 2011</stp>
        <stp>[FA1_ymffleas.xlsx]Bal Sheet - As Reported!R178C5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8" s="17"/>
      </tp>
      <tp>
        <v>30000</v>
        <stp/>
        <stp>##V3_BDHV12</stp>
        <stp>RCOM IN Equity</stp>
        <stp>ARDR_SECURED_INT_BEARING_LIABS</stp>
        <stp>FY 2009</stp>
        <stp>FY 2009</stp>
        <stp>[FA1_ymffleas.xlsx]Bal Sheet - As Reported!R178C3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8" s="17"/>
      </tp>
      <tp>
        <v>55740</v>
        <stp/>
        <stp>##V3_BDHV12</stp>
        <stp>RCOM IN Equity</stp>
        <stp>ARDR_OTHER_PAYABLES</stp>
        <stp>FY 2012</stp>
        <stp>FY 2012</stp>
        <stp>[FA1_ymffleas.xlsx]Bal Sheet - As Reported!R128C6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8" s="17"/>
      </tp>
      <tp>
        <v>40590</v>
        <stp/>
        <stp>##V3_BDHV12</stp>
        <stp>RCOM IN Equity</stp>
        <stp>ARDR_OTHER_PAYABLES</stp>
        <stp>FY 2013</stp>
        <stp>FY 2013</stp>
        <stp>[FA1_ymffleas.xlsx]Bal Sheet - As Reported!R128C7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8" s="17"/>
      </tp>
      <tp t="s">
        <v>—</v>
        <stp/>
        <stp>##V3_BDHV12</stp>
        <stp>RCOM IN Equity</stp>
        <stp>ARDR_OTHER_PAYABLES</stp>
        <stp>FY 2010</stp>
        <stp>FY 2010</stp>
        <stp>[FA1_ymffleas.xlsx]Bal Sheet - As Reported!R128C4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8" s="17"/>
      </tp>
      <tp>
        <v>35570</v>
        <stp/>
        <stp>##V3_BDHV12</stp>
        <stp>RCOM IN Equity</stp>
        <stp>ARDR_OTHER_PAYABLES</stp>
        <stp>FY 2011</stp>
        <stp>FY 2011</stp>
        <stp>[FA1_ymffleas.xlsx]Bal Sheet - As Reported!R128C5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8" s="17"/>
      </tp>
      <tp t="s">
        <v>—</v>
        <stp/>
        <stp>##V3_BDHV12</stp>
        <stp>RCOM IN Equity</stp>
        <stp>ARDR_OTHER_PAYABLES</stp>
        <stp>FY 2009</stp>
        <stp>FY 2009</stp>
        <stp>[FA1_ymffleas.xlsx]Bal Sheet - As Reported!R128C3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8" s="17"/>
      </tp>
      <tp>
        <v>47040</v>
        <stp/>
        <stp>##V3_BDHV12</stp>
        <stp>RCOM IN Equity</stp>
        <stp>ARDR_OTHER_PAYABLES</stp>
        <stp>FY 2014</stp>
        <stp>FY 2014</stp>
        <stp>[FA1_ymffleas.xlsx]Bal Sheet - As Reported!R128C8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8" s="17"/>
      </tp>
      <tp>
        <v>21260</v>
        <stp/>
        <stp>##V3_BDHV12</stp>
        <stp>RCOM IN Equity</stp>
        <stp>ARDR_OTHER_PAYABLES</stp>
        <stp>FY 2015</stp>
        <stp>FY 2015</stp>
        <stp>[FA1_ymffleas.xlsx]Bal Sheet - As Reported!R128C9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8" s="17"/>
      </tp>
      <tp>
        <v>-31.805199999999999</v>
        <stp/>
        <stp>##V3_BDHV12</stp>
        <stp>RCOM IN Equity</stp>
        <stp>NET_INCOME_TO_COMMON_SEQ_GROWTH</stp>
        <stp>FY 2015</stp>
        <stp>FY 2015</stp>
        <stp>[FA1_ymffleas.xlsx]Growth!R63C9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63" s="22"/>
      </tp>
      <tp>
        <v>3.1638000000000002</v>
        <stp/>
        <stp>##V3_BDHV12</stp>
        <stp>RCOM IN Equity</stp>
        <stp>NORMALIZED_ROE</stp>
        <stp>FY 2014</stp>
        <stp>FY 2014</stp>
        <stp>[FA1_ymffleas.xlsx]DuPont Analysis!R19C8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9" s="27"/>
      </tp>
      <tp>
        <v>0.21240000000000001</v>
        <stp/>
        <stp>##V3_BDHV12</stp>
        <stp>RCOM IN Equity</stp>
        <stp>ASSET_TURNOVER</stp>
        <stp>FY 2010</stp>
        <stp>FY 2010</stp>
        <stp>[FA1_ymffleas.xlsx]DuPont Analysis!R15C4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5" s="27"/>
      </tp>
      <tp>
        <v>12150</v>
        <stp/>
        <stp>##V3_BDHV12</stp>
        <stp>RCOM IN Equity</stp>
        <stp>ARDR_OTHER_PROVISIONS_CURRENT</stp>
        <stp>FY 2014</stp>
        <stp>FY 2014</stp>
        <stp>[FA1_ymffleas.xlsx]Bal Sheet - As Reported!R176C8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6" s="17"/>
      </tp>
      <tp>
        <v>12150</v>
        <stp/>
        <stp>##V3_BDHV12</stp>
        <stp>RCOM IN Equity</stp>
        <stp>ARDR_OTHER_PROVISIONS_CURRENT</stp>
        <stp>FY 2015</stp>
        <stp>FY 2015</stp>
        <stp>[FA1_ymffleas.xlsx]Bal Sheet - As Reported!R176C9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6" s="17"/>
      </tp>
      <tp>
        <v>29861.200000000001</v>
        <stp/>
        <stp>##V3_BDHV12</stp>
        <stp>RCOM IN Equity</stp>
        <stp>ARDR_OTHER_PROVISIONS_CURRENT</stp>
        <stp>FY 2010</stp>
        <stp>FY 2010</stp>
        <stp>[FA1_ymffleas.xlsx]Bal Sheet - As Reported!R176C4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6" s="17"/>
      </tp>
      <tp>
        <v>26470</v>
        <stp/>
        <stp>##V3_BDHV12</stp>
        <stp>RCOM IN Equity</stp>
        <stp>ARDR_OTHER_PROVISIONS_CURRENT</stp>
        <stp>FY 2011</stp>
        <stp>FY 2011</stp>
        <stp>[FA1_ymffleas.xlsx]Bal Sheet - As Reported!R176C5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6" s="17"/>
      </tp>
      <tp>
        <v>24990</v>
        <stp/>
        <stp>##V3_BDHV12</stp>
        <stp>RCOM IN Equity</stp>
        <stp>ARDR_OTHER_PROVISIONS_CURRENT</stp>
        <stp>FY 2012</stp>
        <stp>FY 2012</stp>
        <stp>[FA1_ymffleas.xlsx]Bal Sheet - As Reported!R176C6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6" s="17"/>
      </tp>
      <tp>
        <v>17030</v>
        <stp/>
        <stp>##V3_BDHV12</stp>
        <stp>RCOM IN Equity</stp>
        <stp>ARDR_OTHER_PROVISIONS_CURRENT</stp>
        <stp>FY 2013</stp>
        <stp>FY 2013</stp>
        <stp>[FA1_ymffleas.xlsx]Bal Sheet - As Reported!R176C7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6" s="17"/>
      </tp>
      <tp>
        <v>32785</v>
        <stp/>
        <stp>##V3_BDHV12</stp>
        <stp>RCOM IN Equity</stp>
        <stp>ARDR_OTHER_PROVISIONS_CURRENT</stp>
        <stp>FY 2009</stp>
        <stp>FY 2009</stp>
        <stp>[FA1_ymffleas.xlsx]Bal Sheet - As Reported!R176C3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6" s="17"/>
      </tp>
      <tp>
        <v>0</v>
        <stp/>
        <stp>##V3_BDHV12</stp>
        <stp>RCOM IN Equity</stp>
        <stp>EQY_DPS</stp>
        <stp>FY 2018</stp>
        <stp>FY 2018</stp>
        <stp>[FA1_ymffleas.xlsx]Addl - Overview!R20C11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0" s="29"/>
      </tp>
      <tp>
        <v>0</v>
        <stp/>
        <stp>##V3_BDHV12</stp>
        <stp>RCOM IN Equity</stp>
        <stp>EQY_DPS</stp>
        <stp>FY 2017</stp>
        <stp>FY 2017</stp>
        <stp>[FA1_ymffleas.xlsx]Addl - Overview!R20C10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0" s="29"/>
      </tp>
      <tp t="s">
        <v>—</v>
        <stp/>
        <stp>##V3_BDHV12</stp>
        <stp>RCOM IN Equity</stp>
        <stp>DIVIDEND_12_MONTH_YIELD</stp>
        <stp>FY 2018</stp>
        <stp>FY 2018</stp>
        <stp>[FA1_ymffleas.xlsx]Addl - Overview!R22C11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2" s="29"/>
      </tp>
      <tp t="s">
        <v>—</v>
        <stp/>
        <stp>##V3_BDHV12</stp>
        <stp>RCOM IN Equity</stp>
        <stp>DIVIDEND_12_MONTH_YIELD</stp>
        <stp>FY 2017</stp>
        <stp>FY 2017</stp>
        <stp>[FA1_ymffleas.xlsx]Addl - Overview!R22C10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2" s="29"/>
      </tp>
      <tp>
        <v>3320</v>
        <stp/>
        <stp>##V3_BDHV12</stp>
        <stp>RCOM IN Equity</stp>
        <stp>MINORITY_NONCONTROLLING_INTEREST</stp>
        <stp>FY 2018</stp>
        <stp>FY 2018</stp>
        <stp>[FA1_ymffleas.xlsx]Bal Sheet - Standardized!R149C12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9" s="16"/>
      </tp>
      <tp>
        <v>4000</v>
        <stp/>
        <stp>##V3_BDHV12</stp>
        <stp>RCOM IN Equity</stp>
        <stp>MINORITY_NONCONTROLLING_INTEREST</stp>
        <stp>FY 2017</stp>
        <stp>FY 2017</stp>
        <stp>[FA1_ymffleas.xlsx]Bal Sheet - Standardized!R149C11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9" s="16"/>
      </tp>
      <tp>
        <v>2820</v>
        <stp/>
        <stp>##V3_BDHV12</stp>
        <stp>RCOM IN Equity</stp>
        <stp>MINORITY_NONCONTROLLING_INTEREST</stp>
        <stp>FY 2016</stp>
        <stp>FY 2016</stp>
        <stp>[FA1_ymffleas.xlsx]Bal Sheet - Standardized!R149C10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9" s="16"/>
      </tp>
      <tp>
        <v>6.9534000000000002</v>
        <stp/>
        <stp>##V3_BDHV12</stp>
        <stp>RCOM IN Equity</stp>
        <stp>LOW_EV_TO_T12M_EBITDA</stp>
        <stp>FY 2016</stp>
        <stp>FY 2016</stp>
        <stp>[FA1_ymffleas.xlsx]Multiples!R44C9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44" s="6"/>
      </tp>
      <tp>
        <v>7.5388999999999999</v>
        <stp/>
        <stp>##V3_BDHV12</stp>
        <stp>RCOM IN Equity</stp>
        <stp>AVG_EV_TO_T12M_EBITDA</stp>
        <stp>FY 2016</stp>
        <stp>FY 2016</stp>
        <stp>[FA1_ymffleas.xlsx]Multiples!R42C9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42" s="6"/>
      </tp>
      <tp t="s">
        <v>—</v>
        <stp/>
        <stp>##V3_BDHV12</stp>
        <stp>RCOM IN Equity</stp>
        <stp>ARDR_CORPORATE_DIVIDEND_TAX</stp>
        <stp>FY 2009</stp>
        <stp>FY 2009</stp>
        <stp>[FA1_ymffleas.xlsx]Income - As Reported!R122C3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2" s="11"/>
      </tp>
      <tp t="s">
        <v>—</v>
        <stp/>
        <stp>##V3_BDHV12</stp>
        <stp>RCOM IN Equity</stp>
        <stp>ARDR_CORPORATE_DIVIDEND_TAX</stp>
        <stp>FY 2010</stp>
        <stp>FY 2010</stp>
        <stp>[FA1_ymffleas.xlsx]Income - As Reported!R122C4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2" s="11"/>
      </tp>
      <tp t="s">
        <v>—</v>
        <stp/>
        <stp>##V3_BDHV12</stp>
        <stp>RCOM IN Equity</stp>
        <stp>ARDR_CORPORATE_DIVIDEND_TAX</stp>
        <stp>FY 2011</stp>
        <stp>FY 2011</stp>
        <stp>[FA1_ymffleas.xlsx]Income - As Reported!R122C5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2" s="11"/>
      </tp>
      <tp>
        <v>80</v>
        <stp/>
        <stp>##V3_BDHV12</stp>
        <stp>RCOM IN Equity</stp>
        <stp>ARDR_CORPORATE_DIVIDEND_TAX</stp>
        <stp>FY 2012</stp>
        <stp>FY 2012</stp>
        <stp>[FA1_ymffleas.xlsx]Income - As Reported!R122C6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2" s="11"/>
      </tp>
      <tp t="s">
        <v>—</v>
        <stp/>
        <stp>##V3_BDHV12</stp>
        <stp>RCOM IN Equity</stp>
        <stp>ARDR_CORPORATE_DIVIDEND_TAX</stp>
        <stp>FY 2013</stp>
        <stp>FY 2013</stp>
        <stp>[FA1_ymffleas.xlsx]Income - As Reported!R122C7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2" s="11"/>
      </tp>
      <tp t="s">
        <v>—</v>
        <stp/>
        <stp>##V3_BDHV12</stp>
        <stp>RCOM IN Equity</stp>
        <stp>ARDR_CORPORATE_DIVIDEND_TAX</stp>
        <stp>FY 2014</stp>
        <stp>FY 2014</stp>
        <stp>[FA1_ymffleas.xlsx]Income - As Reported!R122C8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2" s="11"/>
      </tp>
      <tp t="s">
        <v>—</v>
        <stp/>
        <stp>##V3_BDHV12</stp>
        <stp>RCOM IN Equity</stp>
        <stp>ARDR_CORPORATE_DIVIDEND_TAX</stp>
        <stp>FY 2015</stp>
        <stp>FY 2015</stp>
        <stp>[FA1_ymffleas.xlsx]Income - As Reported!R122C9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2" s="11"/>
      </tp>
      <tp>
        <v>10.871</v>
        <stp/>
        <stp>##V3_BDHV12</stp>
        <stp>RCOM IN Equity</stp>
        <stp>RETURN_COM_EQY</stp>
        <stp>FY 2010</stp>
        <stp>FY 2010</stp>
        <stp>[FA1_ymffleas.xlsx]Profitability!R7C4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7" s="21"/>
      </tp>
      <tp>
        <v>89.127899999999997</v>
        <stp/>
        <stp>##V3_BDHV12</stp>
        <stp>RCOM IN Equity</stp>
        <stp>TAX_EFFICIENCY</stp>
        <stp>FY 2010</stp>
        <stp>FY 2010</stp>
        <stp>[FA1_ymffleas.xlsx]DuPont Analysis!R7C4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7" s="27"/>
      </tp>
      <tp>
        <v>1.2475000000000001</v>
        <stp/>
        <stp>##V3_BDHV12</stp>
        <stp>RCOM IN Equity</stp>
        <stp>NORM_NET_INC_TO_NET_INC_FO_COM</stp>
        <stp>FY 2012</stp>
        <stp>FY 2012</stp>
        <stp>[FA1_ymffleas.xlsx]DuPont Analysis!R9C6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9" s="27"/>
      </tp>
      <tp>
        <v>30.792000000000002</v>
        <stp/>
        <stp>##V3_BDHV12</stp>
        <stp>RCOM IN Equity</stp>
        <stp>EBITDA_MARGIN</stp>
        <stp>FY 2013</stp>
        <stp>FY 2013</stp>
        <stp>[FA1_ymffleas.xlsx]Addl - Overview!R15C6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5" s="29"/>
      </tp>
      <tp t="s">
        <v>—</v>
        <stp/>
        <stp>##V3_BDHV12</stp>
        <stp>RCOM IN Equity</stp>
        <stp>ARDR_INVENTORY</stp>
        <stp>FY 2009</stp>
        <stp>FY 2009</stp>
        <stp>[FA1_ymffleas.xlsx]Bal Sheet - As Reported!R63C3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3" s="17"/>
      </tp>
      <tp t="s">
        <v>—</v>
        <stp/>
        <stp>##V3_BDHV12</stp>
        <stp>RCOM IN Equity</stp>
        <stp>ARDR_INVENTORY</stp>
        <stp>FY 2013</stp>
        <stp>FY 2013</stp>
        <stp>[FA1_ymffleas.xlsx]Bal Sheet - As Reported!R63C7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3" s="17"/>
      </tp>
      <tp t="s">
        <v>—</v>
        <stp/>
        <stp>##V3_BDHV12</stp>
        <stp>RCOM IN Equity</stp>
        <stp>ARDR_INVENTORY</stp>
        <stp>FY 2012</stp>
        <stp>FY 2012</stp>
        <stp>[FA1_ymffleas.xlsx]Bal Sheet - As Reported!R63C6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3" s="17"/>
      </tp>
      <tp t="s">
        <v>—</v>
        <stp/>
        <stp>##V3_BDHV12</stp>
        <stp>RCOM IN Equity</stp>
        <stp>ARDR_INVENTORY</stp>
        <stp>FY 2011</stp>
        <stp>FY 2011</stp>
        <stp>[FA1_ymffleas.xlsx]Bal Sheet - As Reported!R63C5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3" s="17"/>
      </tp>
      <tp t="s">
        <v>—</v>
        <stp/>
        <stp>##V3_BDHV12</stp>
        <stp>RCOM IN Equity</stp>
        <stp>ARDR_INVENTORY</stp>
        <stp>FY 2010</stp>
        <stp>FY 2010</stp>
        <stp>[FA1_ymffleas.xlsx]Bal Sheet - As Reported!R63C4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3" s="17"/>
      </tp>
      <tp t="s">
        <v>—</v>
        <stp/>
        <stp>##V3_BDHV12</stp>
        <stp>RCOM IN Equity</stp>
        <stp>ARDR_INVENTORY</stp>
        <stp>FY 2015</stp>
        <stp>FY 2015</stp>
        <stp>[FA1_ymffleas.xlsx]Bal Sheet - As Reported!R63C9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3" s="17"/>
      </tp>
      <tp t="s">
        <v>—</v>
        <stp/>
        <stp>##V3_BDHV12</stp>
        <stp>RCOM IN Equity</stp>
        <stp>ARDR_INVENTORY</stp>
        <stp>FY 2014</stp>
        <stp>FY 2014</stp>
        <stp>[FA1_ymffleas.xlsx]Bal Sheet - As Reported!R63C8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3" s="17"/>
      </tp>
      <tp>
        <v>3.5566</v>
        <stp/>
        <stp>##V3_BDHV12</stp>
        <stp>RCOM IN Equity</stp>
        <stp>NET_DEBT_TO_EBITDA</stp>
        <stp>FY 2010</stp>
        <stp>FY 2010</stp>
        <stp>[FA1_ymffleas.xlsx]Credit!R11C4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1" s="23"/>
      </tp>
      <tp>
        <v>2.2504</v>
        <stp/>
        <stp>##V3_BDHV12</stp>
        <stp>RCOM IN Equity</stp>
        <stp>EBIT_TO_CASH_INTEREST_PAID</stp>
        <stp>FY 2010</stp>
        <stp>FY 2010</stp>
        <stp>[FA1_ymffleas.xlsx]Credit!R22C4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2" s="23"/>
      </tp>
      <tp>
        <v>23310</v>
        <stp/>
        <stp>##V3_BDHV12</stp>
        <stp>RCOM IN Equity</stp>
        <stp>ARDR_LT_LOANS_AND_OTHER_DEBTOR</stp>
        <stp>FY 2014</stp>
        <stp>FY 2014</stp>
        <stp>[FA1_ymffleas.xlsx]Bal Sheet - As Reported!R134C8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4" s="17"/>
      </tp>
      <tp>
        <v>26310</v>
        <stp/>
        <stp>##V3_BDHV12</stp>
        <stp>RCOM IN Equity</stp>
        <stp>ARDR_LT_LOANS_AND_OTHER_DEBTOR</stp>
        <stp>FY 2015</stp>
        <stp>FY 2015</stp>
        <stp>[FA1_ymffleas.xlsx]Bal Sheet - As Reported!R134C9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4" s="17"/>
      </tp>
      <tp t="s">
        <v>—</v>
        <stp/>
        <stp>##V3_BDHV12</stp>
        <stp>RCOM IN Equity</stp>
        <stp>ARDR_LT_LOANS_AND_OTHER_DEBTOR</stp>
        <stp>FY 2009</stp>
        <stp>FY 2009</stp>
        <stp>[FA1_ymffleas.xlsx]Bal Sheet - As Reported!R134C3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4" s="17"/>
      </tp>
      <tp>
        <v>12870</v>
        <stp/>
        <stp>##V3_BDHV12</stp>
        <stp>RCOM IN Equity</stp>
        <stp>ARDR_LT_LOANS_AND_OTHER_DEBTOR</stp>
        <stp>FY 2012</stp>
        <stp>FY 2012</stp>
        <stp>[FA1_ymffleas.xlsx]Bal Sheet - As Reported!R134C6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4" s="17"/>
      </tp>
      <tp>
        <v>19640</v>
        <stp/>
        <stp>##V3_BDHV12</stp>
        <stp>RCOM IN Equity</stp>
        <stp>ARDR_LT_LOANS_AND_OTHER_DEBTOR</stp>
        <stp>FY 2013</stp>
        <stp>FY 2013</stp>
        <stp>[FA1_ymffleas.xlsx]Bal Sheet - As Reported!R134C7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4" s="17"/>
      </tp>
      <tp t="s">
        <v>—</v>
        <stp/>
        <stp>##V3_BDHV12</stp>
        <stp>RCOM IN Equity</stp>
        <stp>ARDR_LT_LOANS_AND_OTHER_DEBTOR</stp>
        <stp>FY 2010</stp>
        <stp>FY 2010</stp>
        <stp>[FA1_ymffleas.xlsx]Bal Sheet - As Reported!R134C4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4" s="17"/>
      </tp>
      <tp>
        <v>14590</v>
        <stp/>
        <stp>##V3_BDHV12</stp>
        <stp>RCOM IN Equity</stp>
        <stp>ARDR_LT_LOANS_AND_OTHER_DEBTOR</stp>
        <stp>FY 2011</stp>
        <stp>FY 2011</stp>
        <stp>[FA1_ymffleas.xlsx]Bal Sheet - As Reported!R134C5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4" s="17"/>
      </tp>
      <tp t="s">
        <v>—</v>
        <stp/>
        <stp>##V3_BDHV12</stp>
        <stp>RCOM IN Equity</stp>
        <stp>ARD_INCOME_TAX_ACCRUED_PAYABLE</stp>
        <stp>FY 2012</stp>
        <stp>FY 2012</stp>
        <stp>[FA1_ymffleas.xlsx]Bal Sheet - As Reported!R55C6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5" s="17"/>
      </tp>
      <tp t="s">
        <v>—</v>
        <stp/>
        <stp>##V3_BDHV12</stp>
        <stp>RCOM IN Equity</stp>
        <stp>ARD_INCOME_TAX_ACCRUED_PAYABLE</stp>
        <stp>FY 2013</stp>
        <stp>FY 2013</stp>
        <stp>[FA1_ymffleas.xlsx]Bal Sheet - As Reported!R55C7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5" s="17"/>
      </tp>
      <tp t="s">
        <v>—</v>
        <stp/>
        <stp>##V3_BDHV12</stp>
        <stp>RCOM IN Equity</stp>
        <stp>ARD_INCOME_TAX_ACCRUED_PAYABLE</stp>
        <stp>FY 2010</stp>
        <stp>FY 2010</stp>
        <stp>[FA1_ymffleas.xlsx]Bal Sheet - As Reported!R55C4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5" s="17"/>
      </tp>
      <tp t="s">
        <v>—</v>
        <stp/>
        <stp>##V3_BDHV12</stp>
        <stp>RCOM IN Equity</stp>
        <stp>ARD_INCOME_TAX_ACCRUED_PAYABLE</stp>
        <stp>FY 2011</stp>
        <stp>FY 2011</stp>
        <stp>[FA1_ymffleas.xlsx]Bal Sheet - As Reported!R55C5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5" s="17"/>
      </tp>
      <tp t="s">
        <v>—</v>
        <stp/>
        <stp>##V3_BDHV12</stp>
        <stp>RCOM IN Equity</stp>
        <stp>ARD_INCOME_TAX_ACCRUED_PAYABLE</stp>
        <stp>FY 2009</stp>
        <stp>FY 2009</stp>
        <stp>[FA1_ymffleas.xlsx]Bal Sheet - As Reported!R55C3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5" s="17"/>
      </tp>
      <tp t="s">
        <v>—</v>
        <stp/>
        <stp>##V3_BDHV12</stp>
        <stp>RCOM IN Equity</stp>
        <stp>ARD_INCOME_TAX_ACCRUED_PAYABLE</stp>
        <stp>FY 2014</stp>
        <stp>FY 2014</stp>
        <stp>[FA1_ymffleas.xlsx]Bal Sheet - As Reported!R55C8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5" s="17"/>
      </tp>
      <tp t="s">
        <v>—</v>
        <stp/>
        <stp>##V3_BDHV12</stp>
        <stp>RCOM IN Equity</stp>
        <stp>ARD_INCOME_TAX_ACCRUED_PAYABLE</stp>
        <stp>FY 2015</stp>
        <stp>FY 2015</stp>
        <stp>[FA1_ymffleas.xlsx]Bal Sheet - As Reported!R55C9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5" s="17"/>
      </tp>
      <tp>
        <v>0</v>
        <stp/>
        <stp>##V3_BDHV12</stp>
        <stp>RCOM IN Equity</stp>
        <stp>IS_PDA_NONGAAP_ADJUSTMENTS</stp>
        <stp>FY 2016</stp>
        <stp>FY 2016</stp>
        <stp>[FA1_ymffleas.xlsx]Reconciliation!R14C9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" s="12"/>
      </tp>
      <tp>
        <v>0</v>
        <stp/>
        <stp>##V3_BDHV12</stp>
        <stp>RCOM IN Equity</stp>
        <stp>IS_PDA_NONGAAP_ADJUSTMENTS</stp>
        <stp>FY 2015</stp>
        <stp>FY 2015</stp>
        <stp>[FA1_ymffleas.xlsx]Reconciliation!R14C8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" s="12"/>
      </tp>
      <tp>
        <v>0</v>
        <stp/>
        <stp>##V3_BDHV12</stp>
        <stp>RCOM IN Equity</stp>
        <stp>IS_PDA_NONGAAP_ADJUSTMENTS</stp>
        <stp>FY 2014</stp>
        <stp>FY 2014</stp>
        <stp>[FA1_ymffleas.xlsx]Reconciliation!R14C7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" s="12"/>
      </tp>
      <tp>
        <v>0</v>
        <stp/>
        <stp>##V3_BDHV12</stp>
        <stp>RCOM IN Equity</stp>
        <stp>IS_PDA_NONGAAP_ADJUSTMENTS</stp>
        <stp>FY 2013</stp>
        <stp>FY 2013</stp>
        <stp>[FA1_ymffleas.xlsx]Reconciliation!R14C6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" s="12"/>
      </tp>
      <tp>
        <v>0</v>
        <stp/>
        <stp>##V3_BDHV12</stp>
        <stp>RCOM IN Equity</stp>
        <stp>IS_PDA_NONGAAP_ADJUSTMENTS</stp>
        <stp>FY 2012</stp>
        <stp>FY 2012</stp>
        <stp>[FA1_ymffleas.xlsx]Reconciliation!R14C5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" s="12"/>
      </tp>
      <tp>
        <v>0</v>
        <stp/>
        <stp>##V3_BDHV12</stp>
        <stp>RCOM IN Equity</stp>
        <stp>IS_PDA_NONGAAP_ADJUSTMENTS</stp>
        <stp>FY 2011</stp>
        <stp>FY 2011</stp>
        <stp>[FA1_ymffleas.xlsx]Reconciliation!R14C4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" s="12"/>
      </tp>
      <tp>
        <v>0</v>
        <stp/>
        <stp>##V3_BDHV12</stp>
        <stp>RCOM IN Equity</stp>
        <stp>IS_PDA_NONGAAP_ADJUSTMENTS</stp>
        <stp>FY 2010</stp>
        <stp>FY 2010</stp>
        <stp>[FA1_ymffleas.xlsx]Reconciliation!R14C3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" s="12"/>
      </tp>
      <tp>
        <v>-5910</v>
        <stp/>
        <stp>##V3_BDHV12</stp>
        <stp>RCOM IN Equity</stp>
        <stp>TRAIL_12M_CAP_EXPEND</stp>
        <stp>FY 2018</stp>
        <stp>FY 2018</stp>
        <stp>[FA1_ymffleas.xlsx]Yield Analysis!R8C12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" s="26"/>
      </tp>
      <tp>
        <v>-39200</v>
        <stp/>
        <stp>##V3_BDHV12</stp>
        <stp>RCOM IN Equity</stp>
        <stp>TRAIL_12M_CAP_EXPEND</stp>
        <stp>FY 2017</stp>
        <stp>FY 2017</stp>
        <stp>[FA1_ymffleas.xlsx]Yield Analysis!R8C11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26"/>
      </tp>
      <tp>
        <v>-153300</v>
        <stp/>
        <stp>##V3_BDHV12</stp>
        <stp>RCOM IN Equity</stp>
        <stp>TRAIL_12M_CAP_EXPEND</stp>
        <stp>FY 2016</stp>
        <stp>FY 2016</stp>
        <stp>[FA1_ymffleas.xlsx]Yield Analysis!R8C10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26"/>
      </tp>
      <tp>
        <v>55.803600000000003</v>
        <stp/>
        <stp>##V3_BDHV12</stp>
        <stp>RCOM IN Equity</stp>
        <stp>NET_INCOME_TO_COMMON_SEQ_GROWTH</stp>
        <stp>FY 2014</stp>
        <stp>FY 2014</stp>
        <stp>[FA1_ymffleas.xlsx]Growth!R63C8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63" s="22"/>
      </tp>
      <tp t="s">
        <v>—</v>
        <stp/>
        <stp>##V3_BDHV12</stp>
        <stp>RCOM IN Equity</stp>
        <stp>ARDR_PROVISION_FOR_TAXES_LT</stp>
        <stp>FY 2012</stp>
        <stp>FY 2012</stp>
        <stp>[FA1_ymffleas.xlsx]Bal Sheet - As Reported!R180C6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0" s="17"/>
      </tp>
      <tp t="s">
        <v>—</v>
        <stp/>
        <stp>##V3_BDHV12</stp>
        <stp>RCOM IN Equity</stp>
        <stp>ARDR_PROVISION_FOR_TAXES_LT</stp>
        <stp>FY 2013</stp>
        <stp>FY 2013</stp>
        <stp>[FA1_ymffleas.xlsx]Bal Sheet - As Reported!R180C7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0" s="17"/>
      </tp>
      <tp t="s">
        <v>—</v>
        <stp/>
        <stp>##V3_BDHV12</stp>
        <stp>RCOM IN Equity</stp>
        <stp>ARDR_PROVISION_FOR_TAXES_LT</stp>
        <stp>FY 2010</stp>
        <stp>FY 2010</stp>
        <stp>[FA1_ymffleas.xlsx]Bal Sheet - As Reported!R180C4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0" s="17"/>
      </tp>
      <tp t="s">
        <v>—</v>
        <stp/>
        <stp>##V3_BDHV12</stp>
        <stp>RCOM IN Equity</stp>
        <stp>ARDR_PROVISION_FOR_TAXES_LT</stp>
        <stp>FY 2011</stp>
        <stp>FY 2011</stp>
        <stp>[FA1_ymffleas.xlsx]Bal Sheet - As Reported!R180C5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0" s="17"/>
      </tp>
      <tp t="s">
        <v>—</v>
        <stp/>
        <stp>##V3_BDHV12</stp>
        <stp>RCOM IN Equity</stp>
        <stp>ARDR_PROVISION_FOR_TAXES_LT</stp>
        <stp>FY 2009</stp>
        <stp>FY 2009</stp>
        <stp>[FA1_ymffleas.xlsx]Bal Sheet - As Reported!R180C3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0" s="17"/>
      </tp>
      <tp>
        <v>820</v>
        <stp/>
        <stp>##V3_BDHV12</stp>
        <stp>RCOM IN Equity</stp>
        <stp>ARDR_PROVISION_FOR_TAXES_LT</stp>
        <stp>FY 2014</stp>
        <stp>FY 2014</stp>
        <stp>[FA1_ymffleas.xlsx]Bal Sheet - As Reported!R180C8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0" s="17"/>
      </tp>
      <tp>
        <v>780</v>
        <stp/>
        <stp>##V3_BDHV12</stp>
        <stp>RCOM IN Equity</stp>
        <stp>ARDR_PROVISION_FOR_TAXES_LT</stp>
        <stp>FY 2015</stp>
        <stp>FY 2015</stp>
        <stp>[FA1_ymffleas.xlsx]Bal Sheet - As Reported!R180C9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0" s="17"/>
      </tp>
      <tp>
        <v>-44.7727</v>
        <stp/>
        <stp>##V3_BDHV12</stp>
        <stp>RCOM IN Equity</stp>
        <stp>OPER_INC_GROWTH</stp>
        <stp>FY 2018</stp>
        <stp>FY 2018</stp>
        <stp>[FA1_ymffleas.xlsx]Growth!R9C12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9" s="22"/>
      </tp>
      <tp>
        <v>1.9597</v>
        <stp/>
        <stp>##V3_BDHV12</stp>
        <stp>RCOM IN Equity</stp>
        <stp>NORMALIZED_ROE</stp>
        <stp>FY 2015</stp>
        <stp>FY 2015</stp>
        <stp>[FA1_ymffleas.xlsx]DuPont Analysis!R19C9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9" s="27"/>
      </tp>
      <tp>
        <v>436170</v>
        <stp/>
        <stp>##V3_BDHV12</stp>
        <stp>RCOM IN Equity</stp>
        <stp>SHORT_AND_LONG_TERM_DEBT</stp>
        <stp>FY 2016</stp>
        <stp>FY 2016</stp>
        <stp>[FA1_ymffleas.xlsx]Credit!R6C10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" s="23"/>
      </tp>
      <tp>
        <v>457330</v>
        <stp/>
        <stp>##V3_BDHV12</stp>
        <stp>RCOM IN Equity</stp>
        <stp>SHORT_AND_LONG_TERM_DEBT</stp>
        <stp>FY 2017</stp>
        <stp>FY 2017</stp>
        <stp>[FA1_ymffleas.xlsx]Credit!R6C11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" s="23"/>
      </tp>
      <tp>
        <v>472830</v>
        <stp/>
        <stp>##V3_BDHV12</stp>
        <stp>RCOM IN Equity</stp>
        <stp>SHORT_AND_LONG_TERM_DEBT</stp>
        <stp>FY 2018</stp>
        <stp>FY 2018</stp>
        <stp>[FA1_ymffleas.xlsx]Credit!R6C12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" s="23"/>
      </tp>
      <tp>
        <v>0.2359</v>
        <stp/>
        <stp>##V3_BDHV12</stp>
        <stp>RCOM IN Equity</stp>
        <stp>ASSET_TURNOVER</stp>
        <stp>FY 2011</stp>
        <stp>FY 2011</stp>
        <stp>[FA1_ymffleas.xlsx]DuPont Analysis!R15C5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5" s="27"/>
      </tp>
      <tp>
        <v>170</v>
        <stp/>
        <stp>##V3_BDHV12</stp>
        <stp>RCOM IN Equity</stp>
        <stp>PRETAX_INC</stp>
        <stp>FY 2016</stp>
        <stp>FY 2016</stp>
        <stp>[FA1_ymffleas.xlsx]Income - Adjusted!R53C9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53" s="9"/>
      </tp>
      <tp>
        <v>9140</v>
        <stp/>
        <stp>##V3_BDHV12</stp>
        <stp>RCOM IN Equity</stp>
        <stp>PRETAX_INC</stp>
        <stp>FY 2015</stp>
        <stp>FY 2015</stp>
        <stp>[FA1_ymffleas.xlsx]Income - Adjusted!R53C8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53" s="9"/>
      </tp>
      <tp>
        <v>12220</v>
        <stp/>
        <stp>##V3_BDHV12</stp>
        <stp>RCOM IN Equity</stp>
        <stp>PRETAX_INC</stp>
        <stp>FY 2012</stp>
        <stp>FY 2012</stp>
        <stp>[FA1_ymffleas.xlsx]Income - Adjusted!R53C5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53" s="9"/>
      </tp>
      <tp>
        <v>11290.8</v>
        <stp/>
        <stp>##V3_BDHV12</stp>
        <stp>RCOM IN Equity</stp>
        <stp>PRETAX_INC</stp>
        <stp>FY 2011</stp>
        <stp>FY 2011</stp>
        <stp>[FA1_ymffleas.xlsx]Income - Adjusted!R53C4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53" s="9"/>
      </tp>
      <tp t="s">
        <v>—</v>
        <stp/>
        <stp>##V3_BDHV12</stp>
        <stp>RCOM IN Equity</stp>
        <stp>ARD_INTEREST_EXPENSE</stp>
        <stp>FY 2016</stp>
        <stp>FY 2016</stp>
        <stp>[FA1_ymffleas.xlsx]Cash Flow - As Reported!R27C10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7" s="20"/>
      </tp>
      <tp t="s">
        <v>—</v>
        <stp/>
        <stp>##V3_BDHV12</stp>
        <stp>RCOM IN Equity</stp>
        <stp>ARD_INTEREST_EXPENSE</stp>
        <stp>FY 2017</stp>
        <stp>FY 2017</stp>
        <stp>[FA1_ymffleas.xlsx]Cash Flow - As Reported!R27C11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7" s="20"/>
      </tp>
      <tp t="s">
        <v>—</v>
        <stp/>
        <stp>##V3_BDHV12</stp>
        <stp>RCOM IN Equity</stp>
        <stp>ARD_INTEREST_EXPENSE</stp>
        <stp>FY 2018</stp>
        <stp>FY 2018</stp>
        <stp>[FA1_ymffleas.xlsx]Cash Flow - As Reported!R27C12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7" s="20"/>
      </tp>
      <tp>
        <v>17480</v>
        <stp/>
        <stp>##V3_BDHV12</stp>
        <stp>RCOM IN Equity</stp>
        <stp>ARDR_SELLING_EXPENSES</stp>
        <stp>FY 2016</stp>
        <stp>FY 2016</stp>
        <stp>[FA1_ymffleas.xlsx]Income - As Reported!R126C10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6" s="11"/>
      </tp>
      <tp>
        <v>140</v>
        <stp/>
        <stp>##V3_BDHV12</stp>
        <stp>RCOM IN Equity</stp>
        <stp>ARDR_SELLING_EXPENSES</stp>
        <stp>FY 2017</stp>
        <stp>FY 2017</stp>
        <stp>[FA1_ymffleas.xlsx]Income - As Reported!R126C11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6" s="11"/>
      </tp>
      <tp>
        <v>390</v>
        <stp/>
        <stp>##V3_BDHV12</stp>
        <stp>RCOM IN Equity</stp>
        <stp>ARDR_SELLING_EXPENSES</stp>
        <stp>FY 2018</stp>
        <stp>FY 2018</stp>
        <stp>[FA1_ymffleas.xlsx]Income - As Reported!R126C12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6" s="11"/>
      </tp>
      <tp>
        <v>1270</v>
        <stp/>
        <stp>##V3_BDHV12</stp>
        <stp>RCOM IN Equity</stp>
        <stp>PRETAX_INC</stp>
        <stp>FY 2014</stp>
        <stp>FY 2014</stp>
        <stp>[FA1_ymffleas.xlsx]Income - Adjusted!R53C7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53" s="9"/>
      </tp>
      <tp>
        <v>8100</v>
        <stp/>
        <stp>##V3_BDHV12</stp>
        <stp>RCOM IN Equity</stp>
        <stp>PRETAX_INC</stp>
        <stp>FY 2013</stp>
        <stp>FY 2013</stp>
        <stp>[FA1_ymffleas.xlsx]Income - Adjusted!R53C6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53" s="9"/>
      </tp>
      <tp>
        <v>53198</v>
        <stp/>
        <stp>##V3_BDHV12</stp>
        <stp>RCOM IN Equity</stp>
        <stp>PRETAX_INC</stp>
        <stp>FY 2010</stp>
        <stp>FY 2010</stp>
        <stp>[FA1_ymffleas.xlsx]Income - Adjusted!R53C3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53" s="9"/>
      </tp>
      <tp>
        <v>43.735199999999999</v>
        <stp/>
        <stp>##V3_BDHV12</stp>
        <stp>RCOM IN Equity</stp>
        <stp>LT_DEBT_TO_TOT_EQY</stp>
        <stp>FY 2010</stp>
        <stp>FY 2010</stp>
        <stp>[FA1_ymffleas.xlsx]Credit!R28C4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8" s="23"/>
      </tp>
      <tp>
        <v>46.736699999999999</v>
        <stp/>
        <stp>##V3_BDHV12</stp>
        <stp>RCOM IN Equity</stp>
        <stp>LT_DEBT_TO_TOT_EQY</stp>
        <stp>FY 2011</stp>
        <stp>FY 2011</stp>
        <stp>[FA1_ymffleas.xlsx]Credit!R28C5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8" s="23"/>
      </tp>
      <tp>
        <v>79.787899999999993</v>
        <stp/>
        <stp>##V3_BDHV12</stp>
        <stp>RCOM IN Equity</stp>
        <stp>LT_DEBT_TO_TOT_EQY</stp>
        <stp>FY 2012</stp>
        <stp>FY 2012</stp>
        <stp>[FA1_ymffleas.xlsx]Credit!R28C6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8" s="23"/>
      </tp>
      <tp>
        <v>82.944299999999998</v>
        <stp/>
        <stp>##V3_BDHV12</stp>
        <stp>RCOM IN Equity</stp>
        <stp>LT_DEBT_TO_TOT_EQY</stp>
        <stp>FY 2013</stp>
        <stp>FY 2013</stp>
        <stp>[FA1_ymffleas.xlsx]Credit!R28C7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8" s="23"/>
      </tp>
      <tp>
        <v>63.5623</v>
        <stp/>
        <stp>##V3_BDHV12</stp>
        <stp>RCOM IN Equity</stp>
        <stp>LT_DEBT_TO_TOT_EQY</stp>
        <stp>FY 2009</stp>
        <stp>FY 2009</stp>
        <stp>[FA1_ymffleas.xlsx]Credit!R28C3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8" s="23"/>
      </tp>
      <tp>
        <v>84.030500000000004</v>
        <stp/>
        <stp>##V3_BDHV12</stp>
        <stp>RCOM IN Equity</stp>
        <stp>LT_DEBT_TO_TOT_EQY</stp>
        <stp>FY 2014</stp>
        <stp>FY 2014</stp>
        <stp>[FA1_ymffleas.xlsx]Credit!R28C8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8" s="23"/>
      </tp>
      <tp>
        <v>176845.14499999999</v>
        <stp/>
        <stp>##V3_BDHV12</stp>
        <stp>RCOM IN Equity</stp>
        <stp>DILUTED_MKT_CAP</stp>
        <stp>FY 2012</stp>
        <stp>FY 2012</stp>
        <stp>[FA1_ymffleas.xlsx]Enterprise Value!R23C5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3" s="5"/>
      </tp>
      <tp>
        <v>231788.29990000001</v>
        <stp/>
        <stp>##V3_BDHV12</stp>
        <stp>RCOM IN Equity</stp>
        <stp>DILUTED_MKT_CAP</stp>
        <stp>FY 2011</stp>
        <stp>FY 2011</stp>
        <stp>[FA1_ymffleas.xlsx]Enterprise Value!R23C4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3" s="5"/>
      </tp>
      <tp>
        <v>266053.065</v>
        <stp/>
        <stp>##V3_BDHV12</stp>
        <stp>RCOM IN Equity</stp>
        <stp>DILUTED_MKT_CAP</stp>
        <stp>FY 2014</stp>
        <stp>FY 2014</stp>
        <stp>[FA1_ymffleas.xlsx]Enterprise Value!R23C7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3" s="5"/>
      </tp>
      <tp>
        <v>114140.6865</v>
        <stp/>
        <stp>##V3_BDHV12</stp>
        <stp>RCOM IN Equity</stp>
        <stp>DILUTED_MKT_CAP</stp>
        <stp>FY 2013</stp>
        <stp>FY 2013</stp>
        <stp>[FA1_ymffleas.xlsx]Enterprise Value!R23C6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3" s="5"/>
      </tp>
      <tp>
        <v>365930.53009999997</v>
        <stp/>
        <stp>##V3_BDHV12</stp>
        <stp>RCOM IN Equity</stp>
        <stp>DILUTED_MKT_CAP</stp>
        <stp>FY 2010</stp>
        <stp>FY 2010</stp>
        <stp>[FA1_ymffleas.xlsx]Enterprise Value!R23C3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3" s="5"/>
      </tp>
      <tp>
        <v>123385.0373</v>
        <stp/>
        <stp>##V3_BDHV12</stp>
        <stp>RCOM IN Equity</stp>
        <stp>DILUTED_MKT_CAP</stp>
        <stp>FY 2016</stp>
        <stp>FY 2016</stp>
        <stp>[FA1_ymffleas.xlsx]Enterprise Value!R23C9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3" s="5"/>
      </tp>
      <tp>
        <v>138283.8634</v>
        <stp/>
        <stp>##V3_BDHV12</stp>
        <stp>RCOM IN Equity</stp>
        <stp>DILUTED_MKT_CAP</stp>
        <stp>FY 2015</stp>
        <stp>FY 2015</stp>
        <stp>[FA1_ymffleas.xlsx]Enterprise Value!R23C8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3" s="5"/>
      </tp>
      <tp>
        <v>79.278499999999994</v>
        <stp/>
        <stp>##V3_BDHV12</stp>
        <stp>RCOM IN Equity</stp>
        <stp>LT_DEBT_TO_TOT_EQY</stp>
        <stp>FY 2015</stp>
        <stp>FY 2015</stp>
        <stp>[FA1_ymffleas.xlsx]Credit!R28C9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8" s="23"/>
      </tp>
      <tp t="s">
        <v>—</v>
        <stp/>
        <stp>##V3_BDHV12</stp>
        <stp>RCOM IN Equity</stp>
        <stp>ARDR_OTHER_RESERVES</stp>
        <stp>FY 2018</stp>
        <stp>FY 2018</stp>
        <stp>[FA1_ymffleas.xlsx]Bal Sheet - As Reported!R126C12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6" s="17"/>
      </tp>
      <tp t="s">
        <v>—</v>
        <stp/>
        <stp>##V3_BDHV12</stp>
        <stp>RCOM IN Equity</stp>
        <stp>ARDR_OTHER_RESERVES</stp>
        <stp>FY 2016</stp>
        <stp>FY 2016</stp>
        <stp>[FA1_ymffleas.xlsx]Bal Sheet - As Reported!R126C10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6" s="17"/>
      </tp>
      <tp t="s">
        <v>—</v>
        <stp/>
        <stp>##V3_BDHV12</stp>
        <stp>RCOM IN Equity</stp>
        <stp>ARDR_OTHER_RESERVES</stp>
        <stp>FY 2017</stp>
        <stp>FY 2017</stp>
        <stp>[FA1_ymffleas.xlsx]Bal Sheet - As Reported!R126C11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6" s="17"/>
      </tp>
      <tp>
        <v>1.9159999999999999</v>
        <stp/>
        <stp>##V3_BDHV12</stp>
        <stp>RCOM IN Equity</stp>
        <stp>RETURN_COM_EQY</stp>
        <stp>FY 2013</stp>
        <stp>FY 2013</stp>
        <stp>[FA1_ymffleas.xlsx]Profitability!R7C7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7" s="21"/>
      </tp>
      <tp>
        <v>82.453999999999994</v>
        <stp/>
        <stp>##V3_BDHV12</stp>
        <stp>RCOM IN Equity</stp>
        <stp>TAX_EFFICIENCY</stp>
        <stp>FY 2013</stp>
        <stp>FY 2013</stp>
        <stp>[FA1_ymffleas.xlsx]DuPont Analysis!R7C7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7" s="27"/>
      </tp>
      <tp>
        <v>-3.1137000000000001</v>
        <stp/>
        <stp>##V3_BDHV12</stp>
        <stp>RCOM IN Equity</stp>
        <stp>BVPS_GROWTH</stp>
        <stp>FY 2014</stp>
        <stp>FY 2014</stp>
        <stp>[FA1_ymffleas.xlsx]Growth!R28C8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8" s="22"/>
      </tp>
      <tp>
        <v>-4.0766</v>
        <stp/>
        <stp>##V3_BDHV12</stp>
        <stp>RCOM IN Equity</stp>
        <stp>BVPS_GROWTH</stp>
        <stp>FY 2015</stp>
        <stp>FY 2015</stp>
        <stp>[FA1_ymffleas.xlsx]Growth!R28C9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8" s="22"/>
      </tp>
      <tp>
        <v>0.80510000000000004</v>
        <stp/>
        <stp>##V3_BDHV12</stp>
        <stp>RCOM IN Equity</stp>
        <stp>NORM_NET_INC_TO_NET_INC_FO_COM</stp>
        <stp>FY 2011</stp>
        <stp>FY 2011</stp>
        <stp>[FA1_ymffleas.xlsx]DuPont Analysis!R9C5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9" s="27"/>
      </tp>
      <tp>
        <v>30.962800000000001</v>
        <stp/>
        <stp>##V3_BDHV12</stp>
        <stp>RCOM IN Equity</stp>
        <stp>EBITDA_MARGIN</stp>
        <stp>FY 2012</stp>
        <stp>FY 2012</stp>
        <stp>[FA1_ymffleas.xlsx]Addl - Overview!R15C5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5" s="29"/>
      </tp>
      <tp>
        <v>45.661999999999999</v>
        <stp/>
        <stp>##V3_BDHV12</stp>
        <stp>RCOM IN Equity</stp>
        <stp>BVPS_GROWTH</stp>
        <stp>FY 2009</stp>
        <stp>FY 2009</stp>
        <stp>[FA1_ymffleas.xlsx]Growth!R28C3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8" s="22"/>
      </tp>
      <tp>
        <v>-10.378</v>
        <stp/>
        <stp>##V3_BDHV12</stp>
        <stp>RCOM IN Equity</stp>
        <stp>BVPS_GROWTH</stp>
        <stp>FY 2012</stp>
        <stp>FY 2012</stp>
        <stp>[FA1_ymffleas.xlsx]Growth!R28C6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8" s="22"/>
      </tp>
      <tp>
        <v>6.7774999999999999</v>
        <stp/>
        <stp>##V3_BDHV12</stp>
        <stp>RCOM IN Equity</stp>
        <stp>NET_DEBT_TO_EBITDA</stp>
        <stp>FY 2013</stp>
        <stp>FY 2013</stp>
        <stp>[FA1_ymffleas.xlsx]Credit!R11C7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1" s="23"/>
      </tp>
      <tp>
        <v>-6.7389999999999999</v>
        <stp/>
        <stp>##V3_BDHV12</stp>
        <stp>RCOM IN Equity</stp>
        <stp>BVPS_GROWTH</stp>
        <stp>FY 2013</stp>
        <stp>FY 2013</stp>
        <stp>[FA1_ymffleas.xlsx]Growth!R28C7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8" s="22"/>
      </tp>
      <tp>
        <v>2.5550999999999999</v>
        <stp/>
        <stp>##V3_BDHV12</stp>
        <stp>RCOM IN Equity</stp>
        <stp>BVPS_GROWTH</stp>
        <stp>FY 2010</stp>
        <stp>FY 2010</stp>
        <stp>[FA1_ymffleas.xlsx]Growth!R28C4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8" s="22"/>
      </tp>
      <tp>
        <v>-6.5995999999999997</v>
        <stp/>
        <stp>##V3_BDHV12</stp>
        <stp>RCOM IN Equity</stp>
        <stp>BVPS_GROWTH</stp>
        <stp>FY 2011</stp>
        <stp>FY 2011</stp>
        <stp>[FA1_ymffleas.xlsx]Growth!R28C5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8" s="22"/>
      </tp>
      <tp>
        <v>0.85029999999999994</v>
        <stp/>
        <stp>##V3_BDHV12</stp>
        <stp>RCOM IN Equity</stp>
        <stp>EBIT_TO_CASH_INTEREST_PAID</stp>
        <stp>FY 2013</stp>
        <stp>FY 2013</stp>
        <stp>[FA1_ymffleas.xlsx]Credit!R22C7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2" s="23"/>
      </tp>
      <tp>
        <v>65540</v>
        <stp/>
        <stp>##V3_BDHV12</stp>
        <stp>RCOM IN Equity</stp>
        <stp>IS_SALES_AND_SERVICES_REVENUES</stp>
        <stp>FY 2017</stp>
        <stp>FY 2017</stp>
        <stp>[FA1_ymffleas.xlsx]Income - GAAP!R8C10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8" s="10"/>
      </tp>
      <tp>
        <v>45930</v>
        <stp/>
        <stp>##V3_BDHV12</stp>
        <stp>RCOM IN Equity</stp>
        <stp>IS_SALES_AND_SERVICES_REVENUES</stp>
        <stp>FY 2018</stp>
        <stp>FY 2018</stp>
        <stp>[FA1_ymffleas.xlsx]Income - GAAP!R8C11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8" s="10"/>
      </tp>
      <tp t="s">
        <v>—</v>
        <stp/>
        <stp>##V3_BDHV12</stp>
        <stp>RCOM IN Equity</stp>
        <stp>ARD_DEFERRED_INCOME_TAXES_LIAB</stp>
        <stp>FY 2011</stp>
        <stp>FY 2011</stp>
        <stp>[FA1_ymffleas.xlsx]Bal Sheet - As Reported!R18C5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" s="17"/>
      </tp>
      <tp t="s">
        <v>—</v>
        <stp/>
        <stp>##V3_BDHV12</stp>
        <stp>RCOM IN Equity</stp>
        <stp>ARD_DEFERRED_INCOME_TAXES_LIAB</stp>
        <stp>FY 2010</stp>
        <stp>FY 2010</stp>
        <stp>[FA1_ymffleas.xlsx]Bal Sheet - As Reported!R18C4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" s="17"/>
      </tp>
      <tp>
        <v>13720</v>
        <stp/>
        <stp>##V3_BDHV12</stp>
        <stp>RCOM IN Equity</stp>
        <stp>ARD_DEFERRED_INCOME_TAXES_LIAB</stp>
        <stp>FY 2013</stp>
        <stp>FY 2013</stp>
        <stp>[FA1_ymffleas.xlsx]Bal Sheet - As Reported!R18C7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" s="17"/>
      </tp>
      <tp t="s">
        <v>—</v>
        <stp/>
        <stp>##V3_BDHV12</stp>
        <stp>RCOM IN Equity</stp>
        <stp>ARD_DEFERRED_INCOME_TAXES_LIAB</stp>
        <stp>FY 2012</stp>
        <stp>FY 2012</stp>
        <stp>[FA1_ymffleas.xlsx]Bal Sheet - As Reported!R18C6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" s="17"/>
      </tp>
      <tp t="s">
        <v>—</v>
        <stp/>
        <stp>##V3_BDHV12</stp>
        <stp>RCOM IN Equity</stp>
        <stp>ARD_DEFERRED_INCOME_TAXES_LIAB</stp>
        <stp>FY 2009</stp>
        <stp>FY 2009</stp>
        <stp>[FA1_ymffleas.xlsx]Bal Sheet - As Reported!R18C3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" s="17"/>
      </tp>
      <tp t="s">
        <v>—</v>
        <stp/>
        <stp>##V3_BDHV12</stp>
        <stp>RCOM IN Equity</stp>
        <stp>ARD_DEFERRED_INCOME_TAXES_LIAB</stp>
        <stp>FY 2015</stp>
        <stp>FY 2015</stp>
        <stp>[FA1_ymffleas.xlsx]Bal Sheet - As Reported!R18C9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" s="17"/>
      </tp>
      <tp t="s">
        <v>—</v>
        <stp/>
        <stp>##V3_BDHV12</stp>
        <stp>RCOM IN Equity</stp>
        <stp>ARD_DEFERRED_INCOME_TAXES_LIAB</stp>
        <stp>FY 2014</stp>
        <stp>FY 2014</stp>
        <stp>[FA1_ymffleas.xlsx]Bal Sheet - As Reported!R18C8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" s="17"/>
      </tp>
      <tp>
        <v>12810</v>
        <stp/>
        <stp>##V3_BDHV12</stp>
        <stp>RCOM IN Equity</stp>
        <stp>NONOP_INCOME_LOSS</stp>
        <stp>FY 2013</stp>
        <stp>FY 2013</stp>
        <stp>[FA1_ymffleas.xlsx]Income - GAAP!R37C6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7" s="10"/>
      </tp>
      <tp t="s">
        <v>—</v>
        <stp/>
        <stp>##V3_BDHV12</stp>
        <stp>RCOM IN Equity</stp>
        <stp>BS_OPTIONS_GRANTED</stp>
        <stp>FY 2014</stp>
        <stp>FY 2014</stp>
        <stp>[FA1_ymffleas.xlsx]Bal Sheet - Standardized!R165C8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5" s="16"/>
      </tp>
      <tp t="s">
        <v>—</v>
        <stp/>
        <stp>##V3_BDHV12</stp>
        <stp>RCOM IN Equity</stp>
        <stp>ARD_GL_SALE_PROP_PLANT_EQUIP</stp>
        <stp>FY 2013</stp>
        <stp>FY 2013</stp>
        <stp>[FA1_ymffleas.xlsx]Cash Flow - As Reported!R38C7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8" s="20"/>
      </tp>
      <tp t="s">
        <v>—</v>
        <stp/>
        <stp>##V3_BDHV12</stp>
        <stp>RCOM IN Equity</stp>
        <stp>ARD_GL_SALE_PROP_PLANT_EQUIP</stp>
        <stp>FY 2012</stp>
        <stp>FY 2012</stp>
        <stp>[FA1_ymffleas.xlsx]Cash Flow - As Reported!R38C6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8" s="20"/>
      </tp>
      <tp t="s">
        <v>—</v>
        <stp/>
        <stp>##V3_BDHV12</stp>
        <stp>RCOM IN Equity</stp>
        <stp>ARD_GL_SALE_PROP_PLANT_EQUIP</stp>
        <stp>FY 2011</stp>
        <stp>FY 2011</stp>
        <stp>[FA1_ymffleas.xlsx]Cash Flow - As Reported!R38C5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8" s="20"/>
      </tp>
      <tp t="s">
        <v>—</v>
        <stp/>
        <stp>##V3_BDHV12</stp>
        <stp>RCOM IN Equity</stp>
        <stp>ARD_GL_SALE_PROP_PLANT_EQUIP</stp>
        <stp>FY 2010</stp>
        <stp>FY 2010</stp>
        <stp>[FA1_ymffleas.xlsx]Cash Flow - As Reported!R38C4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8" s="20"/>
      </tp>
      <tp t="s">
        <v>—</v>
        <stp/>
        <stp>##V3_BDHV12</stp>
        <stp>RCOM IN Equity</stp>
        <stp>ARD_GL_SALE_PROP_PLANT_EQUIP</stp>
        <stp>FY 2009</stp>
        <stp>FY 2009</stp>
        <stp>[FA1_ymffleas.xlsx]Cash Flow - As Reported!R38C3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8" s="20"/>
      </tp>
      <tp t="s">
        <v>—</v>
        <stp/>
        <stp>##V3_BDHV12</stp>
        <stp>RCOM IN Equity</stp>
        <stp>ARD_GL_SALE_PROP_PLANT_EQUIP</stp>
        <stp>FY 2015</stp>
        <stp>FY 2015</stp>
        <stp>[FA1_ymffleas.xlsx]Cash Flow - As Reported!R38C9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8" s="20"/>
      </tp>
      <tp t="s">
        <v>—</v>
        <stp/>
        <stp>##V3_BDHV12</stp>
        <stp>RCOM IN Equity</stp>
        <stp>ARD_GL_SALE_PROP_PLANT_EQUIP</stp>
        <stp>FY 2014</stp>
        <stp>FY 2014</stp>
        <stp>[FA1_ymffleas.xlsx]Cash Flow - As Reported!R38C8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8" s="20"/>
      </tp>
      <tp>
        <v>20550</v>
        <stp/>
        <stp>##V3_BDHV12</stp>
        <stp>RCOM IN Equity</stp>
        <stp>NONOP_INCOME_LOSS</stp>
        <stp>FY 2014</stp>
        <stp>FY 2014</stp>
        <stp>[FA1_ymffleas.xlsx]Income - GAAP!R37C7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7" s="10"/>
      </tp>
      <tp t="s">
        <v>—</v>
        <stp/>
        <stp>##V3_BDHV12</stp>
        <stp>RCOM IN Equity</stp>
        <stp>BS_OPTIONS_GRANTED</stp>
        <stp>FY 2015</stp>
        <stp>FY 2015</stp>
        <stp>[FA1_ymffleas.xlsx]Bal Sheet - Standardized!R165C9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5" s="16"/>
      </tp>
      <tp>
        <v>3550</v>
        <stp/>
        <stp>##V3_BDHV12</stp>
        <stp>RCOM IN Equity</stp>
        <stp>NONOP_INCOME_LOSS</stp>
        <stp>FY 2011</stp>
        <stp>FY 2011</stp>
        <stp>[FA1_ymffleas.xlsx]Income - GAAP!R37C4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7" s="10"/>
      </tp>
      <tp>
        <v>9350</v>
        <stp/>
        <stp>##V3_BDHV12</stp>
        <stp>RCOM IN Equity</stp>
        <stp>NONOP_INCOME_LOSS</stp>
        <stp>FY 2012</stp>
        <stp>FY 2012</stp>
        <stp>[FA1_ymffleas.xlsx]Income - GAAP!R37C5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7" s="10"/>
      </tp>
      <tp>
        <v>-19803</v>
        <stp/>
        <stp>##V3_BDHV12</stp>
        <stp>RCOM IN Equity</stp>
        <stp>NONOP_INCOME_LOSS</stp>
        <stp>FY 2010</stp>
        <stp>FY 2010</stp>
        <stp>[FA1_ymffleas.xlsx]Income - GAAP!R37C3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7" s="10"/>
      </tp>
      <tp>
        <v>-84.149900000000002</v>
        <stp/>
        <stp>##V3_BDHV12</stp>
        <stp>RCOM IN Equity</stp>
        <stp>OPER_INC_GROWTH</stp>
        <stp>FY 2017</stp>
        <stp>FY 2017</stp>
        <stp>[FA1_ymffleas.xlsx]Growth!R9C11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9" s="22"/>
      </tp>
      <tp>
        <v>0.20019999999999999</v>
        <stp/>
        <stp>##V3_BDHV12</stp>
        <stp>RCOM IN Equity</stp>
        <stp>ASSET_TURNOVER</stp>
        <stp>FY 2012</stp>
        <stp>FY 2012</stp>
        <stp>[FA1_ymffleas.xlsx]DuPont Analysis!R15C6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5" s="27"/>
      </tp>
      <tp>
        <v>13.218</v>
        <stp/>
        <stp>##V3_BDHV12</stp>
        <stp>RCOM IN Equity</stp>
        <stp>BS_OPTIONS_GRANTED</stp>
        <stp>FY 2009</stp>
        <stp>FY 2009</stp>
        <stp>[FA1_ymffleas.xlsx]Bal Sheet - Standardized!R165C3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5" s="16"/>
      </tp>
      <tp t="s">
        <v>—</v>
        <stp/>
        <stp>##V3_BDHV12</stp>
        <stp>RCOM IN Equity</stp>
        <stp>BS_OPTIONS_GRANTED</stp>
        <stp>FY 2010</stp>
        <stp>FY 2010</stp>
        <stp>[FA1_ymffleas.xlsx]Bal Sheet - Standardized!R165C4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5" s="16"/>
      </tp>
      <tp>
        <v>0</v>
        <stp/>
        <stp>##V3_BDHV12</stp>
        <stp>RCOM IN Equity</stp>
        <stp>BS_OPTIONS_GRANTED</stp>
        <stp>FY 2011</stp>
        <stp>FY 2011</stp>
        <stp>[FA1_ymffleas.xlsx]Bal Sheet - Standardized!R165C5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5" s="16"/>
      </tp>
      <tp>
        <v>24430</v>
        <stp/>
        <stp>##V3_BDHV12</stp>
        <stp>RCOM IN Equity</stp>
        <stp>NONOP_INCOME_LOSS</stp>
        <stp>FY 2015</stp>
        <stp>FY 2015</stp>
        <stp>[FA1_ymffleas.xlsx]Income - GAAP!R37C8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7" s="10"/>
      </tp>
      <tp>
        <v>0</v>
        <stp/>
        <stp>##V3_BDHV12</stp>
        <stp>RCOM IN Equity</stp>
        <stp>BS_OPTIONS_GRANTED</stp>
        <stp>FY 2012</stp>
        <stp>FY 2012</stp>
        <stp>[FA1_ymffleas.xlsx]Bal Sheet - Standardized!R165C6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5" s="16"/>
      </tp>
      <tp>
        <v>25440</v>
        <stp/>
        <stp>##V3_BDHV12</stp>
        <stp>RCOM IN Equity</stp>
        <stp>NONOP_INCOME_LOSS</stp>
        <stp>FY 2016</stp>
        <stp>FY 2016</stp>
        <stp>[FA1_ymffleas.xlsx]Income - GAAP!R37C9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7" s="10"/>
      </tp>
      <tp>
        <v>0</v>
        <stp/>
        <stp>##V3_BDHV12</stp>
        <stp>RCOM IN Equity</stp>
        <stp>BS_OPTIONS_GRANTED</stp>
        <stp>FY 2013</stp>
        <stp>FY 2013</stp>
        <stp>[FA1_ymffleas.xlsx]Bal Sheet - Standardized!R165C7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5" s="16"/>
      </tp>
      <tp t="s">
        <v>—</v>
        <stp/>
        <stp>##V3_BDHV12</stp>
        <stp>RCOM IN Equity</stp>
        <stp>IS_INC_TAX_EXP_OTHER_COMP_INC</stp>
        <stp>FY 2012</stp>
        <stp>FY 2012</stp>
        <stp>[FA1_ymffleas.xlsx]Comprehensive Income!R11C5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" s="33"/>
      </tp>
      <tp t="s">
        <v>—</v>
        <stp/>
        <stp>##V3_BDHV12</stp>
        <stp>RCOM IN Equity</stp>
        <stp>IS_INC_TAX_EXP_OTHER_COMP_INC</stp>
        <stp>FY 2011</stp>
        <stp>FY 2011</stp>
        <stp>[FA1_ymffleas.xlsx]Comprehensive Income!R11C4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" s="33"/>
      </tp>
      <tp t="s">
        <v>—</v>
        <stp/>
        <stp>##V3_BDHV12</stp>
        <stp>RCOM IN Equity</stp>
        <stp>IS_INC_TAX_EXP_OTHER_COMP_INC</stp>
        <stp>FY 2014</stp>
        <stp>FY 2014</stp>
        <stp>[FA1_ymffleas.xlsx]Comprehensive Income!R11C7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" s="33"/>
      </tp>
      <tp t="s">
        <v>—</v>
        <stp/>
        <stp>##V3_BDHV12</stp>
        <stp>RCOM IN Equity</stp>
        <stp>IS_INC_TAX_EXP_OTHER_COMP_INC</stp>
        <stp>FY 2013</stp>
        <stp>FY 2013</stp>
        <stp>[FA1_ymffleas.xlsx]Comprehensive Income!R11C6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" s="33"/>
      </tp>
      <tp t="s">
        <v>—</v>
        <stp/>
        <stp>##V3_BDHV12</stp>
        <stp>RCOM IN Equity</stp>
        <stp>IS_INC_TAX_EXP_OTHER_COMP_INC</stp>
        <stp>FY 2010</stp>
        <stp>FY 2010</stp>
        <stp>[FA1_ymffleas.xlsx]Comprehensive Income!R11C3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" s="33"/>
      </tp>
      <tp>
        <v>1360</v>
        <stp/>
        <stp>##V3_BDHV12</stp>
        <stp>RCOM IN Equity</stp>
        <stp>IS_INC_TAX_EXP_OTHER_COMP_INC</stp>
        <stp>FY 2016</stp>
        <stp>FY 2016</stp>
        <stp>[FA1_ymffleas.xlsx]Comprehensive Income!R11C9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" s="33"/>
      </tp>
      <tp t="s">
        <v>—</v>
        <stp/>
        <stp>##V3_BDHV12</stp>
        <stp>RCOM IN Equity</stp>
        <stp>IS_INC_TAX_EXP_OTHER_COMP_INC</stp>
        <stp>FY 2015</stp>
        <stp>FY 2015</stp>
        <stp>[FA1_ymffleas.xlsx]Comprehensive Income!R11C8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" s="33"/>
      </tp>
      <tp>
        <v>10.0632</v>
        <stp/>
        <stp>##V3_BDHV12</stp>
        <stp>RCOM IN Equity</stp>
        <stp>BOOK_VAL_PER_SH</stp>
        <stp>FY 2018</stp>
        <stp>FY 2018</stp>
        <stp>[FA1_ymffleas.xlsx]Addl - Overview!R28C11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8" s="29"/>
      </tp>
      <tp>
        <v>114.782</v>
        <stp/>
        <stp>##V3_BDHV12</stp>
        <stp>RCOM IN Equity</stp>
        <stp>BOOK_VAL_PER_SH</stp>
        <stp>FY 2017</stp>
        <stp>FY 2017</stp>
        <stp>[FA1_ymffleas.xlsx]Addl - Overview!R28C10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8" s="29"/>
      </tp>
      <tp t="s">
        <v>—</v>
        <stp/>
        <stp>##V3_BDHV12</stp>
        <stp>RCOM IN Equity</stp>
        <stp>ARD_EQY_INVEST_ASSOC_AFFILIATES</stp>
        <stp>FY 2014</stp>
        <stp>FY 2014</stp>
        <stp>[FA1_ymffleas.xlsx]Bal Sheet - As Reported!R34C8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4" s="17"/>
      </tp>
      <tp t="s">
        <v>—</v>
        <stp/>
        <stp>##V3_BDHV12</stp>
        <stp>RCOM IN Equity</stp>
        <stp>ARD_EQY_INVEST_ASSOC_AFFILIATES</stp>
        <stp>FY 2015</stp>
        <stp>FY 2015</stp>
        <stp>[FA1_ymffleas.xlsx]Bal Sheet - As Reported!R34C9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4" s="17"/>
      </tp>
      <tp t="s">
        <v>—</v>
        <stp/>
        <stp>##V3_BDHV12</stp>
        <stp>RCOM IN Equity</stp>
        <stp>ARD_EQY_INVEST_ASSOC_AFFILIATES</stp>
        <stp>FY 2009</stp>
        <stp>FY 2009</stp>
        <stp>[FA1_ymffleas.xlsx]Bal Sheet - As Reported!R34C3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4" s="17"/>
      </tp>
      <tp t="s">
        <v>—</v>
        <stp/>
        <stp>##V3_BDHV12</stp>
        <stp>RCOM IN Equity</stp>
        <stp>ARD_EQY_INVEST_ASSOC_AFFILIATES</stp>
        <stp>FY 2010</stp>
        <stp>FY 2010</stp>
        <stp>[FA1_ymffleas.xlsx]Bal Sheet - As Reported!R34C4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4" s="17"/>
      </tp>
      <tp t="s">
        <v>—</v>
        <stp/>
        <stp>##V3_BDHV12</stp>
        <stp>RCOM IN Equity</stp>
        <stp>ARD_EQY_INVEST_ASSOC_AFFILIATES</stp>
        <stp>FY 2011</stp>
        <stp>FY 2011</stp>
        <stp>[FA1_ymffleas.xlsx]Bal Sheet - As Reported!R34C5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4" s="17"/>
      </tp>
      <tp t="s">
        <v>—</v>
        <stp/>
        <stp>##V3_BDHV12</stp>
        <stp>RCOM IN Equity</stp>
        <stp>ARD_EQY_INVEST_ASSOC_AFFILIATES</stp>
        <stp>FY 2012</stp>
        <stp>FY 2012</stp>
        <stp>[FA1_ymffleas.xlsx]Bal Sheet - As Reported!R34C6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4" s="17"/>
      </tp>
      <tp t="s">
        <v>—</v>
        <stp/>
        <stp>##V3_BDHV12</stp>
        <stp>RCOM IN Equity</stp>
        <stp>ARD_EQY_INVEST_ASSOC_AFFILIATES</stp>
        <stp>FY 2013</stp>
        <stp>FY 2013</stp>
        <stp>[FA1_ymffleas.xlsx]Bal Sheet - As Reported!R34C7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4" s="17"/>
      </tp>
      <tp>
        <v>0.2293</v>
        <stp/>
        <stp>##V3_BDHV12</stp>
        <stp>RCOM IN Equity</stp>
        <stp>SHAREHOLDER_YIELD_EX_DEBT</stp>
        <stp>FY 2014</stp>
        <stp>FY 2014</stp>
        <stp>[FA1_ymffleas.xlsx]Yield Analysis!R26C8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6" s="26"/>
      </tp>
      <tp>
        <v>-41.160299999999999</v>
        <stp/>
        <stp>##V3_BDHV12</stp>
        <stp>RCOM IN Equity</stp>
        <stp>SHAREHOLDER_YIELD_EX_DEBT</stp>
        <stp>FY 2015</stp>
        <stp>FY 2015</stp>
        <stp>[FA1_ymffleas.xlsx]Yield Analysis!R26C9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6" s="26"/>
      </tp>
      <tp>
        <v>0.68600000000000005</v>
        <stp/>
        <stp>##V3_BDHV12</stp>
        <stp>RCOM IN Equity</stp>
        <stp>SHAREHOLDER_YIELD_EX_DEBT</stp>
        <stp>FY 2012</stp>
        <stp>FY 2012</stp>
        <stp>[FA1_ymffleas.xlsx]Yield Analysis!R26C6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6" s="26"/>
      </tp>
      <tp>
        <v>5310</v>
        <stp/>
        <stp>##V3_BDHV12</stp>
        <stp>RCOM IN Equity</stp>
        <stp>IS_SG&amp;A_EXPENSE</stp>
        <stp>FY 2018</stp>
        <stp>FY 2018</stp>
        <stp>[FA1_ymffleas.xlsx]Income - GAAP!R21C11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21" s="10"/>
      </tp>
      <tp>
        <v>0.52569999999999995</v>
        <stp/>
        <stp>##V3_BDHV12</stp>
        <stp>RCOM IN Equity</stp>
        <stp>SHAREHOLDER_YIELD_EX_DEBT</stp>
        <stp>FY 2013</stp>
        <stp>FY 2013</stp>
        <stp>[FA1_ymffleas.xlsx]Yield Analysis!R26C7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6" s="26"/>
      </tp>
      <tp>
        <v>6340</v>
        <stp/>
        <stp>##V3_BDHV12</stp>
        <stp>RCOM IN Equity</stp>
        <stp>IS_SG&amp;A_EXPENSE</stp>
        <stp>FY 2017</stp>
        <stp>FY 2017</stp>
        <stp>[FA1_ymffleas.xlsx]Income - GAAP!R21C10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21" s="10"/>
      </tp>
      <tp>
        <v>0.54469999999999996</v>
        <stp/>
        <stp>##V3_BDHV12</stp>
        <stp>RCOM IN Equity</stp>
        <stp>SHAREHOLDER_YIELD_EX_DEBT</stp>
        <stp>FY 2010</stp>
        <stp>FY 2010</stp>
        <stp>[FA1_ymffleas.xlsx]Yield Analysis!R26C4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6" s="26"/>
      </tp>
      <tp>
        <v>0.90910000000000002</v>
        <stp/>
        <stp>##V3_BDHV12</stp>
        <stp>RCOM IN Equity</stp>
        <stp>SHAREHOLDER_YIELD_EX_DEBT</stp>
        <stp>FY 2011</stp>
        <stp>FY 2011</stp>
        <stp>[FA1_ymffleas.xlsx]Yield Analysis!R26C5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6" s="26"/>
      </tp>
      <tp>
        <v>0.49659999999999999</v>
        <stp/>
        <stp>##V3_BDHV12</stp>
        <stp>RCOM IN Equity</stp>
        <stp>SHAREHOLDER_YIELD_EX_DEBT</stp>
        <stp>FY 2009</stp>
        <stp>FY 2009</stp>
        <stp>[FA1_ymffleas.xlsx]Yield Analysis!R26C3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6" s="26"/>
      </tp>
      <tp>
        <v>1180</v>
        <stp/>
        <stp>##V3_BDHV12</stp>
        <stp>RCOM IN Equity</stp>
        <stp>IS_OTHER_OPER_INC</stp>
        <stp>FY 2017</stp>
        <stp>FY 2017</stp>
        <stp>[FA1_ymffleas.xlsx]Income - GAAP!R17C10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17" s="10"/>
      </tp>
      <tp>
        <v>1580</v>
        <stp/>
        <stp>##V3_BDHV12</stp>
        <stp>RCOM IN Equity</stp>
        <stp>IS_OTHER_OPER_INC</stp>
        <stp>FY 2018</stp>
        <stp>FY 2018</stp>
        <stp>[FA1_ymffleas.xlsx]Income - GAAP!R17C11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17" s="10"/>
      </tp>
      <tp>
        <v>-70</v>
        <stp/>
        <stp>##V3_BDHV12</stp>
        <stp>RCOM IN Equity</stp>
        <stp>ARDR_BENEFITS_PAID_POST_RETIR</stp>
        <stp>FY 2014</stp>
        <stp>FY 2014</stp>
        <stp>[FA1_ymffleas.xlsx]Income - As Reported!R99C8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9" s="11"/>
      </tp>
      <tp>
        <v>-120</v>
        <stp/>
        <stp>##V3_BDHV12</stp>
        <stp>RCOM IN Equity</stp>
        <stp>ARDR_BENEFITS_PAID_POST_RETIR</stp>
        <stp>FY 2015</stp>
        <stp>FY 2015</stp>
        <stp>[FA1_ymffleas.xlsx]Income - As Reported!R99C9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9" s="11"/>
      </tp>
      <tp>
        <v>-50.6</v>
        <stp/>
        <stp>##V3_BDHV12</stp>
        <stp>RCOM IN Equity</stp>
        <stp>ARDR_BENEFITS_PAID_POST_RETIR</stp>
        <stp>FY 2010</stp>
        <stp>FY 2010</stp>
        <stp>[FA1_ymffleas.xlsx]Income - As Reported!R99C4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9" s="11"/>
      </tp>
      <tp>
        <v>-80</v>
        <stp/>
        <stp>##V3_BDHV12</stp>
        <stp>RCOM IN Equity</stp>
        <stp>ARDR_BENEFITS_PAID_POST_RETIR</stp>
        <stp>FY 2011</stp>
        <stp>FY 2011</stp>
        <stp>[FA1_ymffleas.xlsx]Income - As Reported!R99C5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9" s="11"/>
      </tp>
      <tp>
        <v>-100</v>
        <stp/>
        <stp>##V3_BDHV12</stp>
        <stp>RCOM IN Equity</stp>
        <stp>ARDR_BENEFITS_PAID_POST_RETIR</stp>
        <stp>FY 2012</stp>
        <stp>FY 2012</stp>
        <stp>[FA1_ymffleas.xlsx]Income - As Reported!R99C6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9" s="11"/>
      </tp>
      <tp>
        <v>-80</v>
        <stp/>
        <stp>##V3_BDHV12</stp>
        <stp>RCOM IN Equity</stp>
        <stp>ARDR_BENEFITS_PAID_POST_RETIR</stp>
        <stp>FY 2013</stp>
        <stp>FY 2013</stp>
        <stp>[FA1_ymffleas.xlsx]Income - As Reported!R99C7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9" s="11"/>
      </tp>
      <tp>
        <v>-28.7</v>
        <stp/>
        <stp>##V3_BDHV12</stp>
        <stp>RCOM IN Equity</stp>
        <stp>ARDR_BENEFITS_PAID_POST_RETIR</stp>
        <stp>FY 2009</stp>
        <stp>FY 2009</stp>
        <stp>[FA1_ymffleas.xlsx]Income - As Reported!R99C3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9" s="11"/>
      </tp>
      <tp>
        <v>547205.03729999997</v>
        <stp/>
        <stp>##V3_BDHV12</stp>
        <stp>RCOM IN Equity</stp>
        <stp>DILUTED_EV</stp>
        <stp>FY 2016</stp>
        <stp>FY 2016</stp>
        <stp>[FA1_ymffleas.xlsx]Enterprise Value!R24C9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4" s="5"/>
      </tp>
      <tp>
        <v>516263.86339999997</v>
        <stp/>
        <stp>##V3_BDHV12</stp>
        <stp>RCOM IN Equity</stp>
        <stp>DILUTED_EV</stp>
        <stp>FY 2015</stp>
        <stp>FY 2015</stp>
        <stp>[FA1_ymffleas.xlsx]Enterprise Value!R24C8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4" s="5"/>
      </tp>
      <tp>
        <v>557785.14500000002</v>
        <stp/>
        <stp>##V3_BDHV12</stp>
        <stp>RCOM IN Equity</stp>
        <stp>DILUTED_EV</stp>
        <stp>FY 2012</stp>
        <stp>FY 2012</stp>
        <stp>[FA1_ymffleas.xlsx]Enterprise Value!R24C5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4" s="5"/>
      </tp>
      <tp>
        <v>577558.29989999998</v>
        <stp/>
        <stp>##V3_BDHV12</stp>
        <stp>RCOM IN Equity</stp>
        <stp>DILUTED_EV</stp>
        <stp>FY 2011</stp>
        <stp>FY 2011</stp>
        <stp>[FA1_ymffleas.xlsx]Enterprise Value!R24C4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4" s="5"/>
      </tp>
      <tp>
        <v>685073.06499999994</v>
        <stp/>
        <stp>##V3_BDHV12</stp>
        <stp>RCOM IN Equity</stp>
        <stp>DILUTED_EV</stp>
        <stp>FY 2014</stp>
        <stp>FY 2014</stp>
        <stp>[FA1_ymffleas.xlsx]Enterprise Value!R24C7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4" s="5"/>
      </tp>
      <tp>
        <v>524040.68650000001</v>
        <stp/>
        <stp>##V3_BDHV12</stp>
        <stp>RCOM IN Equity</stp>
        <stp>DILUTED_EV</stp>
        <stp>FY 2013</stp>
        <stp>FY 2013</stp>
        <stp>[FA1_ymffleas.xlsx]Enterprise Value!R24C6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4" s="5"/>
      </tp>
      <tp>
        <v>621083.83010000002</v>
        <stp/>
        <stp>##V3_BDHV12</stp>
        <stp>RCOM IN Equity</stp>
        <stp>DILUTED_EV</stp>
        <stp>FY 2010</stp>
        <stp>FY 2010</stp>
        <stp>[FA1_ymffleas.xlsx]Enterprise Value!R24C3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4" s="5"/>
      </tp>
      <tp>
        <v>2.4167999999999998</v>
        <stp/>
        <stp>##V3_BDHV12</stp>
        <stp>RCOM IN Equity</stp>
        <stp>RETURN_COM_EQY</stp>
        <stp>FY 2012</stp>
        <stp>FY 2012</stp>
        <stp>[FA1_ymffleas.xlsx]Profitability!R7C6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7" s="21"/>
      </tp>
      <tp>
        <v>8.0486000000000004</v>
        <stp/>
        <stp>##V3_BDHV12</stp>
        <stp>RCOM IN Equity</stp>
        <stp>RETURN_ON_INV_CAPITAL</stp>
        <stp>FY 2009</stp>
        <stp>FY 2009</stp>
        <stp>[FA1_ymffleas.xlsx]Profitability!R10C3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0" s="21"/>
      </tp>
      <tp>
        <v>0.58520000000000005</v>
        <stp/>
        <stp>##V3_BDHV12</stp>
        <stp>RCOM IN Equity</stp>
        <stp>CFO_TO_AVG_CURRENT_LIABILITIES</stp>
        <stp>FY 2016</stp>
        <stp>FY 2016</stp>
        <stp>[FA1_ymffleas.xlsx]Liquidity!R9C10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" s="24"/>
      </tp>
      <tp>
        <v>105.2154</v>
        <stp/>
        <stp>##V3_BDHV12</stp>
        <stp>RCOM IN Equity</stp>
        <stp>TAX_EFFICIENCY</stp>
        <stp>FY 2012</stp>
        <stp>FY 2012</stp>
        <stp>[FA1_ymffleas.xlsx]DuPont Analysis!R7C6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7" s="27"/>
      </tp>
      <tp>
        <v>-0.1118</v>
        <stp/>
        <stp>##V3_BDHV12</stp>
        <stp>RCOM IN Equity</stp>
        <stp>CFO_TO_AVG_CURRENT_LIABILITIES</stp>
        <stp>FY 2017</stp>
        <stp>FY 2017</stp>
        <stp>[FA1_ymffleas.xlsx]Liquidity!R9C11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" s="24"/>
      </tp>
      <tp>
        <v>0</v>
        <stp/>
        <stp>##V3_BDHV12</stp>
        <stp>RCOM IN Equity</stp>
        <stp>BS_PFD_EQTY_&amp;_HYBRID_CPTL</stp>
        <stp>FY 2018</stp>
        <stp>FY 2018</stp>
        <stp>[FA1_ymffleas.xlsx]Enterprise Value!R8C11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5"/>
      </tp>
      <tp>
        <v>0</v>
        <stp/>
        <stp>##V3_BDHV12</stp>
        <stp>RCOM IN Equity</stp>
        <stp>BS_PFD_EQTY_&amp;_HYBRID_CPTL</stp>
        <stp>FY 2017</stp>
        <stp>FY 2017</stp>
        <stp>[FA1_ymffleas.xlsx]Enterprise Value!R8C10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5"/>
      </tp>
      <tp>
        <v>-9.1999999999999998E-3</v>
        <stp/>
        <stp>##V3_BDHV12</stp>
        <stp>RCOM IN Equity</stp>
        <stp>CFO_TO_AVG_CURRENT_LIABILITIES</stp>
        <stp>FY 2018</stp>
        <stp>FY 2018</stp>
        <stp>[FA1_ymffleas.xlsx]Liquidity!R9C12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9" s="24"/>
      </tp>
      <tp>
        <v>1.0138</v>
        <stp/>
        <stp>##V3_BDHV12</stp>
        <stp>RCOM IN Equity</stp>
        <stp>NORM_NET_INC_TO_NET_INC_FO_COM</stp>
        <stp>FY 2010</stp>
        <stp>FY 2010</stp>
        <stp>[FA1_ymffleas.xlsx]DuPont Analysis!R9C4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9" s="27"/>
      </tp>
      <tp t="s">
        <v>—</v>
        <stp/>
        <stp>##V3_BDHV12</stp>
        <stp>RCOM IN Equity</stp>
        <stp>ARDR_ACCCUM_AMORT_INTANG_ASSET</stp>
        <stp>FY 2014</stp>
        <stp>FY 2014</stp>
        <stp>[FA1_ymffleas.xlsx]Bal Sheet - As Reported!R135C8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5" s="17"/>
      </tp>
      <tp t="s">
        <v>—</v>
        <stp/>
        <stp>##V3_BDHV12</stp>
        <stp>RCOM IN Equity</stp>
        <stp>ARDR_ACCCUM_AMORT_INTANG_ASSET</stp>
        <stp>FY 2015</stp>
        <stp>FY 2015</stp>
        <stp>[FA1_ymffleas.xlsx]Bal Sheet - As Reported!R135C9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5" s="17"/>
      </tp>
      <tp t="s">
        <v>—</v>
        <stp/>
        <stp>##V3_BDHV12</stp>
        <stp>RCOM IN Equity</stp>
        <stp>ARDR_ACCCUM_AMORT_INTANG_ASSET</stp>
        <stp>FY 2012</stp>
        <stp>FY 2012</stp>
        <stp>[FA1_ymffleas.xlsx]Bal Sheet - As Reported!R135C6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5" s="17"/>
      </tp>
      <tp t="s">
        <v>—</v>
        <stp/>
        <stp>##V3_BDHV12</stp>
        <stp>RCOM IN Equity</stp>
        <stp>ARDR_ACCCUM_AMORT_INTANG_ASSET</stp>
        <stp>FY 2013</stp>
        <stp>FY 2013</stp>
        <stp>[FA1_ymffleas.xlsx]Bal Sheet - As Reported!R135C7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5" s="17"/>
      </tp>
      <tp t="s">
        <v>—</v>
        <stp/>
        <stp>##V3_BDHV12</stp>
        <stp>RCOM IN Equity</stp>
        <stp>ARDR_ACCCUM_AMORT_INTANG_ASSET</stp>
        <stp>FY 2010</stp>
        <stp>FY 2010</stp>
        <stp>[FA1_ymffleas.xlsx]Bal Sheet - As Reported!R135C4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5" s="17"/>
      </tp>
      <tp t="s">
        <v>—</v>
        <stp/>
        <stp>##V3_BDHV12</stp>
        <stp>RCOM IN Equity</stp>
        <stp>ARDR_ACCCUM_AMORT_INTANG_ASSET</stp>
        <stp>FY 2011</stp>
        <stp>FY 2011</stp>
        <stp>[FA1_ymffleas.xlsx]Bal Sheet - As Reported!R135C5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5" s="17"/>
      </tp>
      <tp t="s">
        <v>—</v>
        <stp/>
        <stp>##V3_BDHV12</stp>
        <stp>RCOM IN Equity</stp>
        <stp>ARDR_ACCCUM_AMORT_INTANG_ASSET</stp>
        <stp>FY 2009</stp>
        <stp>FY 2009</stp>
        <stp>[FA1_ymffleas.xlsx]Bal Sheet - As Reported!R135C3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5" s="17"/>
      </tp>
      <tp>
        <v>37.9193</v>
        <stp/>
        <stp>##V3_BDHV12</stp>
        <stp>RCOM IN Equity</stp>
        <stp>EBITDA_MARGIN</stp>
        <stp>FY 2011</stp>
        <stp>FY 2011</stp>
        <stp>[FA1_ymffleas.xlsx]Addl - Overview!R15C4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5" s="29"/>
      </tp>
      <tp>
        <v>6.4252000000000002</v>
        <stp/>
        <stp>##V3_BDHV12</stp>
        <stp>RCOM IN Equity</stp>
        <stp>NET_DEBT_TO_EBITDA</stp>
        <stp>FY 2012</stp>
        <stp>FY 2012</stp>
        <stp>[FA1_ymffleas.xlsx]Credit!R11C6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1" s="23"/>
      </tp>
      <tp>
        <v>40</v>
        <stp/>
        <stp>##V3_BDHV12</stp>
        <stp>RCOM IN Equity</stp>
        <stp>ARDR_TIME_DEP_MTY_LESS_THAN_3M</stp>
        <stp>FY 2014</stp>
        <stp>FY 2014</stp>
        <stp>[FA1_ymffleas.xlsx]Bal Sheet - As Reported!R143C8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3" s="17"/>
      </tp>
      <tp>
        <v>8280</v>
        <stp/>
        <stp>##V3_BDHV12</stp>
        <stp>RCOM IN Equity</stp>
        <stp>ARDR_TIME_DEP_MTY_LESS_THAN_3M</stp>
        <stp>FY 2015</stp>
        <stp>FY 2015</stp>
        <stp>[FA1_ymffleas.xlsx]Bal Sheet - As Reported!R143C9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3" s="17"/>
      </tp>
      <tp t="s">
        <v>—</v>
        <stp/>
        <stp>##V3_BDHV12</stp>
        <stp>RCOM IN Equity</stp>
        <stp>ARDR_TIME_DEP_MTY_LESS_THAN_3M</stp>
        <stp>FY 2009</stp>
        <stp>FY 2009</stp>
        <stp>[FA1_ymffleas.xlsx]Bal Sheet - As Reported!R143C3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3" s="17"/>
      </tp>
      <tp t="s">
        <v>—</v>
        <stp/>
        <stp>##V3_BDHV12</stp>
        <stp>RCOM IN Equity</stp>
        <stp>ARDR_TIME_DEP_MTY_LESS_THAN_3M</stp>
        <stp>FY 2010</stp>
        <stp>FY 2010</stp>
        <stp>[FA1_ymffleas.xlsx]Bal Sheet - As Reported!R143C4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3" s="17"/>
      </tp>
      <tp t="s">
        <v>—</v>
        <stp/>
        <stp>##V3_BDHV12</stp>
        <stp>RCOM IN Equity</stp>
        <stp>ARDR_TIME_DEP_MTY_LESS_THAN_3M</stp>
        <stp>FY 2011</stp>
        <stp>FY 2011</stp>
        <stp>[FA1_ymffleas.xlsx]Bal Sheet - As Reported!R143C5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3" s="17"/>
      </tp>
      <tp>
        <v>0</v>
        <stp/>
        <stp>##V3_BDHV12</stp>
        <stp>RCOM IN Equity</stp>
        <stp>ARDR_TIME_DEP_MTY_LESS_THAN_3M</stp>
        <stp>FY 2012</stp>
        <stp>FY 2012</stp>
        <stp>[FA1_ymffleas.xlsx]Bal Sheet - As Reported!R143C6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3" s="17"/>
      </tp>
      <tp>
        <v>30</v>
        <stp/>
        <stp>##V3_BDHV12</stp>
        <stp>RCOM IN Equity</stp>
        <stp>ARDR_TIME_DEP_MTY_LESS_THAN_3M</stp>
        <stp>FY 2013</stp>
        <stp>FY 2013</stp>
        <stp>[FA1_ymffleas.xlsx]Bal Sheet - As Reported!R143C7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3" s="17"/>
      </tp>
      <tp>
        <v>1.0576000000000001</v>
        <stp/>
        <stp>##V3_BDHV12</stp>
        <stp>RCOM IN Equity</stp>
        <stp>EBIT_TO_CASH_INTEREST_PAID</stp>
        <stp>FY 2012</stp>
        <stp>FY 2012</stp>
        <stp>[FA1_ymffleas.xlsx]Credit!R22C6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2" s="23"/>
      </tp>
      <tp t="s">
        <v>—</v>
        <stp/>
        <stp>##V3_BDHV12</stp>
        <stp>RCOM IN Equity</stp>
        <stp>EMPLOYEES_SEQUENTIAL_GROWTH</stp>
        <stp>FY 2014</stp>
        <stp>FY 2014</stp>
        <stp>[FA1_ymffleas.xlsx]Growth!R74C8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4" s="22"/>
      </tp>
      <tp t="s">
        <v>—</v>
        <stp/>
        <stp>##V3_BDHV12</stp>
        <stp>RCOM IN Equity</stp>
        <stp>EMPLOYEES_SEQUENTIAL_GROWTH</stp>
        <stp>FY 2015</stp>
        <stp>FY 2015</stp>
        <stp>[FA1_ymffleas.xlsx]Growth!R74C9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4" s="22"/>
      </tp>
      <tp t="s">
        <v>—</v>
        <stp/>
        <stp>##V3_BDHV12</stp>
        <stp>RCOM IN Equity</stp>
        <stp>ARDR_OTHER_OPERATING_INC</stp>
        <stp>FY 2018</stp>
        <stp>FY 2018</stp>
        <stp>[FA1_ymffleas.xlsx]Income - As Reported!R76C12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6" s="11"/>
      </tp>
      <tp t="s">
        <v>—</v>
        <stp/>
        <stp>##V3_BDHV12</stp>
        <stp>RCOM IN Equity</stp>
        <stp>ARDR_OTHER_OPERATING_INC</stp>
        <stp>FY 2016</stp>
        <stp>FY 2016</stp>
        <stp>[FA1_ymffleas.xlsx]Income - As Reported!R76C10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6" s="11"/>
      </tp>
      <tp t="s">
        <v>—</v>
        <stp/>
        <stp>##V3_BDHV12</stp>
        <stp>RCOM IN Equity</stp>
        <stp>ARDR_OTHER_OPERATING_INC</stp>
        <stp>FY 2017</stp>
        <stp>FY 2017</stp>
        <stp>[FA1_ymffleas.xlsx]Income - As Reported!R76C11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6" s="11"/>
      </tp>
      <tp>
        <v>1.3643000000000001</v>
        <stp/>
        <stp>##V3_BDHV12</stp>
        <stp>RCOM IN Equity</stp>
        <stp>EMPLOYEES_SEQUENTIAL_GROWTH</stp>
        <stp>FY 2009</stp>
        <stp>FY 2009</stp>
        <stp>[FA1_ymffleas.xlsx]Growth!R74C3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4" s="22"/>
      </tp>
      <tp>
        <v>-16.624500000000001</v>
        <stp/>
        <stp>##V3_BDHV12</stp>
        <stp>RCOM IN Equity</stp>
        <stp>EMPLOYEES_SEQUENTIAL_GROWTH</stp>
        <stp>FY 2010</stp>
        <stp>FY 2010</stp>
        <stp>[FA1_ymffleas.xlsx]Growth!R74C4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4" s="22"/>
      </tp>
      <tp>
        <v>-9.3917000000000002</v>
        <stp/>
        <stp>##V3_BDHV12</stp>
        <stp>RCOM IN Equity</stp>
        <stp>EMPLOYEES_SEQUENTIAL_GROWTH</stp>
        <stp>FY 2011</stp>
        <stp>FY 2011</stp>
        <stp>[FA1_ymffleas.xlsx]Growth!R74C5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4" s="22"/>
      </tp>
      <tp>
        <v>10250</v>
        <stp/>
        <stp>##V3_BDHV12</stp>
        <stp>RCOM IN Equity</stp>
        <stp>IS_PERSONNEL_EXP</stp>
        <stp>FY 2014</stp>
        <stp>FY 2014</stp>
        <stp>[FA1_ymffleas.xlsx]Income - GAAP!R108C7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8" s="10"/>
      </tp>
      <tp>
        <v>11890</v>
        <stp/>
        <stp>##V3_BDHV12</stp>
        <stp>RCOM IN Equity</stp>
        <stp>IS_PERSONNEL_EXP</stp>
        <stp>FY 2013</stp>
        <stp>FY 2013</stp>
        <stp>[FA1_ymffleas.xlsx]Income - GAAP!R108C6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8" s="10"/>
      </tp>
      <tp>
        <v>12830</v>
        <stp/>
        <stp>##V3_BDHV12</stp>
        <stp>RCOM IN Equity</stp>
        <stp>IS_PERSONNEL_EXP</stp>
        <stp>FY 2012</stp>
        <stp>FY 2012</stp>
        <stp>[FA1_ymffleas.xlsx]Income - GAAP!R108C5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8" s="10"/>
      </tp>
      <tp>
        <v>14690</v>
        <stp/>
        <stp>##V3_BDHV12</stp>
        <stp>RCOM IN Equity</stp>
        <stp>IS_PERSONNEL_EXP</stp>
        <stp>FY 2011</stp>
        <stp>FY 2011</stp>
        <stp>[FA1_ymffleas.xlsx]Income - GAAP!R108C4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8" s="10"/>
      </tp>
      <tp>
        <v>15000.7</v>
        <stp/>
        <stp>##V3_BDHV12</stp>
        <stp>RCOM IN Equity</stp>
        <stp>IS_PERSONNEL_EXP</stp>
        <stp>FY 2010</stp>
        <stp>FY 2010</stp>
        <stp>[FA1_ymffleas.xlsx]Income - GAAP!R108C3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8" s="10"/>
      </tp>
      <tp>
        <v>11200</v>
        <stp/>
        <stp>##V3_BDHV12</stp>
        <stp>RCOM IN Equity</stp>
        <stp>IS_PERSONNEL_EXP</stp>
        <stp>FY 2016</stp>
        <stp>FY 2016</stp>
        <stp>[FA1_ymffleas.xlsx]Income - GAAP!R108C9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8" s="10"/>
      </tp>
      <tp>
        <v>9980</v>
        <stp/>
        <stp>##V3_BDHV12</stp>
        <stp>RCOM IN Equity</stp>
        <stp>IS_PERSONNEL_EXP</stp>
        <stp>FY 2015</stp>
        <stp>FY 2015</stp>
        <stp>[FA1_ymffleas.xlsx]Income - GAAP!R108C8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8" s="10"/>
      </tp>
      <tp>
        <v>90</v>
        <stp/>
        <stp>##V3_BDHV12</stp>
        <stp>RCOM IN Equity</stp>
        <stp>ARDR_FAIR_VAL_POST_RETIRE_ASSETS</stp>
        <stp>FY 2016</stp>
        <stp>FY 2016</stp>
        <stp>[FA1_ymffleas.xlsx]Income - As Reported!R87C10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7" s="11"/>
      </tp>
      <tp>
        <v>100</v>
        <stp/>
        <stp>##V3_BDHV12</stp>
        <stp>RCOM IN Equity</stp>
        <stp>ARDR_FAIR_VAL_POST_RETIRE_ASSETS</stp>
        <stp>FY 2017</stp>
        <stp>FY 2017</stp>
        <stp>[FA1_ymffleas.xlsx]Income - As Reported!R87C11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7" s="11"/>
      </tp>
      <tp>
        <v>80</v>
        <stp/>
        <stp>##V3_BDHV12</stp>
        <stp>RCOM IN Equity</stp>
        <stp>ARDR_FAIR_VAL_POST_RETIRE_ASSETS</stp>
        <stp>FY 2018</stp>
        <stp>FY 2018</stp>
        <stp>[FA1_ymffleas.xlsx]Income - As Reported!R87C12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7" s="11"/>
      </tp>
      <tp>
        <v>-12.8452</v>
        <stp/>
        <stp>##V3_BDHV12</stp>
        <stp>RCOM IN Equity</stp>
        <stp>EMPLOYEES_SEQUENTIAL_GROWTH</stp>
        <stp>FY 2012</stp>
        <stp>FY 2012</stp>
        <stp>[FA1_ymffleas.xlsx]Growth!R74C6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4" s="22"/>
      </tp>
      <tp>
        <v>-23.7408</v>
        <stp/>
        <stp>##V3_BDHV12</stp>
        <stp>RCOM IN Equity</stp>
        <stp>EMPLOYEES_SEQUENTIAL_GROWTH</stp>
        <stp>FY 2013</stp>
        <stp>FY 2013</stp>
        <stp>[FA1_ymffleas.xlsx]Growth!R74C7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4" s="22"/>
      </tp>
      <tp>
        <v>-1792.3</v>
        <stp/>
        <stp>##V3_BDHV12</stp>
        <stp>RCOM IN Equity</stp>
        <stp>T12M_DVDS_PAID</stp>
        <stp>FY 2009</stp>
        <stp>FY 2009</stp>
        <stp>[FA1_ymffleas.xlsx]Yield Analysis!R36C3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6" s="26"/>
      </tp>
      <tp>
        <v>-1190</v>
        <stp/>
        <stp>##V3_BDHV12</stp>
        <stp>RCOM IN Equity</stp>
        <stp>T12M_DVDS_PAID</stp>
        <stp>FY 2012</stp>
        <stp>FY 2012</stp>
        <stp>[FA1_ymffleas.xlsx]Yield Analysis!R36C6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6" s="26"/>
      </tp>
      <tp>
        <v>-600</v>
        <stp/>
        <stp>##V3_BDHV12</stp>
        <stp>RCOM IN Equity</stp>
        <stp>T12M_DVDS_PAID</stp>
        <stp>FY 2013</stp>
        <stp>FY 2013</stp>
        <stp>[FA1_ymffleas.xlsx]Yield Analysis!R36C7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6" s="26"/>
      </tp>
      <tp>
        <v>-1910.6</v>
        <stp/>
        <stp>##V3_BDHV12</stp>
        <stp>RCOM IN Equity</stp>
        <stp>T12M_DVDS_PAID</stp>
        <stp>FY 2010</stp>
        <stp>FY 2010</stp>
        <stp>[FA1_ymffleas.xlsx]Yield Analysis!R36C4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6" s="26"/>
      </tp>
      <tp>
        <v>-2020</v>
        <stp/>
        <stp>##V3_BDHV12</stp>
        <stp>RCOM IN Equity</stp>
        <stp>T12M_DVDS_PAID</stp>
        <stp>FY 2011</stp>
        <stp>FY 2011</stp>
        <stp>[FA1_ymffleas.xlsx]Yield Analysis!R36C5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6" s="26"/>
      </tp>
      <tp>
        <v>-610</v>
        <stp/>
        <stp>##V3_BDHV12</stp>
        <stp>RCOM IN Equity</stp>
        <stp>T12M_DVDS_PAID</stp>
        <stp>FY 2014</stp>
        <stp>FY 2014</stp>
        <stp>[FA1_ymffleas.xlsx]Yield Analysis!R36C8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6" s="26"/>
      </tp>
      <tp>
        <v>-10</v>
        <stp/>
        <stp>##V3_BDHV12</stp>
        <stp>RCOM IN Equity</stp>
        <stp>T12M_DVDS_PAID</stp>
        <stp>FY 2015</stp>
        <stp>FY 2015</stp>
        <stp>[FA1_ymffleas.xlsx]Yield Analysis!R36C9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6" s="26"/>
      </tp>
      <tp>
        <v>-484490</v>
        <stp/>
        <stp>##V3_BDHV12</stp>
        <stp>RCOM IN Equity</stp>
        <stp>ARD_PURCHASES_OF_INVESTMENTS</stp>
        <stp>FY 2011</stp>
        <stp>FY 2011</stp>
        <stp>[FA1_ymffleas.xlsx]Cash Flow - As Reported!R46C5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6" s="20"/>
      </tp>
      <tp>
        <v>-981706.3</v>
        <stp/>
        <stp>##V3_BDHV12</stp>
        <stp>RCOM IN Equity</stp>
        <stp>ARD_PURCHASES_OF_INVESTMENTS</stp>
        <stp>FY 2010</stp>
        <stp>FY 2010</stp>
        <stp>[FA1_ymffleas.xlsx]Cash Flow - As Reported!R46C4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6" s="20"/>
      </tp>
      <tp>
        <v>-128760</v>
        <stp/>
        <stp>##V3_BDHV12</stp>
        <stp>RCOM IN Equity</stp>
        <stp>ARD_PURCHASES_OF_INVESTMENTS</stp>
        <stp>FY 2013</stp>
        <stp>FY 2013</stp>
        <stp>[FA1_ymffleas.xlsx]Cash Flow - As Reported!R46C7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6" s="20"/>
      </tp>
      <tp>
        <v>-269410</v>
        <stp/>
        <stp>##V3_BDHV12</stp>
        <stp>RCOM IN Equity</stp>
        <stp>ARD_PURCHASES_OF_INVESTMENTS</stp>
        <stp>FY 2012</stp>
        <stp>FY 2012</stp>
        <stp>[FA1_ymffleas.xlsx]Cash Flow - As Reported!R46C6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6" s="20"/>
      </tp>
      <tp>
        <v>-1110406.1000000001</v>
        <stp/>
        <stp>##V3_BDHV12</stp>
        <stp>RCOM IN Equity</stp>
        <stp>ARD_PURCHASES_OF_INVESTMENTS</stp>
        <stp>FY 2009</stp>
        <stp>FY 2009</stp>
        <stp>[FA1_ymffleas.xlsx]Cash Flow - As Reported!R46C3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6" s="20"/>
      </tp>
      <tp>
        <v>-390530</v>
        <stp/>
        <stp>##V3_BDHV12</stp>
        <stp>RCOM IN Equity</stp>
        <stp>ARD_PURCHASES_OF_INVESTMENTS</stp>
        <stp>FY 2015</stp>
        <stp>FY 2015</stp>
        <stp>[FA1_ymffleas.xlsx]Cash Flow - As Reported!R46C9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6" s="20"/>
      </tp>
      <tp>
        <v>-115880</v>
        <stp/>
        <stp>##V3_BDHV12</stp>
        <stp>RCOM IN Equity</stp>
        <stp>ARD_PURCHASES_OF_INVESTMENTS</stp>
        <stp>FY 2014</stp>
        <stp>FY 2014</stp>
        <stp>[FA1_ymffleas.xlsx]Cash Flow - As Reported!R46C8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6" s="20"/>
      </tp>
      <tp>
        <v>-18.087900000000001</v>
        <stp/>
        <stp>##V3_BDHV12</stp>
        <stp>RCOM IN Equity</stp>
        <stp>OPER_INC_GROWTH</stp>
        <stp>FY 2016</stp>
        <stp>FY 2016</stp>
        <stp>[FA1_ymffleas.xlsx]Growth!R9C10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9" s="22"/>
      </tp>
      <tp>
        <v>0.21149999999999999</v>
        <stp/>
        <stp>##V3_BDHV12</stp>
        <stp>RCOM IN Equity</stp>
        <stp>ASSET_TURNOVER</stp>
        <stp>FY 2013</stp>
        <stp>FY 2013</stp>
        <stp>[FA1_ymffleas.xlsx]DuPont Analysis!R15C7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5" s="27"/>
      </tp>
      <tp>
        <v>368340</v>
        <stp/>
        <stp>##V3_BDHV12</stp>
        <stp>RCOM IN Equity</stp>
        <stp>ARD_ASSETS_HELD_FOR_SALE</stp>
        <stp>FY 2018</stp>
        <stp>FY 2018</stp>
        <stp>[FA1_ymffleas.xlsx]Bal Sheet - As Reported!R42C12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2" s="17"/>
      </tp>
      <tp t="s">
        <v>—</v>
        <stp/>
        <stp>##V3_BDHV12</stp>
        <stp>RCOM IN Equity</stp>
        <stp>ARD_ASSETS_HELD_FOR_SALE</stp>
        <stp>FY 2016</stp>
        <stp>FY 2016</stp>
        <stp>[FA1_ymffleas.xlsx]Bal Sheet - As Reported!R42C10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2" s="17"/>
      </tp>
      <tp t="s">
        <v>—</v>
        <stp/>
        <stp>##V3_BDHV12</stp>
        <stp>RCOM IN Equity</stp>
        <stp>ARD_ASSETS_HELD_FOR_SALE</stp>
        <stp>FY 2017</stp>
        <stp>FY 2017</stp>
        <stp>[FA1_ymffleas.xlsx]Bal Sheet - As Reported!R42C11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2" s="17"/>
      </tp>
      <tp>
        <v>528940.34380000003</v>
        <stp/>
        <stp>##V3_BDHV12</stp>
        <stp>RCOM IN Equity</stp>
        <stp>ENTERPRISE_VALUE</stp>
        <stp>FY 2018</stp>
        <stp>FY 2018</stp>
        <stp>[FA1_ymffleas.xlsx]Enterprise Value!R11C11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" s="5"/>
      </tp>
      <tp>
        <v>543517.92420000001</v>
        <stp/>
        <stp>##V3_BDHV12</stp>
        <stp>RCOM IN Equity</stp>
        <stp>ENTERPRISE_VALUE</stp>
        <stp>FY 2017</stp>
        <stp>FY 2017</stp>
        <stp>[FA1_ymffleas.xlsx]Enterprise Value!R11C10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" s="5"/>
      </tp>
      <tp t="s">
        <v>—</v>
        <stp/>
        <stp>##V3_BDHV12</stp>
        <stp>RCOM IN Equity</stp>
        <stp>GEO_GROW_OPER_INC</stp>
        <stp>FY 2009</stp>
        <stp>FY 2009</stp>
        <stp>[FA1_ymffleas.xlsx]Growth!R38C3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38" s="22"/>
      </tp>
      <tp>
        <v>1150</v>
        <stp/>
        <stp>##V3_BDHV12</stp>
        <stp>RCOM IN Equity</stp>
        <stp>CF_INTEREST_RECEIVED</stp>
        <stp>FY 2016</stp>
        <stp>FY 2016</stp>
        <stp>[FA1_ymffleas.xlsx]Cash Flow - Standardized!R60C9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0" s="19"/>
      </tp>
      <tp>
        <v>300</v>
        <stp/>
        <stp>##V3_BDHV12</stp>
        <stp>RCOM IN Equity</stp>
        <stp>CF_INTEREST_RECEIVED</stp>
        <stp>FY 2015</stp>
        <stp>FY 2015</stp>
        <stp>[FA1_ymffleas.xlsx]Cash Flow - Standardized!R60C8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0" s="19"/>
      </tp>
      <tp t="s">
        <v>—</v>
        <stp/>
        <stp>##V3_BDHV12</stp>
        <stp>RCOM IN Equity</stp>
        <stp>CF_INTEREST_RECEIVED</stp>
        <stp>FY 2010</stp>
        <stp>FY 2010</stp>
        <stp>[FA1_ymffleas.xlsx]Cash Flow - Standardized!R60C3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0" s="19"/>
      </tp>
      <tp>
        <v>400</v>
        <stp/>
        <stp>##V3_BDHV12</stp>
        <stp>RCOM IN Equity</stp>
        <stp>CF_INTEREST_RECEIVED</stp>
        <stp>FY 2012</stp>
        <stp>FY 2012</stp>
        <stp>[FA1_ymffleas.xlsx]Cash Flow - Standardized!R60C5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0" s="19"/>
      </tp>
      <tp t="s">
        <v>—</v>
        <stp/>
        <stp>##V3_BDHV12</stp>
        <stp>RCOM IN Equity</stp>
        <stp>CF_INTEREST_RECEIVED</stp>
        <stp>FY 2011</stp>
        <stp>FY 2011</stp>
        <stp>[FA1_ymffleas.xlsx]Cash Flow - Standardized!R60C4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0" s="19"/>
      </tp>
      <tp>
        <v>490</v>
        <stp/>
        <stp>##V3_BDHV12</stp>
        <stp>RCOM IN Equity</stp>
        <stp>CF_INTEREST_RECEIVED</stp>
        <stp>FY 2014</stp>
        <stp>FY 2014</stp>
        <stp>[FA1_ymffleas.xlsx]Cash Flow - Standardized!R60C7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0" s="19"/>
      </tp>
      <tp>
        <v>100</v>
        <stp/>
        <stp>##V3_BDHV12</stp>
        <stp>RCOM IN Equity</stp>
        <stp>CF_INTEREST_RECEIVED</stp>
        <stp>FY 2013</stp>
        <stp>FY 2013</stp>
        <stp>[FA1_ymffleas.xlsx]Cash Flow - Standardized!R60C6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0" s="19"/>
      </tp>
      <tp>
        <v>2850</v>
        <stp/>
        <stp>##V3_BDHV12</stp>
        <stp>RCOM IN Equity</stp>
        <stp>NONOP_INCOME_LOSS</stp>
        <stp>FY 2017</stp>
        <stp>FY 2017</stp>
        <stp>[FA1_ymffleas.xlsx]Income - GAAP!R37C10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7" s="10"/>
      </tp>
      <tp>
        <v>2460</v>
        <stp/>
        <stp>##V3_BDHV12</stp>
        <stp>RCOM IN Equity</stp>
        <stp>NONOP_INCOME_LOSS</stp>
        <stp>FY 2018</stp>
        <stp>FY 2018</stp>
        <stp>[FA1_ymffleas.xlsx]Income - GAAP!R37C11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7" s="10"/>
      </tp>
      <tp>
        <v>3.8613</v>
        <stp/>
        <stp>##V3_BDHV12</stp>
        <stp>RCOM IN Equity</stp>
        <stp>INC_BEF_XO_ITEMS_TO_NET_SALES</stp>
        <stp>FY 2013</stp>
        <stp>FY 2013</stp>
        <stp>[FA1_ymffleas.xlsx]Profitability!R17C7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7" s="21"/>
      </tp>
      <tp t="s">
        <v>—</v>
        <stp/>
        <stp>##V3_BDHV12</stp>
        <stp>RCOM IN Equity</stp>
        <stp>ARD_TOT_COMP_INC_INCL_MIN_INT</stp>
        <stp>FY 2009</stp>
        <stp>FY 2009</stp>
        <stp>[FA1_ymffleas.xlsx]Income - As Reported!R60C3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0" s="11"/>
      </tp>
      <tp t="s">
        <v>—</v>
        <stp/>
        <stp>##V3_BDHV12</stp>
        <stp>RCOM IN Equity</stp>
        <stp>ARD_TOT_COMP_INC_INCL_MIN_INT</stp>
        <stp>FY 2012</stp>
        <stp>FY 2012</stp>
        <stp>[FA1_ymffleas.xlsx]Income - As Reported!R60C6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0" s="11"/>
      </tp>
      <tp t="s">
        <v>—</v>
        <stp/>
        <stp>##V3_BDHV12</stp>
        <stp>RCOM IN Equity</stp>
        <stp>ARD_TOT_COMP_INC_INCL_MIN_INT</stp>
        <stp>FY 2013</stp>
        <stp>FY 2013</stp>
        <stp>[FA1_ymffleas.xlsx]Income - As Reported!R60C7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0" s="11"/>
      </tp>
      <tp t="s">
        <v>—</v>
        <stp/>
        <stp>##V3_BDHV12</stp>
        <stp>RCOM IN Equity</stp>
        <stp>ARD_TOT_COMP_INC_INCL_MIN_INT</stp>
        <stp>FY 2010</stp>
        <stp>FY 2010</stp>
        <stp>[FA1_ymffleas.xlsx]Income - As Reported!R60C4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0" s="11"/>
      </tp>
      <tp t="s">
        <v>—</v>
        <stp/>
        <stp>##V3_BDHV12</stp>
        <stp>RCOM IN Equity</stp>
        <stp>ARD_TOT_COMP_INC_INCL_MIN_INT</stp>
        <stp>FY 2011</stp>
        <stp>FY 2011</stp>
        <stp>[FA1_ymffleas.xlsx]Income - As Reported!R60C5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0" s="11"/>
      </tp>
      <tp t="s">
        <v>—</v>
        <stp/>
        <stp>##V3_BDHV12</stp>
        <stp>RCOM IN Equity</stp>
        <stp>ARD_TOT_COMP_INC_INCL_MIN_INT</stp>
        <stp>FY 2014</stp>
        <stp>FY 2014</stp>
        <stp>[FA1_ymffleas.xlsx]Income - As Reported!R60C8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0" s="11"/>
      </tp>
      <tp t="s">
        <v>—</v>
        <stp/>
        <stp>##V3_BDHV12</stp>
        <stp>RCOM IN Equity</stp>
        <stp>ARD_TOT_COMP_INC_INCL_MIN_INT</stp>
        <stp>FY 2015</stp>
        <stp>FY 2015</stp>
        <stp>[FA1_ymffleas.xlsx]Income - As Reported!R60C9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0" s="11"/>
      </tp>
      <tp>
        <v>303560</v>
        <stp/>
        <stp>##V3_BDHV12</stp>
        <stp>RCOM IN Equity</stp>
        <stp>ARDR_LT_DEBT</stp>
        <stp>FY 2015</stp>
        <stp>FY 2015</stp>
        <stp>[FA1_ymffleas.xlsx]Bal Sheet - As Reported!R91C9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1" s="17"/>
      </tp>
      <tp>
        <v>279130</v>
        <stp/>
        <stp>##V3_BDHV12</stp>
        <stp>RCOM IN Equity</stp>
        <stp>ARDR_LT_DEBT</stp>
        <stp>FY 2014</stp>
        <stp>FY 2014</stp>
        <stp>[FA1_ymffleas.xlsx]Bal Sheet - As Reported!R91C8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1" s="17"/>
      </tp>
      <tp t="s">
        <v>—</v>
        <stp/>
        <stp>##V3_BDHV12</stp>
        <stp>RCOM IN Equity</stp>
        <stp>ARDR_LT_DEBT</stp>
        <stp>FY 2009</stp>
        <stp>FY 2009</stp>
        <stp>[FA1_ymffleas.xlsx]Bal Sheet - As Reported!R91C3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1" s="17"/>
      </tp>
      <tp>
        <v>286780</v>
        <stp/>
        <stp>##V3_BDHV12</stp>
        <stp>RCOM IN Equity</stp>
        <stp>ARDR_LT_DEBT</stp>
        <stp>FY 2013</stp>
        <stp>FY 2013</stp>
        <stp>[FA1_ymffleas.xlsx]Bal Sheet - As Reported!R91C7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1" s="17"/>
      </tp>
      <tp>
        <v>296460</v>
        <stp/>
        <stp>##V3_BDHV12</stp>
        <stp>RCOM IN Equity</stp>
        <stp>ARDR_LT_DEBT</stp>
        <stp>FY 2012</stp>
        <stp>FY 2012</stp>
        <stp>[FA1_ymffleas.xlsx]Bal Sheet - As Reported!R91C6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1" s="17"/>
      </tp>
      <tp>
        <v>193130</v>
        <stp/>
        <stp>##V3_BDHV12</stp>
        <stp>RCOM IN Equity</stp>
        <stp>ARDR_LT_DEBT</stp>
        <stp>FY 2011</stp>
        <stp>FY 2011</stp>
        <stp>[FA1_ymffleas.xlsx]Bal Sheet - As Reported!R91C5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1" s="17"/>
      </tp>
      <tp t="s">
        <v>—</v>
        <stp/>
        <stp>##V3_BDHV12</stp>
        <stp>RCOM IN Equity</stp>
        <stp>ARDR_LT_DEBT</stp>
        <stp>FY 2010</stp>
        <stp>FY 2010</stp>
        <stp>[FA1_ymffleas.xlsx]Bal Sheet - As Reported!R91C4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1" s="17"/>
      </tp>
      <tp t="s">
        <v>—</v>
        <stp/>
        <stp>##V3_BDHV12</stp>
        <stp>RCOM IN Equity</stp>
        <stp>ARD_ST_LOANS</stp>
        <stp>FY 2014</stp>
        <stp>FY 2014</stp>
        <stp>[FA1_ymffleas.xlsx]Bal Sheet - As Reported!R46C8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6" s="17"/>
      </tp>
      <tp t="s">
        <v>—</v>
        <stp/>
        <stp>##V3_BDHV12</stp>
        <stp>RCOM IN Equity</stp>
        <stp>ARD_ST_LOANS</stp>
        <stp>FY 2015</stp>
        <stp>FY 2015</stp>
        <stp>[FA1_ymffleas.xlsx]Bal Sheet - As Reported!R46C9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6" s="17"/>
      </tp>
      <tp t="s">
        <v>—</v>
        <stp/>
        <stp>##V3_BDHV12</stp>
        <stp>RCOM IN Equity</stp>
        <stp>ARD_ST_LOANS</stp>
        <stp>FY 2010</stp>
        <stp>FY 2010</stp>
        <stp>[FA1_ymffleas.xlsx]Bal Sheet - As Reported!R46C4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6" s="17"/>
      </tp>
      <tp t="s">
        <v>—</v>
        <stp/>
        <stp>##V3_BDHV12</stp>
        <stp>RCOM IN Equity</stp>
        <stp>ARD_ST_LOANS</stp>
        <stp>FY 2011</stp>
        <stp>FY 2011</stp>
        <stp>[FA1_ymffleas.xlsx]Bal Sheet - As Reported!R46C5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6" s="17"/>
      </tp>
      <tp t="s">
        <v>—</v>
        <stp/>
        <stp>##V3_BDHV12</stp>
        <stp>RCOM IN Equity</stp>
        <stp>ARD_ST_LOANS</stp>
        <stp>FY 2012</stp>
        <stp>FY 2012</stp>
        <stp>[FA1_ymffleas.xlsx]Bal Sheet - As Reported!R46C6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6" s="17"/>
      </tp>
      <tp t="s">
        <v>—</v>
        <stp/>
        <stp>##V3_BDHV12</stp>
        <stp>RCOM IN Equity</stp>
        <stp>ARD_ST_LOANS</stp>
        <stp>FY 2013</stp>
        <stp>FY 2013</stp>
        <stp>[FA1_ymffleas.xlsx]Bal Sheet - As Reported!R46C7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6" s="17"/>
      </tp>
      <tp t="s">
        <v>—</v>
        <stp/>
        <stp>##V3_BDHV12</stp>
        <stp>RCOM IN Equity</stp>
        <stp>ARD_ST_LOANS</stp>
        <stp>FY 2009</stp>
        <stp>FY 2009</stp>
        <stp>[FA1_ymffleas.xlsx]Bal Sheet - As Reported!R46C3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6" s="17"/>
      </tp>
      <tp>
        <v>4.0117000000000003</v>
        <stp/>
        <stp>##V3_BDHV12</stp>
        <stp>RCOM IN Equity</stp>
        <stp>RETURN_ON_INV_CAPITAL</stp>
        <stp>FY 2010</stp>
        <stp>FY 2010</stp>
        <stp>[FA1_ymffleas.xlsx]Profitability!R10C4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0" s="21"/>
      </tp>
      <tp>
        <v>70</v>
        <stp/>
        <stp>##V3_BDHV12</stp>
        <stp>RCOM IN Equity</stp>
        <stp>ARDR_RENTAL_EXP_YR1</stp>
        <stp>FY 2018</stp>
        <stp>FY 2018</stp>
        <stp>[FA1_ymffleas.xlsx]Bal Sheet - As Reported!R106C12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6" s="17"/>
      </tp>
      <tp>
        <v>260</v>
        <stp/>
        <stp>##V3_BDHV12</stp>
        <stp>RCOM IN Equity</stp>
        <stp>ARDR_RENTAL_EXP_YR1</stp>
        <stp>FY 2016</stp>
        <stp>FY 2016</stp>
        <stp>[FA1_ymffleas.xlsx]Bal Sheet - As Reported!R106C10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6" s="17"/>
      </tp>
      <tp>
        <v>150</v>
        <stp/>
        <stp>##V3_BDHV12</stp>
        <stp>RCOM IN Equity</stp>
        <stp>ARDR_RENTAL_EXP_YR1</stp>
        <stp>FY 2017</stp>
        <stp>FY 2017</stp>
        <stp>[FA1_ymffleas.xlsx]Bal Sheet - As Reported!R106C11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6" s="17"/>
      </tp>
      <tp>
        <v>2582.8681000000001</v>
        <stp/>
        <stp>##V3_BDHV12</stp>
        <stp>RCOM IN Equity</stp>
        <stp>IS_AVG_NUM_SH_FOR_EPS</stp>
        <stp>FY 2018</stp>
        <stp>FY 2018</stp>
        <stp>[FA1_ymffleas.xlsx]Income - GAAP!R87C11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7" s="10"/>
      </tp>
      <tp>
        <v>2467.7006999999999</v>
        <stp/>
        <stp>##V3_BDHV12</stp>
        <stp>RCOM IN Equity</stp>
        <stp>IS_AVG_NUM_SH_FOR_EPS</stp>
        <stp>FY 2017</stp>
        <stp>FY 2017</stp>
        <stp>[FA1_ymffleas.xlsx]Income - GAAP!R87C10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7" s="10"/>
      </tp>
      <tp>
        <v>65540</v>
        <stp/>
        <stp>##V3_BDHV12</stp>
        <stp>RCOM IN Equity</stp>
        <stp>SALES_REV_TURN</stp>
        <stp>FY 2017</stp>
        <stp>FY 2017</stp>
        <stp>[FA1_ymffleas.xlsx]Income - GAAP!R6C10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6" s="10"/>
      </tp>
      <tp>
        <v>45930</v>
        <stp/>
        <stp>##V3_BDHV12</stp>
        <stp>RCOM IN Equity</stp>
        <stp>SALES_REV_TURN</stp>
        <stp>FY 2018</stp>
        <stp>FY 2018</stp>
        <stp>[FA1_ymffleas.xlsx]Income - GAAP!R6C11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6" s="10"/>
      </tp>
      <tp>
        <v>0.96419999999999995</v>
        <stp/>
        <stp>##V3_BDHV12</stp>
        <stp>RCOM IN Equity</stp>
        <stp>NORM_NET_INC_TO_NET_INC_FO_COM</stp>
        <stp>FY 2009</stp>
        <stp>FY 2009</stp>
        <stp>[FA1_ymffleas.xlsx]DuPont Analysis!R9C3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9" s="27"/>
      </tp>
      <tp>
        <v>0</v>
        <stp/>
        <stp>##V3_BDHV12</stp>
        <stp>RCOM IN Equity</stp>
        <stp>IS_DISCONTINUED_OPERATIONS</stp>
        <stp>FY 2010</stp>
        <stp>FY 2010</stp>
        <stp>[FA1_ymffleas.xlsx]Reconciliation!R35C3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5" s="12"/>
      </tp>
      <tp>
        <v>0</v>
        <stp/>
        <stp>##V3_BDHV12</stp>
        <stp>RCOM IN Equity</stp>
        <stp>IS_DISCONTINUED_OPERATIONS</stp>
        <stp>FY 2012</stp>
        <stp>FY 2012</stp>
        <stp>[FA1_ymffleas.xlsx]Reconciliation!R35C5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5" s="12"/>
      </tp>
      <tp>
        <v>0</v>
        <stp/>
        <stp>##V3_BDHV12</stp>
        <stp>RCOM IN Equity</stp>
        <stp>IS_DISCONTINUED_OPERATIONS</stp>
        <stp>FY 2011</stp>
        <stp>FY 2011</stp>
        <stp>[FA1_ymffleas.xlsx]Reconciliation!R35C4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5" s="12"/>
      </tp>
      <tp>
        <v>0</v>
        <stp/>
        <stp>##V3_BDHV12</stp>
        <stp>RCOM IN Equity</stp>
        <stp>IS_DISCONTINUED_OPERATIONS</stp>
        <stp>FY 2014</stp>
        <stp>FY 2014</stp>
        <stp>[FA1_ymffleas.xlsx]Reconciliation!R35C7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5" s="12"/>
      </tp>
      <tp>
        <v>0</v>
        <stp/>
        <stp>##V3_BDHV12</stp>
        <stp>RCOM IN Equity</stp>
        <stp>IS_DISCONTINUED_OPERATIONS</stp>
        <stp>FY 2013</stp>
        <stp>FY 2013</stp>
        <stp>[FA1_ymffleas.xlsx]Reconciliation!R35C6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5" s="12"/>
      </tp>
      <tp>
        <v>0</v>
        <stp/>
        <stp>##V3_BDHV12</stp>
        <stp>RCOM IN Equity</stp>
        <stp>IS_DISCONTINUED_OPERATIONS</stp>
        <stp>FY 2016</stp>
        <stp>FY 2016</stp>
        <stp>[FA1_ymffleas.xlsx]Reconciliation!R35C9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5" s="12"/>
      </tp>
      <tp>
        <v>0</v>
        <stp/>
        <stp>##V3_BDHV12</stp>
        <stp>RCOM IN Equity</stp>
        <stp>IS_DISCONTINUED_OPERATIONS</stp>
        <stp>FY 2015</stp>
        <stp>FY 2015</stp>
        <stp>[FA1_ymffleas.xlsx]Reconciliation!R35C8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5" s="12"/>
      </tp>
      <tp>
        <v>33.7879</v>
        <stp/>
        <stp>##V3_BDHV12</stp>
        <stp>RCOM IN Equity</stp>
        <stp>EBITDA_MARGIN</stp>
        <stp>FY 2010</stp>
        <stp>FY 2010</stp>
        <stp>[FA1_ymffleas.xlsx]Addl - Overview!R15C3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5" s="29"/>
      </tp>
      <tp>
        <v>5000</v>
        <stp/>
        <stp>##V3_BDHV12</stp>
        <stp>RCOM IN Equity</stp>
        <stp>ARDR_SHARES_AUTHORIZED</stp>
        <stp>FY 2014</stp>
        <stp>FY 2014</stp>
        <stp>[FA1_ymffleas.xlsx]Bal Sheet - As Reported!R155C8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5" s="17"/>
      </tp>
      <tp>
        <v>5000</v>
        <stp/>
        <stp>##V3_BDHV12</stp>
        <stp>RCOM IN Equity</stp>
        <stp>ARDR_SHARES_AUTHORIZED</stp>
        <stp>FY 2015</stp>
        <stp>FY 2015</stp>
        <stp>[FA1_ymffleas.xlsx]Bal Sheet - As Reported!R155C9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5" s="17"/>
      </tp>
      <tp>
        <v>3000</v>
        <stp/>
        <stp>##V3_BDHV12</stp>
        <stp>RCOM IN Equity</stp>
        <stp>ARDR_SHARES_AUTHORIZED</stp>
        <stp>FY 2012</stp>
        <stp>FY 2012</stp>
        <stp>[FA1_ymffleas.xlsx]Bal Sheet - As Reported!R155C6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5" s="17"/>
      </tp>
      <tp>
        <v>5000</v>
        <stp/>
        <stp>##V3_BDHV12</stp>
        <stp>RCOM IN Equity</stp>
        <stp>ARDR_SHARES_AUTHORIZED</stp>
        <stp>FY 2013</stp>
        <stp>FY 2013</stp>
        <stp>[FA1_ymffleas.xlsx]Bal Sheet - As Reported!R155C7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5" s="17"/>
      </tp>
      <tp>
        <v>3000</v>
        <stp/>
        <stp>##V3_BDHV12</stp>
        <stp>RCOM IN Equity</stp>
        <stp>ARDR_SHARES_AUTHORIZED</stp>
        <stp>FY 2010</stp>
        <stp>FY 2010</stp>
        <stp>[FA1_ymffleas.xlsx]Bal Sheet - As Reported!R155C4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5" s="17"/>
      </tp>
      <tp>
        <v>3000</v>
        <stp/>
        <stp>##V3_BDHV12</stp>
        <stp>RCOM IN Equity</stp>
        <stp>ARDR_SHARES_AUTHORIZED</stp>
        <stp>FY 2011</stp>
        <stp>FY 2011</stp>
        <stp>[FA1_ymffleas.xlsx]Bal Sheet - As Reported!R155C5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5" s="17"/>
      </tp>
      <tp>
        <v>3000</v>
        <stp/>
        <stp>##V3_BDHV12</stp>
        <stp>RCOM IN Equity</stp>
        <stp>ARDR_SHARES_AUTHORIZED</stp>
        <stp>FY 2009</stp>
        <stp>FY 2009</stp>
        <stp>[FA1_ymffleas.xlsx]Bal Sheet - As Reported!R155C3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5" s="17"/>
      </tp>
      <tp>
        <v>70770</v>
        <stp/>
        <stp>##V3_BDHV12</stp>
        <stp>RCOM IN Equity</stp>
        <stp>OTHER_CURRENT_LIABS_SUB_DETAILED</stp>
        <stp>FY 2016</stp>
        <stp>FY 2016</stp>
        <stp>[FA1_ymffleas.xlsx]Bal Sheet - Standardized!R93C10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3" s="16"/>
      </tp>
      <tp>
        <v>67640</v>
        <stp/>
        <stp>##V3_BDHV12</stp>
        <stp>RCOM IN Equity</stp>
        <stp>OTHER_CURRENT_LIABS_SUB_DETAILED</stp>
        <stp>FY 2017</stp>
        <stp>FY 2017</stp>
        <stp>[FA1_ymffleas.xlsx]Bal Sheet - Standardized!R93C11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3" s="16"/>
      </tp>
      <tp>
        <v>128840</v>
        <stp/>
        <stp>##V3_BDHV12</stp>
        <stp>RCOM IN Equity</stp>
        <stp>OTHER_CURRENT_LIABS_SUB_DETAILED</stp>
        <stp>FY 2018</stp>
        <stp>FY 2018</stp>
        <stp>[FA1_ymffleas.xlsx]Bal Sheet - Standardized!R93C12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3" s="16"/>
      </tp>
      <tp>
        <v>-10.504200000000001</v>
        <stp/>
        <stp>##V3_BDHV12</stp>
        <stp>RCOM IN Equity</stp>
        <stp>EARN_FOR_COM_GROWTH</stp>
        <stp>FY 2016</stp>
        <stp>FY 2016</stp>
        <stp>[FA1_ymffleas.xlsx]Growth!R10C10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0" s="22"/>
      </tp>
      <tp>
        <v>0</v>
        <stp/>
        <stp>##V3_BDHV12</stp>
        <stp>RCOM IN Equity</stp>
        <stp>CF_EFFECT_FOREIGN_EXCHANGES</stp>
        <stp>FY 2018</stp>
        <stp>FY 2018</stp>
        <stp>[FA1_ymffleas.xlsx]Cash Flow - Standardized!R50C11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0" s="19"/>
      </tp>
      <tp>
        <v>0</v>
        <stp/>
        <stp>##V3_BDHV12</stp>
        <stp>RCOM IN Equity</stp>
        <stp>CF_EFFECT_FOREIGN_EXCHANGES</stp>
        <stp>FY 2017</stp>
        <stp>FY 2017</stp>
        <stp>[FA1_ymffleas.xlsx]Cash Flow - Standardized!R50C10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0" s="19"/>
      </tp>
      <tp>
        <v>18.888000000000002</v>
        <stp/>
        <stp>##V3_BDHV12</stp>
        <stp>RCOM IN Equity</stp>
        <stp>EBITDA_PER_SH</stp>
        <stp>FY 2017</stp>
        <stp>FY 2017</stp>
        <stp>[FA1_ymffleas.xlsx]Per Share!R12C10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2" s="7"/>
      </tp>
      <tp>
        <v>-10360</v>
        <stp/>
        <stp>##V3_BDHV12</stp>
        <stp>RCOM IN Equity</stp>
        <stp>NET_CHANGE_TOTAL_EQUITY</stp>
        <stp>FY 2014</stp>
        <stp>FY 2014</stp>
        <stp>[FA1_ymffleas.xlsx]Sources of Capital!R14C8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" s="32"/>
      </tp>
      <tp>
        <v>49090</v>
        <stp/>
        <stp>##V3_BDHV12</stp>
        <stp>RCOM IN Equity</stp>
        <stp>NET_CHANGE_TOTAL_EQUITY</stp>
        <stp>FY 2015</stp>
        <stp>FY 2015</stp>
        <stp>[FA1_ymffleas.xlsx]Sources of Capital!R14C9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" s="32"/>
      </tp>
      <tp>
        <v>114779.8</v>
        <stp/>
        <stp>##V3_BDHV12</stp>
        <stp>RCOM IN Equity</stp>
        <stp>NET_CHANGE_TOTAL_EQUITY</stp>
        <stp>FY 2009</stp>
        <stp>FY 2009</stp>
        <stp>[FA1_ymffleas.xlsx]Sources of Capital!R14C3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" s="32"/>
      </tp>
      <tp>
        <v>10837.9</v>
        <stp/>
        <stp>##V3_BDHV12</stp>
        <stp>RCOM IN Equity</stp>
        <stp>NET_CHANGE_TOTAL_EQUITY</stp>
        <stp>FY 2010</stp>
        <stp>FY 2010</stp>
        <stp>[FA1_ymffleas.xlsx]Sources of Capital!R14C4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" s="32"/>
      </tp>
      <tp>
        <v>-26960.3</v>
        <stp/>
        <stp>##V3_BDHV12</stp>
        <stp>RCOM IN Equity</stp>
        <stp>NET_CHANGE_TOTAL_EQUITY</stp>
        <stp>FY 2011</stp>
        <stp>FY 2011</stp>
        <stp>[FA1_ymffleas.xlsx]Sources of Capital!R14C5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" s="32"/>
      </tp>
      <tp>
        <v>-41670</v>
        <stp/>
        <stp>##V3_BDHV12</stp>
        <stp>RCOM IN Equity</stp>
        <stp>NET_CHANGE_TOTAL_EQUITY</stp>
        <stp>FY 2012</stp>
        <stp>FY 2012</stp>
        <stp>[FA1_ymffleas.xlsx]Sources of Capital!R14C6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" s="32"/>
      </tp>
      <tp>
        <v>-25810</v>
        <stp/>
        <stp>##V3_BDHV12</stp>
        <stp>RCOM IN Equity</stp>
        <stp>NET_CHANGE_TOTAL_EQUITY</stp>
        <stp>FY 2013</stp>
        <stp>FY 2013</stp>
        <stp>[FA1_ymffleas.xlsx]Sources of Capital!R14C7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" s="32"/>
      </tp>
      <tp>
        <v>2980</v>
        <stp/>
        <stp>##V3_BDHV12</stp>
        <stp>RCOM IN Equity</stp>
        <stp>IS_OTHER_OPER_INC</stp>
        <stp>FY 2014</stp>
        <stp>FY 2014</stp>
        <stp>[FA1_ymffleas.xlsx]Income - GAAP!R17C7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17" s="10"/>
      </tp>
      <tp t="s">
        <v>—</v>
        <stp/>
        <stp>##V3_BDHV12</stp>
        <stp>RCOM IN Equity</stp>
        <stp>ARDR_AUTH_COMMON_STOCKS_NUMBER</stp>
        <stp>FY 2010</stp>
        <stp>FY 2010</stp>
        <stp>[FA1_ymffleas.xlsx]Bal Sheet - As Reported!R159C4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59" s="17"/>
      </tp>
      <tp>
        <v>12670</v>
        <stp/>
        <stp>##V3_BDHV12</stp>
        <stp>RCOM IN Equity</stp>
        <stp>IS_OTHER_OPER_INC</stp>
        <stp>FY 2013</stp>
        <stp>FY 2013</stp>
        <stp>[FA1_ymffleas.xlsx]Income - GAAP!R17C6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17" s="10"/>
      </tp>
      <tp>
        <v>3900</v>
        <stp/>
        <stp>##V3_BDHV12</stp>
        <stp>RCOM IN Equity</stp>
        <stp>ARDR_WAGES_AND_SALARIES</stp>
        <stp>FY 2018</stp>
        <stp>FY 2018</stp>
        <stp>[FA1_ymffleas.xlsx]Income - As Reported!R107C12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7" s="11"/>
      </tp>
      <tp>
        <v>9720</v>
        <stp/>
        <stp>##V3_BDHV12</stp>
        <stp>RCOM IN Equity</stp>
        <stp>ARDR_WAGES_AND_SALARIES</stp>
        <stp>FY 2016</stp>
        <stp>FY 2016</stp>
        <stp>[FA1_ymffleas.xlsx]Income - As Reported!R107C10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7" s="11"/>
      </tp>
      <tp t="s">
        <v>—</v>
        <stp/>
        <stp>##V3_BDHV12</stp>
        <stp>RCOM IN Equity</stp>
        <stp>ARDR_AUTH_COMMON_STOCKS_NUMBER</stp>
        <stp>FY 2011</stp>
        <stp>FY 2011</stp>
        <stp>[FA1_ymffleas.xlsx]Bal Sheet - As Reported!R159C5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59" s="17"/>
      </tp>
      <tp>
        <v>3760</v>
        <stp/>
        <stp>##V3_BDHV12</stp>
        <stp>RCOM IN Equity</stp>
        <stp>ARDR_WAGES_AND_SALARIES</stp>
        <stp>FY 2017</stp>
        <stp>FY 2017</stp>
        <stp>[FA1_ymffleas.xlsx]Income - As Reported!R107C11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7" s="11"/>
      </tp>
      <tp>
        <v>9610</v>
        <stp/>
        <stp>##V3_BDHV12</stp>
        <stp>RCOM IN Equity</stp>
        <stp>IS_OTHER_OPER_INC</stp>
        <stp>FY 2012</stp>
        <stp>FY 2012</stp>
        <stp>[FA1_ymffleas.xlsx]Income - GAAP!R17C5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17" s="10"/>
      </tp>
      <tp t="s">
        <v>—</v>
        <stp/>
        <stp>##V3_BDHV12</stp>
        <stp>RCOM IN Equity</stp>
        <stp>ARDR_AUTH_COMMON_STOCKS_NUMBER</stp>
        <stp>FY 2012</stp>
        <stp>FY 2012</stp>
        <stp>[FA1_ymffleas.xlsx]Bal Sheet - As Reported!R159C6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59" s="17"/>
      </tp>
      <tp>
        <v>3420</v>
        <stp/>
        <stp>##V3_BDHV12</stp>
        <stp>RCOM IN Equity</stp>
        <stp>IS_OTHER_OPER_INC</stp>
        <stp>FY 2011</stp>
        <stp>FY 2011</stp>
        <stp>[FA1_ymffleas.xlsx]Income - GAAP!R17C4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17" s="10"/>
      </tp>
      <tp t="s">
        <v>—</v>
        <stp/>
        <stp>##V3_BDHV12</stp>
        <stp>RCOM IN Equity</stp>
        <stp>ARDR_AUTH_COMMON_STOCKS_NUMBER</stp>
        <stp>FY 2013</stp>
        <stp>FY 2013</stp>
        <stp>[FA1_ymffleas.xlsx]Bal Sheet - As Reported!R159C7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59" s="17"/>
      </tp>
      <tp>
        <v>8113.3</v>
        <stp/>
        <stp>##V3_BDHV12</stp>
        <stp>RCOM IN Equity</stp>
        <stp>IS_OTHER_OPER_INC</stp>
        <stp>FY 2010</stp>
        <stp>FY 2010</stp>
        <stp>[FA1_ymffleas.xlsx]Income - GAAP!R17C3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17" s="10"/>
      </tp>
      <tp>
        <v>-9.0883000000000003</v>
        <stp/>
        <stp>##V3_BDHV12</stp>
        <stp>RCOM IN Equity</stp>
        <stp>TOTAL_EQUITY_1_YEAR_GROWTH</stp>
        <stp>FY 2017</stp>
        <stp>FY 2017</stp>
        <stp>[FA1_ymffleas.xlsx]Growth!R26C11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6" s="22"/>
      </tp>
      <tp>
        <v>-17.1218</v>
        <stp/>
        <stp>##V3_BDHV12</stp>
        <stp>RCOM IN Equity</stp>
        <stp>TOTAL_EQUITY_1_YEAR_GROWTH</stp>
        <stp>FY 2016</stp>
        <stp>FY 2016</stp>
        <stp>[FA1_ymffleas.xlsx]Growth!R26C10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6" s="22"/>
      </tp>
      <tp t="s">
        <v>—</v>
        <stp/>
        <stp>##V3_BDHV12</stp>
        <stp>RCOM IN Equity</stp>
        <stp>ARDR_AUTH_COMMON_STOCKS_NUMBER</stp>
        <stp>FY 2009</stp>
        <stp>FY 2009</stp>
        <stp>[FA1_ymffleas.xlsx]Bal Sheet - As Reported!R159C3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59" s="17"/>
      </tp>
      <tp>
        <v>-89.247100000000003</v>
        <stp/>
        <stp>##V3_BDHV12</stp>
        <stp>RCOM IN Equity</stp>
        <stp>TOTAL_EQUITY_1_YEAR_GROWTH</stp>
        <stp>FY 2018</stp>
        <stp>FY 2018</stp>
        <stp>[FA1_ymffleas.xlsx]Growth!R26C12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6" s="22"/>
      </tp>
      <tp>
        <v>1160</v>
        <stp/>
        <stp>##V3_BDHV12</stp>
        <stp>RCOM IN Equity</stp>
        <stp>ARD_INCOME_BEFORE_INCOME_TAXES</stp>
        <stp>FY 2014</stp>
        <stp>FY 2014</stp>
        <stp>[FA1_ymffleas.xlsx]Income - As Reported!R27C8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7" s="11"/>
      </tp>
      <tp>
        <v>9460</v>
        <stp/>
        <stp>##V3_BDHV12</stp>
        <stp>RCOM IN Equity</stp>
        <stp>ARD_INCOME_BEFORE_INCOME_TAXES</stp>
        <stp>FY 2015</stp>
        <stp>FY 2015</stp>
        <stp>[FA1_ymffleas.xlsx]Income - As Reported!R27C9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7" s="11"/>
      </tp>
      <tp>
        <v>52228.3</v>
        <stp/>
        <stp>##V3_BDHV12</stp>
        <stp>RCOM IN Equity</stp>
        <stp>ARD_INCOME_BEFORE_INCOME_TAXES</stp>
        <stp>FY 2010</stp>
        <stp>FY 2010</stp>
        <stp>[FA1_ymffleas.xlsx]Income - As Reported!R27C4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7" s="11"/>
      </tp>
      <tp>
        <v>15170</v>
        <stp/>
        <stp>##V3_BDHV12</stp>
        <stp>RCOM IN Equity</stp>
        <stp>ARD_INCOME_BEFORE_INCOME_TAXES</stp>
        <stp>FY 2011</stp>
        <stp>FY 2011</stp>
        <stp>[FA1_ymffleas.xlsx]Income - As Reported!R27C5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7" s="11"/>
      </tp>
      <tp>
        <v>8820</v>
        <stp/>
        <stp>##V3_BDHV12</stp>
        <stp>RCOM IN Equity</stp>
        <stp>ARD_INCOME_BEFORE_INCOME_TAXES</stp>
        <stp>FY 2012</stp>
        <stp>FY 2012</stp>
        <stp>[FA1_ymffleas.xlsx]Income - As Reported!R27C6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7" s="11"/>
      </tp>
      <tp>
        <v>8150</v>
        <stp/>
        <stp>##V3_BDHV12</stp>
        <stp>RCOM IN Equity</stp>
        <stp>ARD_INCOME_BEFORE_INCOME_TAXES</stp>
        <stp>FY 2013</stp>
        <stp>FY 2013</stp>
        <stp>[FA1_ymffleas.xlsx]Income - As Reported!R27C7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7" s="11"/>
      </tp>
      <tp>
        <v>61967.199999999997</v>
        <stp/>
        <stp>##V3_BDHV12</stp>
        <stp>RCOM IN Equity</stp>
        <stp>ARD_INCOME_BEFORE_INCOME_TAXES</stp>
        <stp>FY 2009</stp>
        <stp>FY 2009</stp>
        <stp>[FA1_ymffleas.xlsx]Income - As Reported!R27C3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7" s="11"/>
      </tp>
      <tp t="s">
        <v>—</v>
        <stp/>
        <stp>##V3_BDHV12</stp>
        <stp>RCOM IN Equity</stp>
        <stp>ARDR_AUTH_COMMON_STOCKS_NUMBER</stp>
        <stp>FY 2014</stp>
        <stp>FY 2014</stp>
        <stp>[FA1_ymffleas.xlsx]Bal Sheet - As Reported!R159C8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59" s="17"/>
      </tp>
      <tp t="s">
        <v>—</v>
        <stp/>
        <stp>##V3_BDHV12</stp>
        <stp>RCOM IN Equity</stp>
        <stp>ARDR_AUTH_COMMON_STOCKS_NUMBER</stp>
        <stp>FY 2015</stp>
        <stp>FY 2015</stp>
        <stp>[FA1_ymffleas.xlsx]Bal Sheet - As Reported!R159C9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59" s="17"/>
      </tp>
      <tp>
        <v>2110</v>
        <stp/>
        <stp>##V3_BDHV12</stp>
        <stp>RCOM IN Equity</stp>
        <stp>IS_OTHER_OPER_INC</stp>
        <stp>FY 2016</stp>
        <stp>FY 2016</stp>
        <stp>[FA1_ymffleas.xlsx]Income - GAAP!R17C9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17" s="10"/>
      </tp>
      <tp>
        <v>3470</v>
        <stp/>
        <stp>##V3_BDHV12</stp>
        <stp>RCOM IN Equity</stp>
        <stp>IS_OTHER_OPER_INC</stp>
        <stp>FY 2015</stp>
        <stp>FY 2015</stp>
        <stp>[FA1_ymffleas.xlsx]Income - GAAP!R17C8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17" s="10"/>
      </tp>
      <tp>
        <v>8850</v>
        <stp/>
        <stp>##V3_BDHV12</stp>
        <stp>RCOM IN Equity</stp>
        <stp>ARD_PROV_LIAB_CHARGES_AND_OTHER</stp>
        <stp>FY 2013</stp>
        <stp>FY 2013</stp>
        <stp>[FA1_ymffleas.xlsx]Bal Sheet - As Reported!R24C7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4" s="17"/>
      </tp>
      <tp>
        <v>8240</v>
        <stp/>
        <stp>##V3_BDHV12</stp>
        <stp>RCOM IN Equity</stp>
        <stp>ARD_PROV_LIAB_CHARGES_AND_OTHER</stp>
        <stp>FY 2012</stp>
        <stp>FY 2012</stp>
        <stp>[FA1_ymffleas.xlsx]Bal Sheet - As Reported!R24C6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4" s="17"/>
      </tp>
      <tp>
        <v>2470</v>
        <stp/>
        <stp>##V3_BDHV12</stp>
        <stp>RCOM IN Equity</stp>
        <stp>ARD_PROV_LIAB_CHARGES_AND_OTHER</stp>
        <stp>FY 2011</stp>
        <stp>FY 2011</stp>
        <stp>[FA1_ymffleas.xlsx]Bal Sheet - As Reported!R24C5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4" s="17"/>
      </tp>
      <tp t="s">
        <v>—</v>
        <stp/>
        <stp>##V3_BDHV12</stp>
        <stp>RCOM IN Equity</stp>
        <stp>ARD_PROV_LIAB_CHARGES_AND_OTHER</stp>
        <stp>FY 2010</stp>
        <stp>FY 2010</stp>
        <stp>[FA1_ymffleas.xlsx]Bal Sheet - As Reported!R24C4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4" s="17"/>
      </tp>
      <tp t="s">
        <v>—</v>
        <stp/>
        <stp>##V3_BDHV12</stp>
        <stp>RCOM IN Equity</stp>
        <stp>ARD_PROV_LIAB_CHARGES_AND_OTHER</stp>
        <stp>FY 2009</stp>
        <stp>FY 2009</stp>
        <stp>[FA1_ymffleas.xlsx]Bal Sheet - As Reported!R24C3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4" s="17"/>
      </tp>
      <tp>
        <v>2920</v>
        <stp/>
        <stp>##V3_BDHV12</stp>
        <stp>RCOM IN Equity</stp>
        <stp>ARD_PROV_LIAB_CHARGES_AND_OTHER</stp>
        <stp>FY 2015</stp>
        <stp>FY 2015</stp>
        <stp>[FA1_ymffleas.xlsx]Bal Sheet - As Reported!R24C9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4" s="17"/>
      </tp>
      <tp>
        <v>10310</v>
        <stp/>
        <stp>##V3_BDHV12</stp>
        <stp>RCOM IN Equity</stp>
        <stp>ARD_PROV_LIAB_CHARGES_AND_OTHER</stp>
        <stp>FY 2014</stp>
        <stp>FY 2014</stp>
        <stp>[FA1_ymffleas.xlsx]Bal Sheet - As Reported!R24C8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4" s="17"/>
      </tp>
      <tp t="s">
        <v>—</v>
        <stp/>
        <stp>##V3_BDHV12</stp>
        <stp>RCOM IN Equity</stp>
        <stp>GEO_GROW_OPER_INC</stp>
        <stp>FY 2010</stp>
        <stp>FY 2010</stp>
        <stp>[FA1_ymffleas.xlsx]Growth!R38C4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38" s="22"/>
      </tp>
      <tp>
        <v>0</v>
        <stp/>
        <stp>##V3_BDHV12</stp>
        <stp>RCOM IN Equity</stp>
        <stp>ARDR_DVD_PER_SH</stp>
        <stp>FY 2016</stp>
        <stp>FY 2016</stp>
        <stp>[FA1_ymffleas.xlsx]Income - As Reported!R78C10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8" s="11"/>
      </tp>
      <tp t="s">
        <v>—</v>
        <stp/>
        <stp>##V3_BDHV12</stp>
        <stp>RCOM IN Equity</stp>
        <stp>BS_PERCENT_OF_FOREIGN_OWNERSHIP</stp>
        <stp>FY 2017</stp>
        <stp>FY 2017</stp>
        <stp>[FA1_ymffleas.xlsx]Bal Sheet - Standardized!R163C11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3" s="16"/>
      </tp>
      <tp>
        <v>-13.077999999999999</v>
        <stp/>
        <stp>##V3_BDHV12</stp>
        <stp>RCOM IN Equity</stp>
        <stp>IS_STK_BASED_COMP_AFT_TAX</stp>
        <stp>FY 2015</stp>
        <stp>FY 2015</stp>
        <stp>[FA1_ymffleas.xlsx]SBC &amp; Amort!R16C9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" s="13"/>
      </tp>
      <tp>
        <v>-6.601</v>
        <stp/>
        <stp>##V3_BDHV12</stp>
        <stp>RCOM IN Equity</stp>
        <stp>IS_STK_BASED_COMP_AFT_TAX</stp>
        <stp>FY 2014</stp>
        <stp>FY 2014</stp>
        <stp>[FA1_ymffleas.xlsx]SBC &amp; Amort!R16C8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" s="13"/>
      </tp>
      <tp>
        <v>-47.292000000000002</v>
        <stp/>
        <stp>##V3_BDHV12</stp>
        <stp>RCOM IN Equity</stp>
        <stp>IS_STK_BASED_COMP_AFT_TAX</stp>
        <stp>FY 2011</stp>
        <stp>FY 2011</stp>
        <stp>[FA1_ymffleas.xlsx]SBC &amp; Amort!R16C5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" s="13"/>
      </tp>
      <tp>
        <v>-43.896700000000003</v>
        <stp/>
        <stp>##V3_BDHV12</stp>
        <stp>RCOM IN Equity</stp>
        <stp>IS_STK_BASED_COMP_AFT_TAX</stp>
        <stp>FY 2010</stp>
        <stp>FY 2010</stp>
        <stp>[FA1_ymffleas.xlsx]SBC &amp; Amort!R16C4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" s="13"/>
      </tp>
      <tp>
        <v>0</v>
        <stp/>
        <stp>##V3_BDHV12</stp>
        <stp>RCOM IN Equity</stp>
        <stp>IS_STK_BASED_COMP_AFT_TAX</stp>
        <stp>FY 2013</stp>
        <stp>FY 2013</stp>
        <stp>[FA1_ymffleas.xlsx]SBC &amp; Amort!R16C7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" s="13"/>
      </tp>
      <tp>
        <v>-33.774999999999999</v>
        <stp/>
        <stp>##V3_BDHV12</stp>
        <stp>RCOM IN Equity</stp>
        <stp>IS_STK_BASED_COMP_AFT_TAX</stp>
        <stp>FY 2012</stp>
        <stp>FY 2012</stp>
        <stp>[FA1_ymffleas.xlsx]SBC &amp; Amort!R16C6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" s="13"/>
      </tp>
      <tp>
        <v>49.3095</v>
        <stp/>
        <stp>##V3_BDHV12</stp>
        <stp>RCOM IN Equity</stp>
        <stp>IS_STK_BASED_COMP_AFT_TAX</stp>
        <stp>FY 2009</stp>
        <stp>FY 2009</stp>
        <stp>[FA1_ymffleas.xlsx]SBC &amp; Amort!R16C3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" s="13"/>
      </tp>
      <tp t="s">
        <v>—</v>
        <stp/>
        <stp>##V3_BDHV12</stp>
        <stp>RCOM IN Equity</stp>
        <stp>ARDR_DVD_PER_SH</stp>
        <stp>FY 2017</stp>
        <stp>FY 2017</stp>
        <stp>[FA1_ymffleas.xlsx]Income - As Reported!R78C11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8" s="11"/>
      </tp>
      <tp t="s">
        <v>—</v>
        <stp/>
        <stp>##V3_BDHV12</stp>
        <stp>RCOM IN Equity</stp>
        <stp>BS_PERCENT_OF_FOREIGN_OWNERSHIP</stp>
        <stp>FY 2016</stp>
        <stp>FY 2016</stp>
        <stp>[FA1_ymffleas.xlsx]Bal Sheet - Standardized!R163C10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3" s="16"/>
      </tp>
      <tp t="s">
        <v>—</v>
        <stp/>
        <stp>##V3_BDHV12</stp>
        <stp>RCOM IN Equity</stp>
        <stp>ARDR_DVD_PER_SH</stp>
        <stp>FY 2018</stp>
        <stp>FY 2018</stp>
        <stp>[FA1_ymffleas.xlsx]Income - As Reported!R78C12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8" s="11"/>
      </tp>
      <tp t="s">
        <v>—</v>
        <stp/>
        <stp>##V3_BDHV12</stp>
        <stp>RCOM IN Equity</stp>
        <stp>BS_PERCENT_OF_FOREIGN_OWNERSHIP</stp>
        <stp>FY 2018</stp>
        <stp>FY 2018</stp>
        <stp>[FA1_ymffleas.xlsx]Bal Sheet - Standardized!R163C12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3" s="16"/>
      </tp>
      <tp>
        <v>5.2842000000000002</v>
        <stp/>
        <stp>##V3_BDHV12</stp>
        <stp>RCOM IN Equity</stp>
        <stp>INC_BEF_XO_ITEMS_TO_NET_SALES</stp>
        <stp>FY 2012</stp>
        <stp>FY 2012</stp>
        <stp>[FA1_ymffleas.xlsx]Profitability!R17C6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7" s="21"/>
      </tp>
      <tp t="s">
        <v>—</v>
        <stp/>
        <stp>##V3_BDHV12</stp>
        <stp>RCOM IN Equity</stp>
        <stp>CF_ACT_CASH_PAID_FOR_INT_DEBT</stp>
        <stp>FY 2018</stp>
        <stp>FY 2018</stp>
        <stp>[FA1_ymffleas.xlsx]Credit!R24C12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4" s="23"/>
      </tp>
      <tp t="s">
        <v>—</v>
        <stp/>
        <stp>##V3_BDHV12</stp>
        <stp>RCOM IN Equity</stp>
        <stp>CF_ACT_CASH_PAID_FOR_INT_DEBT</stp>
        <stp>FY 2016</stp>
        <stp>FY 2016</stp>
        <stp>[FA1_ymffleas.xlsx]Credit!R24C10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4" s="23"/>
      </tp>
      <tp t="s">
        <v>—</v>
        <stp/>
        <stp>##V3_BDHV12</stp>
        <stp>RCOM IN Equity</stp>
        <stp>CF_ACT_CASH_PAID_FOR_INT_DEBT</stp>
        <stp>FY 2017</stp>
        <stp>FY 2017</stp>
        <stp>[FA1_ymffleas.xlsx]Credit!R24C11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4" s="23"/>
      </tp>
      <tp>
        <v>2.577</v>
        <stp/>
        <stp>##V3_BDHV12</stp>
        <stp>RCOM IN Equity</stp>
        <stp>RETURN_ON_INV_CAPITAL</stp>
        <stp>FY 2011</stp>
        <stp>FY 2011</stp>
        <stp>[FA1_ymffleas.xlsx]Profitability!R10C5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0" s="21"/>
      </tp>
      <tp t="s">
        <v>—</v>
        <stp/>
        <stp>##V3_BDHV12</stp>
        <stp>RCOM IN Equity</stp>
        <stp>ARDR_PROVISION_FOR_TAXES_LT</stp>
        <stp>FY 2018</stp>
        <stp>FY 2018</stp>
        <stp>[FA1_ymffleas.xlsx]Bal Sheet - As Reported!R180C12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0" s="17"/>
      </tp>
      <tp t="s">
        <v>—</v>
        <stp/>
        <stp>##V3_BDHV12</stp>
        <stp>RCOM IN Equity</stp>
        <stp>ARDR_PROVISION_FOR_TAXES_LT</stp>
        <stp>FY 2016</stp>
        <stp>FY 2016</stp>
        <stp>[FA1_ymffleas.xlsx]Bal Sheet - As Reported!R180C10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0" s="17"/>
      </tp>
      <tp t="s">
        <v>—</v>
        <stp/>
        <stp>##V3_BDHV12</stp>
        <stp>RCOM IN Equity</stp>
        <stp>ARDR_PROVISION_FOR_TAXES_LT</stp>
        <stp>FY 2017</stp>
        <stp>FY 2017</stp>
        <stp>[FA1_ymffleas.xlsx]Bal Sheet - As Reported!R180C11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0" s="17"/>
      </tp>
      <tp t="s">
        <v>—</v>
        <stp/>
        <stp>##V3_BDHV12</stp>
        <stp>RCOM IN Equity</stp>
        <stp>ARDR_FIXED_DEPOSITS</stp>
        <stp>FY 2016</stp>
        <stp>FY 2016</stp>
        <stp>[FA1_ymffleas.xlsx]Bal Sheet - As Reported!R156C10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6" s="17"/>
      </tp>
      <tp t="s">
        <v>—</v>
        <stp/>
        <stp>##V3_BDHV12</stp>
        <stp>RCOM IN Equity</stp>
        <stp>ARDR_FIXED_DEPOSITS</stp>
        <stp>FY 2017</stp>
        <stp>FY 2017</stp>
        <stp>[FA1_ymffleas.xlsx]Bal Sheet - As Reported!R156C11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6" s="17"/>
      </tp>
      <tp t="s">
        <v>—</v>
        <stp/>
        <stp>##V3_BDHV12</stp>
        <stp>RCOM IN Equity</stp>
        <stp>ARDR_FIXED_DEPOSITS</stp>
        <stp>FY 2018</stp>
        <stp>FY 2018</stp>
        <stp>[FA1_ymffleas.xlsx]Bal Sheet - As Reported!R156C12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6" s="17"/>
      </tp>
      <tp t="s">
        <v>—</v>
        <stp/>
        <stp>##V3_BDHV12</stp>
        <stp>RCOM IN Equity</stp>
        <stp>ARD_TAX_ON_DISCONTINUED_OPS</stp>
        <stp>FY 2009</stp>
        <stp>FY 2009</stp>
        <stp>[FA1_ymffleas.xlsx]Income - As Reported!R63C3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3" s="11"/>
      </tp>
      <tp t="s">
        <v>—</v>
        <stp/>
        <stp>##V3_BDHV12</stp>
        <stp>RCOM IN Equity</stp>
        <stp>ARD_TAX_ON_DISCONTINUED_OPS</stp>
        <stp>FY 2010</stp>
        <stp>FY 2010</stp>
        <stp>[FA1_ymffleas.xlsx]Income - As Reported!R63C4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3" s="11"/>
      </tp>
      <tp t="s">
        <v>—</v>
        <stp/>
        <stp>##V3_BDHV12</stp>
        <stp>RCOM IN Equity</stp>
        <stp>ARD_TAX_ON_DISCONTINUED_OPS</stp>
        <stp>FY 2011</stp>
        <stp>FY 2011</stp>
        <stp>[FA1_ymffleas.xlsx]Income - As Reported!R63C5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3" s="11"/>
      </tp>
      <tp t="s">
        <v>—</v>
        <stp/>
        <stp>##V3_BDHV12</stp>
        <stp>RCOM IN Equity</stp>
        <stp>ARD_TAX_ON_DISCONTINUED_OPS</stp>
        <stp>FY 2012</stp>
        <stp>FY 2012</stp>
        <stp>[FA1_ymffleas.xlsx]Income - As Reported!R63C6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3" s="11"/>
      </tp>
      <tp t="s">
        <v>—</v>
        <stp/>
        <stp>##V3_BDHV12</stp>
        <stp>RCOM IN Equity</stp>
        <stp>ARD_TAX_ON_DISCONTINUED_OPS</stp>
        <stp>FY 2013</stp>
        <stp>FY 2013</stp>
        <stp>[FA1_ymffleas.xlsx]Income - As Reported!R63C7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3" s="11"/>
      </tp>
      <tp t="s">
        <v>—</v>
        <stp/>
        <stp>##V3_BDHV12</stp>
        <stp>RCOM IN Equity</stp>
        <stp>ARD_TAX_ON_DISCONTINUED_OPS</stp>
        <stp>FY 2014</stp>
        <stp>FY 2014</stp>
        <stp>[FA1_ymffleas.xlsx]Income - As Reported!R63C8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3" s="11"/>
      </tp>
      <tp t="s">
        <v>—</v>
        <stp/>
        <stp>##V3_BDHV12</stp>
        <stp>RCOM IN Equity</stp>
        <stp>ARD_TAX_ON_DISCONTINUED_OPS</stp>
        <stp>FY 2015</stp>
        <stp>FY 2015</stp>
        <stp>[FA1_ymffleas.xlsx]Income - As Reported!R63C9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3" s="11"/>
      </tp>
      <tp>
        <v>5</v>
        <stp/>
        <stp>##V3_BDHV12</stp>
        <stp>RCOM IN Equity</stp>
        <stp>BOARD_SIZE</stp>
        <stp>FY 2014</stp>
        <stp>FY 2014</stp>
        <stp>[FA1_ymffleas.xlsx]ESG - Overview!R22C8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2" s="34"/>
      </tp>
      <tp>
        <v>6</v>
        <stp/>
        <stp>##V3_BDHV12</stp>
        <stp>RCOM IN Equity</stp>
        <stp>BOARD_SIZE</stp>
        <stp>FY 2015</stp>
        <stp>FY 2015</stp>
        <stp>[FA1_ymffleas.xlsx]ESG - Overview!R22C9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2" s="34"/>
      </tp>
      <tp>
        <v>5</v>
        <stp/>
        <stp>##V3_BDHV12</stp>
        <stp>RCOM IN Equity</stp>
        <stp>BOARD_SIZE</stp>
        <stp>FY 2012</stp>
        <stp>FY 2012</stp>
        <stp>[FA1_ymffleas.xlsx]ESG - Overview!R22C6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2" s="34"/>
      </tp>
      <tp>
        <v>5</v>
        <stp/>
        <stp>##V3_BDHV12</stp>
        <stp>RCOM IN Equity</stp>
        <stp>BOARD_SIZE</stp>
        <stp>FY 2013</stp>
        <stp>FY 2013</stp>
        <stp>[FA1_ymffleas.xlsx]ESG - Overview!R22C7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2" s="34"/>
      </tp>
      <tp>
        <v>5</v>
        <stp/>
        <stp>##V3_BDHV12</stp>
        <stp>RCOM IN Equity</stp>
        <stp>BOARD_SIZE</stp>
        <stp>FY 2010</stp>
        <stp>FY 2010</stp>
        <stp>[FA1_ymffleas.xlsx]ESG - Overview!R22C4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2" s="34"/>
      </tp>
      <tp>
        <v>5</v>
        <stp/>
        <stp>##V3_BDHV12</stp>
        <stp>RCOM IN Equity</stp>
        <stp>BOARD_SIZE</stp>
        <stp>FY 2011</stp>
        <stp>FY 2011</stp>
        <stp>[FA1_ymffleas.xlsx]ESG - Overview!R22C5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2" s="34"/>
      </tp>
      <tp>
        <v>5</v>
        <stp/>
        <stp>##V3_BDHV12</stp>
        <stp>RCOM IN Equity</stp>
        <stp>BOARD_SIZE</stp>
        <stp>FY 2009</stp>
        <stp>FY 2009</stp>
        <stp>[FA1_ymffleas.xlsx]ESG - Overview!R22C3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2" s="34"/>
      </tp>
      <tp t="s">
        <v>—</v>
        <stp/>
        <stp>##V3_BDHV12</stp>
        <stp>RCOM IN Equity</stp>
        <stp>EARN_FOR_COM_GROWTH</stp>
        <stp>FY 2017</stp>
        <stp>FY 2017</stp>
        <stp>[FA1_ymffleas.xlsx]Growth!R10C11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0" s="22"/>
      </tp>
      <tp>
        <v>0</v>
        <stp/>
        <stp>##V3_BDHV12</stp>
        <stp>RCOM IN Equity</stp>
        <stp>ARD_PROPOSED_FINAL_DIVIDEND</stp>
        <stp>FY 2015</stp>
        <stp>FY 2015</stp>
        <stp>[FA1_ymffleas.xlsx]Income - As Reported!R48C9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8" s="11"/>
      </tp>
      <tp>
        <v>0</v>
        <stp/>
        <stp>##V3_BDHV12</stp>
        <stp>RCOM IN Equity</stp>
        <stp>ARD_PROPOSED_FINAL_DIVIDEND</stp>
        <stp>FY 2014</stp>
        <stp>FY 2014</stp>
        <stp>[FA1_ymffleas.xlsx]Income - As Reported!R48C8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8" s="11"/>
      </tp>
      <tp t="s">
        <v>—</v>
        <stp/>
        <stp>##V3_BDHV12</stp>
        <stp>RCOM IN Equity</stp>
        <stp>ARD_PROPOSED_FINAL_DIVIDEND</stp>
        <stp>FY 2009</stp>
        <stp>FY 2009</stp>
        <stp>[FA1_ymffleas.xlsx]Income - As Reported!R48C3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8" s="11"/>
      </tp>
      <tp>
        <v>520</v>
        <stp/>
        <stp>##V3_BDHV12</stp>
        <stp>RCOM IN Equity</stp>
        <stp>ARD_PROPOSED_FINAL_DIVIDEND</stp>
        <stp>FY 2013</stp>
        <stp>FY 2013</stp>
        <stp>[FA1_ymffleas.xlsx]Income - As Reported!R48C7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8" s="11"/>
      </tp>
      <tp>
        <v>520</v>
        <stp/>
        <stp>##V3_BDHV12</stp>
        <stp>RCOM IN Equity</stp>
        <stp>ARD_PROPOSED_FINAL_DIVIDEND</stp>
        <stp>FY 2012</stp>
        <stp>FY 2012</stp>
        <stp>[FA1_ymffleas.xlsx]Income - As Reported!R48C6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8" s="11"/>
      </tp>
      <tp>
        <v>1030</v>
        <stp/>
        <stp>##V3_BDHV12</stp>
        <stp>RCOM IN Equity</stp>
        <stp>ARD_PROPOSED_FINAL_DIVIDEND</stp>
        <stp>FY 2011</stp>
        <stp>FY 2011</stp>
        <stp>[FA1_ymffleas.xlsx]Income - As Reported!R48C5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8" s="11"/>
      </tp>
      <tp>
        <v>1754.4</v>
        <stp/>
        <stp>##V3_BDHV12</stp>
        <stp>RCOM IN Equity</stp>
        <stp>ARD_PROPOSED_FINAL_DIVIDEND</stp>
        <stp>FY 2010</stp>
        <stp>FY 2010</stp>
        <stp>[FA1_ymffleas.xlsx]Income - As Reported!R48C4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8" s="11"/>
      </tp>
      <tp>
        <v>0</v>
        <stp/>
        <stp>##V3_BDHV12</stp>
        <stp>RCOM IN Equity</stp>
        <stp>ARD_ISSUANCE_OF_COMMON_STOCK</stp>
        <stp>FY 2014</stp>
        <stp>FY 2014</stp>
        <stp>[FA1_ymffleas.xlsx]Cash Flow - As Reported!R57C8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7" s="20"/>
      </tp>
      <tp>
        <v>60710</v>
        <stp/>
        <stp>##V3_BDHV12</stp>
        <stp>RCOM IN Equity</stp>
        <stp>ARD_ISSUANCE_OF_COMMON_STOCK</stp>
        <stp>FY 2015</stp>
        <stp>FY 2015</stp>
        <stp>[FA1_ymffleas.xlsx]Cash Flow - As Reported!R57C9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7" s="20"/>
      </tp>
      <tp t="s">
        <v>—</v>
        <stp/>
        <stp>##V3_BDHV12</stp>
        <stp>RCOM IN Equity</stp>
        <stp>ARD_ISSUANCE_OF_COMMON_STOCK</stp>
        <stp>FY 2012</stp>
        <stp>FY 2012</stp>
        <stp>[FA1_ymffleas.xlsx]Cash Flow - As Reported!R57C6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7" s="20"/>
      </tp>
      <tp t="s">
        <v>—</v>
        <stp/>
        <stp>##V3_BDHV12</stp>
        <stp>RCOM IN Equity</stp>
        <stp>ARD_ISSUANCE_OF_COMMON_STOCK</stp>
        <stp>FY 2013</stp>
        <stp>FY 2013</stp>
        <stp>[FA1_ymffleas.xlsx]Cash Flow - As Reported!R57C7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7" s="20"/>
      </tp>
      <tp t="s">
        <v>—</v>
        <stp/>
        <stp>##V3_BDHV12</stp>
        <stp>RCOM IN Equity</stp>
        <stp>ARD_ISSUANCE_OF_COMMON_STOCK</stp>
        <stp>FY 2010</stp>
        <stp>FY 2010</stp>
        <stp>[FA1_ymffleas.xlsx]Cash Flow - As Reported!R57C4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7" s="20"/>
      </tp>
      <tp t="s">
        <v>—</v>
        <stp/>
        <stp>##V3_BDHV12</stp>
        <stp>RCOM IN Equity</stp>
        <stp>ARD_ISSUANCE_OF_COMMON_STOCK</stp>
        <stp>FY 2011</stp>
        <stp>FY 2011</stp>
        <stp>[FA1_ymffleas.xlsx]Cash Flow - As Reported!R57C5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7" s="20"/>
      </tp>
      <tp t="s">
        <v>—</v>
        <stp/>
        <stp>##V3_BDHV12</stp>
        <stp>RCOM IN Equity</stp>
        <stp>ARD_ISSUANCE_OF_COMMON_STOCK</stp>
        <stp>FY 2009</stp>
        <stp>FY 2009</stp>
        <stp>[FA1_ymffleas.xlsx]Cash Flow - As Reported!R57C3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7" s="20"/>
      </tp>
      <tp>
        <v>12.040900000000001</v>
        <stp/>
        <stp>##V3_BDHV12</stp>
        <stp>RCOM IN Equity</stp>
        <stp>EBITDA_PER_SH</stp>
        <stp>FY 2018</stp>
        <stp>FY 2018</stp>
        <stp>[FA1_ymffleas.xlsx]Per Share!R12C11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2" s="7"/>
      </tp>
      <tp t="s">
        <v>—</v>
        <stp/>
        <stp>##V3_BDHV12</stp>
        <stp>RCOM IN Equity</stp>
        <stp>ARD_DISCONTINUED_OPS_OPERATING</stp>
        <stp>FY 2014</stp>
        <stp>FY 2014</stp>
        <stp>[FA1_ymffleas.xlsx]Cash Flow - As Reported!R10C8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" s="20"/>
      </tp>
      <tp t="s">
        <v>—</v>
        <stp/>
        <stp>##V3_BDHV12</stp>
        <stp>RCOM IN Equity</stp>
        <stp>ARD_DISCONTINUED_OPS_OPERATING</stp>
        <stp>FY 2015</stp>
        <stp>FY 2015</stp>
        <stp>[FA1_ymffleas.xlsx]Cash Flow - As Reported!R10C9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" s="20"/>
      </tp>
      <tp t="s">
        <v>—</v>
        <stp/>
        <stp>##V3_BDHV12</stp>
        <stp>RCOM IN Equity</stp>
        <stp>ARD_DISCONTINUED_OPS_OPERATING</stp>
        <stp>FY 2012</stp>
        <stp>FY 2012</stp>
        <stp>[FA1_ymffleas.xlsx]Cash Flow - As Reported!R10C6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" s="20"/>
      </tp>
      <tp t="s">
        <v>—</v>
        <stp/>
        <stp>##V3_BDHV12</stp>
        <stp>RCOM IN Equity</stp>
        <stp>ARD_DISCONTINUED_OPS_OPERATING</stp>
        <stp>FY 2013</stp>
        <stp>FY 2013</stp>
        <stp>[FA1_ymffleas.xlsx]Cash Flow - As Reported!R10C7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" s="20"/>
      </tp>
      <tp t="s">
        <v>—</v>
        <stp/>
        <stp>##V3_BDHV12</stp>
        <stp>RCOM IN Equity</stp>
        <stp>ARD_DISCONTINUED_OPS_OPERATING</stp>
        <stp>FY 2010</stp>
        <stp>FY 2010</stp>
        <stp>[FA1_ymffleas.xlsx]Cash Flow - As Reported!R10C4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" s="20"/>
      </tp>
      <tp t="s">
        <v>—</v>
        <stp/>
        <stp>##V3_BDHV12</stp>
        <stp>RCOM IN Equity</stp>
        <stp>ARD_DISCONTINUED_OPS_OPERATING</stp>
        <stp>FY 2011</stp>
        <stp>FY 2011</stp>
        <stp>[FA1_ymffleas.xlsx]Cash Flow - As Reported!R10C5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" s="20"/>
      </tp>
      <tp t="s">
        <v>—</v>
        <stp/>
        <stp>##V3_BDHV12</stp>
        <stp>RCOM IN Equity</stp>
        <stp>ARD_DISCONTINUED_OPS_OPERATING</stp>
        <stp>FY 2009</stp>
        <stp>FY 2009</stp>
        <stp>[FA1_ymffleas.xlsx]Cash Flow - As Reported!R10C3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" s="20"/>
      </tp>
      <tp t="s">
        <v>—</v>
        <stp/>
        <stp>##V3_BDHV12</stp>
        <stp>RCOM IN Equity</stp>
        <stp>ARD_INTERIM_DIVIDEND_PAID</stp>
        <stp>FY 2018</stp>
        <stp>FY 2018</stp>
        <stp>[FA1_ymffleas.xlsx]Income - As Reported!R47C12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7" s="11"/>
      </tp>
      <tp t="s">
        <v>—</v>
        <stp/>
        <stp>##V3_BDHV12</stp>
        <stp>RCOM IN Equity</stp>
        <stp>ARD_INTERIM_DIVIDEND_PAID</stp>
        <stp>FY 2016</stp>
        <stp>FY 2016</stp>
        <stp>[FA1_ymffleas.xlsx]Income - As Reported!R47C10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7" s="11"/>
      </tp>
      <tp t="s">
        <v>—</v>
        <stp/>
        <stp>##V3_BDHV12</stp>
        <stp>RCOM IN Equity</stp>
        <stp>ARD_INTERIM_DIVIDEND_PAID</stp>
        <stp>FY 2017</stp>
        <stp>FY 2017</stp>
        <stp>[FA1_ymffleas.xlsx]Income - As Reported!R47C11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7" s="11"/>
      </tp>
      <tp t="s">
        <v>—</v>
        <stp/>
        <stp>##V3_BDHV12</stp>
        <stp>RCOM IN Equity</stp>
        <stp>ARD_TOT_SHARE_EQY_EXCL_MINORITY</stp>
        <stp>FY 2014</stp>
        <stp>FY 2014</stp>
        <stp>[FA1_ymffleas.xlsx]Bal Sheet - As Reported!R12C8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" s="17"/>
      </tp>
      <tp t="s">
        <v>—</v>
        <stp/>
        <stp>##V3_BDHV12</stp>
        <stp>RCOM IN Equity</stp>
        <stp>ARD_TOT_SHARE_EQY_EXCL_MINORITY</stp>
        <stp>FY 2015</stp>
        <stp>FY 2015</stp>
        <stp>[FA1_ymffleas.xlsx]Bal Sheet - As Reported!R12C9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" s="17"/>
      </tp>
      <tp t="s">
        <v>—</v>
        <stp/>
        <stp>##V3_BDHV12</stp>
        <stp>RCOM IN Equity</stp>
        <stp>ARD_TOT_SHARE_EQY_EXCL_MINORITY</stp>
        <stp>FY 2010</stp>
        <stp>FY 2010</stp>
        <stp>[FA1_ymffleas.xlsx]Bal Sheet - As Reported!R12C4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" s="17"/>
      </tp>
      <tp t="s">
        <v>—</v>
        <stp/>
        <stp>##V3_BDHV12</stp>
        <stp>RCOM IN Equity</stp>
        <stp>ARD_TOT_SHARE_EQY_EXCL_MINORITY</stp>
        <stp>FY 2011</stp>
        <stp>FY 2011</stp>
        <stp>[FA1_ymffleas.xlsx]Bal Sheet - As Reported!R12C5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" s="17"/>
      </tp>
      <tp t="s">
        <v>—</v>
        <stp/>
        <stp>##V3_BDHV12</stp>
        <stp>RCOM IN Equity</stp>
        <stp>ARD_TOT_SHARE_EQY_EXCL_MINORITY</stp>
        <stp>FY 2012</stp>
        <stp>FY 2012</stp>
        <stp>[FA1_ymffleas.xlsx]Bal Sheet - As Reported!R12C6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" s="17"/>
      </tp>
      <tp t="s">
        <v>—</v>
        <stp/>
        <stp>##V3_BDHV12</stp>
        <stp>RCOM IN Equity</stp>
        <stp>ARD_TOT_SHARE_EQY_EXCL_MINORITY</stp>
        <stp>FY 2013</stp>
        <stp>FY 2013</stp>
        <stp>[FA1_ymffleas.xlsx]Bal Sheet - As Reported!R12C7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" s="17"/>
      </tp>
      <tp t="s">
        <v>—</v>
        <stp/>
        <stp>##V3_BDHV12</stp>
        <stp>RCOM IN Equity</stp>
        <stp>ARD_TOT_SHARE_EQY_EXCL_MINORITY</stp>
        <stp>FY 2009</stp>
        <stp>FY 2009</stp>
        <stp>[FA1_ymffleas.xlsx]Bal Sheet - As Reported!R12C3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" s="17"/>
      </tp>
      <tp t="s">
        <v>—</v>
        <stp/>
        <stp>##V3_BDHV12</stp>
        <stp>RCOM IN Equity</stp>
        <stp>GEO_GROW_OPER_INC</stp>
        <stp>FY 2011</stp>
        <stp>FY 2011</stp>
        <stp>[FA1_ymffleas.xlsx]Growth!R38C5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38" s="22"/>
      </tp>
      <tp>
        <v>215000</v>
        <stp/>
        <stp>##V3_BDHV12</stp>
        <stp>RCOM IN Equity</stp>
        <stp>IS_COMP_SALES</stp>
        <stp>FY 2016</stp>
        <stp>FY 2016</stp>
        <stp>[FA1_ymffleas.xlsx]Earnings!R8C10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4"/>
      </tp>
      <tp>
        <v>194930</v>
        <stp/>
        <stp>##V3_BDHV12</stp>
        <stp>RCOM IN Equity</stp>
        <stp>IS_COMP_SALES</stp>
        <stp>FY 2017</stp>
        <stp>FY 2017</stp>
        <stp>[FA1_ymffleas.xlsx]Earnings!R8C11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4"/>
      </tp>
      <tp t="s">
        <v>—</v>
        <stp/>
        <stp>##V3_BDHV12</stp>
        <stp>RCOM IN Equity</stp>
        <stp>IS_COMP_SALES</stp>
        <stp>FY 2018</stp>
        <stp>FY 2018</stp>
        <stp>[FA1_ymffleas.xlsx]Earnings!R8C12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" s="4"/>
      </tp>
      <tp t="s">
        <v>—</v>
        <stp/>
        <stp>##V3_BDHV12</stp>
        <stp>RCOM IN Equity</stp>
        <stp>BS_OTHER_INV</stp>
        <stp>FY 2014</stp>
        <stp>FY 2014</stp>
        <stp>[FA1_ymffleas.xlsx]Working Capital!R20C8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" s="25"/>
      </tp>
      <tp>
        <v>2450</v>
        <stp/>
        <stp>##V3_BDHV12</stp>
        <stp>RCOM IN Equity</stp>
        <stp>BS_OTHER_INV</stp>
        <stp>FY 2015</stp>
        <stp>FY 2015</stp>
        <stp>[FA1_ymffleas.xlsx]Working Capital!R20C9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" s="25"/>
      </tp>
      <tp t="s">
        <v>—</v>
        <stp/>
        <stp>##V3_BDHV12</stp>
        <stp>RCOM IN Equity</stp>
        <stp>BS_OTHER_INV</stp>
        <stp>FY 2010</stp>
        <stp>FY 2010</stp>
        <stp>[FA1_ymffleas.xlsx]Working Capital!R20C4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" s="25"/>
      </tp>
      <tp t="s">
        <v>—</v>
        <stp/>
        <stp>##V3_BDHV12</stp>
        <stp>RCOM IN Equity</stp>
        <stp>BS_OTHER_INV</stp>
        <stp>FY 2011</stp>
        <stp>FY 2011</stp>
        <stp>[FA1_ymffleas.xlsx]Working Capital!R20C5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" s="25"/>
      </tp>
      <tp t="s">
        <v>—</v>
        <stp/>
        <stp>##V3_BDHV12</stp>
        <stp>RCOM IN Equity</stp>
        <stp>BS_OTHER_INV</stp>
        <stp>FY 2012</stp>
        <stp>FY 2012</stp>
        <stp>[FA1_ymffleas.xlsx]Working Capital!R20C6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" s="25"/>
      </tp>
      <tp t="s">
        <v>—</v>
        <stp/>
        <stp>##V3_BDHV12</stp>
        <stp>RCOM IN Equity</stp>
        <stp>BS_OTHER_INV</stp>
        <stp>FY 2013</stp>
        <stp>FY 2013</stp>
        <stp>[FA1_ymffleas.xlsx]Working Capital!R20C7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" s="25"/>
      </tp>
      <tp t="s">
        <v>—</v>
        <stp/>
        <stp>##V3_BDHV12</stp>
        <stp>RCOM IN Equity</stp>
        <stp>BS_OTHER_INV</stp>
        <stp>FY 2009</stp>
        <stp>FY 2009</stp>
        <stp>[FA1_ymffleas.xlsx]Working Capital!R20C3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" s="25"/>
      </tp>
      <tp t="s">
        <v>—</v>
        <stp/>
        <stp>##V3_BDHV12</stp>
        <stp>RCOM IN Equity</stp>
        <stp>ARDR_RESTRICTED_CASH_ST</stp>
        <stp>FY 2011</stp>
        <stp>FY 2011</stp>
        <stp>[FA1_ymffleas.xlsx]Bal Sheet - As Reported!R64C5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4" s="17"/>
      </tp>
      <tp t="s">
        <v>—</v>
        <stp/>
        <stp>##V3_BDHV12</stp>
        <stp>RCOM IN Equity</stp>
        <stp>ARDR_RESTRICTED_CASH_ST</stp>
        <stp>FY 2010</stp>
        <stp>FY 2010</stp>
        <stp>[FA1_ymffleas.xlsx]Bal Sheet - As Reported!R64C4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4" s="17"/>
      </tp>
      <tp t="s">
        <v>—</v>
        <stp/>
        <stp>##V3_BDHV12</stp>
        <stp>RCOM IN Equity</stp>
        <stp>ARDR_RESTRICTED_CASH_ST</stp>
        <stp>FY 2013</stp>
        <stp>FY 2013</stp>
        <stp>[FA1_ymffleas.xlsx]Bal Sheet - As Reported!R64C7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4" s="17"/>
      </tp>
      <tp t="s">
        <v>—</v>
        <stp/>
        <stp>##V3_BDHV12</stp>
        <stp>RCOM IN Equity</stp>
        <stp>ARDR_RESTRICTED_CASH_ST</stp>
        <stp>FY 2012</stp>
        <stp>FY 2012</stp>
        <stp>[FA1_ymffleas.xlsx]Bal Sheet - As Reported!R64C6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4" s="17"/>
      </tp>
      <tp t="s">
        <v>—</v>
        <stp/>
        <stp>##V3_BDHV12</stp>
        <stp>RCOM IN Equity</stp>
        <stp>ARDR_RESTRICTED_CASH_ST</stp>
        <stp>FY 2009</stp>
        <stp>FY 2009</stp>
        <stp>[FA1_ymffleas.xlsx]Bal Sheet - As Reported!R64C3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4" s="17"/>
      </tp>
      <tp t="s">
        <v>—</v>
        <stp/>
        <stp>##V3_BDHV12</stp>
        <stp>RCOM IN Equity</stp>
        <stp>ARDR_RESTRICTED_CASH_ST</stp>
        <stp>FY 2015</stp>
        <stp>FY 2015</stp>
        <stp>[FA1_ymffleas.xlsx]Bal Sheet - As Reported!R64C9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4" s="17"/>
      </tp>
      <tp t="s">
        <v>—</v>
        <stp/>
        <stp>##V3_BDHV12</stp>
        <stp>RCOM IN Equity</stp>
        <stp>ARDR_RESTRICTED_CASH_ST</stp>
        <stp>FY 2014</stp>
        <stp>FY 2014</stp>
        <stp>[FA1_ymffleas.xlsx]Bal Sheet - As Reported!R64C8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4" s="17"/>
      </tp>
      <tp t="s">
        <v>—</v>
        <stp/>
        <stp>##V3_BDHV12</stp>
        <stp>RCOM IN Equity</stp>
        <stp>ARD_PURCHASES_OF_INVESTMENTS</stp>
        <stp>FY 2017</stp>
        <stp>FY 2017</stp>
        <stp>[FA1_ymffleas.xlsx]Cash Flow - As Reported!R46C11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6" s="20"/>
      </tp>
      <tp>
        <v>-26800</v>
        <stp/>
        <stp>##V3_BDHV12</stp>
        <stp>RCOM IN Equity</stp>
        <stp>ARD_PURCHASES_OF_INVESTMENTS</stp>
        <stp>FY 2016</stp>
        <stp>FY 2016</stp>
        <stp>[FA1_ymffleas.xlsx]Cash Flow - As Reported!R46C10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6" s="20"/>
      </tp>
      <tp t="s">
        <v>—</v>
        <stp/>
        <stp>##V3_BDHV12</stp>
        <stp>RCOM IN Equity</stp>
        <stp>ARD_PURCHASES_OF_INVESTMENTS</stp>
        <stp>FY 2018</stp>
        <stp>FY 2018</stp>
        <stp>[FA1_ymffleas.xlsx]Cash Flow - As Reported!R46C12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6" s="20"/>
      </tp>
      <tp>
        <v>1340</v>
        <stp/>
        <stp>##V3_BDHV12</stp>
        <stp>RCOM IN Equity</stp>
        <stp>ARD_GL_SALE_PROP_PLANT_EQUIP</stp>
        <stp>FY 2018</stp>
        <stp>FY 2018</stp>
        <stp>[FA1_ymffleas.xlsx]Cash Flow - As Reported!R38C12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8" s="20"/>
      </tp>
      <tp>
        <v>-2130</v>
        <stp/>
        <stp>##V3_BDHV12</stp>
        <stp>RCOM IN Equity</stp>
        <stp>ARD_GL_SALE_PROP_PLANT_EQUIP</stp>
        <stp>FY 2016</stp>
        <stp>FY 2016</stp>
        <stp>[FA1_ymffleas.xlsx]Cash Flow - As Reported!R38C10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8" s="20"/>
      </tp>
      <tp>
        <v>-820</v>
        <stp/>
        <stp>##V3_BDHV12</stp>
        <stp>RCOM IN Equity</stp>
        <stp>ARD_GL_SALE_PROP_PLANT_EQUIP</stp>
        <stp>FY 2017</stp>
        <stp>FY 2017</stp>
        <stp>[FA1_ymffleas.xlsx]Cash Flow - As Reported!R38C11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8" s="20"/>
      </tp>
      <tp t="s">
        <v>—</v>
        <stp/>
        <stp>##V3_BDHV12</stp>
        <stp>RCOM IN Equity</stp>
        <stp>ARDR_INVESTMENT_COST_METHOD</stp>
        <stp>FY 2018</stp>
        <stp>FY 2018</stp>
        <stp>[FA1_ymffleas.xlsx]Bal Sheet - As Reported!R142C12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2" s="17"/>
      </tp>
      <tp t="s">
        <v>—</v>
        <stp/>
        <stp>##V3_BDHV12</stp>
        <stp>RCOM IN Equity</stp>
        <stp>ARDR_INVESTMENT_COST_METHOD</stp>
        <stp>FY 2016</stp>
        <stp>FY 2016</stp>
        <stp>[FA1_ymffleas.xlsx]Bal Sheet - As Reported!R142C10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2" s="17"/>
      </tp>
      <tp t="s">
        <v>—</v>
        <stp/>
        <stp>##V3_BDHV12</stp>
        <stp>RCOM IN Equity</stp>
        <stp>ARDR_INVESTMENT_COST_METHOD</stp>
        <stp>FY 2017</stp>
        <stp>FY 2017</stp>
        <stp>[FA1_ymffleas.xlsx]Bal Sheet - As Reported!R142C11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2" s="17"/>
      </tp>
      <tp>
        <v>6.7681000000000004</v>
        <stp/>
        <stp>##V3_BDHV12</stp>
        <stp>RCOM IN Equity</stp>
        <stp>INC_BEF_XO_ITEMS_TO_NET_SALES</stp>
        <stp>FY 2011</stp>
        <stp>FY 2011</stp>
        <stp>[FA1_ymffleas.xlsx]Profitability!R17C5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7" s="21"/>
      </tp>
      <tp>
        <v>4270</v>
        <stp/>
        <stp>##V3_BDHV12</stp>
        <stp>RCOM IN Equity</stp>
        <stp>ARD_SALARIES_WAGE_EMPLOYEE_BEN</stp>
        <stp>FY 2018</stp>
        <stp>FY 2018</stp>
        <stp>[FA1_ymffleas.xlsx]Income - As Reported!R14C12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" s="11"/>
      </tp>
      <tp>
        <v>4420</v>
        <stp/>
        <stp>##V3_BDHV12</stp>
        <stp>RCOM IN Equity</stp>
        <stp>ARD_SALARIES_WAGE_EMPLOYEE_BEN</stp>
        <stp>FY 2017</stp>
        <stp>FY 2017</stp>
        <stp>[FA1_ymffleas.xlsx]Income - As Reported!R14C11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" s="11"/>
      </tp>
      <tp>
        <v>11200</v>
        <stp/>
        <stp>##V3_BDHV12</stp>
        <stp>RCOM IN Equity</stp>
        <stp>ARD_SALARIES_WAGE_EMPLOYEE_BEN</stp>
        <stp>FY 2016</stp>
        <stp>FY 2016</stp>
        <stp>[FA1_ymffleas.xlsx]Income - As Reported!R14C10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" s="11"/>
      </tp>
      <tp>
        <v>123210</v>
        <stp/>
        <stp>##V3_BDHV12</stp>
        <stp>RCOM IN Equity</stp>
        <stp>BS_OTHER_ASSETS_DEF_CHRG_OTHER</stp>
        <stp>FY 2018</stp>
        <stp>FY 2018</stp>
        <stp>[FA1_ymffleas.xlsx]Bal Sheet - Standardized!R53C12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3" s="16"/>
      </tp>
      <tp>
        <v>350140</v>
        <stp/>
        <stp>##V3_BDHV12</stp>
        <stp>RCOM IN Equity</stp>
        <stp>BS_OTHER_ASSETS_DEF_CHRG_OTHER</stp>
        <stp>FY 2017</stp>
        <stp>FY 2017</stp>
        <stp>[FA1_ymffleas.xlsx]Bal Sheet - Standardized!R53C11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3" s="16"/>
      </tp>
      <tp>
        <v>391650</v>
        <stp/>
        <stp>##V3_BDHV12</stp>
        <stp>RCOM IN Equity</stp>
        <stp>BS_OTHER_ASSETS_DEF_CHRG_OTHER</stp>
        <stp>FY 2016</stp>
        <stp>FY 2016</stp>
        <stp>[FA1_ymffleas.xlsx]Bal Sheet - Standardized!R53C10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3" s="16"/>
      </tp>
      <tp>
        <v>16.954699999999999</v>
        <stp/>
        <stp>##V3_BDHV12</stp>
        <stp>RCOM IN Equity</stp>
        <stp>RETURN_COM_EQY</stp>
        <stp>FY 2009</stp>
        <stp>FY 2009</stp>
        <stp>[FA1_ymffleas.xlsx]Profitability!R7C3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7" s="21"/>
      </tp>
      <tp>
        <v>-9040</v>
        <stp/>
        <stp>##V3_BDHV12</stp>
        <stp>RCOM IN Equity</stp>
        <stp>ARD_TOT_CASHFLOWS_FROM_FINANCING</stp>
        <stp>FY 2018</stp>
        <stp>FY 2018</stp>
        <stp>[FA1_ymffleas.xlsx]As Reported Summary!R30C12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0" s="30"/>
      </tp>
      <tp>
        <v>4360</v>
        <stp/>
        <stp>##V3_BDHV12</stp>
        <stp>RCOM IN Equity</stp>
        <stp>ARD_TOT_CASHFLOWS_FROM_FINANCING</stp>
        <stp>FY 2016</stp>
        <stp>FY 2016</stp>
        <stp>[FA1_ymffleas.xlsx]As Reported Summary!R30C10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0" s="30"/>
      </tp>
      <tp>
        <v>-1730</v>
        <stp/>
        <stp>##V3_BDHV12</stp>
        <stp>RCOM IN Equity</stp>
        <stp>ARD_TOT_CASHFLOWS_FROM_FINANCING</stp>
        <stp>FY 2017</stp>
        <stp>FY 2017</stp>
        <stp>[FA1_ymffleas.xlsx]As Reported Summary!R30C11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0" s="30"/>
      </tp>
      <tp>
        <v>2.1128</v>
        <stp/>
        <stp>##V3_BDHV12</stp>
        <stp>RCOM IN Equity</stp>
        <stp>RETURN_ON_INV_CAPITAL</stp>
        <stp>FY 2012</stp>
        <stp>FY 2012</stp>
        <stp>[FA1_ymffleas.xlsx]Profitability!R10C6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0" s="21"/>
      </tp>
      <tp>
        <v>-92.296599999999998</v>
        <stp/>
        <stp>##V3_BDHV12</stp>
        <stp>RCOM IN Equity</stp>
        <stp>IS_EPS</stp>
        <stp>FY 2018</stp>
        <stp>FY 2018</stp>
        <stp>[FA1_ymffleas.xlsx]Per Share!R14C11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4" s="7"/>
      </tp>
      <tp>
        <v>0</v>
        <stp/>
        <stp>##V3_BDHV12</stp>
        <stp>RCOM IN Equity</stp>
        <stp>DVD_PAYOUT_RATIO</stp>
        <stp>FY 2017</stp>
        <stp>FY 2017</stp>
        <stp>[FA1_ymffleas.xlsx]Addl - Overview!R21C10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1" s="29"/>
      </tp>
      <tp>
        <v>97.5505</v>
        <stp/>
        <stp>##V3_BDHV12</stp>
        <stp>RCOM IN Equity</stp>
        <stp>TAX_EFFICIENCY</stp>
        <stp>FY 2009</stp>
        <stp>FY 2009</stp>
        <stp>[FA1_ymffleas.xlsx]DuPont Analysis!R7C3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7" s="27"/>
      </tp>
      <tp>
        <v>320</v>
        <stp/>
        <stp>##V3_BDHV12</stp>
        <stp>RCOM IN Equity</stp>
        <stp>BS_LONG_TERM_INVESTMENTS</stp>
        <stp>FY 2018</stp>
        <stp>FY 2018</stp>
        <stp>[FA1_ymffleas.xlsx]Bal Sheet - Standardized!R51C12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1" s="16"/>
      </tp>
      <tp>
        <v>0</v>
        <stp/>
        <stp>##V3_BDHV12</stp>
        <stp>RCOM IN Equity</stp>
        <stp>BS_LONG_TERM_INVESTMENTS</stp>
        <stp>FY 2016</stp>
        <stp>FY 2016</stp>
        <stp>[FA1_ymffleas.xlsx]Bal Sheet - Standardized!R51C10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1" s="16"/>
      </tp>
      <tp>
        <v>0</v>
        <stp/>
        <stp>##V3_BDHV12</stp>
        <stp>RCOM IN Equity</stp>
        <stp>BS_LONG_TERM_INVESTMENTS</stp>
        <stp>FY 2017</stp>
        <stp>FY 2017</stp>
        <stp>[FA1_ymffleas.xlsx]Bal Sheet - Standardized!R51C11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1" s="16"/>
      </tp>
      <tp>
        <v>114.64749999999999</v>
        <stp/>
        <stp>##V3_BDHV12</stp>
        <stp>RCOM IN Equity</stp>
        <stp>PX_ERN_RATIO_WITH_HIGH_CLOS_PX</stp>
        <stp>FY 2018</stp>
        <stp>FY 2018</stp>
        <stp>[FA1_ymffleas.xlsx]Multiples!R8C11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" s="6"/>
      </tp>
      <tp>
        <v>1.4420999999999999</v>
        <stp/>
        <stp>##V3_BDHV12</stp>
        <stp>RCOM IN Equity</stp>
        <stp>PX_TO_SALES_RATIO</stp>
        <stp>FY 2017</stp>
        <stp>FY 2017</stp>
        <stp>[FA1_ymffleas.xlsx]Multiples!R21C10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1" s="6"/>
      </tp>
      <tp>
        <v>75.610399999999998</v>
        <stp/>
        <stp>##V3_BDHV12</stp>
        <stp>RCOM IN Equity</stp>
        <stp>PX_ERN_RATIO_WITH_HIGH_CLOS_PX</stp>
        <stp>FY 2017</stp>
        <stp>FY 2017</stp>
        <stp>[FA1_ymffleas.xlsx]Multiples!R8C10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" s="6"/>
      </tp>
      <tp>
        <v>5.5458999999999996</v>
        <stp/>
        <stp>##V3_BDHV12</stp>
        <stp>RCOM IN Equity</stp>
        <stp>TOT_DEBT_TO_EBITDA</stp>
        <stp>FY 2015</stp>
        <stp>FY 2015</stp>
        <stp>[FA1_ymffleas.xlsx]Credit!R10C9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0" s="23"/>
      </tp>
      <tp>
        <v>3.2294</v>
        <stp/>
        <stp>##V3_BDHV12</stp>
        <stp>RCOM IN Equity</stp>
        <stp>NET_DEBT_TO_EBITDA</stp>
        <stp>FY 2009</stp>
        <stp>FY 2009</stp>
        <stp>[FA1_ymffleas.xlsx]Credit!R11C3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1" s="23"/>
      </tp>
      <tp>
        <v>3.7191999999999998</v>
        <stp/>
        <stp>##V3_BDHV12</stp>
        <stp>RCOM IN Equity</stp>
        <stp>EBIT_TO_CASH_INTEREST_PAID</stp>
        <stp>FY 2009</stp>
        <stp>FY 2009</stp>
        <stp>[FA1_ymffleas.xlsx]Credit!R22C3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2" s="23"/>
      </tp>
      <tp>
        <v>-1599.1447000000001</v>
        <stp/>
        <stp>##V3_BDHV12</stp>
        <stp>RCOM IN Equity</stp>
        <stp>EARN_FOR_COM_GROWTH</stp>
        <stp>FY 2018</stp>
        <stp>FY 2018</stp>
        <stp>[FA1_ymffleas.xlsx]Growth!R10C12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0" s="22"/>
      </tp>
      <tp>
        <v>1560</v>
        <stp/>
        <stp>##V3_BDHV12</stp>
        <stp>RCOM IN Equity</stp>
        <stp>ARD_OTHER_FINL_ASSETS_ST</stp>
        <stp>FY 2018</stp>
        <stp>FY 2018</stp>
        <stp>[FA1_ymffleas.xlsx]Bal Sheet - As Reported!R47C12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7" s="17"/>
      </tp>
      <tp>
        <v>7150</v>
        <stp/>
        <stp>##V3_BDHV12</stp>
        <stp>RCOM IN Equity</stp>
        <stp>ARD_OTHER_FINL_ASSETS_ST</stp>
        <stp>FY 2017</stp>
        <stp>FY 2017</stp>
        <stp>[FA1_ymffleas.xlsx]Bal Sheet - As Reported!R47C11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7" s="17"/>
      </tp>
      <tp>
        <v>2830</v>
        <stp/>
        <stp>##V3_BDHV12</stp>
        <stp>RCOM IN Equity</stp>
        <stp>ARD_OTHER_FINL_ASSETS_ST</stp>
        <stp>FY 2016</stp>
        <stp>FY 2016</stp>
        <stp>[FA1_ymffleas.xlsx]Bal Sheet - As Reported!R47C10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7" s="17"/>
      </tp>
      <tp>
        <v>0</v>
        <stp/>
        <stp>##V3_BDHV12</stp>
        <stp>RCOM IN Equity</stp>
        <stp>SHORT_TERM_DEBT_DETAILED</stp>
        <stp>FY 2010</stp>
        <stp>FY 2010</stp>
        <stp>[FA1_ymffleas.xlsx]Bal Sheet - Standardized!R87C4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7" s="16"/>
      </tp>
      <tp>
        <v>106820</v>
        <stp/>
        <stp>##V3_BDHV12</stp>
        <stp>RCOM IN Equity</stp>
        <stp>SHORT_TERM_DEBT_DETAILED</stp>
        <stp>FY 2011</stp>
        <stp>FY 2011</stp>
        <stp>[FA1_ymffleas.xlsx]Bal Sheet - Standardized!R87C5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7" s="16"/>
      </tp>
      <tp>
        <v>55390</v>
        <stp/>
        <stp>##V3_BDHV12</stp>
        <stp>RCOM IN Equity</stp>
        <stp>SHORT_TERM_DEBT_DETAILED</stp>
        <stp>FY 2012</stp>
        <stp>FY 2012</stp>
        <stp>[FA1_ymffleas.xlsx]Bal Sheet - Standardized!R87C6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7" s="16"/>
      </tp>
      <tp>
        <v>88000</v>
        <stp/>
        <stp>##V3_BDHV12</stp>
        <stp>RCOM IN Equity</stp>
        <stp>SHORT_TERM_DEBT_DETAILED</stp>
        <stp>FY 2013</stp>
        <stp>FY 2013</stp>
        <stp>[FA1_ymffleas.xlsx]Bal Sheet - Standardized!R87C7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7" s="16"/>
      </tp>
      <tp>
        <v>0</v>
        <stp/>
        <stp>##V3_BDHV12</stp>
        <stp>RCOM IN Equity</stp>
        <stp>SHORT_TERM_DEBT_DETAILED</stp>
        <stp>FY 2009</stp>
        <stp>FY 2009</stp>
        <stp>[FA1_ymffleas.xlsx]Bal Sheet - Standardized!R87C3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7" s="16"/>
      </tp>
      <tp>
        <v>89090</v>
        <stp/>
        <stp>##V3_BDHV12</stp>
        <stp>RCOM IN Equity</stp>
        <stp>SHORT_TERM_DEBT_DETAILED</stp>
        <stp>FY 2014</stp>
        <stp>FY 2014</stp>
        <stp>[FA1_ymffleas.xlsx]Bal Sheet - Standardized!R87C8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7" s="16"/>
      </tp>
      <tp>
        <v>15870</v>
        <stp/>
        <stp>##V3_BDHV12</stp>
        <stp>RCOM IN Equity</stp>
        <stp>SHORT_TERM_DEBT_DETAILED</stp>
        <stp>FY 2015</stp>
        <stp>FY 2015</stp>
        <stp>[FA1_ymffleas.xlsx]Bal Sheet - Standardized!R87C9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7" s="16"/>
      </tp>
      <tp>
        <v>-1792.3</v>
        <stp/>
        <stp>##V3_BDHV12</stp>
        <stp>RCOM IN Equity</stp>
        <stp>T12M_DVDS_PAID</stp>
        <stp>FY 2009</stp>
        <stp>FY 2009</stp>
        <stp>[FA1_ymffleas.xlsx]Yield Analysis!R13C3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" s="26"/>
      </tp>
      <tp>
        <v>-1190</v>
        <stp/>
        <stp>##V3_BDHV12</stp>
        <stp>RCOM IN Equity</stp>
        <stp>T12M_DVDS_PAID</stp>
        <stp>FY 2012</stp>
        <stp>FY 2012</stp>
        <stp>[FA1_ymffleas.xlsx]Yield Analysis!R13C6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" s="26"/>
      </tp>
      <tp>
        <v>-600</v>
        <stp/>
        <stp>##V3_BDHV12</stp>
        <stp>RCOM IN Equity</stp>
        <stp>T12M_DVDS_PAID</stp>
        <stp>FY 2013</stp>
        <stp>FY 2013</stp>
        <stp>[FA1_ymffleas.xlsx]Yield Analysis!R13C7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" s="26"/>
      </tp>
      <tp>
        <v>-1910.6</v>
        <stp/>
        <stp>##V3_BDHV12</stp>
        <stp>RCOM IN Equity</stp>
        <stp>T12M_DVDS_PAID</stp>
        <stp>FY 2010</stp>
        <stp>FY 2010</stp>
        <stp>[FA1_ymffleas.xlsx]Yield Analysis!R13C4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" s="26"/>
      </tp>
      <tp>
        <v>-2020</v>
        <stp/>
        <stp>##V3_BDHV12</stp>
        <stp>RCOM IN Equity</stp>
        <stp>T12M_DVDS_PAID</stp>
        <stp>FY 2011</stp>
        <stp>FY 2011</stp>
        <stp>[FA1_ymffleas.xlsx]Yield Analysis!R13C5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" s="26"/>
      </tp>
      <tp>
        <v>-610</v>
        <stp/>
        <stp>##V3_BDHV12</stp>
        <stp>RCOM IN Equity</stp>
        <stp>T12M_DVDS_PAID</stp>
        <stp>FY 2014</stp>
        <stp>FY 2014</stp>
        <stp>[FA1_ymffleas.xlsx]Yield Analysis!R13C8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" s="26"/>
      </tp>
      <tp>
        <v>-10</v>
        <stp/>
        <stp>##V3_BDHV12</stp>
        <stp>RCOM IN Equity</stp>
        <stp>T12M_DVDS_PAID</stp>
        <stp>FY 2015</stp>
        <stp>FY 2015</stp>
        <stp>[FA1_ymffleas.xlsx]Yield Analysis!R13C9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" s="26"/>
      </tp>
      <tp>
        <v>1.9079999999999999</v>
        <stp/>
        <stp>##V3_BDHV12</stp>
        <stp>RCOM IN Equity</stp>
        <stp>GEO_GROW_TOT_SHRHLDR_EQY</stp>
        <stp>FY 2013</stp>
        <stp>FY 2013</stp>
        <stp>[FA1_ymffleas.xlsx]Growth!R53C7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53" s="22"/>
      </tp>
      <tp t="s">
        <v>—</v>
        <stp/>
        <stp>##V3_BDHV12</stp>
        <stp>RCOM IN Equity</stp>
        <stp>GEO_GROW_TOT_SHRHLDR_EQY</stp>
        <stp>FY 2012</stp>
        <stp>FY 2012</stp>
        <stp>[FA1_ymffleas.xlsx]Growth!R53C6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53" s="22"/>
      </tp>
      <tp t="s">
        <v>—</v>
        <stp/>
        <stp>##V3_BDHV12</stp>
        <stp>RCOM IN Equity</stp>
        <stp>GEO_GROW_TOT_SHRHLDR_EQY</stp>
        <stp>FY 2011</stp>
        <stp>FY 2011</stp>
        <stp>[FA1_ymffleas.xlsx]Growth!R53C5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53" s="22"/>
      </tp>
      <tp t="s">
        <v>—</v>
        <stp/>
        <stp>##V3_BDHV12</stp>
        <stp>RCOM IN Equity</stp>
        <stp>GEO_GROW_TOT_SHRHLDR_EQY</stp>
        <stp>FY 2010</stp>
        <stp>FY 2010</stp>
        <stp>[FA1_ymffleas.xlsx]Growth!R53C4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53" s="22"/>
      </tp>
      <tp t="s">
        <v>—</v>
        <stp/>
        <stp>##V3_BDHV12</stp>
        <stp>RCOM IN Equity</stp>
        <stp>GEO_GROW_TOT_SHRHLDR_EQY</stp>
        <stp>FY 2009</stp>
        <stp>FY 2009</stp>
        <stp>[FA1_ymffleas.xlsx]Growth!R53C3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53" s="22"/>
      </tp>
      <tp>
        <v>22.255099999999999</v>
        <stp/>
        <stp>##V3_BDHV12</stp>
        <stp>RCOM IN Equity</stp>
        <stp>CASH_FLOW_TO_NET_INC</stp>
        <stp>FY 2016</stp>
        <stp>FY 2016</stp>
        <stp>[FA1_ymffleas.xlsx]Cash Flow - Standardized!R66C9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66" s="19"/>
      </tp>
      <tp>
        <v>-2.67</v>
        <stp/>
        <stp>##V3_BDHV12</stp>
        <stp>RCOM IN Equity</stp>
        <stp>GEO_GROW_TOT_SHRHLDR_EQY</stp>
        <stp>FY 2015</stp>
        <stp>FY 2015</stp>
        <stp>[FA1_ymffleas.xlsx]Growth!R53C9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53" s="22"/>
      </tp>
      <tp>
        <v>-4.8197000000000001</v>
        <stp/>
        <stp>##V3_BDHV12</stp>
        <stp>RCOM IN Equity</stp>
        <stp>GEO_GROW_TOT_SHRHLDR_EQY</stp>
        <stp>FY 2014</stp>
        <stp>FY 2014</stp>
        <stp>[FA1_ymffleas.xlsx]Growth!R53C8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53" s="22"/>
      </tp>
      <tp t="s">
        <v>—</v>
        <stp/>
        <stp>##V3_BDHV12</stp>
        <stp>RCOM IN Equity</stp>
        <stp>ARD_TAX_PAID</stp>
        <stp>FY 2017</stp>
        <stp>FY 2017</stp>
        <stp>[FA1_ymffleas.xlsx]Cash Flow - As Reported!R33C11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3" s="20"/>
      </tp>
      <tp>
        <v>-3520</v>
        <stp/>
        <stp>##V3_BDHV12</stp>
        <stp>RCOM IN Equity</stp>
        <stp>ARD_TAX_PAID</stp>
        <stp>FY 2016</stp>
        <stp>FY 2016</stp>
        <stp>[FA1_ymffleas.xlsx]Cash Flow - As Reported!R33C10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3" s="20"/>
      </tp>
      <tp t="s">
        <v>—</v>
        <stp/>
        <stp>##V3_BDHV12</stp>
        <stp>RCOM IN Equity</stp>
        <stp>ARD_TAX_PAID</stp>
        <stp>FY 2018</stp>
        <stp>FY 2018</stp>
        <stp>[FA1_ymffleas.xlsx]Cash Flow - As Reported!R33C12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3" s="20"/>
      </tp>
      <tp t="s">
        <v>—</v>
        <stp/>
        <stp>##V3_BDHV12</stp>
        <stp>RCOM IN Equity</stp>
        <stp>GEO_GROW_OPER_INC</stp>
        <stp>FY 2012</stp>
        <stp>FY 2012</stp>
        <stp>[FA1_ymffleas.xlsx]Growth!R38C6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38" s="22"/>
      </tp>
      <tp>
        <v>-217.8886</v>
        <stp/>
        <stp>##V3_BDHV12</stp>
        <stp>RCOM IN Equity</stp>
        <stp>FREE_CASH_FLOW_SEQUENTIAL_GROWTH</stp>
        <stp>FY 2015</stp>
        <stp>FY 2015</stp>
        <stp>[FA1_ymffleas.xlsx]Growth!R85C9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5" s="22"/>
      </tp>
      <tp t="s">
        <v>—</v>
        <stp/>
        <stp>##V3_BDHV12</stp>
        <stp>RCOM IN Equity</stp>
        <stp>FREE_CASH_FLOW_SEQUENTIAL_GROWTH</stp>
        <stp>FY 2014</stp>
        <stp>FY 2014</stp>
        <stp>[FA1_ymffleas.xlsx]Growth!R85C8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5" s="22"/>
      </tp>
      <tp>
        <v>-1461.8105</v>
        <stp/>
        <stp>##V3_BDHV12</stp>
        <stp>RCOM IN Equity</stp>
        <stp>FREE_CASH_FLOW_SEQUENTIAL_GROWTH</stp>
        <stp>FY 2011</stp>
        <stp>FY 2011</stp>
        <stp>[FA1_ymffleas.xlsx]Growth!R85C5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5" s="22"/>
      </tp>
      <tp t="s">
        <v>—</v>
        <stp/>
        <stp>##V3_BDHV12</stp>
        <stp>RCOM IN Equity</stp>
        <stp>FREE_CASH_FLOW_SEQUENTIAL_GROWTH</stp>
        <stp>FY 2010</stp>
        <stp>FY 2010</stp>
        <stp>[FA1_ymffleas.xlsx]Growth!R85C4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5" s="22"/>
      </tp>
      <tp t="s">
        <v>—</v>
        <stp/>
        <stp>##V3_BDHV12</stp>
        <stp>RCOM IN Equity</stp>
        <stp>FREE_CASH_FLOW_SEQUENTIAL_GROWTH</stp>
        <stp>FY 2013</stp>
        <stp>FY 2013</stp>
        <stp>[FA1_ymffleas.xlsx]Growth!R85C7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5" s="22"/>
      </tp>
      <tp t="s">
        <v>—</v>
        <stp/>
        <stp>##V3_BDHV12</stp>
        <stp>RCOM IN Equity</stp>
        <stp>FREE_CASH_FLOW_SEQUENTIAL_GROWTH</stp>
        <stp>FY 2012</stp>
        <stp>FY 2012</stp>
        <stp>[FA1_ymffleas.xlsx]Growth!R85C6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5" s="22"/>
      </tp>
      <tp t="s">
        <v>—</v>
        <stp/>
        <stp>##V3_BDHV12</stp>
        <stp>RCOM IN Equity</stp>
        <stp>FREE_CASH_FLOW_SEQUENTIAL_GROWTH</stp>
        <stp>FY 2009</stp>
        <stp>FY 2009</stp>
        <stp>[FA1_ymffleas.xlsx]Growth!R85C3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5" s="22"/>
      </tp>
      <tp>
        <v>-120</v>
        <stp/>
        <stp>##V3_BDHV12</stp>
        <stp>RCOM IN Equity</stp>
        <stp>ARDR_BENEFITS_PAID_POST_RETIR</stp>
        <stp>FY 2015</stp>
        <stp>FY 2015</stp>
        <stp>[FA1_ymffleas.xlsx]Bal Sheet - As Reported!R131C9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1" s="17"/>
      </tp>
      <tp>
        <v>-70</v>
        <stp/>
        <stp>##V3_BDHV12</stp>
        <stp>RCOM IN Equity</stp>
        <stp>ARDR_BENEFITS_PAID_POST_RETIR</stp>
        <stp>FY 2014</stp>
        <stp>FY 2014</stp>
        <stp>[FA1_ymffleas.xlsx]Bal Sheet - As Reported!R131C8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1" s="17"/>
      </tp>
      <tp>
        <v>-28.7</v>
        <stp/>
        <stp>##V3_BDHV12</stp>
        <stp>RCOM IN Equity</stp>
        <stp>ARDR_BENEFITS_PAID_POST_RETIR</stp>
        <stp>FY 2009</stp>
        <stp>FY 2009</stp>
        <stp>[FA1_ymffleas.xlsx]Bal Sheet - As Reported!R131C3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1" s="17"/>
      </tp>
      <tp>
        <v>-80</v>
        <stp/>
        <stp>##V3_BDHV12</stp>
        <stp>RCOM IN Equity</stp>
        <stp>ARDR_BENEFITS_PAID_POST_RETIR</stp>
        <stp>FY 2013</stp>
        <stp>FY 2013</stp>
        <stp>[FA1_ymffleas.xlsx]Bal Sheet - As Reported!R131C7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1" s="17"/>
      </tp>
      <tp>
        <v>-100</v>
        <stp/>
        <stp>##V3_BDHV12</stp>
        <stp>RCOM IN Equity</stp>
        <stp>ARDR_BENEFITS_PAID_POST_RETIR</stp>
        <stp>FY 2012</stp>
        <stp>FY 2012</stp>
        <stp>[FA1_ymffleas.xlsx]Bal Sheet - As Reported!R131C6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1" s="17"/>
      </tp>
      <tp>
        <v>-80</v>
        <stp/>
        <stp>##V3_BDHV12</stp>
        <stp>RCOM IN Equity</stp>
        <stp>ARDR_BENEFITS_PAID_POST_RETIR</stp>
        <stp>FY 2011</stp>
        <stp>FY 2011</stp>
        <stp>[FA1_ymffleas.xlsx]Bal Sheet - As Reported!R131C5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1" s="17"/>
      </tp>
      <tp>
        <v>-50.6</v>
        <stp/>
        <stp>##V3_BDHV12</stp>
        <stp>RCOM IN Equity</stp>
        <stp>ARDR_BENEFITS_PAID_POST_RETIR</stp>
        <stp>FY 2010</stp>
        <stp>FY 2010</stp>
        <stp>[FA1_ymffleas.xlsx]Bal Sheet - As Reported!R131C4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1" s="17"/>
      </tp>
      <tp>
        <v>23.0807</v>
        <stp/>
        <stp>##V3_BDHV12</stp>
        <stp>RCOM IN Equity</stp>
        <stp>INC_BEF_XO_ITEMS_TO_NET_SALES</stp>
        <stp>FY 2010</stp>
        <stp>FY 2010</stp>
        <stp>[FA1_ymffleas.xlsx]Profitability!R17C4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7" s="21"/>
      </tp>
      <tp>
        <v>1034540</v>
        <stp/>
        <stp>##V3_BDHV12</stp>
        <stp>RCOM IN Equity</stp>
        <stp>ARD_TOT_LIAB_AND_SHAREHOLDER_EQY</stp>
        <stp>FY 2016</stp>
        <stp>FY 2016</stp>
        <stp>[FA1_ymffleas.xlsx]As Reported Summary!R22C10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2" s="30"/>
      </tp>
      <tp>
        <v>997310</v>
        <stp/>
        <stp>##V3_BDHV12</stp>
        <stp>RCOM IN Equity</stp>
        <stp>ARD_TOT_LIAB_AND_SHAREHOLDER_EQY</stp>
        <stp>FY 2017</stp>
        <stp>FY 2017</stp>
        <stp>[FA1_ymffleas.xlsx]As Reported Summary!R22C11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2" s="30"/>
      </tp>
      <tp>
        <v>559490</v>
        <stp/>
        <stp>##V3_BDHV12</stp>
        <stp>RCOM IN Equity</stp>
        <stp>ARD_TOT_LIAB_AND_SHAREHOLDER_EQY</stp>
        <stp>FY 2018</stp>
        <stp>FY 2018</stp>
        <stp>[FA1_ymffleas.xlsx]As Reported Summary!R22C12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2" s="30"/>
      </tp>
      <tp t="s">
        <v>—</v>
        <stp/>
        <stp>##V3_BDHV12</stp>
        <stp>RCOM IN Equity</stp>
        <stp>ARD_DEFERRED_UNEARNED_REV_LT</stp>
        <stp>FY 2014</stp>
        <stp>FY 2014</stp>
        <stp>[FA1_ymffleas.xlsx]Bal Sheet - As Reported!R19C8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" s="17"/>
      </tp>
      <tp t="s">
        <v>—</v>
        <stp/>
        <stp>##V3_BDHV12</stp>
        <stp>RCOM IN Equity</stp>
        <stp>ARD_DEFERRED_UNEARNED_REV_LT</stp>
        <stp>FY 2015</stp>
        <stp>FY 2015</stp>
        <stp>[FA1_ymffleas.xlsx]Bal Sheet - As Reported!R19C9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" s="17"/>
      </tp>
      <tp t="s">
        <v>—</v>
        <stp/>
        <stp>##V3_BDHV12</stp>
        <stp>RCOM IN Equity</stp>
        <stp>ARD_DEFERRED_UNEARNED_REV_LT</stp>
        <stp>FY 2009</stp>
        <stp>FY 2009</stp>
        <stp>[FA1_ymffleas.xlsx]Bal Sheet - As Reported!R19C3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" s="17"/>
      </tp>
      <tp t="s">
        <v>—</v>
        <stp/>
        <stp>##V3_BDHV12</stp>
        <stp>RCOM IN Equity</stp>
        <stp>ARD_DEFERRED_UNEARNED_REV_LT</stp>
        <stp>FY 2012</stp>
        <stp>FY 2012</stp>
        <stp>[FA1_ymffleas.xlsx]Bal Sheet - As Reported!R19C6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" s="17"/>
      </tp>
      <tp t="s">
        <v>—</v>
        <stp/>
        <stp>##V3_BDHV12</stp>
        <stp>RCOM IN Equity</stp>
        <stp>ARD_DEFERRED_UNEARNED_REV_LT</stp>
        <stp>FY 2013</stp>
        <stp>FY 2013</stp>
        <stp>[FA1_ymffleas.xlsx]Bal Sheet - As Reported!R19C7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" s="17"/>
      </tp>
      <tp t="s">
        <v>—</v>
        <stp/>
        <stp>##V3_BDHV12</stp>
        <stp>RCOM IN Equity</stp>
        <stp>ARD_DEFERRED_UNEARNED_REV_LT</stp>
        <stp>FY 2010</stp>
        <stp>FY 2010</stp>
        <stp>[FA1_ymffleas.xlsx]Bal Sheet - As Reported!R19C4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" s="17"/>
      </tp>
      <tp t="s">
        <v>—</v>
        <stp/>
        <stp>##V3_BDHV12</stp>
        <stp>RCOM IN Equity</stp>
        <stp>ARD_DEFERRED_UNEARNED_REV_LT</stp>
        <stp>FY 2011</stp>
        <stp>FY 2011</stp>
        <stp>[FA1_ymffleas.xlsx]Bal Sheet - As Reported!R19C5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" s="17"/>
      </tp>
      <tp>
        <v>2.5863</v>
        <stp/>
        <stp>##V3_BDHV12</stp>
        <stp>RCOM IN Equity</stp>
        <stp>RETURN_ON_INV_CAPITAL</stp>
        <stp>FY 2013</stp>
        <stp>FY 2013</stp>
        <stp>[FA1_ymffleas.xlsx]Profitability!R10C7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0" s="21"/>
      </tp>
      <tp>
        <v>-5.6855000000000002</v>
        <stp/>
        <stp>##V3_BDHV12</stp>
        <stp>RCOM IN Equity</stp>
        <stp>IS_EPS</stp>
        <stp>FY 2017</stp>
        <stp>FY 2017</stp>
        <stp>[FA1_ymffleas.xlsx]Per Share!R14C10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4" s="7"/>
      </tp>
      <tp>
        <v>73023.221999999994</v>
        <stp/>
        <stp>##V3_BDHV12</stp>
        <stp>RCOM IN Equity</stp>
        <stp>BEST_EBITDA</stp>
        <stp>FY 2016</stp>
        <stp>FY 2016</stp>
        <stp>[FA1_ymffleas.xlsx]Earnings!R26C10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6" s="4"/>
      </tp>
      <tp>
        <v>56614.8</v>
        <stp/>
        <stp>##V3_BDHV12</stp>
        <stp>RCOM IN Equity</stp>
        <stp>BEST_EBITDA</stp>
        <stp>FY 2017</stp>
        <stp>FY 2017</stp>
        <stp>[FA1_ymffleas.xlsx]Earnings!R26C11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6" s="4"/>
      </tp>
      <tp>
        <v>0</v>
        <stp/>
        <stp>##V3_BDHV12</stp>
        <stp>RCOM IN Equity</stp>
        <stp>DVD_PAYOUT_RATIO</stp>
        <stp>FY 2018</stp>
        <stp>FY 2018</stp>
        <stp>[FA1_ymffleas.xlsx]Addl - Overview!R21C11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1" s="29"/>
      </tp>
      <tp>
        <v>47257</v>
        <stp/>
        <stp>##V3_BDHV12</stp>
        <stp>RCOM IN Equity</stp>
        <stp>BEST_EBITDA</stp>
        <stp>FY 2018</stp>
        <stp>FY 2018</stp>
        <stp>[FA1_ymffleas.xlsx]Earnings!R26C12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6" s="4"/>
      </tp>
      <tp>
        <v>2582.8681000000001</v>
        <stp/>
        <stp>##V3_BDHV12</stp>
        <stp>RCOM IN Equity</stp>
        <stp>IS_SH_FOR_DILUTED_EPS</stp>
        <stp>FY 2018</stp>
        <stp>FY 2018</stp>
        <stp>[FA1_ymffleas.xlsx]Income - GAAP!R92C11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2" s="10"/>
      </tp>
      <tp t="s">
        <v>—</v>
        <stp/>
        <stp>##V3_BDHV12</stp>
        <stp>RCOM IN Equity</stp>
        <stp>IS_DEPR_EXP</stp>
        <stp>FY 2018</stp>
        <stp>FY 2018</stp>
        <stp>[FA1_ymffleas.xlsx]CAPEX &amp; Depreciation!R6C12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" s="28"/>
      </tp>
      <tp t="s">
        <v>—</v>
        <stp/>
        <stp>##V3_BDHV12</stp>
        <stp>RCOM IN Equity</stp>
        <stp>IS_DEPR_EXP</stp>
        <stp>FY 2017</stp>
        <stp>FY 2017</stp>
        <stp>[FA1_ymffleas.xlsx]CAPEX &amp; Depreciation!R6C11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" s="28"/>
      </tp>
      <tp t="s">
        <v>—</v>
        <stp/>
        <stp>##V3_BDHV12</stp>
        <stp>RCOM IN Equity</stp>
        <stp>IS_DEPR_EXP</stp>
        <stp>FY 2016</stp>
        <stp>FY 2016</stp>
        <stp>[FA1_ymffleas.xlsx]CAPEX &amp; Depreciation!R6C10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" s="28"/>
      </tp>
      <tp>
        <v>2467.7006999999999</v>
        <stp/>
        <stp>##V3_BDHV12</stp>
        <stp>RCOM IN Equity</stp>
        <stp>IS_SH_FOR_DILUTED_EPS</stp>
        <stp>FY 2017</stp>
        <stp>FY 2017</stp>
        <stp>[FA1_ymffleas.xlsx]Income - GAAP!R92C10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2" s="10"/>
      </tp>
      <tp>
        <v>1.2231000000000001</v>
        <stp/>
        <stp>##V3_BDHV12</stp>
        <stp>RCOM IN Equity</stp>
        <stp>PX_TO_SALES_RATIO</stp>
        <stp>FY 2018</stp>
        <stp>FY 2018</stp>
        <stp>[FA1_ymffleas.xlsx]Multiples!R21C11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1" s="6"/>
      </tp>
      <tp>
        <v>6.3029999999999999</v>
        <stp/>
        <stp>##V3_BDHV12</stp>
        <stp>RCOM IN Equity</stp>
        <stp>TOT_DEBT_TO_EBITDA</stp>
        <stp>FY 2014</stp>
        <stp>FY 2014</stp>
        <stp>[FA1_ymffleas.xlsx]Credit!R10C8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0" s="23"/>
      </tp>
      <tp>
        <v>25140</v>
        <stp/>
        <stp>##V3_BDHV12</stp>
        <stp>RCOM IN Equity</stp>
        <stp>ARD_NET_CASH_FROM_OPERATING_ACT</stp>
        <stp>FY 2011</stp>
        <stp>FY 2011</stp>
        <stp>[FA1_ymffleas.xlsx]Cash Flow - As Reported!R35C5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5" s="20"/>
      </tp>
      <tp>
        <v>99286.5</v>
        <stp/>
        <stp>##V3_BDHV12</stp>
        <stp>RCOM IN Equity</stp>
        <stp>ARD_NET_CASH_FROM_OPERATING_ACT</stp>
        <stp>FY 2010</stp>
        <stp>FY 2010</stp>
        <stp>[FA1_ymffleas.xlsx]Cash Flow - As Reported!R35C4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5" s="20"/>
      </tp>
      <tp>
        <v>36210</v>
        <stp/>
        <stp>##V3_BDHV12</stp>
        <stp>RCOM IN Equity</stp>
        <stp>ARD_NET_CASH_FROM_OPERATING_ACT</stp>
        <stp>FY 2013</stp>
        <stp>FY 2013</stp>
        <stp>[FA1_ymffleas.xlsx]Cash Flow - As Reported!R35C7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5" s="20"/>
      </tp>
      <tp>
        <v>56700</v>
        <stp/>
        <stp>##V3_BDHV12</stp>
        <stp>RCOM IN Equity</stp>
        <stp>ARD_NET_CASH_FROM_OPERATING_ACT</stp>
        <stp>FY 2012</stp>
        <stp>FY 2012</stp>
        <stp>[FA1_ymffleas.xlsx]Cash Flow - As Reported!R35C6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5" s="20"/>
      </tp>
      <tp>
        <v>69001</v>
        <stp/>
        <stp>##V3_BDHV12</stp>
        <stp>RCOM IN Equity</stp>
        <stp>ARD_NET_CASH_FROM_OPERATING_ACT</stp>
        <stp>FY 2009</stp>
        <stp>FY 2009</stp>
        <stp>[FA1_ymffleas.xlsx]Cash Flow - As Reported!R35C3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5" s="20"/>
      </tp>
      <tp>
        <v>35940</v>
        <stp/>
        <stp>##V3_BDHV12</stp>
        <stp>RCOM IN Equity</stp>
        <stp>ARD_NET_CASH_FROM_OPERATING_ACT</stp>
        <stp>FY 2015</stp>
        <stp>FY 2015</stp>
        <stp>[FA1_ymffleas.xlsx]Cash Flow - As Reported!R35C9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5" s="20"/>
      </tp>
      <tp>
        <v>71100</v>
        <stp/>
        <stp>##V3_BDHV12</stp>
        <stp>RCOM IN Equity</stp>
        <stp>ARD_NET_CASH_FROM_OPERATING_ACT</stp>
        <stp>FY 2014</stp>
        <stp>FY 2014</stp>
        <stp>[FA1_ymffleas.xlsx]Cash Flow - As Reported!R35C8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5" s="20"/>
      </tp>
      <tp t="s">
        <v>—</v>
        <stp/>
        <stp>##V3_BDHV12</stp>
        <stp>RCOM IN Equity</stp>
        <stp>ARD_TOTAL_COMPREHENSIVE_INCOME</stp>
        <stp>FY 2014</stp>
        <stp>FY 2014</stp>
        <stp>[FA1_ymffleas.xlsx]Income - As Reported!R56C8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6" s="11"/>
      </tp>
      <tp t="s">
        <v>—</v>
        <stp/>
        <stp>##V3_BDHV12</stp>
        <stp>RCOM IN Equity</stp>
        <stp>ARD_TOTAL_COMPREHENSIVE_INCOME</stp>
        <stp>FY 2015</stp>
        <stp>FY 2015</stp>
        <stp>[FA1_ymffleas.xlsx]Income - As Reported!R56C9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6" s="11"/>
      </tp>
      <tp t="s">
        <v>—</v>
        <stp/>
        <stp>##V3_BDHV12</stp>
        <stp>RCOM IN Equity</stp>
        <stp>ARD_TOTAL_COMPREHENSIVE_INCOME</stp>
        <stp>FY 2009</stp>
        <stp>FY 2009</stp>
        <stp>[FA1_ymffleas.xlsx]Income - As Reported!R56C3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6" s="11"/>
      </tp>
      <tp t="s">
        <v>—</v>
        <stp/>
        <stp>##V3_BDHV12</stp>
        <stp>RCOM IN Equity</stp>
        <stp>ARD_TOTAL_COMPREHENSIVE_INCOME</stp>
        <stp>FY 2010</stp>
        <stp>FY 2010</stp>
        <stp>[FA1_ymffleas.xlsx]Income - As Reported!R56C4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6" s="11"/>
      </tp>
      <tp t="s">
        <v>—</v>
        <stp/>
        <stp>##V3_BDHV12</stp>
        <stp>RCOM IN Equity</stp>
        <stp>ARD_TOTAL_COMPREHENSIVE_INCOME</stp>
        <stp>FY 2011</stp>
        <stp>FY 2011</stp>
        <stp>[FA1_ymffleas.xlsx]Income - As Reported!R56C5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6" s="11"/>
      </tp>
      <tp t="s">
        <v>—</v>
        <stp/>
        <stp>##V3_BDHV12</stp>
        <stp>RCOM IN Equity</stp>
        <stp>ARD_TOTAL_COMPREHENSIVE_INCOME</stp>
        <stp>FY 2012</stp>
        <stp>FY 2012</stp>
        <stp>[FA1_ymffleas.xlsx]Income - As Reported!R56C6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6" s="11"/>
      </tp>
      <tp t="s">
        <v>—</v>
        <stp/>
        <stp>##V3_BDHV12</stp>
        <stp>RCOM IN Equity</stp>
        <stp>ARD_TOTAL_COMPREHENSIVE_INCOME</stp>
        <stp>FY 2013</stp>
        <stp>FY 2013</stp>
        <stp>[FA1_ymffleas.xlsx]Income - As Reported!R56C7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6" s="11"/>
      </tp>
      <tp>
        <v>525280</v>
        <stp/>
        <stp>##V3_BDHV12</stp>
        <stp>RCOM IN Equity</stp>
        <stp>BS_NET_FIX_ASSET</stp>
        <stp>FY 2016</stp>
        <stp>FY 2016</stp>
        <stp>[FA1_ymffleas.xlsx]Addl - Overview!R24C9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4" s="29"/>
      </tp>
      <tp>
        <v>452780</v>
        <stp/>
        <stp>##V3_BDHV12</stp>
        <stp>RCOM IN Equity</stp>
        <stp>BS_NET_FIX_ASSET</stp>
        <stp>FY 2015</stp>
        <stp>FY 2015</stp>
        <stp>[FA1_ymffleas.xlsx]Addl - Overview!R24C8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4" s="29"/>
      </tp>
      <tp>
        <v>471240</v>
        <stp/>
        <stp>##V3_BDHV12</stp>
        <stp>RCOM IN Equity</stp>
        <stp>BS_NET_FIX_ASSET</stp>
        <stp>FY 2014</stp>
        <stp>FY 2014</stp>
        <stp>[FA1_ymffleas.xlsx]Addl - Overview!R24C7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4" s="29"/>
      </tp>
      <tp>
        <v>482030</v>
        <stp/>
        <stp>##V3_BDHV12</stp>
        <stp>RCOM IN Equity</stp>
        <stp>BS_NET_FIX_ASSET</stp>
        <stp>FY 2013</stp>
        <stp>FY 2013</stp>
        <stp>[FA1_ymffleas.xlsx]Addl - Overview!R24C6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4" s="29"/>
      </tp>
      <tp>
        <v>485770</v>
        <stp/>
        <stp>##V3_BDHV12</stp>
        <stp>RCOM IN Equity</stp>
        <stp>BS_NET_FIX_ASSET</stp>
        <stp>FY 2012</stp>
        <stp>FY 2012</stp>
        <stp>[FA1_ymffleas.xlsx]Addl - Overview!R24C5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4" s="29"/>
      </tp>
      <tp>
        <v>558870</v>
        <stp/>
        <stp>##V3_BDHV12</stp>
        <stp>RCOM IN Equity</stp>
        <stp>BS_NET_FIX_ASSET</stp>
        <stp>FY 2011</stp>
        <stp>FY 2011</stp>
        <stp>[FA1_ymffleas.xlsx]Addl - Overview!R24C4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4" s="29"/>
      </tp>
      <tp>
        <v>534138.9</v>
        <stp/>
        <stp>##V3_BDHV12</stp>
        <stp>RCOM IN Equity</stp>
        <stp>BS_NET_FIX_ASSET</stp>
        <stp>FY 2010</stp>
        <stp>FY 2010</stp>
        <stp>[FA1_ymffleas.xlsx]Addl - Overview!R24C3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4" s="29"/>
      </tp>
      <tp>
        <v>4400</v>
        <stp/>
        <stp>##V3_BDHV12</stp>
        <stp>RCOM IN Equity</stp>
        <stp>TRAIL_12M_OPER_INC</stp>
        <stp>FY 2017</stp>
        <stp>FY 2017</stp>
        <stp>[FA1_ymffleas.xlsx]Enterprise Value!R31C10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1" s="5"/>
      </tp>
      <tp>
        <v>2430</v>
        <stp/>
        <stp>##V3_BDHV12</stp>
        <stp>RCOM IN Equity</stp>
        <stp>TRAIL_12M_OPER_INC</stp>
        <stp>FY 2018</stp>
        <stp>FY 2018</stp>
        <stp>[FA1_ymffleas.xlsx]Enterprise Value!R31C11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1" s="5"/>
      </tp>
      <tp>
        <v>25170</v>
        <stp/>
        <stp>##V3_BDHV12</stp>
        <stp>RCOM IN Equity</stp>
        <stp>ARD_DEFERRED_TAX_LIAB_LT</stp>
        <stp>FY 2018</stp>
        <stp>FY 2018</stp>
        <stp>[FA1_ymffleas.xlsx]Bal Sheet - As Reported!R21C12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1" s="17"/>
      </tp>
      <tp>
        <v>38880</v>
        <stp/>
        <stp>##V3_BDHV12</stp>
        <stp>RCOM IN Equity</stp>
        <stp>ARD_DEFERRED_TAX_LIAB_LT</stp>
        <stp>FY 2016</stp>
        <stp>FY 2016</stp>
        <stp>[FA1_ymffleas.xlsx]Bal Sheet - As Reported!R21C10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1" s="17"/>
      </tp>
      <tp>
        <v>45500</v>
        <stp/>
        <stp>##V3_BDHV12</stp>
        <stp>RCOM IN Equity</stp>
        <stp>ARD_DEFERRED_TAX_LIAB_LT</stp>
        <stp>FY 2017</stp>
        <stp>FY 2017</stp>
        <stp>[FA1_ymffleas.xlsx]Bal Sheet - As Reported!R21C11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1" s="17"/>
      </tp>
      <tp>
        <v>-1792.3</v>
        <stp/>
        <stp>##V3_BDHV12</stp>
        <stp>RCOM IN Equity</stp>
        <stp>T12M_DVDS_PAID</stp>
        <stp>FY 2009</stp>
        <stp>FY 2009</stp>
        <stp>[FA1_ymffleas.xlsx]Yield Analysis!R22C3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2" s="26"/>
      </tp>
      <tp>
        <v>-1190</v>
        <stp/>
        <stp>##V3_BDHV12</stp>
        <stp>RCOM IN Equity</stp>
        <stp>T12M_DVDS_PAID</stp>
        <stp>FY 2012</stp>
        <stp>FY 2012</stp>
        <stp>[FA1_ymffleas.xlsx]Yield Analysis!R22C6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2" s="26"/>
      </tp>
      <tp>
        <v>-600</v>
        <stp/>
        <stp>##V3_BDHV12</stp>
        <stp>RCOM IN Equity</stp>
        <stp>T12M_DVDS_PAID</stp>
        <stp>FY 2013</stp>
        <stp>FY 2013</stp>
        <stp>[FA1_ymffleas.xlsx]Yield Analysis!R22C7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2" s="26"/>
      </tp>
      <tp>
        <v>-1910.6</v>
        <stp/>
        <stp>##V3_BDHV12</stp>
        <stp>RCOM IN Equity</stp>
        <stp>T12M_DVDS_PAID</stp>
        <stp>FY 2010</stp>
        <stp>FY 2010</stp>
        <stp>[FA1_ymffleas.xlsx]Yield Analysis!R22C4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2" s="26"/>
      </tp>
      <tp>
        <v>-2020</v>
        <stp/>
        <stp>##V3_BDHV12</stp>
        <stp>RCOM IN Equity</stp>
        <stp>T12M_DVDS_PAID</stp>
        <stp>FY 2011</stp>
        <stp>FY 2011</stp>
        <stp>[FA1_ymffleas.xlsx]Yield Analysis!R22C5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2" s="26"/>
      </tp>
      <tp>
        <v>-610</v>
        <stp/>
        <stp>##V3_BDHV12</stp>
        <stp>RCOM IN Equity</stp>
        <stp>T12M_DVDS_PAID</stp>
        <stp>FY 2014</stp>
        <stp>FY 2014</stp>
        <stp>[FA1_ymffleas.xlsx]Yield Analysis!R22C8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2" s="26"/>
      </tp>
      <tp>
        <v>-10</v>
        <stp/>
        <stp>##V3_BDHV12</stp>
        <stp>RCOM IN Equity</stp>
        <stp>T12M_DVDS_PAID</stp>
        <stp>FY 2015</stp>
        <stp>FY 2015</stp>
        <stp>[FA1_ymffleas.xlsx]Yield Analysis!R22C9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2" s="26"/>
      </tp>
      <tp>
        <v>0.68069999999999997</v>
        <stp/>
        <stp>##V3_BDHV12</stp>
        <stp>RCOM IN Equity</stp>
        <stp>CASH_FLOW_TO_NET_INC</stp>
        <stp>FY 2015</stp>
        <stp>FY 2015</stp>
        <stp>[FA1_ymffleas.xlsx]Cash Flow - Standardized!R66C8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66" s="19"/>
      </tp>
      <tp>
        <v>0.23089999999999999</v>
        <stp/>
        <stp>##V3_BDHV12</stp>
        <stp>RCOM IN Equity</stp>
        <stp>ASSET_TURNOVER</stp>
        <stp>FY 2009</stp>
        <stp>FY 2009</stp>
        <stp>[FA1_ymffleas.xlsx]DuPont Analysis!R15C3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5" s="27"/>
      </tp>
      <tp>
        <v>11233.1</v>
        <stp/>
        <stp>##V3_BDHV12</stp>
        <stp>RCOM IN Equity</stp>
        <stp>ARDR_CUM_TRANSLATION_ADJUST</stp>
        <stp>FY 2009</stp>
        <stp>FY 2009</stp>
        <stp>[FA1_ymffleas.xlsx]Bal Sheet - As Reported!R132C3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2" s="17"/>
      </tp>
      <tp>
        <v>-1020</v>
        <stp/>
        <stp>##V3_BDHV12</stp>
        <stp>RCOM IN Equity</stp>
        <stp>ARDR_CUM_TRANSLATION_ADJUST</stp>
        <stp>FY 2011</stp>
        <stp>FY 2011</stp>
        <stp>[FA1_ymffleas.xlsx]Bal Sheet - As Reported!R132C5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2" s="17"/>
      </tp>
      <tp>
        <v>-2308.1</v>
        <stp/>
        <stp>##V3_BDHV12</stp>
        <stp>RCOM IN Equity</stp>
        <stp>ARDR_CUM_TRANSLATION_ADJUST</stp>
        <stp>FY 2010</stp>
        <stp>FY 2010</stp>
        <stp>[FA1_ymffleas.xlsx]Bal Sheet - As Reported!R132C4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2" s="17"/>
      </tp>
      <tp>
        <v>-3090</v>
        <stp/>
        <stp>##V3_BDHV12</stp>
        <stp>RCOM IN Equity</stp>
        <stp>ARDR_CUM_TRANSLATION_ADJUST</stp>
        <stp>FY 2013</stp>
        <stp>FY 2013</stp>
        <stp>[FA1_ymffleas.xlsx]Bal Sheet - As Reported!R132C7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2" s="17"/>
      </tp>
      <tp>
        <v>1180</v>
        <stp/>
        <stp>##V3_BDHV12</stp>
        <stp>RCOM IN Equity</stp>
        <stp>ARDR_CUM_TRANSLATION_ADJUST</stp>
        <stp>FY 2012</stp>
        <stp>FY 2012</stp>
        <stp>[FA1_ymffleas.xlsx]Bal Sheet - As Reported!R132C6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2" s="17"/>
      </tp>
      <tp>
        <v>2910</v>
        <stp/>
        <stp>##V3_BDHV12</stp>
        <stp>RCOM IN Equity</stp>
        <stp>ARDR_CUM_TRANSLATION_ADJUST</stp>
        <stp>FY 2015</stp>
        <stp>FY 2015</stp>
        <stp>[FA1_ymffleas.xlsx]Bal Sheet - As Reported!R132C9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2" s="17"/>
      </tp>
      <tp>
        <v>-830</v>
        <stp/>
        <stp>##V3_BDHV12</stp>
        <stp>RCOM IN Equity</stp>
        <stp>ARDR_CUM_TRANSLATION_ADJUST</stp>
        <stp>FY 2014</stp>
        <stp>FY 2014</stp>
        <stp>[FA1_ymffleas.xlsx]Bal Sheet - As Reported!R132C8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2" s="17"/>
      </tp>
      <tp>
        <v>0</v>
        <stp/>
        <stp>##V3_BDHV12</stp>
        <stp>RCOM IN Equity</stp>
        <stp>BS_TOT_COM_PAPER_ISSUED</stp>
        <stp>FY 2014</stp>
        <stp>FY 2014</stp>
        <stp>[FA1_ymffleas.xlsx]Liquidity!R25C8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5" s="24"/>
      </tp>
      <tp>
        <v>0</v>
        <stp/>
        <stp>##V3_BDHV12</stp>
        <stp>RCOM IN Equity</stp>
        <stp>BS_TOT_COM_PAPER_ISSUED</stp>
        <stp>FY 2015</stp>
        <stp>FY 2015</stp>
        <stp>[FA1_ymffleas.xlsx]Liquidity!R25C9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5" s="24"/>
      </tp>
      <tp>
        <v>9547.4</v>
        <stp/>
        <stp>##V3_BDHV12</stp>
        <stp>RCOM IN Equity</stp>
        <stp>BS_TOT_COM_PAPER_ISSUED</stp>
        <stp>FY 2009</stp>
        <stp>FY 2009</stp>
        <stp>[FA1_ymffleas.xlsx]Liquidity!R25C3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5" s="24"/>
      </tp>
      <tp>
        <v>9450</v>
        <stp/>
        <stp>##V3_BDHV12</stp>
        <stp>RCOM IN Equity</stp>
        <stp>BS_TOT_COM_PAPER_ISSUED</stp>
        <stp>FY 2012</stp>
        <stp>FY 2012</stp>
        <stp>[FA1_ymffleas.xlsx]Liquidity!R25C6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5" s="24"/>
      </tp>
      <tp>
        <v>1000</v>
        <stp/>
        <stp>##V3_BDHV12</stp>
        <stp>RCOM IN Equity</stp>
        <stp>BS_TOT_COM_PAPER_ISSUED</stp>
        <stp>FY 2013</stp>
        <stp>FY 2013</stp>
        <stp>[FA1_ymffleas.xlsx]Liquidity!R25C7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5" s="24"/>
      </tp>
      <tp>
        <v>12953.1</v>
        <stp/>
        <stp>##V3_BDHV12</stp>
        <stp>RCOM IN Equity</stp>
        <stp>BS_TOT_COM_PAPER_ISSUED</stp>
        <stp>FY 2010</stp>
        <stp>FY 2010</stp>
        <stp>[FA1_ymffleas.xlsx]Liquidity!R25C4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5" s="24"/>
      </tp>
      <tp>
        <v>1460</v>
        <stp/>
        <stp>##V3_BDHV12</stp>
        <stp>RCOM IN Equity</stp>
        <stp>BS_TOT_COM_PAPER_ISSUED</stp>
        <stp>FY 2011</stp>
        <stp>FY 2011</stp>
        <stp>[FA1_ymffleas.xlsx]Liquidity!R25C5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5" s="24"/>
      </tp>
      <tp>
        <v>-12.2509</v>
        <stp/>
        <stp>##V3_BDHV12</stp>
        <stp>RCOM IN Equity</stp>
        <stp>GEO_GROW_OPER_INC</stp>
        <stp>FY 2013</stp>
        <stp>FY 2013</stp>
        <stp>[FA1_ymffleas.xlsx]Growth!R38C7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38" s="22"/>
      </tp>
      <tp>
        <v>0</v>
        <stp/>
        <stp>##V3_BDHV12</stp>
        <stp>RCOM IN Equity</stp>
        <stp>IS_R&amp;D_EXPENSE_NONGAAP_ADJUST</stp>
        <stp>FY 2017</stp>
        <stp>FY 2017</stp>
        <stp>[FA1_ymffleas.xlsx]Reconciliation!R12C10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" s="12"/>
      </tp>
      <tp>
        <v>0</v>
        <stp/>
        <stp>##V3_BDHV12</stp>
        <stp>RCOM IN Equity</stp>
        <stp>IS_R&amp;D_EXPENSE_NONGAAP_ADJUST</stp>
        <stp>FY 2018</stp>
        <stp>FY 2018</stp>
        <stp>[FA1_ymffleas.xlsx]Reconciliation!R12C11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" s="12"/>
      </tp>
      <tp t="s">
        <v>—</v>
        <stp/>
        <stp>##V3_BDHV12</stp>
        <stp>RCOM IN Equity</stp>
        <stp>T12M_FCF_TO_FIRM_YIELD</stp>
        <stp>FY 2018</stp>
        <stp>FY 2018</stp>
        <stp>[FA1_ymffleas.xlsx]Yield Analysis!R34C12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34" s="26"/>
      </tp>
      <tp t="s">
        <v>—</v>
        <stp/>
        <stp>##V3_BDHV12</stp>
        <stp>RCOM IN Equity</stp>
        <stp>ARDR_ACTUAL_RET_PLAN_ASSETS_OPRB</stp>
        <stp>FY 2018</stp>
        <stp>FY 2018</stp>
        <stp>[FA1_ymffleas.xlsx]Income - As Reported!R131C12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1" s="11"/>
      </tp>
      <tp t="s">
        <v>—</v>
        <stp/>
        <stp>##V3_BDHV12</stp>
        <stp>RCOM IN Equity</stp>
        <stp>ARDR_ACTUAL_RET_PLAN_ASSETS_OPRB</stp>
        <stp>FY 2016</stp>
        <stp>FY 2016</stp>
        <stp>[FA1_ymffleas.xlsx]Income - As Reported!R131C10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1" s="11"/>
      </tp>
      <tp t="s">
        <v>—</v>
        <stp/>
        <stp>##V3_BDHV12</stp>
        <stp>RCOM IN Equity</stp>
        <stp>ARDR_ACTUAL_RET_PLAN_ASSETS_OPRB</stp>
        <stp>FY 2017</stp>
        <stp>FY 2017</stp>
        <stp>[FA1_ymffleas.xlsx]Income - As Reported!R131C11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1" s="11"/>
      </tp>
      <tp t="s">
        <v>—</v>
        <stp/>
        <stp>##V3_BDHV12</stp>
        <stp>RCOM IN Equity</stp>
        <stp>DIVIDEND_PER_SHARE_1_YEAR_GROWTH</stp>
        <stp>FY 2014</stp>
        <stp>FY 2014</stp>
        <stp>[FA1_ymffleas.xlsx]Growth!R14C8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4" s="22"/>
      </tp>
      <tp>
        <v>3.5592999999999999</v>
        <stp/>
        <stp>##V3_BDHV12</stp>
        <stp>RCOM IN Equity</stp>
        <stp>RETURN_ON_INV_CAPITAL</stp>
        <stp>FY 2014</stp>
        <stp>FY 2014</stp>
        <stp>[FA1_ymffleas.xlsx]Profitability!R10C8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0" s="21"/>
      </tp>
      <tp t="s">
        <v>—</v>
        <stp/>
        <stp>##V3_BDHV12</stp>
        <stp>RCOM IN Equity</stp>
        <stp>DIVIDEND_PER_SHARE_1_YEAR_GROWTH</stp>
        <stp>FY 2015</stp>
        <stp>FY 2015</stp>
        <stp>[FA1_ymffleas.xlsx]Growth!R14C9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4" s="22"/>
      </tp>
      <tp>
        <v>-50</v>
        <stp/>
        <stp>##V3_BDHV12</stp>
        <stp>RCOM IN Equity</stp>
        <stp>DIVIDEND_PER_SHARE_1_YEAR_GROWTH</stp>
        <stp>FY 2012</stp>
        <stp>FY 2012</stp>
        <stp>[FA1_ymffleas.xlsx]Growth!R14C6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4" s="22"/>
      </tp>
      <tp>
        <v>12680</v>
        <stp/>
        <stp>##V3_BDHV12</stp>
        <stp>RCOM IN Equity</stp>
        <stp>ARDR_OTH_NON_OPER_INC_EXP_NET</stp>
        <stp>FY 2012</stp>
        <stp>FY 2012</stp>
        <stp>[FA1_ymffleas.xlsx]Income - As Reported!R97C6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7" s="11"/>
      </tp>
      <tp t="s">
        <v>—</v>
        <stp/>
        <stp>##V3_BDHV12</stp>
        <stp>RCOM IN Equity</stp>
        <stp>ARDR_OTH_NON_OPER_INC_EXP_NET</stp>
        <stp>FY 2013</stp>
        <stp>FY 2013</stp>
        <stp>[FA1_ymffleas.xlsx]Income - As Reported!R97C7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7" s="11"/>
      </tp>
      <tp t="s">
        <v>—</v>
        <stp/>
        <stp>##V3_BDHV12</stp>
        <stp>RCOM IN Equity</stp>
        <stp>ARDR_OTH_NON_OPER_INC_EXP_NET</stp>
        <stp>FY 2010</stp>
        <stp>FY 2010</stp>
        <stp>[FA1_ymffleas.xlsx]Income - As Reported!R97C4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7" s="11"/>
      </tp>
      <tp t="s">
        <v>—</v>
        <stp/>
        <stp>##V3_BDHV12</stp>
        <stp>RCOM IN Equity</stp>
        <stp>ARDR_OTH_NON_OPER_INC_EXP_NET</stp>
        <stp>FY 2011</stp>
        <stp>FY 2011</stp>
        <stp>[FA1_ymffleas.xlsx]Income - As Reported!R97C5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7" s="11"/>
      </tp>
      <tp t="s">
        <v>—</v>
        <stp/>
        <stp>##V3_BDHV12</stp>
        <stp>RCOM IN Equity</stp>
        <stp>ARDR_OTH_NON_OPER_INC_EXP_NET</stp>
        <stp>FY 2009</stp>
        <stp>FY 2009</stp>
        <stp>[FA1_ymffleas.xlsx]Income - As Reported!R97C3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7" s="11"/>
      </tp>
      <tp t="s">
        <v>—</v>
        <stp/>
        <stp>##V3_BDHV12</stp>
        <stp>RCOM IN Equity</stp>
        <stp>ARDR_OTH_NON_OPER_INC_EXP_NET</stp>
        <stp>FY 2014</stp>
        <stp>FY 2014</stp>
        <stp>[FA1_ymffleas.xlsx]Income - As Reported!R97C8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7" s="11"/>
      </tp>
      <tp t="s">
        <v>—</v>
        <stp/>
        <stp>##V3_BDHV12</stp>
        <stp>RCOM IN Equity</stp>
        <stp>ARDR_OTH_NON_OPER_INC_EXP_NET</stp>
        <stp>FY 2015</stp>
        <stp>FY 2015</stp>
        <stp>[FA1_ymffleas.xlsx]Income - As Reported!R97C9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7" s="11"/>
      </tp>
      <tp>
        <v>0</v>
        <stp/>
        <stp>##V3_BDHV12</stp>
        <stp>RCOM IN Equity</stp>
        <stp>DIVIDEND_PER_SHARE_1_YEAR_GROWTH</stp>
        <stp>FY 2013</stp>
        <stp>FY 2013</stp>
        <stp>[FA1_ymffleas.xlsx]Growth!R14C7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4" s="22"/>
      </tp>
      <tp>
        <v>6.25</v>
        <stp/>
        <stp>##V3_BDHV12</stp>
        <stp>RCOM IN Equity</stp>
        <stp>DIVIDEND_PER_SHARE_1_YEAR_GROWTH</stp>
        <stp>FY 2010</stp>
        <stp>FY 2010</stp>
        <stp>[FA1_ymffleas.xlsx]Growth!R14C4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4" s="22"/>
      </tp>
      <tp>
        <v>-41.176499999999997</v>
        <stp/>
        <stp>##V3_BDHV12</stp>
        <stp>RCOM IN Equity</stp>
        <stp>DIVIDEND_PER_SHARE_1_YEAR_GROWTH</stp>
        <stp>FY 2011</stp>
        <stp>FY 2011</stp>
        <stp>[FA1_ymffleas.xlsx]Growth!R14C5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4" s="22"/>
      </tp>
      <tp>
        <v>6.6666999999999996</v>
        <stp/>
        <stp>##V3_BDHV12</stp>
        <stp>RCOM IN Equity</stp>
        <stp>DIVIDEND_PER_SHARE_1_YEAR_GROWTH</stp>
        <stp>FY 2009</stp>
        <stp>FY 2009</stp>
        <stp>[FA1_ymffleas.xlsx]Growth!R14C3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4" s="22"/>
      </tp>
      <tp>
        <v>0</v>
        <stp/>
        <stp>##V3_BDHV12</stp>
        <stp>RCOM IN Equity</stp>
        <stp>ARDR_EXP_RETURN_PLAN_ASSETS_OPRB</stp>
        <stp>FY 2017</stp>
        <stp>FY 2017</stp>
        <stp>[FA1_ymffleas.xlsx]Income - As Reported!R130C11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0" s="11"/>
      </tp>
      <tp>
        <v>-10</v>
        <stp/>
        <stp>##V3_BDHV12</stp>
        <stp>RCOM IN Equity</stp>
        <stp>ARDR_EXP_RETURN_PLAN_ASSETS_OPRB</stp>
        <stp>FY 2016</stp>
        <stp>FY 2016</stp>
        <stp>[FA1_ymffleas.xlsx]Income - As Reported!R130C10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0" s="11"/>
      </tp>
      <tp>
        <v>-10</v>
        <stp/>
        <stp>##V3_BDHV12</stp>
        <stp>RCOM IN Equity</stp>
        <stp>ARDR_EXP_RETURN_PLAN_ASSETS_OPRB</stp>
        <stp>FY 2018</stp>
        <stp>FY 2018</stp>
        <stp>[FA1_ymffleas.xlsx]Income - As Reported!R130C12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0" s="11"/>
      </tp>
      <tp t="s">
        <v>—</v>
        <stp/>
        <stp>##V3_BDHV12</stp>
        <stp>RCOM IN Equity</stp>
        <stp>ARDR_LT_INVEST</stp>
        <stp>FY 2015</stp>
        <stp>FY 2015</stp>
        <stp>[FA1_ymffleas.xlsx]Bal Sheet - As Reported!R67C9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7" s="17"/>
      </tp>
      <tp t="s">
        <v>—</v>
        <stp/>
        <stp>##V3_BDHV12</stp>
        <stp>RCOM IN Equity</stp>
        <stp>ARDR_LT_INVEST</stp>
        <stp>FY 2014</stp>
        <stp>FY 2014</stp>
        <stp>[FA1_ymffleas.xlsx]Bal Sheet - As Reported!R67C8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7" s="17"/>
      </tp>
      <tp t="s">
        <v>—</v>
        <stp/>
        <stp>##V3_BDHV12</stp>
        <stp>RCOM IN Equity</stp>
        <stp>ARDR_LT_INVEST</stp>
        <stp>FY 2009</stp>
        <stp>FY 2009</stp>
        <stp>[FA1_ymffleas.xlsx]Bal Sheet - As Reported!R67C3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7" s="17"/>
      </tp>
      <tp t="s">
        <v>—</v>
        <stp/>
        <stp>##V3_BDHV12</stp>
        <stp>RCOM IN Equity</stp>
        <stp>ARDR_LT_INVEST</stp>
        <stp>FY 2013</stp>
        <stp>FY 2013</stp>
        <stp>[FA1_ymffleas.xlsx]Bal Sheet - As Reported!R67C7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7" s="17"/>
      </tp>
      <tp t="s">
        <v>—</v>
        <stp/>
        <stp>##V3_BDHV12</stp>
        <stp>RCOM IN Equity</stp>
        <stp>ARDR_LT_INVEST</stp>
        <stp>FY 2012</stp>
        <stp>FY 2012</stp>
        <stp>[FA1_ymffleas.xlsx]Bal Sheet - As Reported!R67C6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7" s="17"/>
      </tp>
      <tp t="s">
        <v>—</v>
        <stp/>
        <stp>##V3_BDHV12</stp>
        <stp>RCOM IN Equity</stp>
        <stp>ARDR_LT_INVEST</stp>
        <stp>FY 2011</stp>
        <stp>FY 2011</stp>
        <stp>[FA1_ymffleas.xlsx]Bal Sheet - As Reported!R67C5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7" s="17"/>
      </tp>
      <tp t="s">
        <v>—</v>
        <stp/>
        <stp>##V3_BDHV12</stp>
        <stp>RCOM IN Equity</stp>
        <stp>ARDR_LT_INVEST</stp>
        <stp>FY 2010</stp>
        <stp>FY 2010</stp>
        <stp>[FA1_ymffleas.xlsx]Bal Sheet - As Reported!R67C4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7" s="17"/>
      </tp>
      <tp>
        <v>210</v>
        <stp/>
        <stp>##V3_BDHV12</stp>
        <stp>RCOM IN Equity</stp>
        <stp>ARD_MINORITY_NONCONTROL_INTEREST</stp>
        <stp>FY 2016</stp>
        <stp>FY 2016</stp>
        <stp>[FA1_ymffleas.xlsx]Income - As Reported!R41C10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1" s="11"/>
      </tp>
      <tp>
        <v>1200</v>
        <stp/>
        <stp>##V3_BDHV12</stp>
        <stp>RCOM IN Equity</stp>
        <stp>ARD_MINORITY_NONCONTROL_INTEREST</stp>
        <stp>FY 2017</stp>
        <stp>FY 2017</stp>
        <stp>[FA1_ymffleas.xlsx]Income - As Reported!R41C11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1" s="11"/>
      </tp>
      <tp>
        <v>-680</v>
        <stp/>
        <stp>##V3_BDHV12</stp>
        <stp>RCOM IN Equity</stp>
        <stp>ARD_MINORITY_NONCONTROL_INTEREST</stp>
        <stp>FY 2018</stp>
        <stp>FY 2018</stp>
        <stp>[FA1_ymffleas.xlsx]Income - As Reported!R41C12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1" s="11"/>
      </tp>
      <tp>
        <v>6.9932999999999996</v>
        <stp/>
        <stp>##V3_BDHV12</stp>
        <stp>RCOM IN Equity</stp>
        <stp>TOT_DEBT_TO_EBITDA</stp>
        <stp>FY 2013</stp>
        <stp>FY 2013</stp>
        <stp>[FA1_ymffleas.xlsx]Credit!R10C7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0" s="23"/>
      </tp>
      <tp>
        <v>31100</v>
        <stp/>
        <stp>##V3_BDHV12</stp>
        <stp>RCOM IN Equity</stp>
        <stp>TRAIL_12M_EBITDA</stp>
        <stp>FY 2018</stp>
        <stp>FY 2018</stp>
        <stp>[FA1_ymffleas.xlsx]Enterprise Value!R30C11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0" s="5"/>
      </tp>
      <tp>
        <v>46610</v>
        <stp/>
        <stp>##V3_BDHV12</stp>
        <stp>RCOM IN Equity</stp>
        <stp>TRAIL_12M_EBITDA</stp>
        <stp>FY 2017</stp>
        <stp>FY 2017</stp>
        <stp>[FA1_ymffleas.xlsx]Enterprise Value!R30C10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0" s="5"/>
      </tp>
      <tp t="s">
        <v>—</v>
        <stp/>
        <stp>##V3_BDHV12</stp>
        <stp>RCOM IN Equity</stp>
        <stp>ARDR_INTEREST_INCOME_CF</stp>
        <stp>FY 2015</stp>
        <stp>FY 2015</stp>
        <stp>[FA1_ymffleas.xlsx]Cash Flow - As Reported!R50C9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0" s="20"/>
      </tp>
      <tp t="s">
        <v>—</v>
        <stp/>
        <stp>##V3_BDHV12</stp>
        <stp>RCOM IN Equity</stp>
        <stp>ARDR_INTEREST_INCOME_CF</stp>
        <stp>FY 2014</stp>
        <stp>FY 2014</stp>
        <stp>[FA1_ymffleas.xlsx]Cash Flow - As Reported!R50C8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0" s="20"/>
      </tp>
      <tp t="s">
        <v>—</v>
        <stp/>
        <stp>##V3_BDHV12</stp>
        <stp>RCOM IN Equity</stp>
        <stp>ARDR_INTEREST_INCOME_CF</stp>
        <stp>FY 2013</stp>
        <stp>FY 2013</stp>
        <stp>[FA1_ymffleas.xlsx]Cash Flow - As Reported!R50C7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0" s="20"/>
      </tp>
      <tp>
        <v>400</v>
        <stp/>
        <stp>##V3_BDHV12</stp>
        <stp>RCOM IN Equity</stp>
        <stp>ARDR_INTEREST_INCOME_CF</stp>
        <stp>FY 2012</stp>
        <stp>FY 2012</stp>
        <stp>[FA1_ymffleas.xlsx]Cash Flow - As Reported!R50C6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0" s="20"/>
      </tp>
      <tp t="s">
        <v>—</v>
        <stp/>
        <stp>##V3_BDHV12</stp>
        <stp>RCOM IN Equity</stp>
        <stp>ARDR_INTEREST_INCOME_CF</stp>
        <stp>FY 2011</stp>
        <stp>FY 2011</stp>
        <stp>[FA1_ymffleas.xlsx]Cash Flow - As Reported!R50C5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0" s="20"/>
      </tp>
      <tp t="s">
        <v>—</v>
        <stp/>
        <stp>##V3_BDHV12</stp>
        <stp>RCOM IN Equity</stp>
        <stp>ARDR_INTEREST_INCOME_CF</stp>
        <stp>FY 2010</stp>
        <stp>FY 2010</stp>
        <stp>[FA1_ymffleas.xlsx]Cash Flow - As Reported!R50C4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0" s="20"/>
      </tp>
      <tp t="s">
        <v>—</v>
        <stp/>
        <stp>##V3_BDHV12</stp>
        <stp>RCOM IN Equity</stp>
        <stp>ARDR_INTEREST_INCOME_CF</stp>
        <stp>FY 2009</stp>
        <stp>FY 2009</stp>
        <stp>[FA1_ymffleas.xlsx]Cash Flow - As Reported!R50C3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0" s="20"/>
      </tp>
      <tp>
        <v>13830</v>
        <stp/>
        <stp>##V3_BDHV12</stp>
        <stp>RCOM IN Equity</stp>
        <stp>BS_COMMON_STOCK</stp>
        <stp>FY 2018</stp>
        <stp>FY 2018</stp>
        <stp>[FA1_ymffleas.xlsx]Bal Sheet - Standardized!R137C12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7" s="16"/>
      </tp>
      <tp>
        <v>12440</v>
        <stp/>
        <stp>##V3_BDHV12</stp>
        <stp>RCOM IN Equity</stp>
        <stp>BS_COMMON_STOCK</stp>
        <stp>FY 2016</stp>
        <stp>FY 2016</stp>
        <stp>[FA1_ymffleas.xlsx]Bal Sheet - Standardized!R137C10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7" s="16"/>
      </tp>
      <tp>
        <v>12440</v>
        <stp/>
        <stp>##V3_BDHV12</stp>
        <stp>RCOM IN Equity</stp>
        <stp>BS_COMMON_STOCK</stp>
        <stp>FY 2017</stp>
        <stp>FY 2017</stp>
        <stp>[FA1_ymffleas.xlsx]Bal Sheet - Standardized!R137C11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7" s="16"/>
      </tp>
      <tp>
        <v>180</v>
        <stp/>
        <stp>##V3_BDHV12</stp>
        <stp>RCOM IN Equity</stp>
        <stp>ARDR_ACCRUED_INT_RECEIVABLE</stp>
        <stp>FY 2015</stp>
        <stp>FY 2015</stp>
        <stp>[FA1_ymffleas.xlsx]Bal Sheet - As Reported!R117C9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7" s="17"/>
      </tp>
      <tp>
        <v>0</v>
        <stp/>
        <stp>##V3_BDHV12</stp>
        <stp>RCOM IN Equity</stp>
        <stp>ARDR_ACCRUED_INT_RECEIVABLE</stp>
        <stp>FY 2014</stp>
        <stp>FY 2014</stp>
        <stp>[FA1_ymffleas.xlsx]Bal Sheet - As Reported!R117C8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7" s="17"/>
      </tp>
      <tp>
        <v>889.1</v>
        <stp/>
        <stp>##V3_BDHV12</stp>
        <stp>RCOM IN Equity</stp>
        <stp>ARDR_ACCRUED_INT_RECEIVABLE</stp>
        <stp>FY 2009</stp>
        <stp>FY 2009</stp>
        <stp>[FA1_ymffleas.xlsx]Bal Sheet - As Reported!R117C3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7" s="17"/>
      </tp>
      <tp>
        <v>10</v>
        <stp/>
        <stp>##V3_BDHV12</stp>
        <stp>RCOM IN Equity</stp>
        <stp>ARDR_ACCRUED_INT_RECEIVABLE</stp>
        <stp>FY 2013</stp>
        <stp>FY 2013</stp>
        <stp>[FA1_ymffleas.xlsx]Bal Sheet - As Reported!R117C7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7" s="17"/>
      </tp>
      <tp>
        <v>0</v>
        <stp/>
        <stp>##V3_BDHV12</stp>
        <stp>RCOM IN Equity</stp>
        <stp>ARDR_ACCRUED_INT_RECEIVABLE</stp>
        <stp>FY 2012</stp>
        <stp>FY 2012</stp>
        <stp>[FA1_ymffleas.xlsx]Bal Sheet - As Reported!R117C6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7" s="17"/>
      </tp>
      <tp>
        <v>40</v>
        <stp/>
        <stp>##V3_BDHV12</stp>
        <stp>RCOM IN Equity</stp>
        <stp>ARDR_ACCRUED_INT_RECEIVABLE</stp>
        <stp>FY 2011</stp>
        <stp>FY 2011</stp>
        <stp>[FA1_ymffleas.xlsx]Bal Sheet - As Reported!R117C5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7" s="17"/>
      </tp>
      <tp>
        <v>78.7</v>
        <stp/>
        <stp>##V3_BDHV12</stp>
        <stp>RCOM IN Equity</stp>
        <stp>ARDR_ACCRUED_INT_RECEIVABLE</stp>
        <stp>FY 2010</stp>
        <stp>FY 2010</stp>
        <stp>[FA1_ymffleas.xlsx]Bal Sheet - As Reported!R117C4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7" s="17"/>
      </tp>
      <tp>
        <v>3.6962999999999999</v>
        <stp/>
        <stp>##V3_BDHV12</stp>
        <stp>RCOM IN Equity</stp>
        <stp>CASH_FLOW_TO_NET_INC</stp>
        <stp>FY 2014</stp>
        <stp>FY 2014</stp>
        <stp>[FA1_ymffleas.xlsx]Cash Flow - Standardized!R66C7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66" s="19"/>
      </tp>
      <tp>
        <v>28.646100000000001</v>
        <stp/>
        <stp>##V3_BDHV12</stp>
        <stp>RCOM IN Equity</stp>
        <stp>COM_EQY_TO_TOT_ASSET</stp>
        <stp>FY 2017</stp>
        <stp>FY 2017</stp>
        <stp>[FA1_ymffleas.xlsx]Credit!R27C11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7" s="23"/>
      </tp>
      <tp>
        <v>30.528500000000001</v>
        <stp/>
        <stp>##V3_BDHV12</stp>
        <stp>RCOM IN Equity</stp>
        <stp>COM_EQY_TO_TOT_ASSET</stp>
        <stp>FY 2016</stp>
        <stp>FY 2016</stp>
        <stp>[FA1_ymffleas.xlsx]Credit!R27C10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7" s="23"/>
      </tp>
      <tp>
        <v>3.7317</v>
        <stp/>
        <stp>##V3_BDHV12</stp>
        <stp>RCOM IN Equity</stp>
        <stp>COM_EQY_TO_TOT_ASSET</stp>
        <stp>FY 2018</stp>
        <stp>FY 2018</stp>
        <stp>[FA1_ymffleas.xlsx]Credit!R27C12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7" s="23"/>
      </tp>
      <tp>
        <v>-4.4940999999999995</v>
        <stp/>
        <stp>##V3_BDHV12</stp>
        <stp>RCOM IN Equity</stp>
        <stp>FREE_CASH_FLOW_PER_SH</stp>
        <stp>FY 2016</stp>
        <stp>FY 2016</stp>
        <stp>[FA1_ymffleas.xlsx]Addl - Overview!R36C9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6" s="29"/>
      </tp>
      <tp>
        <v>-8.6121999999999996</v>
        <stp/>
        <stp>##V3_BDHV12</stp>
        <stp>RCOM IN Equity</stp>
        <stp>FREE_CASH_FLOW_PER_SH</stp>
        <stp>FY 2015</stp>
        <stp>FY 2015</stp>
        <stp>[FA1_ymffleas.xlsx]Addl - Overview!R36C8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6" s="29"/>
      </tp>
      <tp>
        <v>8.2606000000000002</v>
        <stp/>
        <stp>##V3_BDHV12</stp>
        <stp>RCOM IN Equity</stp>
        <stp>FREE_CASH_FLOW_PER_SH</stp>
        <stp>FY 2014</stp>
        <stp>FY 2014</stp>
        <stp>[FA1_ymffleas.xlsx]Addl - Overview!R36C7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6" s="29"/>
      </tp>
      <tp>
        <v>-3.6046</v>
        <stp/>
        <stp>##V3_BDHV12</stp>
        <stp>RCOM IN Equity</stp>
        <stp>FREE_CASH_FLOW_PER_SH</stp>
        <stp>FY 2013</stp>
        <stp>FY 2013</stp>
        <stp>[FA1_ymffleas.xlsx]Addl - Overview!R36C6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6" s="29"/>
      </tp>
      <tp>
        <v>0</v>
        <stp/>
        <stp>##V3_BDHV12</stp>
        <stp>RCOM IN Equity</stp>
        <stp>CF_NET_CASH_DISCONT_OPS_OPER</stp>
        <stp>FY 2016</stp>
        <stp>FY 2016</stp>
        <stp>[FA1_ymffleas.xlsx]Cash Flow - Standardized!R15C9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" s="19"/>
      </tp>
      <tp>
        <v>0</v>
        <stp/>
        <stp>##V3_BDHV12</stp>
        <stp>RCOM IN Equity</stp>
        <stp>CF_NET_CASH_DISCONT_OPS_OPER</stp>
        <stp>FY 2015</stp>
        <stp>FY 2015</stp>
        <stp>[FA1_ymffleas.xlsx]Cash Flow - Standardized!R15C8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" s="19"/>
      </tp>
      <tp>
        <v>0</v>
        <stp/>
        <stp>##V3_BDHV12</stp>
        <stp>RCOM IN Equity</stp>
        <stp>CF_NET_CASH_DISCONT_OPS_OPER</stp>
        <stp>FY 2012</stp>
        <stp>FY 2012</stp>
        <stp>[FA1_ymffleas.xlsx]Cash Flow - Standardized!R15C5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" s="19"/>
      </tp>
      <tp>
        <v>0</v>
        <stp/>
        <stp>##V3_BDHV12</stp>
        <stp>RCOM IN Equity</stp>
        <stp>CF_NET_CASH_DISCONT_OPS_OPER</stp>
        <stp>FY 2011</stp>
        <stp>FY 2011</stp>
        <stp>[FA1_ymffleas.xlsx]Cash Flow - Standardized!R15C4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" s="19"/>
      </tp>
      <tp>
        <v>0</v>
        <stp/>
        <stp>##V3_BDHV12</stp>
        <stp>RCOM IN Equity</stp>
        <stp>CF_NET_CASH_DISCONT_OPS_OPER</stp>
        <stp>FY 2014</stp>
        <stp>FY 2014</stp>
        <stp>[FA1_ymffleas.xlsx]Cash Flow - Standardized!R15C7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" s="19"/>
      </tp>
      <tp>
        <v>0</v>
        <stp/>
        <stp>##V3_BDHV12</stp>
        <stp>RCOM IN Equity</stp>
        <stp>CF_NET_CASH_DISCONT_OPS_OPER</stp>
        <stp>FY 2013</stp>
        <stp>FY 2013</stp>
        <stp>[FA1_ymffleas.xlsx]Cash Flow - Standardized!R15C6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" s="19"/>
      </tp>
      <tp>
        <v>0</v>
        <stp/>
        <stp>##V3_BDHV12</stp>
        <stp>RCOM IN Equity</stp>
        <stp>CF_NET_CASH_DISCONT_OPS_OPER</stp>
        <stp>FY 2010</stp>
        <stp>FY 2010</stp>
        <stp>[FA1_ymffleas.xlsx]Cash Flow - Standardized!R15C3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" s="19"/>
      </tp>
      <tp>
        <v>-3.7645</v>
        <stp/>
        <stp>##V3_BDHV12</stp>
        <stp>RCOM IN Equity</stp>
        <stp>FREE_CASH_FLOW_PER_SH</stp>
        <stp>FY 2012</stp>
        <stp>FY 2012</stp>
        <stp>[FA1_ymffleas.xlsx]Addl - Overview!R36C5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6" s="29"/>
      </tp>
      <tp>
        <v>-44.839500000000001</v>
        <stp/>
        <stp>##V3_BDHV12</stp>
        <stp>RCOM IN Equity</stp>
        <stp>FREE_CASH_FLOW_PER_SH</stp>
        <stp>FY 2011</stp>
        <stp>FY 2011</stp>
        <stp>[FA1_ymffleas.xlsx]Addl - Overview!R36C4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6" s="29"/>
      </tp>
      <tp>
        <v>3.2926000000000002</v>
        <stp/>
        <stp>##V3_BDHV12</stp>
        <stp>RCOM IN Equity</stp>
        <stp>FREE_CASH_FLOW_PER_SH</stp>
        <stp>FY 2010</stp>
        <stp>FY 2010</stp>
        <stp>[FA1_ymffleas.xlsx]Addl - Overview!R36C3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6" s="29"/>
      </tp>
      <tp>
        <v>-15.7776</v>
        <stp/>
        <stp>##V3_BDHV12</stp>
        <stp>RCOM IN Equity</stp>
        <stp>GEO_GROW_OPER_INC</stp>
        <stp>FY 2014</stp>
        <stp>FY 2014</stp>
        <stp>[FA1_ymffleas.xlsx]Growth!R38C8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38" s="22"/>
      </tp>
      <tp t="s">
        <v>—</v>
        <stp/>
        <stp>##V3_BDHV12</stp>
        <stp>RCOM IN Equity</stp>
        <stp>ARDR_UNBILLED_REVENUE</stp>
        <stp>FY 2012</stp>
        <stp>FY 2012</stp>
        <stp>[FA1_ymffleas.xlsx]Bal Sheet - As Reported!R111C6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1" s="17"/>
      </tp>
      <tp t="s">
        <v>—</v>
        <stp/>
        <stp>##V3_BDHV12</stp>
        <stp>RCOM IN Equity</stp>
        <stp>ARDR_UNBILLED_REVENUE</stp>
        <stp>FY 2013</stp>
        <stp>FY 2013</stp>
        <stp>[FA1_ymffleas.xlsx]Bal Sheet - As Reported!R111C7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1" s="17"/>
      </tp>
      <tp t="s">
        <v>—</v>
        <stp/>
        <stp>##V3_BDHV12</stp>
        <stp>RCOM IN Equity</stp>
        <stp>ARDR_UNBILLED_REVENUE</stp>
        <stp>FY 2010</stp>
        <stp>FY 2010</stp>
        <stp>[FA1_ymffleas.xlsx]Bal Sheet - As Reported!R111C4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1" s="17"/>
      </tp>
      <tp t="s">
        <v>—</v>
        <stp/>
        <stp>##V3_BDHV12</stp>
        <stp>RCOM IN Equity</stp>
        <stp>ARDR_UNBILLED_REVENUE</stp>
        <stp>FY 2011</stp>
        <stp>FY 2011</stp>
        <stp>[FA1_ymffleas.xlsx]Bal Sheet - As Reported!R111C5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1" s="17"/>
      </tp>
      <tp t="s">
        <v>—</v>
        <stp/>
        <stp>##V3_BDHV12</stp>
        <stp>RCOM IN Equity</stp>
        <stp>ARDR_UNBILLED_REVENUE</stp>
        <stp>FY 2009</stp>
        <stp>FY 2009</stp>
        <stp>[FA1_ymffleas.xlsx]Bal Sheet - As Reported!R111C3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1" s="17"/>
      </tp>
      <tp t="s">
        <v>—</v>
        <stp/>
        <stp>##V3_BDHV12</stp>
        <stp>RCOM IN Equity</stp>
        <stp>ARDR_UNBILLED_REVENUE</stp>
        <stp>FY 2014</stp>
        <stp>FY 2014</stp>
        <stp>[FA1_ymffleas.xlsx]Bal Sheet - As Reported!R111C8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1" s="17"/>
      </tp>
      <tp t="s">
        <v>—</v>
        <stp/>
        <stp>##V3_BDHV12</stp>
        <stp>RCOM IN Equity</stp>
        <stp>ARDR_UNBILLED_REVENUE</stp>
        <stp>FY 2015</stp>
        <stp>FY 2015</stp>
        <stp>[FA1_ymffleas.xlsx]Bal Sheet - As Reported!R111C9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1" s="17"/>
      </tp>
      <tp>
        <v>183608.5</v>
        <stp/>
        <stp>##V3_BDHV12</stp>
        <stp>RCOM IN Equity</stp>
        <stp>ARDR_LICENSES</stp>
        <stp>FY 2009</stp>
        <stp>FY 2009</stp>
        <stp>[FA1_ymffleas.xlsx]Bal Sheet - As Reported!R129C3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9" s="17"/>
      </tp>
      <tp>
        <v>226550</v>
        <stp/>
        <stp>##V3_BDHV12</stp>
        <stp>RCOM IN Equity</stp>
        <stp>ARDR_LICENSES</stp>
        <stp>FY 2012</stp>
        <stp>FY 2012</stp>
        <stp>[FA1_ymffleas.xlsx]Bal Sheet - As Reported!R129C6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9" s="17"/>
      </tp>
      <tp>
        <v>208810</v>
        <stp/>
        <stp>##V3_BDHV12</stp>
        <stp>RCOM IN Equity</stp>
        <stp>ARDR_LICENSES</stp>
        <stp>FY 2013</stp>
        <stp>FY 2013</stp>
        <stp>[FA1_ymffleas.xlsx]Bal Sheet - As Reported!R129C7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9" s="17"/>
      </tp>
      <tp>
        <v>168177.7</v>
        <stp/>
        <stp>##V3_BDHV12</stp>
        <stp>RCOM IN Equity</stp>
        <stp>ARDR_LICENSES</stp>
        <stp>FY 2010</stp>
        <stp>FY 2010</stp>
        <stp>[FA1_ymffleas.xlsx]Bal Sheet - As Reported!R129C4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9" s="17"/>
      </tp>
      <tp>
        <v>152670</v>
        <stp/>
        <stp>##V3_BDHV12</stp>
        <stp>RCOM IN Equity</stp>
        <stp>ARDR_LICENSES</stp>
        <stp>FY 2011</stp>
        <stp>FY 2011</stp>
        <stp>[FA1_ymffleas.xlsx]Bal Sheet - As Reported!R129C5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9" s="17"/>
      </tp>
      <tp>
        <v>188580</v>
        <stp/>
        <stp>##V3_BDHV12</stp>
        <stp>RCOM IN Equity</stp>
        <stp>ARDR_LICENSES</stp>
        <stp>FY 2014</stp>
        <stp>FY 2014</stp>
        <stp>[FA1_ymffleas.xlsx]Bal Sheet - As Reported!R129C8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9" s="17"/>
      </tp>
      <tp>
        <v>167640</v>
        <stp/>
        <stp>##V3_BDHV12</stp>
        <stp>RCOM IN Equity</stp>
        <stp>ARDR_LICENSES</stp>
        <stp>FY 2015</stp>
        <stp>FY 2015</stp>
        <stp>[FA1_ymffleas.xlsx]Bal Sheet - As Reported!R129C9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9" s="17"/>
      </tp>
      <tp t="s">
        <v>—</v>
        <stp/>
        <stp>##V3_BDHV12</stp>
        <stp>RCOM IN Equity</stp>
        <stp>ARD_SALES_OTHER_INCOME</stp>
        <stp>FY 2016</stp>
        <stp>FY 2016</stp>
        <stp>[FA1_ymffleas.xlsx]Income - As Reported!R10C10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" s="11"/>
      </tp>
      <tp t="s">
        <v>—</v>
        <stp/>
        <stp>##V3_BDHV12</stp>
        <stp>RCOM IN Equity</stp>
        <stp>ARD_SALES_OTHER_INCOME</stp>
        <stp>FY 2017</stp>
        <stp>FY 2017</stp>
        <stp>[FA1_ymffleas.xlsx]Income - As Reported!R10C11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" s="11"/>
      </tp>
      <tp t="s">
        <v>—</v>
        <stp/>
        <stp>##V3_BDHV12</stp>
        <stp>RCOM IN Equity</stp>
        <stp>ARD_SALES_OTHER_INCOME</stp>
        <stp>FY 2018</stp>
        <stp>FY 2018</stp>
        <stp>[FA1_ymffleas.xlsx]Income - As Reported!R10C12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" s="11"/>
      </tp>
      <tp>
        <v>-238390</v>
        <stp/>
        <stp>##V3_BDHV12</stp>
        <stp>RCOM IN Equity</stp>
        <stp>CF_NET_INC</stp>
        <stp>FY 2018</stp>
        <stp>FY 2018</stp>
        <stp>[FA1_ymffleas.xlsx]Cash Flow - Standardized!R7C11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" s="19"/>
      </tp>
      <tp>
        <v>-14030</v>
        <stp/>
        <stp>##V3_BDHV12</stp>
        <stp>RCOM IN Equity</stp>
        <stp>CF_NET_INC</stp>
        <stp>FY 2017</stp>
        <stp>FY 2017</stp>
        <stp>[FA1_ymffleas.xlsx]Cash Flow - Standardized!R7C10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" s="19"/>
      </tp>
      <tp>
        <v>737344.5</v>
        <stp/>
        <stp>##V3_BDHV12</stp>
        <stp>RCOM IN Equity</stp>
        <stp>BS_TOT_CAP</stp>
        <stp>FY 2010</stp>
        <stp>FY 2010</stp>
        <stp>[FA1_ymffleas.xlsx]Enterprise Value!R13C3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" s="5"/>
      </tp>
      <tp>
        <v>803940</v>
        <stp/>
        <stp>##V3_BDHV12</stp>
        <stp>RCOM IN Equity</stp>
        <stp>BS_TOT_CAP</stp>
        <stp>FY 2011</stp>
        <stp>FY 2011</stp>
        <stp>[FA1_ymffleas.xlsx]Enterprise Value!R13C4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" s="5"/>
      </tp>
      <tp>
        <v>754590</v>
        <stp/>
        <stp>##V3_BDHV12</stp>
        <stp>RCOM IN Equity</stp>
        <stp>BS_TOT_CAP</stp>
        <stp>FY 2012</stp>
        <stp>FY 2012</stp>
        <stp>[FA1_ymffleas.xlsx]Enterprise Value!R13C5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" s="5"/>
      </tp>
      <tp>
        <v>761220</v>
        <stp/>
        <stp>##V3_BDHV12</stp>
        <stp>RCOM IN Equity</stp>
        <stp>BS_TOT_CAP</stp>
        <stp>FY 2013</stp>
        <stp>FY 2013</stp>
        <stp>[FA1_ymffleas.xlsx]Enterprise Value!R13C6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" s="5"/>
      </tp>
      <tp>
        <v>758070</v>
        <stp/>
        <stp>##V3_BDHV12</stp>
        <stp>RCOM IN Equity</stp>
        <stp>BS_TOT_CAP</stp>
        <stp>FY 2014</stp>
        <stp>FY 2014</stp>
        <stp>[FA1_ymffleas.xlsx]Enterprise Value!R13C7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" s="5"/>
      </tp>
      <tp>
        <v>784120</v>
        <stp/>
        <stp>##V3_BDHV12</stp>
        <stp>RCOM IN Equity</stp>
        <stp>BS_TOT_CAP</stp>
        <stp>FY 2015</stp>
        <stp>FY 2015</stp>
        <stp>[FA1_ymffleas.xlsx]Enterprise Value!R13C8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" s="5"/>
      </tp>
      <tp>
        <v>754820</v>
        <stp/>
        <stp>##V3_BDHV12</stp>
        <stp>RCOM IN Equity</stp>
        <stp>BS_TOT_CAP</stp>
        <stp>FY 2016</stp>
        <stp>FY 2016</stp>
        <stp>[FA1_ymffleas.xlsx]Enterprise Value!R13C9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" s="5"/>
      </tp>
      <tp>
        <v>50</v>
        <stp/>
        <stp>##V3_BDHV12</stp>
        <stp>RCOM IN Equity</stp>
        <stp>ARDR_AUDITOR_REMEN_AUDIT</stp>
        <stp>FY 2018</stp>
        <stp>FY 2018</stp>
        <stp>[FA1_ymffleas.xlsx]Income - As Reported!R100C12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0" s="11"/>
      </tp>
      <tp>
        <v>80</v>
        <stp/>
        <stp>##V3_BDHV12</stp>
        <stp>RCOM IN Equity</stp>
        <stp>ARDR_AUDITOR_REMEN_AUDIT</stp>
        <stp>FY 2017</stp>
        <stp>FY 2017</stp>
        <stp>[FA1_ymffleas.xlsx]Income - As Reported!R100C11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0" s="11"/>
      </tp>
      <tp>
        <v>90</v>
        <stp/>
        <stp>##V3_BDHV12</stp>
        <stp>RCOM IN Equity</stp>
        <stp>ARDR_AUDITOR_REMEN_AUDIT</stp>
        <stp>FY 2016</stp>
        <stp>FY 2016</stp>
        <stp>[FA1_ymffleas.xlsx]Income - As Reported!R100C10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0" s="11"/>
      </tp>
      <tp>
        <v>17830</v>
        <stp/>
        <stp>##V3_BDHV12</stp>
        <stp>RCOM IN Equity</stp>
        <stp>BS_OTHER_CUR_ASSET_LESS_PREPAY</stp>
        <stp>FY 2018</stp>
        <stp>FY 2018</stp>
        <stp>[FA1_ymffleas.xlsx]Bal Sheet - Standardized!R39C12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9" s="16"/>
      </tp>
      <tp>
        <v>17950</v>
        <stp/>
        <stp>##V3_BDHV12</stp>
        <stp>RCOM IN Equity</stp>
        <stp>BS_OTHER_CUR_ASSET_LESS_PREPAY</stp>
        <stp>FY 2017</stp>
        <stp>FY 2017</stp>
        <stp>[FA1_ymffleas.xlsx]Bal Sheet - Standardized!R39C11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9" s="16"/>
      </tp>
      <tp>
        <v>17680</v>
        <stp/>
        <stp>##V3_BDHV12</stp>
        <stp>RCOM IN Equity</stp>
        <stp>BS_OTHER_CUR_ASSET_LESS_PREPAY</stp>
        <stp>FY 2016</stp>
        <stp>FY 2016</stp>
        <stp>[FA1_ymffleas.xlsx]Bal Sheet - Standardized!R39C10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9" s="16"/>
      </tp>
      <tp>
        <v>2.9590000000000001</v>
        <stp/>
        <stp>##V3_BDHV12</stp>
        <stp>RCOM IN Equity</stp>
        <stp>RETURN_ON_INV_CAPITAL</stp>
        <stp>FY 2015</stp>
        <stp>FY 2015</stp>
        <stp>[FA1_ymffleas.xlsx]Profitability!R10C9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0" s="21"/>
      </tp>
      <tp>
        <v>6.6097000000000001</v>
        <stp/>
        <stp>##V3_BDHV12</stp>
        <stp>RCOM IN Equity</stp>
        <stp>TOT_DEBT_TO_EBITDA</stp>
        <stp>FY 2012</stp>
        <stp>FY 2012</stp>
        <stp>[FA1_ymffleas.xlsx]Credit!R10C6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0" s="23"/>
      </tp>
      <tp>
        <v>0.85</v>
        <stp/>
        <stp>##V3_BDHV12</stp>
        <stp>RCOM IN Equity</stp>
        <stp>EQY_DPS</stp>
        <stp>FY 2010</stp>
        <stp>FY 2010</stp>
        <stp>[FA1_ymffleas.xlsx]Income - Adjusted!R128C3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28" s="9"/>
      </tp>
      <tp>
        <v>0</v>
        <stp/>
        <stp>##V3_BDHV12</stp>
        <stp>RCOM IN Equity</stp>
        <stp>EQY_DPS</stp>
        <stp>FY 2014</stp>
        <stp>FY 2014</stp>
        <stp>[FA1_ymffleas.xlsx]Income - Adjusted!R128C7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28" s="9"/>
      </tp>
      <tp>
        <v>0.25</v>
        <stp/>
        <stp>##V3_BDHV12</stp>
        <stp>RCOM IN Equity</stp>
        <stp>EQY_DPS</stp>
        <stp>FY 2013</stp>
        <stp>FY 2013</stp>
        <stp>[FA1_ymffleas.xlsx]Income - Adjusted!R128C6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28" s="9"/>
      </tp>
      <tp>
        <v>0.25</v>
        <stp/>
        <stp>##V3_BDHV12</stp>
        <stp>RCOM IN Equity</stp>
        <stp>EQY_DPS</stp>
        <stp>FY 2012</stp>
        <stp>FY 2012</stp>
        <stp>[FA1_ymffleas.xlsx]Income - Adjusted!R128C5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28" s="9"/>
      </tp>
      <tp>
        <v>0.5</v>
        <stp/>
        <stp>##V3_BDHV12</stp>
        <stp>RCOM IN Equity</stp>
        <stp>EQY_DPS</stp>
        <stp>FY 2011</stp>
        <stp>FY 2011</stp>
        <stp>[FA1_ymffleas.xlsx]Income - Adjusted!R128C4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28" s="9"/>
      </tp>
      <tp>
        <v>0</v>
        <stp/>
        <stp>##V3_BDHV12</stp>
        <stp>RCOM IN Equity</stp>
        <stp>EQY_DPS</stp>
        <stp>FY 2016</stp>
        <stp>FY 2016</stp>
        <stp>[FA1_ymffleas.xlsx]Income - Adjusted!R128C9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28" s="9"/>
      </tp>
      <tp>
        <v>0</v>
        <stp/>
        <stp>##V3_BDHV12</stp>
        <stp>RCOM IN Equity</stp>
        <stp>EQY_DPS</stp>
        <stp>FY 2015</stp>
        <stp>FY 2015</stp>
        <stp>[FA1_ymffleas.xlsx]Income - Adjusted!R128C8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28" s="9"/>
      </tp>
      <tp t="s">
        <v>—</v>
        <stp/>
        <stp>##V3_BDHV12</stp>
        <stp>RCOM IN Equity</stp>
        <stp>NUM_OF_EMPLOYEES</stp>
        <stp>FY 2017</stp>
        <stp>FY 2017</stp>
        <stp>[FA1_ymffleas.xlsx]Addl - Overview!R7C10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" s="29"/>
      </tp>
      <tp t="s">
        <v>—</v>
        <stp/>
        <stp>##V3_BDHV12</stp>
        <stp>RCOM IN Equity</stp>
        <stp>NUM_OF_EMPLOYEES</stp>
        <stp>FY 2018</stp>
        <stp>FY 2018</stp>
        <stp>[FA1_ymffleas.xlsx]Addl - Overview!R7C11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" s="29"/>
      </tp>
      <tp>
        <v>2.0387</v>
        <stp/>
        <stp>##V3_BDHV12</stp>
        <stp>RCOM IN Equity</stp>
        <stp>CASH_FLOW_TO_NET_INC</stp>
        <stp>FY 2013</stp>
        <stp>FY 2013</stp>
        <stp>[FA1_ymffleas.xlsx]Cash Flow - Standardized!R66C6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66" s="19"/>
      </tp>
      <tp>
        <v>17000</v>
        <stp/>
        <stp>##V3_BDHV12</stp>
        <stp>RCOM IN Equity</stp>
        <stp>ARDR_UNSECURED_DEBT</stp>
        <stp>FY 2015</stp>
        <stp>FY 2015</stp>
        <stp>[FA1_ymffleas.xlsx]Bal Sheet - As Reported!R118C9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8" s="17"/>
      </tp>
      <tp>
        <v>31790</v>
        <stp/>
        <stp>##V3_BDHV12</stp>
        <stp>RCOM IN Equity</stp>
        <stp>ARDR_UNSECURED_DEBT</stp>
        <stp>FY 2014</stp>
        <stp>FY 2014</stp>
        <stp>[FA1_ymffleas.xlsx]Bal Sheet - As Reported!R118C8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8" s="17"/>
      </tp>
      <tp>
        <v>361622.5</v>
        <stp/>
        <stp>##V3_BDHV12</stp>
        <stp>RCOM IN Equity</stp>
        <stp>ARDR_UNSECURED_DEBT</stp>
        <stp>FY 2009</stp>
        <stp>FY 2009</stp>
        <stp>[FA1_ymffleas.xlsx]Bal Sheet - As Reported!R118C3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8" s="17"/>
      </tp>
      <tp>
        <v>20070</v>
        <stp/>
        <stp>##V3_BDHV12</stp>
        <stp>RCOM IN Equity</stp>
        <stp>ARDR_UNSECURED_DEBT</stp>
        <stp>FY 2013</stp>
        <stp>FY 2013</stp>
        <stp>[FA1_ymffleas.xlsx]Bal Sheet - As Reported!R118C7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8" s="17"/>
      </tp>
      <tp>
        <v>23390</v>
        <stp/>
        <stp>##V3_BDHV12</stp>
        <stp>RCOM IN Equity</stp>
        <stp>ARDR_UNSECURED_DEBT</stp>
        <stp>FY 2012</stp>
        <stp>FY 2012</stp>
        <stp>[FA1_ymffleas.xlsx]Bal Sheet - As Reported!R118C6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8" s="17"/>
      </tp>
      <tp>
        <v>173780</v>
        <stp/>
        <stp>##V3_BDHV12</stp>
        <stp>RCOM IN Equity</stp>
        <stp>ARDR_UNSECURED_DEBT</stp>
        <stp>FY 2011</stp>
        <stp>FY 2011</stp>
        <stp>[FA1_ymffleas.xlsx]Bal Sheet - As Reported!R118C5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8" s="17"/>
      </tp>
      <tp>
        <v>267154.2</v>
        <stp/>
        <stp>##V3_BDHV12</stp>
        <stp>RCOM IN Equity</stp>
        <stp>ARDR_UNSECURED_DEBT</stp>
        <stp>FY 2010</stp>
        <stp>FY 2010</stp>
        <stp>[FA1_ymffleas.xlsx]Bal Sheet - As Reported!R118C4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8" s="17"/>
      </tp>
      <tp t="s">
        <v>—</v>
        <stp/>
        <stp>##V3_BDHV12</stp>
        <stp>RCOM IN Equity</stp>
        <stp>ARD_SALES_OTHER_INCOME</stp>
        <stp>FY 2015</stp>
        <stp>FY 2015</stp>
        <stp>[FA1_ymffleas.xlsx]Income - As Reported!R10C9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" s="11"/>
      </tp>
      <tp t="s">
        <v>—</v>
        <stp/>
        <stp>##V3_BDHV12</stp>
        <stp>RCOM IN Equity</stp>
        <stp>ARD_SALES_OTHER_INCOME</stp>
        <stp>FY 2014</stp>
        <stp>FY 2014</stp>
        <stp>[FA1_ymffleas.xlsx]Income - As Reported!R10C8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" s="11"/>
      </tp>
      <tp t="s">
        <v>—</v>
        <stp/>
        <stp>##V3_BDHV12</stp>
        <stp>RCOM IN Equity</stp>
        <stp>ARD_SALES_OTHER_INCOME</stp>
        <stp>FY 2009</stp>
        <stp>FY 2009</stp>
        <stp>[FA1_ymffleas.xlsx]Income - As Reported!R10C3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" s="11"/>
      </tp>
      <tp t="s">
        <v>—</v>
        <stp/>
        <stp>##V3_BDHV12</stp>
        <stp>RCOM IN Equity</stp>
        <stp>ARD_SALES_OTHER_INCOME</stp>
        <stp>FY 2011</stp>
        <stp>FY 2011</stp>
        <stp>[FA1_ymffleas.xlsx]Income - As Reported!R10C5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" s="11"/>
      </tp>
      <tp t="s">
        <v>—</v>
        <stp/>
        <stp>##V3_BDHV12</stp>
        <stp>RCOM IN Equity</stp>
        <stp>ARD_SALES_OTHER_INCOME</stp>
        <stp>FY 2010</stp>
        <stp>FY 2010</stp>
        <stp>[FA1_ymffleas.xlsx]Income - As Reported!R10C4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" s="11"/>
      </tp>
      <tp t="s">
        <v>—</v>
        <stp/>
        <stp>##V3_BDHV12</stp>
        <stp>RCOM IN Equity</stp>
        <stp>ARD_SALES_OTHER_INCOME</stp>
        <stp>FY 2013</stp>
        <stp>FY 2013</stp>
        <stp>[FA1_ymffleas.xlsx]Income - As Reported!R10C7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" s="11"/>
      </tp>
      <tp>
        <v>203820</v>
        <stp/>
        <stp>##V3_BDHV12</stp>
        <stp>RCOM IN Equity</stp>
        <stp>ARD_SALES_OTHER_INCOME</stp>
        <stp>FY 2012</stp>
        <stp>FY 2012</stp>
        <stp>[FA1_ymffleas.xlsx]Income - As Reported!R10C6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" s="11"/>
      </tp>
      <tp t="s">
        <v>—</v>
        <stp/>
        <stp>##V3_BDHV12</stp>
        <stp>RCOM IN Equity</stp>
        <stp>INVTRY_RAW_MATERIALS</stp>
        <stp>FY 2013</stp>
        <stp>FY 2013</stp>
        <stp>[FA1_ymffleas.xlsx]Working Capital!R17C7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" s="25"/>
      </tp>
      <tp t="s">
        <v>—</v>
        <stp/>
        <stp>##V3_BDHV12</stp>
        <stp>RCOM IN Equity</stp>
        <stp>INVTRY_RAW_MATERIALS</stp>
        <stp>FY 2012</stp>
        <stp>FY 2012</stp>
        <stp>[FA1_ymffleas.xlsx]Working Capital!R17C6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" s="25"/>
      </tp>
      <tp t="s">
        <v>—</v>
        <stp/>
        <stp>##V3_BDHV12</stp>
        <stp>RCOM IN Equity</stp>
        <stp>INVTRY_RAW_MATERIALS</stp>
        <stp>FY 2011</stp>
        <stp>FY 2011</stp>
        <stp>[FA1_ymffleas.xlsx]Working Capital!R17C5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" s="25"/>
      </tp>
      <tp t="s">
        <v>—</v>
        <stp/>
        <stp>##V3_BDHV12</stp>
        <stp>RCOM IN Equity</stp>
        <stp>INVTRY_RAW_MATERIALS</stp>
        <stp>FY 2010</stp>
        <stp>FY 2010</stp>
        <stp>[FA1_ymffleas.xlsx]Working Capital!R17C4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" s="25"/>
      </tp>
      <tp t="s">
        <v>—</v>
        <stp/>
        <stp>##V3_BDHV12</stp>
        <stp>RCOM IN Equity</stp>
        <stp>INVTRY_RAW_MATERIALS</stp>
        <stp>FY 2009</stp>
        <stp>FY 2009</stp>
        <stp>[FA1_ymffleas.xlsx]Working Capital!R17C3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" s="25"/>
      </tp>
      <tp>
        <v>0</v>
        <stp/>
        <stp>##V3_BDHV12</stp>
        <stp>RCOM IN Equity</stp>
        <stp>INVTRY_RAW_MATERIALS</stp>
        <stp>FY 2015</stp>
        <stp>FY 2015</stp>
        <stp>[FA1_ymffleas.xlsx]Working Capital!R17C9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" s="25"/>
      </tp>
      <tp t="s">
        <v>—</v>
        <stp/>
        <stp>##V3_BDHV12</stp>
        <stp>RCOM IN Equity</stp>
        <stp>INVTRY_RAW_MATERIALS</stp>
        <stp>FY 2014</stp>
        <stp>FY 2014</stp>
        <stp>[FA1_ymffleas.xlsx]Working Capital!R17C8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" s="25"/>
      </tp>
      <tp>
        <v>1034540</v>
        <stp/>
        <stp>##V3_BDHV12</stp>
        <stp>RCOM IN Equity</stp>
        <stp>TOT_LIAB_AND_EQY</stp>
        <stp>FY 2016</stp>
        <stp>FY 2016</stp>
        <stp>[FA1_ymffleas.xlsx]Bal Sheet - Standardized!R153C10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3" s="16"/>
      </tp>
      <tp>
        <v>997310</v>
        <stp/>
        <stp>##V3_BDHV12</stp>
        <stp>RCOM IN Equity</stp>
        <stp>TOT_LIAB_AND_EQY</stp>
        <stp>FY 2017</stp>
        <stp>FY 2017</stp>
        <stp>[FA1_ymffleas.xlsx]Bal Sheet - Standardized!R153C11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3" s="16"/>
      </tp>
      <tp>
        <v>745780</v>
        <stp/>
        <stp>##V3_BDHV12</stp>
        <stp>RCOM IN Equity</stp>
        <stp>TOT_LIAB_AND_EQY</stp>
        <stp>FY 2018</stp>
        <stp>FY 2018</stp>
        <stp>[FA1_ymffleas.xlsx]Bal Sheet - Standardized!R153C12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3" s="16"/>
      </tp>
      <tp t="s">
        <v>—</v>
        <stp/>
        <stp>##V3_BDHV12</stp>
        <stp>RCOM IN Equity</stp>
        <stp>ARDR_TOTAL_INTANGIBLE_ASSET_NET</stp>
        <stp>FY 2015</stp>
        <stp>FY 2015</stp>
        <stp>[FA1_ymffleas.xlsx]Bal Sheet - As Reported!R75C9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5" s="17"/>
      </tp>
      <tp t="s">
        <v>—</v>
        <stp/>
        <stp>##V3_BDHV12</stp>
        <stp>RCOM IN Equity</stp>
        <stp>ARDR_TOTAL_INTANGIBLE_ASSET_NET</stp>
        <stp>FY 2014</stp>
        <stp>FY 2014</stp>
        <stp>[FA1_ymffleas.xlsx]Bal Sheet - As Reported!R75C8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5" s="17"/>
      </tp>
      <tp t="s">
        <v>—</v>
        <stp/>
        <stp>##V3_BDHV12</stp>
        <stp>RCOM IN Equity</stp>
        <stp>ARDR_TOTAL_INTANGIBLE_ASSET_NET</stp>
        <stp>FY 2009</stp>
        <stp>FY 2009</stp>
        <stp>[FA1_ymffleas.xlsx]Bal Sheet - As Reported!R75C3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5" s="17"/>
      </tp>
      <tp t="s">
        <v>—</v>
        <stp/>
        <stp>##V3_BDHV12</stp>
        <stp>RCOM IN Equity</stp>
        <stp>ARDR_TOTAL_INTANGIBLE_ASSET_NET</stp>
        <stp>FY 2011</stp>
        <stp>FY 2011</stp>
        <stp>[FA1_ymffleas.xlsx]Bal Sheet - As Reported!R75C5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5" s="17"/>
      </tp>
      <tp t="s">
        <v>—</v>
        <stp/>
        <stp>##V3_BDHV12</stp>
        <stp>RCOM IN Equity</stp>
        <stp>ARDR_TOTAL_INTANGIBLE_ASSET_NET</stp>
        <stp>FY 2010</stp>
        <stp>FY 2010</stp>
        <stp>[FA1_ymffleas.xlsx]Bal Sheet - As Reported!R75C4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5" s="17"/>
      </tp>
      <tp t="s">
        <v>—</v>
        <stp/>
        <stp>##V3_BDHV12</stp>
        <stp>RCOM IN Equity</stp>
        <stp>ARDR_TOTAL_INTANGIBLE_ASSET_NET</stp>
        <stp>FY 2013</stp>
        <stp>FY 2013</stp>
        <stp>[FA1_ymffleas.xlsx]Bal Sheet - As Reported!R75C7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5" s="17"/>
      </tp>
      <tp t="s">
        <v>—</v>
        <stp/>
        <stp>##V3_BDHV12</stp>
        <stp>RCOM IN Equity</stp>
        <stp>ARDR_TOTAL_INTANGIBLE_ASSET_NET</stp>
        <stp>FY 2012</stp>
        <stp>FY 2012</stp>
        <stp>[FA1_ymffleas.xlsx]Bal Sheet - As Reported!R75C6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5" s="17"/>
      </tp>
      <tp>
        <v>7426.8</v>
        <stp/>
        <stp>##V3_BDHV12</stp>
        <stp>RCOM IN Equity</stp>
        <stp>ARD_NET_CHANGE_IN_CASH</stp>
        <stp>FY 2009</stp>
        <stp>FY 2009</stp>
        <stp>[FA1_ymffleas.xlsx]Cash Flow - As Reported!R62C3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2" s="20"/>
      </tp>
      <tp>
        <v>40470</v>
        <stp/>
        <stp>##V3_BDHV12</stp>
        <stp>RCOM IN Equity</stp>
        <stp>ARD_NET_CHANGE_IN_CASH</stp>
        <stp>FY 2011</stp>
        <stp>FY 2011</stp>
        <stp>[FA1_ymffleas.xlsx]Cash Flow - As Reported!R62C5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2" s="20"/>
      </tp>
      <tp>
        <v>-8653</v>
        <stp/>
        <stp>##V3_BDHV12</stp>
        <stp>RCOM IN Equity</stp>
        <stp>ARD_NET_CHANGE_IN_CASH</stp>
        <stp>FY 2010</stp>
        <stp>FY 2010</stp>
        <stp>[FA1_ymffleas.xlsx]Cash Flow - As Reported!R62C4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2" s="20"/>
      </tp>
      <tp>
        <v>1800</v>
        <stp/>
        <stp>##V3_BDHV12</stp>
        <stp>RCOM IN Equity</stp>
        <stp>ARD_NET_CHANGE_IN_CASH</stp>
        <stp>FY 2013</stp>
        <stp>FY 2013</stp>
        <stp>[FA1_ymffleas.xlsx]Cash Flow - As Reported!R62C7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2" s="20"/>
      </tp>
      <tp>
        <v>-43170</v>
        <stp/>
        <stp>##V3_BDHV12</stp>
        <stp>RCOM IN Equity</stp>
        <stp>ARD_NET_CHANGE_IN_CASH</stp>
        <stp>FY 2012</stp>
        <stp>FY 2012</stp>
        <stp>[FA1_ymffleas.xlsx]Cash Flow - As Reported!R62C6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2" s="20"/>
      </tp>
      <tp>
        <v>8520</v>
        <stp/>
        <stp>##V3_BDHV12</stp>
        <stp>RCOM IN Equity</stp>
        <stp>ARD_NET_CHANGE_IN_CASH</stp>
        <stp>FY 2015</stp>
        <stp>FY 2015</stp>
        <stp>[FA1_ymffleas.xlsx]Cash Flow - As Reported!R62C9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2" s="20"/>
      </tp>
      <tp>
        <v>-2280</v>
        <stp/>
        <stp>##V3_BDHV12</stp>
        <stp>RCOM IN Equity</stp>
        <stp>ARD_NET_CHANGE_IN_CASH</stp>
        <stp>FY 2014</stp>
        <stp>FY 2014</stp>
        <stp>[FA1_ymffleas.xlsx]Cash Flow - As Reported!R62C8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2" s="20"/>
      </tp>
      <tp>
        <v>0.88749999999999996</v>
        <stp/>
        <stp>##V3_BDHV12</stp>
        <stp>RCOM IN Equity</stp>
        <stp>GEO_GROW_OPER_INC</stp>
        <stp>FY 2015</stp>
        <stp>FY 2015</stp>
        <stp>[FA1_ymffleas.xlsx]Growth!R38C9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38" s="22"/>
      </tp>
      <tp t="s">
        <v>—</v>
        <stp/>
        <stp>##V3_BDHV12</stp>
        <stp>RCOM IN Equity</stp>
        <stp>T12M_FCF_TO_FIRM_YIELD</stp>
        <stp>FY 2016</stp>
        <stp>FY 2016</stp>
        <stp>[FA1_ymffleas.xlsx]Yield Analysis!R34C10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34" s="26"/>
      </tp>
      <tp>
        <v>-8113.3</v>
        <stp/>
        <stp>##V3_BDHV12</stp>
        <stp>RCOM IN Equity</stp>
        <stp>ARDR_OTHER_OPER_INCOME_SAGA</stp>
        <stp>FY 2010</stp>
        <stp>FY 2010</stp>
        <stp>[FA1_ymffleas.xlsx]Income - As Reported!R121C4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1" s="11"/>
      </tp>
      <tp>
        <v>-3420</v>
        <stp/>
        <stp>##V3_BDHV12</stp>
        <stp>RCOM IN Equity</stp>
        <stp>ARDR_OTHER_OPER_INCOME_SAGA</stp>
        <stp>FY 2011</stp>
        <stp>FY 2011</stp>
        <stp>[FA1_ymffleas.xlsx]Income - As Reported!R121C5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1" s="11"/>
      </tp>
      <tp>
        <v>-9610</v>
        <stp/>
        <stp>##V3_BDHV12</stp>
        <stp>RCOM IN Equity</stp>
        <stp>ARDR_OTHER_OPER_INCOME_SAGA</stp>
        <stp>FY 2012</stp>
        <stp>FY 2012</stp>
        <stp>[FA1_ymffleas.xlsx]Income - As Reported!R121C6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1" s="11"/>
      </tp>
      <tp>
        <v>-12670</v>
        <stp/>
        <stp>##V3_BDHV12</stp>
        <stp>RCOM IN Equity</stp>
        <stp>ARDR_OTHER_OPER_INCOME_SAGA</stp>
        <stp>FY 2013</stp>
        <stp>FY 2013</stp>
        <stp>[FA1_ymffleas.xlsx]Income - As Reported!R121C7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1" s="11"/>
      </tp>
      <tp>
        <v>-15076.3</v>
        <stp/>
        <stp>##V3_BDHV12</stp>
        <stp>RCOM IN Equity</stp>
        <stp>ARDR_OTHER_OPER_INCOME_SAGA</stp>
        <stp>FY 2009</stp>
        <stp>FY 2009</stp>
        <stp>[FA1_ymffleas.xlsx]Income - As Reported!R121C3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1" s="11"/>
      </tp>
      <tp>
        <v>-2980</v>
        <stp/>
        <stp>##V3_BDHV12</stp>
        <stp>RCOM IN Equity</stp>
        <stp>ARDR_OTHER_OPER_INCOME_SAGA</stp>
        <stp>FY 2014</stp>
        <stp>FY 2014</stp>
        <stp>[FA1_ymffleas.xlsx]Income - As Reported!R121C8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1" s="11"/>
      </tp>
      <tp>
        <v>-3470</v>
        <stp/>
        <stp>##V3_BDHV12</stp>
        <stp>RCOM IN Equity</stp>
        <stp>ARDR_OTHER_OPER_INCOME_SAGA</stp>
        <stp>FY 2015</stp>
        <stp>FY 2015</stp>
        <stp>[FA1_ymffleas.xlsx]Income - As Reported!R121C9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1" s="11"/>
      </tp>
      <tp>
        <v>-10</v>
        <stp/>
        <stp>##V3_BDHV12</stp>
        <stp>RCOM IN Equity</stp>
        <stp>ARD_OTHER_COMPREHENSIVE_INCOME</stp>
        <stp>FY 2017</stp>
        <stp>FY 2017</stp>
        <stp>[FA1_ymffleas.xlsx]Income - As Reported!R55C11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5" s="11"/>
      </tp>
      <tp>
        <v>30</v>
        <stp/>
        <stp>##V3_BDHV12</stp>
        <stp>RCOM IN Equity</stp>
        <stp>ARD_OTHER_COMPREHENSIVE_INCOME</stp>
        <stp>FY 2016</stp>
        <stp>FY 2016</stp>
        <stp>[FA1_ymffleas.xlsx]Income - As Reported!R55C10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5" s="11"/>
      </tp>
      <tp>
        <v>479000</v>
        <stp/>
        <stp>##V3_BDHV12</stp>
        <stp>RCOM IN Equity</stp>
        <stp>ARD_OTHER_COMPREHENSIVE_INCOME</stp>
        <stp>FY 2018</stp>
        <stp>FY 2018</stp>
        <stp>[FA1_ymffleas.xlsx]Income - As Reported!R55C12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5" s="11"/>
      </tp>
      <tp>
        <v>2.9081000000000001</v>
        <stp/>
        <stp>##V3_BDHV12</stp>
        <stp>RCOM IN Equity</stp>
        <stp>INC_BEF_XO_ITEMS_TO_NET_SALES</stp>
        <stp>FY 2015</stp>
        <stp>FY 2015</stp>
        <stp>[FA1_ymffleas.xlsx]Profitability!R17C9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7" s="21"/>
      </tp>
      <tp>
        <v>16300</v>
        <stp/>
        <stp>##V3_BDHV12</stp>
        <stp>RCOM IN Equity</stp>
        <stp>ARDR_TOTAL_FINANCIAL_LOSSES</stp>
        <stp>FY 2012</stp>
        <stp>FY 2012</stp>
        <stp>[FA1_ymffleas.xlsx]Income - As Reported!R106C6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6" s="11"/>
      </tp>
      <tp>
        <v>24990</v>
        <stp/>
        <stp>##V3_BDHV12</stp>
        <stp>RCOM IN Equity</stp>
        <stp>ARDR_TOTAL_FINANCIAL_LOSSES</stp>
        <stp>FY 2013</stp>
        <stp>FY 2013</stp>
        <stp>[FA1_ymffleas.xlsx]Income - As Reported!R106C7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6" s="11"/>
      </tp>
      <tp t="s">
        <v>—</v>
        <stp/>
        <stp>##V3_BDHV12</stp>
        <stp>RCOM IN Equity</stp>
        <stp>ARDR_TOTAL_FINANCIAL_LOSSES</stp>
        <stp>FY 2010</stp>
        <stp>FY 2010</stp>
        <stp>[FA1_ymffleas.xlsx]Income - As Reported!R106C4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6" s="11"/>
      </tp>
      <tp>
        <v>11330</v>
        <stp/>
        <stp>##V3_BDHV12</stp>
        <stp>RCOM IN Equity</stp>
        <stp>ARDR_TOTAL_FINANCIAL_LOSSES</stp>
        <stp>FY 2011</stp>
        <stp>FY 2011</stp>
        <stp>[FA1_ymffleas.xlsx]Income - As Reported!R106C5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6" s="11"/>
      </tp>
      <tp t="s">
        <v>—</v>
        <stp/>
        <stp>##V3_BDHV12</stp>
        <stp>RCOM IN Equity</stp>
        <stp>ARDR_TOTAL_FINANCIAL_LOSSES</stp>
        <stp>FY 2009</stp>
        <stp>FY 2009</stp>
        <stp>[FA1_ymffleas.xlsx]Income - As Reported!R106C3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6" s="11"/>
      </tp>
      <tp>
        <v>30190</v>
        <stp/>
        <stp>##V3_BDHV12</stp>
        <stp>RCOM IN Equity</stp>
        <stp>ARDR_TOTAL_FINANCIAL_LOSSES</stp>
        <stp>FY 2014</stp>
        <stp>FY 2014</stp>
        <stp>[FA1_ymffleas.xlsx]Income - As Reported!R106C8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6" s="11"/>
      </tp>
      <tp>
        <v>27550</v>
        <stp/>
        <stp>##V3_BDHV12</stp>
        <stp>RCOM IN Equity</stp>
        <stp>ARDR_TOTAL_FINANCIAL_LOSSES</stp>
        <stp>FY 2015</stp>
        <stp>FY 2015</stp>
        <stp>[FA1_ymffleas.xlsx]Income - As Reported!R106C9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6" s="11"/>
      </tp>
      <tp>
        <v>2.7297000000000002</v>
        <stp/>
        <stp>##V3_BDHV12</stp>
        <stp>RCOM IN Equity</stp>
        <stp>PX_TO_TANG_BV_PER_SH</stp>
        <stp>FY 2016</stp>
        <stp>FY 2016</stp>
        <stp>[FA1_ymffleas.xlsx]Multiples!R16C9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" s="6"/>
      </tp>
      <tp>
        <v>0.95209999999999995</v>
        <stp/>
        <stp>##V3_BDHV12</stp>
        <stp>RCOM IN Equity</stp>
        <stp>PX_TO_TANG_BV_PER_SH</stp>
        <stp>FY 2015</stp>
        <stp>FY 2015</stp>
        <stp>[FA1_ymffleas.xlsx]Multiples!R16C8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" s="6"/>
      </tp>
      <tp>
        <v>134320</v>
        <stp/>
        <stp>##V3_BDHV12</stp>
        <stp>RCOM IN Equity</stp>
        <stp>ARDR_RETAINED_EARN_ACC_DEFICIT</stp>
        <stp>FY 2014</stp>
        <stp>FY 2014</stp>
        <stp>[FA1_ymffleas.xlsx]Bal Sheet - As Reported!R97C8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7" s="17"/>
      </tp>
      <tp>
        <v>141460</v>
        <stp/>
        <stp>##V3_BDHV12</stp>
        <stp>RCOM IN Equity</stp>
        <stp>ARDR_RETAINED_EARN_ACC_DEFICIT</stp>
        <stp>FY 2015</stp>
        <stp>FY 2015</stp>
        <stp>[FA1_ymffleas.xlsx]Bal Sheet - As Reported!R97C9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7" s="17"/>
      </tp>
      <tp>
        <v>122210</v>
        <stp/>
        <stp>##V3_BDHV12</stp>
        <stp>RCOM IN Equity</stp>
        <stp>ARDR_RETAINED_EARN_ACC_DEFICIT</stp>
        <stp>FY 2012</stp>
        <stp>FY 2012</stp>
        <stp>[FA1_ymffleas.xlsx]Bal Sheet - As Reported!R97C6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7" s="17"/>
      </tp>
      <tp>
        <v>125640</v>
        <stp/>
        <stp>##V3_BDHV12</stp>
        <stp>RCOM IN Equity</stp>
        <stp>ARDR_RETAINED_EARN_ACC_DEFICIT</stp>
        <stp>FY 2013</stp>
        <stp>FY 2013</stp>
        <stp>[FA1_ymffleas.xlsx]Bal Sheet - As Reported!R97C7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7" s="17"/>
      </tp>
      <tp>
        <v>99667.3</v>
        <stp/>
        <stp>##V3_BDHV12</stp>
        <stp>RCOM IN Equity</stp>
        <stp>ARDR_RETAINED_EARN_ACC_DEFICIT</stp>
        <stp>FY 2010</stp>
        <stp>FY 2010</stp>
        <stp>[FA1_ymffleas.xlsx]Bal Sheet - As Reported!R97C4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7" s="17"/>
      </tp>
      <tp>
        <v>114440</v>
        <stp/>
        <stp>##V3_BDHV12</stp>
        <stp>RCOM IN Equity</stp>
        <stp>ARDR_RETAINED_EARN_ACC_DEFICIT</stp>
        <stp>FY 2011</stp>
        <stp>FY 2011</stp>
        <stp>[FA1_ymffleas.xlsx]Bal Sheet - As Reported!R97C5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7" s="17"/>
      </tp>
      <tp>
        <v>56313</v>
        <stp/>
        <stp>##V3_BDHV12</stp>
        <stp>RCOM IN Equity</stp>
        <stp>ARDR_RETAINED_EARN_ACC_DEFICIT</stp>
        <stp>FY 2009</stp>
        <stp>FY 2009</stp>
        <stp>[FA1_ymffleas.xlsx]Bal Sheet - As Reported!R97C3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7" s="17"/>
      </tp>
      <tp>
        <v>60449.3</v>
        <stp/>
        <stp>##V3_BDHV12</stp>
        <stp>RCOM IN Equity</stp>
        <stp>ARD_NET_INC</stp>
        <stp>FY 2009</stp>
        <stp>FY 2009</stp>
        <stp>[FA1_ymffleas.xlsx]Income - As Reported!R51C3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1" s="11"/>
      </tp>
      <tp>
        <v>13450</v>
        <stp/>
        <stp>##V3_BDHV12</stp>
        <stp>RCOM IN Equity</stp>
        <stp>ARD_NET_INC</stp>
        <stp>FY 2011</stp>
        <stp>FY 2011</stp>
        <stp>[FA1_ymffleas.xlsx]Income - As Reported!R51C5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1" s="11"/>
      </tp>
      <tp>
        <v>46550</v>
        <stp/>
        <stp>##V3_BDHV12</stp>
        <stp>RCOM IN Equity</stp>
        <stp>ARD_NET_INC</stp>
        <stp>FY 2010</stp>
        <stp>FY 2010</stp>
        <stp>[FA1_ymffleas.xlsx]Income - As Reported!R51C4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1" s="11"/>
      </tp>
      <tp>
        <v>6720</v>
        <stp/>
        <stp>##V3_BDHV12</stp>
        <stp>RCOM IN Equity</stp>
        <stp>ARD_NET_INC</stp>
        <stp>FY 2013</stp>
        <stp>FY 2013</stp>
        <stp>[FA1_ymffleas.xlsx]Income - As Reported!R51C7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1" s="11"/>
      </tp>
      <tp>
        <v>9280</v>
        <stp/>
        <stp>##V3_BDHV12</stp>
        <stp>RCOM IN Equity</stp>
        <stp>ARD_NET_INC</stp>
        <stp>FY 2012</stp>
        <stp>FY 2012</stp>
        <stp>[FA1_ymffleas.xlsx]Income - As Reported!R51C6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1" s="11"/>
      </tp>
      <tp>
        <v>7140</v>
        <stp/>
        <stp>##V3_BDHV12</stp>
        <stp>RCOM IN Equity</stp>
        <stp>ARD_NET_INC</stp>
        <stp>FY 2015</stp>
        <stp>FY 2015</stp>
        <stp>[FA1_ymffleas.xlsx]Income - As Reported!R51C9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1" s="11"/>
      </tp>
      <tp>
        <v>10470</v>
        <stp/>
        <stp>##V3_BDHV12</stp>
        <stp>RCOM IN Equity</stp>
        <stp>ARD_NET_INC</stp>
        <stp>FY 2014</stp>
        <stp>FY 2014</stp>
        <stp>[FA1_ymffleas.xlsx]Income - As Reported!R51C8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1" s="11"/>
      </tp>
      <tp>
        <v>1.7092000000000001</v>
        <stp/>
        <stp>##V3_BDHV12</stp>
        <stp>RCOM IN Equity</stp>
        <stp>PX_TO_TANG_BV_PER_SH</stp>
        <stp>FY 2010</stp>
        <stp>FY 2010</stp>
        <stp>[FA1_ymffleas.xlsx]Multiples!R16C3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" s="6"/>
      </tp>
      <tp>
        <v>2.0687000000000002</v>
        <stp/>
        <stp>##V3_BDHV12</stp>
        <stp>RCOM IN Equity</stp>
        <stp>PX_TO_TANG_BV_PER_SH</stp>
        <stp>FY 2012</stp>
        <stp>FY 2012</stp>
        <stp>[FA1_ymffleas.xlsx]Multiples!R16C5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" s="6"/>
      </tp>
      <tp>
        <v>1.0952</v>
        <stp/>
        <stp>##V3_BDHV12</stp>
        <stp>RCOM IN Equity</stp>
        <stp>PX_TO_TANG_BV_PER_SH</stp>
        <stp>FY 2011</stp>
        <stp>FY 2011</stp>
        <stp>[FA1_ymffleas.xlsx]Multiples!R16C4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" s="6"/>
      </tp>
      <tp>
        <v>4.6646000000000001</v>
        <stp/>
        <stp>##V3_BDHV12</stp>
        <stp>RCOM IN Equity</stp>
        <stp>TOT_DEBT_TO_EBITDA</stp>
        <stp>FY 2011</stp>
        <stp>FY 2011</stp>
        <stp>[FA1_ymffleas.xlsx]Credit!R10C5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0" s="23"/>
      </tp>
      <tp>
        <v>3.2536999999999998</v>
        <stp/>
        <stp>##V3_BDHV12</stp>
        <stp>RCOM IN Equity</stp>
        <stp>PX_TO_TANG_BV_PER_SH</stp>
        <stp>FY 2014</stp>
        <stp>FY 2014</stp>
        <stp>[FA1_ymffleas.xlsx]Multiples!R16C7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" s="6"/>
      </tp>
      <tp>
        <v>1.4870000000000001</v>
        <stp/>
        <stp>##V3_BDHV12</stp>
        <stp>RCOM IN Equity</stp>
        <stp>PX_TO_TANG_BV_PER_SH</stp>
        <stp>FY 2013</stp>
        <stp>FY 2013</stp>
        <stp>[FA1_ymffleas.xlsx]Multiples!R16C6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" s="6"/>
      </tp>
      <tp t="s">
        <v>—</v>
        <stp/>
        <stp>##V3_BDHV12</stp>
        <stp>RCOM IN Equity</stp>
        <stp>ARD_AFTER_TAX_EQTY_METHOD_INVEST</stp>
        <stp>FY 2018</stp>
        <stp>FY 2018</stp>
        <stp>[FA1_ymffleas.xlsx]Income - As Reported!R39C12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9" s="11"/>
      </tp>
      <tp t="s">
        <v>—</v>
        <stp/>
        <stp>##V3_BDHV12</stp>
        <stp>RCOM IN Equity</stp>
        <stp>ARD_AFTER_TAX_EQTY_METHOD_INVEST</stp>
        <stp>FY 2017</stp>
        <stp>FY 2017</stp>
        <stp>[FA1_ymffleas.xlsx]Income - As Reported!R39C11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9" s="11"/>
      </tp>
      <tp t="s">
        <v>—</v>
        <stp/>
        <stp>##V3_BDHV12</stp>
        <stp>RCOM IN Equity</stp>
        <stp>ARD_AFTER_TAX_EQTY_METHOD_INVEST</stp>
        <stp>FY 2016</stp>
        <stp>FY 2016</stp>
        <stp>[FA1_ymffleas.xlsx]Income - As Reported!R39C10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9" s="11"/>
      </tp>
      <tp>
        <v>46550</v>
        <stp/>
        <stp>##V3_BDHV12</stp>
        <stp>RCOM IN Equity</stp>
        <stp>EARN_FOR_COMMON</stp>
        <stp>FY 2010</stp>
        <stp>FY 2010</stp>
        <stp>[FA1_ymffleas.xlsx]Earnings!R44C4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44" s="4"/>
      </tp>
      <tp>
        <v>13450</v>
        <stp/>
        <stp>##V3_BDHV12</stp>
        <stp>RCOM IN Equity</stp>
        <stp>EARN_FOR_COMMON</stp>
        <stp>FY 2011</stp>
        <stp>FY 2011</stp>
        <stp>[FA1_ymffleas.xlsx]Earnings!R44C5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44" s="4"/>
      </tp>
      <tp>
        <v>-4080</v>
        <stp/>
        <stp>##V3_BDHV12</stp>
        <stp>RCOM IN Equity</stp>
        <stp>CF_NET_CHNG_CASH</stp>
        <stp>FY 2016</stp>
        <stp>FY 2016</stp>
        <stp>[FA1_ymffleas.xlsx]Addl - Overview!R37C9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7" s="29"/>
      </tp>
      <tp>
        <v>8520</v>
        <stp/>
        <stp>##V3_BDHV12</stp>
        <stp>RCOM IN Equity</stp>
        <stp>CF_NET_CHNG_CASH</stp>
        <stp>FY 2015</stp>
        <stp>FY 2015</stp>
        <stp>[FA1_ymffleas.xlsx]Addl - Overview!R37C8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7" s="29"/>
      </tp>
      <tp>
        <v>-2270</v>
        <stp/>
        <stp>##V3_BDHV12</stp>
        <stp>RCOM IN Equity</stp>
        <stp>CF_NET_CHNG_CASH</stp>
        <stp>FY 2014</stp>
        <stp>FY 2014</stp>
        <stp>[FA1_ymffleas.xlsx]Addl - Overview!R37C7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7" s="29"/>
      </tp>
      <tp>
        <v>1810</v>
        <stp/>
        <stp>##V3_BDHV12</stp>
        <stp>RCOM IN Equity</stp>
        <stp>CF_NET_CHNG_CASH</stp>
        <stp>FY 2013</stp>
        <stp>FY 2013</stp>
        <stp>[FA1_ymffleas.xlsx]Addl - Overview!R37C6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7" s="29"/>
      </tp>
      <tp>
        <v>-43160</v>
        <stp/>
        <stp>##V3_BDHV12</stp>
        <stp>RCOM IN Equity</stp>
        <stp>CF_NET_CHNG_CASH</stp>
        <stp>FY 2012</stp>
        <stp>FY 2012</stp>
        <stp>[FA1_ymffleas.xlsx]Addl - Overview!R37C5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7" s="29"/>
      </tp>
      <tp>
        <v>40470</v>
        <stp/>
        <stp>##V3_BDHV12</stp>
        <stp>RCOM IN Equity</stp>
        <stp>CF_NET_CHNG_CASH</stp>
        <stp>FY 2011</stp>
        <stp>FY 2011</stp>
        <stp>[FA1_ymffleas.xlsx]Addl - Overview!R37C4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7" s="29"/>
      </tp>
      <tp>
        <v>-8643.6</v>
        <stp/>
        <stp>##V3_BDHV12</stp>
        <stp>RCOM IN Equity</stp>
        <stp>CF_NET_CHNG_CASH</stp>
        <stp>FY 2010</stp>
        <stp>FY 2010</stp>
        <stp>[FA1_ymffleas.xlsx]Addl - Overview!R37C3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7" s="29"/>
      </tp>
      <tp>
        <v>9280</v>
        <stp/>
        <stp>##V3_BDHV12</stp>
        <stp>RCOM IN Equity</stp>
        <stp>EARN_FOR_COMMON</stp>
        <stp>FY 2012</stp>
        <stp>FY 2012</stp>
        <stp>[FA1_ymffleas.xlsx]Earnings!R44C6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44" s="4"/>
      </tp>
      <tp>
        <v>6720</v>
        <stp/>
        <stp>##V3_BDHV12</stp>
        <stp>RCOM IN Equity</stp>
        <stp>EARN_FOR_COMMON</stp>
        <stp>FY 2013</stp>
        <stp>FY 2013</stp>
        <stp>[FA1_ymffleas.xlsx]Earnings!R44C7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44" s="4"/>
      </tp>
      <tp>
        <v>60449.3</v>
        <stp/>
        <stp>##V3_BDHV12</stp>
        <stp>RCOM IN Equity</stp>
        <stp>EARN_FOR_COMMON</stp>
        <stp>FY 2009</stp>
        <stp>FY 2009</stp>
        <stp>[FA1_ymffleas.xlsx]Earnings!R44C3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44" s="4"/>
      </tp>
      <tp>
        <v>10470</v>
        <stp/>
        <stp>##V3_BDHV12</stp>
        <stp>RCOM IN Equity</stp>
        <stp>EARN_FOR_COMMON</stp>
        <stp>FY 2014</stp>
        <stp>FY 2014</stp>
        <stp>[FA1_ymffleas.xlsx]Earnings!R44C8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44" s="4"/>
      </tp>
      <tp>
        <v>11.919499999999999</v>
        <stp/>
        <stp>##V3_BDHV12</stp>
        <stp>RCOM IN Equity</stp>
        <stp>NET_INCOME_TO_COMMON_SEQ_GROWTH</stp>
        <stp>FY 2009</stp>
        <stp>FY 2009</stp>
        <stp>[FA1_ymffleas.xlsx]Growth!R63C3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63" s="22"/>
      </tp>
      <tp>
        <v>7140</v>
        <stp/>
        <stp>##V3_BDHV12</stp>
        <stp>RCOM IN Equity</stp>
        <stp>EARN_FOR_COMMON</stp>
        <stp>FY 2015</stp>
        <stp>FY 2015</stp>
        <stp>[FA1_ymffleas.xlsx]Earnings!R44C9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44" s="4"/>
      </tp>
      <tp t="s">
        <v>—</v>
        <stp/>
        <stp>##V3_BDHV12</stp>
        <stp>RCOM IN Equity</stp>
        <stp>MODIFIED_WORK_CAP_GROWTH</stp>
        <stp>FY 2012</stp>
        <stp>FY 2012</stp>
        <stp>[FA1_ymffleas.xlsx]Growth!R20C6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0" s="22"/>
      </tp>
      <tp t="s">
        <v>—</v>
        <stp/>
        <stp>##V3_BDHV12</stp>
        <stp>RCOM IN Equity</stp>
        <stp>MODIFIED_WORK_CAP_GROWTH</stp>
        <stp>FY 2013</stp>
        <stp>FY 2013</stp>
        <stp>[FA1_ymffleas.xlsx]Growth!R20C7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0" s="22"/>
      </tp>
      <tp t="s">
        <v>—</v>
        <stp/>
        <stp>##V3_BDHV12</stp>
        <stp>RCOM IN Equity</stp>
        <stp>MODIFIED_WORK_CAP_GROWTH</stp>
        <stp>FY 2010</stp>
        <stp>FY 2010</stp>
        <stp>[FA1_ymffleas.xlsx]Growth!R20C4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0" s="22"/>
      </tp>
      <tp>
        <v>91.369200000000006</v>
        <stp/>
        <stp>##V3_BDHV12</stp>
        <stp>RCOM IN Equity</stp>
        <stp>MODIFIED_WORK_CAP_GROWTH</stp>
        <stp>FY 2011</stp>
        <stp>FY 2011</stp>
        <stp>[FA1_ymffleas.xlsx]Growth!R20C5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0" s="22"/>
      </tp>
      <tp>
        <v>4.3890000000000002</v>
        <stp/>
        <stp>##V3_BDHV12</stp>
        <stp>RCOM IN Equity</stp>
        <stp>CASH_FLOW_TO_NET_INC</stp>
        <stp>FY 2012</stp>
        <stp>FY 2012</stp>
        <stp>[FA1_ymffleas.xlsx]Cash Flow - Standardized!R66C5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66" s="19"/>
      </tp>
      <tp t="s">
        <v>—</v>
        <stp/>
        <stp>##V3_BDHV12</stp>
        <stp>RCOM IN Equity</stp>
        <stp>MODIFIED_WORK_CAP_GROWTH</stp>
        <stp>FY 2009</stp>
        <stp>FY 2009</stp>
        <stp>[FA1_ymffleas.xlsx]Growth!R20C3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0" s="22"/>
      </tp>
      <tp>
        <v>19070</v>
        <stp/>
        <stp>##V3_BDHV12</stp>
        <stp>RCOM IN Equity</stp>
        <stp>ARDR_OTHER_RESERVES</stp>
        <stp>FY 2014</stp>
        <stp>FY 2014</stp>
        <stp>[FA1_ymffleas.xlsx]Bal Sheet - As Reported!R126C8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6" s="17"/>
      </tp>
      <tp t="s">
        <v>—</v>
        <stp/>
        <stp>##V3_BDHV12</stp>
        <stp>RCOM IN Equity</stp>
        <stp>ARDR_OTHER_RESERVES</stp>
        <stp>FY 2015</stp>
        <stp>FY 2015</stp>
        <stp>[FA1_ymffleas.xlsx]Bal Sheet - As Reported!R126C9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6" s="17"/>
      </tp>
      <tp t="s">
        <v>—</v>
        <stp/>
        <stp>##V3_BDHV12</stp>
        <stp>RCOM IN Equity</stp>
        <stp>ARDR_OTHER_RESERVES</stp>
        <stp>FY 2009</stp>
        <stp>FY 2009</stp>
        <stp>[FA1_ymffleas.xlsx]Bal Sheet - As Reported!R126C3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6" s="17"/>
      </tp>
      <tp t="s">
        <v>—</v>
        <stp/>
        <stp>##V3_BDHV12</stp>
        <stp>RCOM IN Equity</stp>
        <stp>ARDR_OTHER_RESERVES</stp>
        <stp>FY 2010</stp>
        <stp>FY 2010</stp>
        <stp>[FA1_ymffleas.xlsx]Bal Sheet - As Reported!R126C4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6" s="17"/>
      </tp>
      <tp t="s">
        <v>—</v>
        <stp/>
        <stp>##V3_BDHV12</stp>
        <stp>RCOM IN Equity</stp>
        <stp>ARDR_OTHER_RESERVES</stp>
        <stp>FY 2011</stp>
        <stp>FY 2011</stp>
        <stp>[FA1_ymffleas.xlsx]Bal Sheet - As Reported!R126C5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6" s="17"/>
      </tp>
      <tp t="s">
        <v>—</v>
        <stp/>
        <stp>##V3_BDHV12</stp>
        <stp>RCOM IN Equity</stp>
        <stp>ARDR_OTHER_RESERVES</stp>
        <stp>FY 2012</stp>
        <stp>FY 2012</stp>
        <stp>[FA1_ymffleas.xlsx]Bal Sheet - As Reported!R126C6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6" s="17"/>
      </tp>
      <tp t="s">
        <v>—</v>
        <stp/>
        <stp>##V3_BDHV12</stp>
        <stp>RCOM IN Equity</stp>
        <stp>ARDR_OTHER_RESERVES</stp>
        <stp>FY 2013</stp>
        <stp>FY 2013</stp>
        <stp>[FA1_ymffleas.xlsx]Bal Sheet - As Reported!R126C7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6" s="17"/>
      </tp>
      <tp>
        <v>-573.7201</v>
        <stp/>
        <stp>##V3_BDHV12</stp>
        <stp>RCOM IN Equity</stp>
        <stp>MODIFIED_WORK_CAP_GROWTH</stp>
        <stp>FY 2014</stp>
        <stp>FY 2014</stp>
        <stp>[FA1_ymffleas.xlsx]Growth!R20C8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0" s="22"/>
      </tp>
      <tp>
        <v>-133.5866</v>
        <stp/>
        <stp>##V3_BDHV12</stp>
        <stp>RCOM IN Equity</stp>
        <stp>MODIFIED_WORK_CAP_GROWTH</stp>
        <stp>FY 2015</stp>
        <stp>FY 2015</stp>
        <stp>[FA1_ymffleas.xlsx]Growth!R20C9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0" s="22"/>
      </tp>
      <tp>
        <v>10470</v>
        <stp/>
        <stp>##V3_BDHV12</stp>
        <stp>RCOM IN Equity</stp>
        <stp>EARN_FOR_COMMON</stp>
        <stp>FY 2014</stp>
        <stp>FY 2014</stp>
        <stp>[FA1_ymffleas.xlsx]Reconciliation!R34C7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4" s="12"/>
      </tp>
      <tp>
        <v>6720</v>
        <stp/>
        <stp>##V3_BDHV12</stp>
        <stp>RCOM IN Equity</stp>
        <stp>EARN_FOR_COMMON</stp>
        <stp>FY 2013</stp>
        <stp>FY 2013</stp>
        <stp>[FA1_ymffleas.xlsx]Reconciliation!R34C6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4" s="12"/>
      </tp>
      <tp>
        <v>9280</v>
        <stp/>
        <stp>##V3_BDHV12</stp>
        <stp>RCOM IN Equity</stp>
        <stp>EARN_FOR_COMMON</stp>
        <stp>FY 2012</stp>
        <stp>FY 2012</stp>
        <stp>[FA1_ymffleas.xlsx]Reconciliation!R34C5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4" s="12"/>
      </tp>
      <tp>
        <v>13450</v>
        <stp/>
        <stp>##V3_BDHV12</stp>
        <stp>RCOM IN Equity</stp>
        <stp>EARN_FOR_COMMON</stp>
        <stp>FY 2011</stp>
        <stp>FY 2011</stp>
        <stp>[FA1_ymffleas.xlsx]Reconciliation!R34C4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4" s="12"/>
      </tp>
      <tp>
        <v>0</v>
        <stp/>
        <stp>##V3_BDHV12</stp>
        <stp>RCOM IN Equity</stp>
        <stp>T12M_NET_CAPITAL_STOCK</stp>
        <stp>FY 2018</stp>
        <stp>FY 2018</stp>
        <stp>[FA1_ymffleas.xlsx]Yield Analysis!R23C12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3" s="26"/>
      </tp>
      <tp>
        <v>0</v>
        <stp/>
        <stp>##V3_BDHV12</stp>
        <stp>RCOM IN Equity</stp>
        <stp>T12M_NET_CAPITAL_STOCK</stp>
        <stp>FY 2017</stp>
        <stp>FY 2017</stp>
        <stp>[FA1_ymffleas.xlsx]Yield Analysis!R14C11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" s="26"/>
      </tp>
      <tp>
        <v>0</v>
        <stp/>
        <stp>##V3_BDHV12</stp>
        <stp>RCOM IN Equity</stp>
        <stp>T12M_NET_CAPITAL_STOCK</stp>
        <stp>FY 2018</stp>
        <stp>FY 2018</stp>
        <stp>[FA1_ymffleas.xlsx]Yield Analysis!R37C12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7" s="26"/>
      </tp>
      <tp>
        <v>0</v>
        <stp/>
        <stp>##V3_BDHV12</stp>
        <stp>RCOM IN Equity</stp>
        <stp>T12M_NET_CAPITAL_STOCK</stp>
        <stp>FY 2016</stp>
        <stp>FY 2016</stp>
        <stp>[FA1_ymffleas.xlsx]Yield Analysis!R14C10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" s="26"/>
      </tp>
      <tp>
        <v>0</v>
        <stp/>
        <stp>##V3_BDHV12</stp>
        <stp>RCOM IN Equity</stp>
        <stp>T12M_NET_CAPITAL_STOCK</stp>
        <stp>FY 2016</stp>
        <stp>FY 2016</stp>
        <stp>[FA1_ymffleas.xlsx]Yield Analysis!R23C10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3" s="26"/>
      </tp>
      <tp>
        <v>0</v>
        <stp/>
        <stp>##V3_BDHV12</stp>
        <stp>RCOM IN Equity</stp>
        <stp>T12M_NET_CAPITAL_STOCK</stp>
        <stp>FY 2017</stp>
        <stp>FY 2017</stp>
        <stp>[FA1_ymffleas.xlsx]Yield Analysis!R37C11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7" s="26"/>
      </tp>
      <tp>
        <v>0</v>
        <stp/>
        <stp>##V3_BDHV12</stp>
        <stp>RCOM IN Equity</stp>
        <stp>T12M_NET_CAPITAL_STOCK</stp>
        <stp>FY 2017</stp>
        <stp>FY 2017</stp>
        <stp>[FA1_ymffleas.xlsx]Yield Analysis!R23C11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3" s="26"/>
      </tp>
      <tp>
        <v>0</v>
        <stp/>
        <stp>##V3_BDHV12</stp>
        <stp>RCOM IN Equity</stp>
        <stp>T12M_NET_CAPITAL_STOCK</stp>
        <stp>FY 2016</stp>
        <stp>FY 2016</stp>
        <stp>[FA1_ymffleas.xlsx]Yield Analysis!R37C10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7" s="26"/>
      </tp>
      <tp>
        <v>0</v>
        <stp/>
        <stp>##V3_BDHV12</stp>
        <stp>RCOM IN Equity</stp>
        <stp>T12M_NET_CAPITAL_STOCK</stp>
        <stp>FY 2018</stp>
        <stp>FY 2018</stp>
        <stp>[FA1_ymffleas.xlsx]Yield Analysis!R14C12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" s="26"/>
      </tp>
      <tp>
        <v>46550</v>
        <stp/>
        <stp>##V3_BDHV12</stp>
        <stp>RCOM IN Equity</stp>
        <stp>EARN_FOR_COMMON</stp>
        <stp>FY 2010</stp>
        <stp>FY 2010</stp>
        <stp>[FA1_ymffleas.xlsx]Reconciliation!R34C3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4" s="12"/>
      </tp>
      <tp>
        <v>472830</v>
        <stp/>
        <stp>##V3_BDHV12</stp>
        <stp>RCOM IN Equity</stp>
        <stp>SHORT_AND_LONG_TERM_DEBT</stp>
        <stp>FY 2018</stp>
        <stp>FY 2018</stp>
        <stp>[FA1_ymffleas.xlsx]Enterprise Value!R10C11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" s="5"/>
      </tp>
      <tp>
        <v>457330</v>
        <stp/>
        <stp>##V3_BDHV12</stp>
        <stp>RCOM IN Equity</stp>
        <stp>SHORT_AND_LONG_TERM_DEBT</stp>
        <stp>FY 2017</stp>
        <stp>FY 2017</stp>
        <stp>[FA1_ymffleas.xlsx]Enterprise Value!R10C10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" s="5"/>
      </tp>
      <tp t="s">
        <v>—</v>
        <stp/>
        <stp>##V3_BDHV12</stp>
        <stp>RCOM IN Equity</stp>
        <stp>ARDR_DEBT_IN_FOREIGN_CURRENCY</stp>
        <stp>FY 2013</stp>
        <stp>FY 2013</stp>
        <stp>[FA1_ymffleas.xlsx]Bal Sheet - As Reported!R177C7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7" s="17"/>
      </tp>
      <tp t="s">
        <v>—</v>
        <stp/>
        <stp>##V3_BDHV12</stp>
        <stp>RCOM IN Equity</stp>
        <stp>ARDR_DEBT_IN_FOREIGN_CURRENCY</stp>
        <stp>FY 2012</stp>
        <stp>FY 2012</stp>
        <stp>[FA1_ymffleas.xlsx]Bal Sheet - As Reported!R177C6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7" s="17"/>
      </tp>
      <tp t="s">
        <v>—</v>
        <stp/>
        <stp>##V3_BDHV12</stp>
        <stp>RCOM IN Equity</stp>
        <stp>ARDR_DEBT_IN_FOREIGN_CURRENCY</stp>
        <stp>FY 2011</stp>
        <stp>FY 2011</stp>
        <stp>[FA1_ymffleas.xlsx]Bal Sheet - As Reported!R177C5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7" s="17"/>
      </tp>
      <tp t="s">
        <v>—</v>
        <stp/>
        <stp>##V3_BDHV12</stp>
        <stp>RCOM IN Equity</stp>
        <stp>ARDR_DEBT_IN_FOREIGN_CURRENCY</stp>
        <stp>FY 2010</stp>
        <stp>FY 2010</stp>
        <stp>[FA1_ymffleas.xlsx]Bal Sheet - As Reported!R177C4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7" s="17"/>
      </tp>
      <tp t="s">
        <v>—</v>
        <stp/>
        <stp>##V3_BDHV12</stp>
        <stp>RCOM IN Equity</stp>
        <stp>ARDR_DEBT_IN_FOREIGN_CURRENCY</stp>
        <stp>FY 2009</stp>
        <stp>FY 2009</stp>
        <stp>[FA1_ymffleas.xlsx]Bal Sheet - As Reported!R177C3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7" s="17"/>
      </tp>
      <tp t="s">
        <v>—</v>
        <stp/>
        <stp>##V3_BDHV12</stp>
        <stp>RCOM IN Equity</stp>
        <stp>ARDR_DEBT_IN_FOREIGN_CURRENCY</stp>
        <stp>FY 2015</stp>
        <stp>FY 2015</stp>
        <stp>[FA1_ymffleas.xlsx]Bal Sheet - As Reported!R177C9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7" s="17"/>
      </tp>
      <tp t="s">
        <v>—</v>
        <stp/>
        <stp>##V3_BDHV12</stp>
        <stp>RCOM IN Equity</stp>
        <stp>ARDR_DEBT_IN_FOREIGN_CURRENCY</stp>
        <stp>FY 2014</stp>
        <stp>FY 2014</stp>
        <stp>[FA1_ymffleas.xlsx]Bal Sheet - As Reported!R177C8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7" s="17"/>
      </tp>
      <tp>
        <v>6390</v>
        <stp/>
        <stp>##V3_BDHV12</stp>
        <stp>RCOM IN Equity</stp>
        <stp>EARN_FOR_COMMON</stp>
        <stp>FY 2016</stp>
        <stp>FY 2016</stp>
        <stp>[FA1_ymffleas.xlsx]Reconciliation!R34C9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4" s="12"/>
      </tp>
      <tp>
        <v>7140</v>
        <stp/>
        <stp>##V3_BDHV12</stp>
        <stp>RCOM IN Equity</stp>
        <stp>EARN_FOR_COMMON</stp>
        <stp>FY 2015</stp>
        <stp>FY 2015</stp>
        <stp>[FA1_ymffleas.xlsx]Reconciliation!R34C8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4" s="12"/>
      </tp>
      <tp>
        <v>6.9617000000000004</v>
        <stp/>
        <stp>##V3_BDHV12</stp>
        <stp>RCOM IN Equity</stp>
        <stp>LOW_EV_TO_T12M_EBITDA</stp>
        <stp>FY 2010</stp>
        <stp>FY 2010</stp>
        <stp>[FA1_ymffleas.xlsx]Multiples!R44C3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44" s="6"/>
      </tp>
      <tp>
        <v>35489.9</v>
        <stp/>
        <stp>##V3_BDHV12</stp>
        <stp>RCOM IN Equity</stp>
        <stp>EBIT</stp>
        <stp>FY 2010</stp>
        <stp>FY 2010</stp>
        <stp>[FA1_ymffleas.xlsx]Income - Adjusted!R124C3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24" s="9"/>
      </tp>
      <tp t="s">
        <v>—</v>
        <stp/>
        <stp>##V3_BDHV12</stp>
        <stp>RCOM IN Equity</stp>
        <stp>T12M_FCF_TO_FIRM_YIELD</stp>
        <stp>FY 2017</stp>
        <stp>FY 2017</stp>
        <stp>[FA1_ymffleas.xlsx]Yield Analysis!R34C11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34" s="26"/>
      </tp>
      <tp>
        <v>18720.8</v>
        <stp/>
        <stp>##V3_BDHV12</stp>
        <stp>RCOM IN Equity</stp>
        <stp>EBIT</stp>
        <stp>FY 2011</stp>
        <stp>FY 2011</stp>
        <stp>[FA1_ymffleas.xlsx]Income - Adjusted!R124C4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24" s="9"/>
      </tp>
      <tp>
        <v>5.4394</v>
        <stp/>
        <stp>##V3_BDHV12</stp>
        <stp>RCOM IN Equity</stp>
        <stp>INC_BEF_XO_ITEMS_TO_NET_SALES</stp>
        <stp>FY 2014</stp>
        <stp>FY 2014</stp>
        <stp>[FA1_ymffleas.xlsx]Profitability!R17C8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7" s="21"/>
      </tp>
      <tp>
        <v>21870</v>
        <stp/>
        <stp>##V3_BDHV12</stp>
        <stp>RCOM IN Equity</stp>
        <stp>EBIT</stp>
        <stp>FY 2012</stp>
        <stp>FY 2012</stp>
        <stp>[FA1_ymffleas.xlsx]Income - Adjusted!R124C5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24" s="9"/>
      </tp>
      <tp>
        <v>21260</v>
        <stp/>
        <stp>##V3_BDHV12</stp>
        <stp>RCOM IN Equity</stp>
        <stp>EBIT</stp>
        <stp>FY 2013</stp>
        <stp>FY 2013</stp>
        <stp>[FA1_ymffleas.xlsx]Income - Adjusted!R124C6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24" s="9"/>
      </tp>
      <tp>
        <v>21910</v>
        <stp/>
        <stp>##V3_BDHV12</stp>
        <stp>RCOM IN Equity</stp>
        <stp>EBIT</stp>
        <stp>FY 2014</stp>
        <stp>FY 2014</stp>
        <stp>[FA1_ymffleas.xlsx]Income - Adjusted!R124C7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24" s="9"/>
      </tp>
      <tp>
        <v>7030</v>
        <stp/>
        <stp>##V3_BDHV12</stp>
        <stp>RCOM IN Equity</stp>
        <stp>BS_TAXES_RECEIVABLE_SHORT_TERM</stp>
        <stp>FY 2018</stp>
        <stp>FY 2018</stp>
        <stp>[FA1_ymffleas.xlsx]Bal Sheet - Standardized!R37C12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7" s="16"/>
      </tp>
      <tp>
        <v>7430</v>
        <stp/>
        <stp>##V3_BDHV12</stp>
        <stp>RCOM IN Equity</stp>
        <stp>BS_TAXES_RECEIVABLE_SHORT_TERM</stp>
        <stp>FY 2016</stp>
        <stp>FY 2016</stp>
        <stp>[FA1_ymffleas.xlsx]Bal Sheet - Standardized!R37C10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7" s="16"/>
      </tp>
      <tp>
        <v>7700</v>
        <stp/>
        <stp>##V3_BDHV12</stp>
        <stp>RCOM IN Equity</stp>
        <stp>BS_TAXES_RECEIVABLE_SHORT_TERM</stp>
        <stp>FY 2017</stp>
        <stp>FY 2017</stp>
        <stp>[FA1_ymffleas.xlsx]Bal Sheet - Standardized!R37C11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7" s="16"/>
      </tp>
      <tp>
        <v>33930</v>
        <stp/>
        <stp>##V3_BDHV12</stp>
        <stp>RCOM IN Equity</stp>
        <stp>EBIT</stp>
        <stp>FY 2015</stp>
        <stp>FY 2015</stp>
        <stp>[FA1_ymffleas.xlsx]Income - Adjusted!R124C8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24" s="9"/>
      </tp>
      <tp>
        <v>27920</v>
        <stp/>
        <stp>##V3_BDHV12</stp>
        <stp>RCOM IN Equity</stp>
        <stp>EBIT</stp>
        <stp>FY 2016</stp>
        <stp>FY 2016</stp>
        <stp>[FA1_ymffleas.xlsx]Income - Adjusted!R124C9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24" s="9"/>
      </tp>
      <tp>
        <v>8.7232000000000003</v>
        <stp/>
        <stp>##V3_BDHV12</stp>
        <stp>RCOM IN Equity</stp>
        <stp>AVG_EV_TO_T12M_EBITDA</stp>
        <stp>FY 2010</stp>
        <stp>FY 2010</stp>
        <stp>[FA1_ymffleas.xlsx]Multiples!R42C3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42" s="6"/>
      </tp>
      <tp>
        <v>-1710</v>
        <stp/>
        <stp>##V3_BDHV12</stp>
        <stp>RCOM IN Equity</stp>
        <stp>ARDR_CUM_TRANSLATION_ADJUST</stp>
        <stp>FY 2018</stp>
        <stp>FY 2018</stp>
        <stp>[FA1_ymffleas.xlsx]Bal Sheet - As Reported!R132C12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2" s="17"/>
      </tp>
      <tp>
        <v>-3600</v>
        <stp/>
        <stp>##V3_BDHV12</stp>
        <stp>RCOM IN Equity</stp>
        <stp>ARDR_CUM_TRANSLATION_ADJUST</stp>
        <stp>FY 2017</stp>
        <stp>FY 2017</stp>
        <stp>[FA1_ymffleas.xlsx]Bal Sheet - As Reported!R132C11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2" s="17"/>
      </tp>
      <tp>
        <v>-6690</v>
        <stp/>
        <stp>##V3_BDHV12</stp>
        <stp>RCOM IN Equity</stp>
        <stp>ARDR_CUM_TRANSLATION_ADJUST</stp>
        <stp>FY 2016</stp>
        <stp>FY 2016</stp>
        <stp>[FA1_ymffleas.xlsx]Bal Sheet - As Reported!R132C10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2" s="17"/>
      </tp>
      <tp>
        <v>0.50649999999999995</v>
        <stp/>
        <stp>##V3_BDHV12</stp>
        <stp>RCOM IN Equity</stp>
        <stp>IS_BASIC_EPS_CONT_OPS</stp>
        <stp>FY 2017</stp>
        <stp>FY 2017</stp>
        <stp>[FA1_ymffleas.xlsx]Income - GAAP!R90C10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0" s="10"/>
      </tp>
      <tp t="s">
        <v>—</v>
        <stp/>
        <stp>##V3_BDHV12</stp>
        <stp>RCOM IN Equity</stp>
        <stp>BEST_GROSS_MARGIN</stp>
        <stp>FY 2018</stp>
        <stp>FY 2018</stp>
        <stp>[FA1_ymffleas.xlsx]Earnings!R33C12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33" s="4"/>
      </tp>
      <tp>
        <v>0.18970000000000001</v>
        <stp/>
        <stp>##V3_BDHV12</stp>
        <stp>RCOM IN Equity</stp>
        <stp>IS_BASIC_EPS_CONT_OPS</stp>
        <stp>FY 2018</stp>
        <stp>FY 2018</stp>
        <stp>[FA1_ymffleas.xlsx]Income - GAAP!R90C11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0" s="10"/>
      </tp>
      <tp>
        <v>4.2516999999999996</v>
        <stp/>
        <stp>##V3_BDHV12</stp>
        <stp>RCOM IN Equity</stp>
        <stp>TOT_DEBT_TO_EBITDA</stp>
        <stp>FY 2010</stp>
        <stp>FY 2010</stp>
        <stp>[FA1_ymffleas.xlsx]Credit!R10C4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0" s="23"/>
      </tp>
      <tp>
        <v>64.75</v>
        <stp/>
        <stp>##V3_BDHV12</stp>
        <stp>RCOM IN Equity</stp>
        <stp>BEST_GROSS_MARGIN</stp>
        <stp>FY 2016</stp>
        <stp>FY 2016</stp>
        <stp>[FA1_ymffleas.xlsx]Earnings!R33C10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3" s="4"/>
      </tp>
      <tp t="s">
        <v>—</v>
        <stp/>
        <stp>##V3_BDHV12</stp>
        <stp>RCOM IN Equity</stp>
        <stp>BEST_GROSS_MARGIN</stp>
        <stp>FY 2017</stp>
        <stp>FY 2017</stp>
        <stp>[FA1_ymffleas.xlsx]Earnings!R33C11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3" s="4"/>
      </tp>
      <tp>
        <v>-50</v>
        <stp/>
        <stp>##V3_BDHV12</stp>
        <stp>RCOM IN Equity</stp>
        <stp>ARD_SHARE_PROFITS_FROM_ASSOC_COS</stp>
        <stp>FY 2018</stp>
        <stp>FY 2018</stp>
        <stp>[FA1_ymffleas.xlsx]Income - As Reported!R35C12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5" s="11"/>
      </tp>
      <tp>
        <v>-20</v>
        <stp/>
        <stp>##V3_BDHV12</stp>
        <stp>RCOM IN Equity</stp>
        <stp>ARD_SHARE_PROFITS_FROM_ASSOC_COS</stp>
        <stp>FY 2016</stp>
        <stp>FY 2016</stp>
        <stp>[FA1_ymffleas.xlsx]Income - As Reported!R35C10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5" s="11"/>
      </tp>
      <tp>
        <v>-30</v>
        <stp/>
        <stp>##V3_BDHV12</stp>
        <stp>RCOM IN Equity</stp>
        <stp>ARD_SHARE_PROFITS_FROM_ASSOC_COS</stp>
        <stp>FY 2017</stp>
        <stp>FY 2017</stp>
        <stp>[FA1_ymffleas.xlsx]Income - As Reported!R35C11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5" s="11"/>
      </tp>
      <tp>
        <v>9.6</v>
        <stp/>
        <stp>##V3_BDHV12</stp>
        <stp>RCOM IN Equity</stp>
        <stp>PX_LOW</stp>
        <stp>FY 2018</stp>
        <stp>FY 2018</stp>
        <stp>[FA1_ymffleas.xlsx]Stock Value!R10C11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0" s="8"/>
      </tp>
      <tp>
        <v>30.6</v>
        <stp/>
        <stp>##V3_BDHV12</stp>
        <stp>RCOM IN Equity</stp>
        <stp>PX_LOW</stp>
        <stp>FY 2017</stp>
        <stp>FY 2017</stp>
        <stp>[FA1_ymffleas.xlsx]Stock Value!R10C10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0" s="8"/>
      </tp>
      <tp>
        <v>33280</v>
        <stp/>
        <stp>##V3_BDHV12</stp>
        <stp>RCOM IN Equity</stp>
        <stp>ARD_DEFERRED_EXPENSES_LT</stp>
        <stp>FY 2017</stp>
        <stp>FY 2017</stp>
        <stp>[FA1_ymffleas.xlsx]Bal Sheet - As Reported!R23C11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3" s="17"/>
      </tp>
      <tp>
        <v>32950</v>
        <stp/>
        <stp>##V3_BDHV12</stp>
        <stp>RCOM IN Equity</stp>
        <stp>ARD_DEFERRED_EXPENSES_LT</stp>
        <stp>FY 2016</stp>
        <stp>FY 2016</stp>
        <stp>[FA1_ymffleas.xlsx]Bal Sheet - As Reported!R23C10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3" s="17"/>
      </tp>
      <tp>
        <v>0</v>
        <stp/>
        <stp>##V3_BDHV12</stp>
        <stp>RCOM IN Equity</stp>
        <stp>ARD_DEFERRED_EXPENSES_LT</stp>
        <stp>FY 2018</stp>
        <stp>FY 2018</stp>
        <stp>[FA1_ymffleas.xlsx]Bal Sheet - As Reported!R23C12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3" s="17"/>
      </tp>
      <tp>
        <v>0.79700000000000004</v>
        <stp/>
        <stp>##V3_BDHV12</stp>
        <stp>RCOM IN Equity</stp>
        <stp>CASH_FLOW_TO_NET_INC</stp>
        <stp>FY 2011</stp>
        <stp>FY 2011</stp>
        <stp>[FA1_ymffleas.xlsx]Cash Flow - Standardized!R66C4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66" s="19"/>
      </tp>
      <tp>
        <v>16.3476</v>
        <stp/>
        <stp>##V3_BDHV12</stp>
        <stp>RCOM IN Equity</stp>
        <stp>NORMALIZED_ROE</stp>
        <stp>FY 2009</stp>
        <stp>FY 2009</stp>
        <stp>[FA1_ymffleas.xlsx]DuPont Analysis!R19C3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9" s="27"/>
      </tp>
      <tp t="s">
        <v>—</v>
        <stp/>
        <stp>##V3_BDHV12</stp>
        <stp>RCOM IN Equity</stp>
        <stp>IS_OTHER_ADJ_COMP_INC</stp>
        <stp>FY 2015</stp>
        <stp>FY 2015</stp>
        <stp>[FA1_ymffleas.xlsx]Comprehensive Income!R10C8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" s="33"/>
      </tp>
      <tp>
        <v>30</v>
        <stp/>
        <stp>##V3_BDHV12</stp>
        <stp>RCOM IN Equity</stp>
        <stp>IS_OTHER_ADJ_COMP_INC</stp>
        <stp>FY 2016</stp>
        <stp>FY 2016</stp>
        <stp>[FA1_ymffleas.xlsx]Comprehensive Income!R10C9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" s="33"/>
      </tp>
      <tp t="s">
        <v>—</v>
        <stp/>
        <stp>##V3_BDHV12</stp>
        <stp>RCOM IN Equity</stp>
        <stp>IS_OTHER_ADJ_COMP_INC</stp>
        <stp>FY 2013</stp>
        <stp>FY 2013</stp>
        <stp>[FA1_ymffleas.xlsx]Comprehensive Income!R10C6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" s="33"/>
      </tp>
      <tp t="s">
        <v>—</v>
        <stp/>
        <stp>##V3_BDHV12</stp>
        <stp>RCOM IN Equity</stp>
        <stp>IS_OTHER_ADJ_COMP_INC</stp>
        <stp>FY 2014</stp>
        <stp>FY 2014</stp>
        <stp>[FA1_ymffleas.xlsx]Comprehensive Income!R10C7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" s="33"/>
      </tp>
      <tp t="s">
        <v>—</v>
        <stp/>
        <stp>##V3_BDHV12</stp>
        <stp>RCOM IN Equity</stp>
        <stp>IS_OTHER_ADJ_COMP_INC</stp>
        <stp>FY 2011</stp>
        <stp>FY 2011</stp>
        <stp>[FA1_ymffleas.xlsx]Comprehensive Income!R10C4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" s="33"/>
      </tp>
      <tp t="s">
        <v>—</v>
        <stp/>
        <stp>##V3_BDHV12</stp>
        <stp>RCOM IN Equity</stp>
        <stp>IS_OTHER_ADJ_COMP_INC</stp>
        <stp>FY 2012</stp>
        <stp>FY 2012</stp>
        <stp>[FA1_ymffleas.xlsx]Comprehensive Income!R10C5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" s="33"/>
      </tp>
      <tp t="s">
        <v>—</v>
        <stp/>
        <stp>##V3_BDHV12</stp>
        <stp>RCOM IN Equity</stp>
        <stp>IS_OTHER_ADJ_COMP_INC</stp>
        <stp>FY 2010</stp>
        <stp>FY 2010</stp>
        <stp>[FA1_ymffleas.xlsx]Comprehensive Income!R10C3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" s="33"/>
      </tp>
      <tp>
        <v>19.4617</v>
        <stp/>
        <stp>##V3_BDHV12</stp>
        <stp>RCOM IN Equity</stp>
        <stp>ACCUM_DEPR_TO_GROSS_FA</stp>
        <stp>FY 2009</stp>
        <stp>FY 2009</stp>
        <stp>[FA1_ymffleas.xlsx]CAPEX &amp; Depreciation!R10C3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0" s="28"/>
      </tp>
      <tp>
        <v>1820</v>
        <stp/>
        <stp>##V3_BDHV12</stp>
        <stp>RCOM IN Equity</stp>
        <stp>ARDR_TOOLS_FURNITURE_FIXTURES</stp>
        <stp>FY 2015</stp>
        <stp>FY 2015</stp>
        <stp>[FA1_ymffleas.xlsx]Bal Sheet - As Reported!R189C9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9" s="17"/>
      </tp>
      <tp>
        <v>1920</v>
        <stp/>
        <stp>##V3_BDHV12</stp>
        <stp>RCOM IN Equity</stp>
        <stp>ARDR_TOOLS_FURNITURE_FIXTURES</stp>
        <stp>FY 2014</stp>
        <stp>FY 2014</stp>
        <stp>[FA1_ymffleas.xlsx]Bal Sheet - As Reported!R189C8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9" s="17"/>
      </tp>
      <tp>
        <v>1880</v>
        <stp/>
        <stp>##V3_BDHV12</stp>
        <stp>RCOM IN Equity</stp>
        <stp>ARDR_TOOLS_FURNITURE_FIXTURES</stp>
        <stp>FY 2013</stp>
        <stp>FY 2013</stp>
        <stp>[FA1_ymffleas.xlsx]Bal Sheet - As Reported!R189C7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9" s="17"/>
      </tp>
      <tp>
        <v>1900</v>
        <stp/>
        <stp>##V3_BDHV12</stp>
        <stp>RCOM IN Equity</stp>
        <stp>ARDR_TOOLS_FURNITURE_FIXTURES</stp>
        <stp>FY 2012</stp>
        <stp>FY 2012</stp>
        <stp>[FA1_ymffleas.xlsx]Bal Sheet - As Reported!R189C6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9" s="17"/>
      </tp>
      <tp>
        <v>1890</v>
        <stp/>
        <stp>##V3_BDHV12</stp>
        <stp>RCOM IN Equity</stp>
        <stp>ARDR_TOOLS_FURNITURE_FIXTURES</stp>
        <stp>FY 2011</stp>
        <stp>FY 2011</stp>
        <stp>[FA1_ymffleas.xlsx]Bal Sheet - As Reported!R189C5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9" s="17"/>
      </tp>
      <tp>
        <v>1743</v>
        <stp/>
        <stp>##V3_BDHV12</stp>
        <stp>RCOM IN Equity</stp>
        <stp>ARDR_TOOLS_FURNITURE_FIXTURES</stp>
        <stp>FY 2010</stp>
        <stp>FY 2010</stp>
        <stp>[FA1_ymffleas.xlsx]Bal Sheet - As Reported!R189C4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9" s="17"/>
      </tp>
      <tp>
        <v>1677.6</v>
        <stp/>
        <stp>##V3_BDHV12</stp>
        <stp>RCOM IN Equity</stp>
        <stp>ARDR_TOOLS_FURNITURE_FIXTURES</stp>
        <stp>FY 2009</stp>
        <stp>FY 2009</stp>
        <stp>[FA1_ymffleas.xlsx]Bal Sheet - As Reported!R189C3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9" s="17"/>
      </tp>
      <tp>
        <v>34.229199999999999</v>
        <stp/>
        <stp>##V3_BDHV12</stp>
        <stp>RCOM IN Equity</stp>
        <stp>ACCUM_DEPR_TO_GROSS_FA</stp>
        <stp>FY 2012</stp>
        <stp>FY 2012</stp>
        <stp>[FA1_ymffleas.xlsx]CAPEX &amp; Depreciation!R10C6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0" s="28"/>
      </tp>
      <tp>
        <v>37.827399999999997</v>
        <stp/>
        <stp>##V3_BDHV12</stp>
        <stp>RCOM IN Equity</stp>
        <stp>ACCUM_DEPR_TO_GROSS_FA</stp>
        <stp>FY 2013</stp>
        <stp>FY 2013</stp>
        <stp>[FA1_ymffleas.xlsx]CAPEX &amp; Depreciation!R10C7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0" s="28"/>
      </tp>
      <tp>
        <v>23.1313</v>
        <stp/>
        <stp>##V3_BDHV12</stp>
        <stp>RCOM IN Equity</stp>
        <stp>ACCUM_DEPR_TO_GROSS_FA</stp>
        <stp>FY 2010</stp>
        <stp>FY 2010</stp>
        <stp>[FA1_ymffleas.xlsx]CAPEX &amp; Depreciation!R10C4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0" s="28"/>
      </tp>
      <tp>
        <v>27.944500000000001</v>
        <stp/>
        <stp>##V3_BDHV12</stp>
        <stp>RCOM IN Equity</stp>
        <stp>ACCUM_DEPR_TO_GROSS_FA</stp>
        <stp>FY 2011</stp>
        <stp>FY 2011</stp>
        <stp>[FA1_ymffleas.xlsx]CAPEX &amp; Depreciation!R10C5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0" s="28"/>
      </tp>
      <tp>
        <v>-520</v>
        <stp/>
        <stp>##V3_BDHV12</stp>
        <stp>RCOM IN Equity</stp>
        <stp>ARD_OTHER_INVESTING_ACTIVITIES</stp>
        <stp>FY 2015</stp>
        <stp>FY 2015</stp>
        <stp>[FA1_ymffleas.xlsx]Cash Flow - As Reported!R47C9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7" s="20"/>
      </tp>
      <tp t="s">
        <v>—</v>
        <stp/>
        <stp>##V3_BDHV12</stp>
        <stp>RCOM IN Equity</stp>
        <stp>ARD_OTHER_INVESTING_ACTIVITIES</stp>
        <stp>FY 2014</stp>
        <stp>FY 2014</stp>
        <stp>[FA1_ymffleas.xlsx]Cash Flow - As Reported!R47C8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7" s="20"/>
      </tp>
      <tp>
        <v>160</v>
        <stp/>
        <stp>##V3_BDHV12</stp>
        <stp>RCOM IN Equity</stp>
        <stp>ARD_OTHER_INVESTING_ACTIVITIES</stp>
        <stp>FY 2011</stp>
        <stp>FY 2011</stp>
        <stp>[FA1_ymffleas.xlsx]Cash Flow - As Reported!R47C5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7" s="20"/>
      </tp>
      <tp>
        <v>1474.8</v>
        <stp/>
        <stp>##V3_BDHV12</stp>
        <stp>RCOM IN Equity</stp>
        <stp>ARD_OTHER_INVESTING_ACTIVITIES</stp>
        <stp>FY 2010</stp>
        <stp>FY 2010</stp>
        <stp>[FA1_ymffleas.xlsx]Cash Flow - As Reported!R47C4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7" s="20"/>
      </tp>
      <tp t="s">
        <v>—</v>
        <stp/>
        <stp>##V3_BDHV12</stp>
        <stp>RCOM IN Equity</stp>
        <stp>ARD_OTHER_INVESTING_ACTIVITIES</stp>
        <stp>FY 2013</stp>
        <stp>FY 2013</stp>
        <stp>[FA1_ymffleas.xlsx]Cash Flow - As Reported!R47C7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7" s="20"/>
      </tp>
      <tp t="s">
        <v>—</v>
        <stp/>
        <stp>##V3_BDHV12</stp>
        <stp>RCOM IN Equity</stp>
        <stp>ARD_OTHER_INVESTING_ACTIVITIES</stp>
        <stp>FY 2012</stp>
        <stp>FY 2012</stp>
        <stp>[FA1_ymffleas.xlsx]Cash Flow - As Reported!R47C6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7" s="20"/>
      </tp>
      <tp>
        <v>6779</v>
        <stp/>
        <stp>##V3_BDHV12</stp>
        <stp>RCOM IN Equity</stp>
        <stp>ARD_OTHER_INVESTING_ACTIVITIES</stp>
        <stp>FY 2009</stp>
        <stp>FY 2009</stp>
        <stp>[FA1_ymffleas.xlsx]Cash Flow - As Reported!R47C3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7" s="20"/>
      </tp>
      <tp>
        <v>2080</v>
        <stp/>
        <stp>##V3_BDHV12</stp>
        <stp>RCOM IN Equity</stp>
        <stp>BS_INVENTORIES</stp>
        <stp>FY 2016</stp>
        <stp>FY 2016</stp>
        <stp>[FA1_ymffleas.xlsx]Working Capital!R16C10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" s="25"/>
      </tp>
      <tp>
        <v>2350</v>
        <stp/>
        <stp>##V3_BDHV12</stp>
        <stp>RCOM IN Equity</stp>
        <stp>BS_INVENTORIES</stp>
        <stp>FY 2017</stp>
        <stp>FY 2017</stp>
        <stp>[FA1_ymffleas.xlsx]Working Capital!R16C11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" s="25"/>
      </tp>
      <tp>
        <v>790</v>
        <stp/>
        <stp>##V3_BDHV12</stp>
        <stp>RCOM IN Equity</stp>
        <stp>BS_INVENTORIES</stp>
        <stp>FY 2018</stp>
        <stp>FY 2018</stp>
        <stp>[FA1_ymffleas.xlsx]Working Capital!R16C12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" s="25"/>
      </tp>
      <tp>
        <v>42.272599999999997</v>
        <stp/>
        <stp>##V3_BDHV12</stp>
        <stp>RCOM IN Equity</stp>
        <stp>ACCUM_DEPR_TO_GROSS_FA</stp>
        <stp>FY 2014</stp>
        <stp>FY 2014</stp>
        <stp>[FA1_ymffleas.xlsx]CAPEX &amp; Depreciation!R10C8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0" s="28"/>
      </tp>
      <tp>
        <v>45.621200000000002</v>
        <stp/>
        <stp>##V3_BDHV12</stp>
        <stp>RCOM IN Equity</stp>
        <stp>ACCUM_DEPR_TO_GROSS_FA</stp>
        <stp>FY 2015</stp>
        <stp>FY 2015</stp>
        <stp>[FA1_ymffleas.xlsx]CAPEX &amp; Depreciation!R10C9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0" s="28"/>
      </tp>
      <tp>
        <v>2.7000000000000001E-3</v>
        <stp/>
        <stp>##V3_BDHV12</stp>
        <stp>RCOM IN Equity</stp>
        <stp>IS_STK_BASED_COMP_PER_DIL_SH</stp>
        <stp>FY 2018</stp>
        <stp>FY 2018</stp>
        <stp>[FA1_ymffleas.xlsx]SBC &amp; Amort!R18C12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8" s="13"/>
      </tp>
      <tp t="s">
        <v>—</v>
        <stp/>
        <stp>##V3_BDHV12</stp>
        <stp>RCOM IN Equity</stp>
        <stp>ARD_DISPOSAL_OF_FIXED_ASSETS</stp>
        <stp>FY 2016</stp>
        <stp>FY 2016</stp>
        <stp>[FA1_ymffleas.xlsx]Cash Flow - As Reported!R43C10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3" s="20"/>
      </tp>
      <tp t="s">
        <v>—</v>
        <stp/>
        <stp>##V3_BDHV12</stp>
        <stp>RCOM IN Equity</stp>
        <stp>ARD_DISPOSAL_OF_FIXED_ASSETS</stp>
        <stp>FY 2017</stp>
        <stp>FY 2017</stp>
        <stp>[FA1_ymffleas.xlsx]Cash Flow - As Reported!R43C11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3" s="20"/>
      </tp>
      <tp t="s">
        <v>—</v>
        <stp/>
        <stp>##V3_BDHV12</stp>
        <stp>RCOM IN Equity</stp>
        <stp>ARD_DISPOSAL_OF_FIXED_ASSETS</stp>
        <stp>FY 2018</stp>
        <stp>FY 2018</stp>
        <stp>[FA1_ymffleas.xlsx]Cash Flow - As Reported!R43C12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3" s="20"/>
      </tp>
      <tp>
        <v>0</v>
        <stp/>
        <stp>##V3_BDHV12</stp>
        <stp>RCOM IN Equity</stp>
        <stp>IS_STK_BASED_COMP_PER_DIL_SH</stp>
        <stp>FY 2016</stp>
        <stp>FY 2016</stp>
        <stp>[FA1_ymffleas.xlsx]SBC &amp; Amort!R18C10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8" s="13"/>
      </tp>
      <tp>
        <v>0</v>
        <stp/>
        <stp>##V3_BDHV12</stp>
        <stp>RCOM IN Equity</stp>
        <stp>IS_STK_BASED_COMP_PER_DIL_SH</stp>
        <stp>FY 2017</stp>
        <stp>FY 2017</stp>
        <stp>[FA1_ymffleas.xlsx]SBC &amp; Amort!R18C11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8" s="13"/>
      </tp>
      <tp>
        <v>22.553000000000001</v>
        <stp/>
        <stp>##V3_BDHV12</stp>
        <stp>RCOM IN Equity</stp>
        <stp>IS_EARN_BEF_XO_ITEMS_PER_SH</stp>
        <stp>FY 2010</stp>
        <stp>FY 2010</stp>
        <stp>[FA1_ymffleas.xlsx]Per Share!R15C3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5" s="7"/>
      </tp>
      <tp>
        <v>32425.3</v>
        <stp/>
        <stp>##V3_BDHV12</stp>
        <stp>RCOM IN Equity</stp>
        <stp>IS_OPER_INC</stp>
        <stp>FY 2010</stp>
        <stp>FY 2010</stp>
        <stp>[FA1_ymffleas.xlsx]Income - GAAP!R35C3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5" s="10"/>
      </tp>
      <tp t="s">
        <v>—</v>
        <stp/>
        <stp>##V3_BDHV12</stp>
        <stp>RCOM IN Equity</stp>
        <stp>ARDR_AVG_EXER_PX_OPT_OUTSTANDING</stp>
        <stp>FY 2009</stp>
        <stp>FY 2009</stp>
        <stp>[FA1_ymffleas.xlsx]Bal Sheet - As Reported!R210C3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10" s="17"/>
      </tp>
      <tp>
        <v>18170</v>
        <stp/>
        <stp>##V3_BDHV12</stp>
        <stp>RCOM IN Equity</stp>
        <stp>IS_OPER_INC</stp>
        <stp>FY 2012</stp>
        <stp>FY 2012</stp>
        <stp>[FA1_ymffleas.xlsx]Income - GAAP!R35C5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5" s="10"/>
      </tp>
      <tp t="s">
        <v>—</v>
        <stp/>
        <stp>##V3_BDHV12</stp>
        <stp>RCOM IN Equity</stp>
        <stp>ARDR_AVG_EXER_PX_OPT_OUTSTANDING</stp>
        <stp>FY 2011</stp>
        <stp>FY 2011</stp>
        <stp>[FA1_ymffleas.xlsx]Bal Sheet - As Reported!R210C5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10" s="17"/>
      </tp>
      <tp>
        <v>5.07</v>
        <stp/>
        <stp>##V3_BDHV12</stp>
        <stp>RCOM IN Equity</stp>
        <stp>IS_EARN_BEF_XO_ITEMS_PER_SH</stp>
        <stp>FY 2014</stp>
        <stp>FY 2014</stp>
        <stp>[FA1_ymffleas.xlsx]Per Share!R15C7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5" s="7"/>
      </tp>
      <tp>
        <v>18720</v>
        <stp/>
        <stp>##V3_BDHV12</stp>
        <stp>RCOM IN Equity</stp>
        <stp>IS_OPER_INC</stp>
        <stp>FY 2011</stp>
        <stp>FY 2011</stp>
        <stp>[FA1_ymffleas.xlsx]Income - GAAP!R35C4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5" s="10"/>
      </tp>
      <tp t="s">
        <v>—</v>
        <stp/>
        <stp>##V3_BDHV12</stp>
        <stp>RCOM IN Equity</stp>
        <stp>ARDR_AVG_EXER_PX_OPT_OUTSTANDING</stp>
        <stp>FY 2010</stp>
        <stp>FY 2010</stp>
        <stp>[FA1_ymffleas.xlsx]Bal Sheet - As Reported!R210C4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10" s="17"/>
      </tp>
      <tp>
        <v>3.26</v>
        <stp/>
        <stp>##V3_BDHV12</stp>
        <stp>RCOM IN Equity</stp>
        <stp>IS_EARN_BEF_XO_ITEMS_PER_SH</stp>
        <stp>FY 2013</stp>
        <stp>FY 2013</stp>
        <stp>[FA1_ymffleas.xlsx]Per Share!R15C6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5" s="7"/>
      </tp>
      <tp>
        <v>21710</v>
        <stp/>
        <stp>##V3_BDHV12</stp>
        <stp>RCOM IN Equity</stp>
        <stp>IS_OPER_INC</stp>
        <stp>FY 2014</stp>
        <stp>FY 2014</stp>
        <stp>[FA1_ymffleas.xlsx]Income - GAAP!R35C7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5" s="10"/>
      </tp>
      <tp t="s">
        <v>—</v>
        <stp/>
        <stp>##V3_BDHV12</stp>
        <stp>RCOM IN Equity</stp>
        <stp>ARDR_AVG_EXER_PX_OPT_OUTSTANDING</stp>
        <stp>FY 2013</stp>
        <stp>FY 2013</stp>
        <stp>[FA1_ymffleas.xlsx]Bal Sheet - As Reported!R210C7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10" s="17"/>
      </tp>
      <tp>
        <v>4.5</v>
        <stp/>
        <stp>##V3_BDHV12</stp>
        <stp>RCOM IN Equity</stp>
        <stp>IS_EARN_BEF_XO_ITEMS_PER_SH</stp>
        <stp>FY 2012</stp>
        <stp>FY 2012</stp>
        <stp>[FA1_ymffleas.xlsx]Per Share!R15C5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5" s="7"/>
      </tp>
      <tp>
        <v>20960</v>
        <stp/>
        <stp>##V3_BDHV12</stp>
        <stp>RCOM IN Equity</stp>
        <stp>IS_OPER_INC</stp>
        <stp>FY 2013</stp>
        <stp>FY 2013</stp>
        <stp>[FA1_ymffleas.xlsx]Income - GAAP!R35C6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5" s="10"/>
      </tp>
      <tp t="s">
        <v>—</v>
        <stp/>
        <stp>##V3_BDHV12</stp>
        <stp>RCOM IN Equity</stp>
        <stp>ARDR_AVG_EXER_PX_OPT_OUTSTANDING</stp>
        <stp>FY 2012</stp>
        <stp>FY 2012</stp>
        <stp>[FA1_ymffleas.xlsx]Bal Sheet - As Reported!R210C6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10" s="17"/>
      </tp>
      <tp>
        <v>6.5164</v>
        <stp/>
        <stp>##V3_BDHV12</stp>
        <stp>RCOM IN Equity</stp>
        <stp>IS_EARN_BEF_XO_ITEMS_PER_SH</stp>
        <stp>FY 2011</stp>
        <stp>FY 2011</stp>
        <stp>[FA1_ymffleas.xlsx]Per Share!R15C4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5" s="7"/>
      </tp>
      <tp>
        <v>27760</v>
        <stp/>
        <stp>##V3_BDHV12</stp>
        <stp>RCOM IN Equity</stp>
        <stp>IS_OPER_INC</stp>
        <stp>FY 2016</stp>
        <stp>FY 2016</stp>
        <stp>[FA1_ymffleas.xlsx]Income - GAAP!R35C9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5" s="10"/>
      </tp>
      <tp t="s">
        <v>—</v>
        <stp/>
        <stp>##V3_BDHV12</stp>
        <stp>RCOM IN Equity</stp>
        <stp>ARDR_AVG_EXER_PX_OPT_OUTSTANDING</stp>
        <stp>FY 2015</stp>
        <stp>FY 2015</stp>
        <stp>[FA1_ymffleas.xlsx]Bal Sheet - As Reported!R210C9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10" s="17"/>
      </tp>
      <tp>
        <v>421000</v>
        <stp/>
        <stp>##V3_BDHV12</stp>
        <stp>RCOM IN Equity</stp>
        <stp>NET_DEBT</stp>
        <stp>FY 2016</stp>
        <stp>FY 2016</stp>
        <stp>[FA1_ymffleas.xlsx]Bal Sheet - Standardized!R167C10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7" s="16"/>
      </tp>
      <tp>
        <v>444190</v>
        <stp/>
        <stp>##V3_BDHV12</stp>
        <stp>RCOM IN Equity</stp>
        <stp>NET_DEBT</stp>
        <stp>FY 2017</stp>
        <stp>FY 2017</stp>
        <stp>[FA1_ymffleas.xlsx]Bal Sheet - Standardized!R167C11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7" s="16"/>
      </tp>
      <tp>
        <v>465470</v>
        <stp/>
        <stp>##V3_BDHV12</stp>
        <stp>RCOM IN Equity</stp>
        <stp>NET_DEBT</stp>
        <stp>FY 2018</stp>
        <stp>FY 2018</stp>
        <stp>[FA1_ymffleas.xlsx]Bal Sheet - Standardized!R167C12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7" s="16"/>
      </tp>
      <tp>
        <v>33890</v>
        <stp/>
        <stp>##V3_BDHV12</stp>
        <stp>RCOM IN Equity</stp>
        <stp>IS_OPER_INC</stp>
        <stp>FY 2015</stp>
        <stp>FY 2015</stp>
        <stp>[FA1_ymffleas.xlsx]Income - GAAP!R35C8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5" s="10"/>
      </tp>
      <tp t="s">
        <v>—</v>
        <stp/>
        <stp>##V3_BDHV12</stp>
        <stp>RCOM IN Equity</stp>
        <stp>ARDR_AVG_EXER_PX_OPT_OUTSTANDING</stp>
        <stp>FY 2014</stp>
        <stp>FY 2014</stp>
        <stp>[FA1_ymffleas.xlsx]Bal Sheet - As Reported!R210C8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10" s="17"/>
      </tp>
      <tp>
        <v>2.59</v>
        <stp/>
        <stp>##V3_BDHV12</stp>
        <stp>RCOM IN Equity</stp>
        <stp>IS_EARN_BEF_XO_ITEMS_PER_SH</stp>
        <stp>FY 2016</stp>
        <stp>FY 2016</stp>
        <stp>[FA1_ymffleas.xlsx]Per Share!R15C9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5" s="7"/>
      </tp>
      <tp>
        <v>3.05</v>
        <stp/>
        <stp>##V3_BDHV12</stp>
        <stp>RCOM IN Equity</stp>
        <stp>IS_EARN_BEF_XO_ITEMS_PER_SH</stp>
        <stp>FY 2015</stp>
        <stp>FY 2015</stp>
        <stp>[FA1_ymffleas.xlsx]Per Share!R15C8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5" s="7"/>
      </tp>
      <tp>
        <v>6.1832000000000003</v>
        <stp/>
        <stp>##V3_BDHV12</stp>
        <stp>RCOM IN Equity</stp>
        <stp>LOW_EV_TO_T12M_EBITDA</stp>
        <stp>FY 2011</stp>
        <stp>FY 2011</stp>
        <stp>[FA1_ymffleas.xlsx]Multiples!R44C4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44" s="6"/>
      </tp>
      <tp>
        <v>2064.0268999999998</v>
        <stp/>
        <stp>##V3_BDHV12</stp>
        <stp>RCOM IN Equity</stp>
        <stp>IS_AVG_NUM_SH_FOR_EPS</stp>
        <stp>FY 2010</stp>
        <stp>FY 2010</stp>
        <stp>[FA1_ymffleas.xlsx]Income - GAAP!R87C3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7" s="10"/>
      </tp>
      <tp>
        <v>36.487499999999997</v>
        <stp/>
        <stp>##V3_BDHV12</stp>
        <stp>RCOM IN Equity</stp>
        <stp>TOTAL_EQUITY_1_YEAR_GROWTH</stp>
        <stp>FY 2009</stp>
        <stp>FY 2009</stp>
        <stp>[FA1_ymffleas.xlsx]Growth!R26C3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6" s="22"/>
      </tp>
      <tp>
        <v>2064.0268999999998</v>
        <stp/>
        <stp>##V3_BDHV12</stp>
        <stp>RCOM IN Equity</stp>
        <stp>IS_AVG_NUM_SH_FOR_EPS</stp>
        <stp>FY 2011</stp>
        <stp>FY 2011</stp>
        <stp>[FA1_ymffleas.xlsx]Income - GAAP!R87C4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7" s="10"/>
      </tp>
      <tp>
        <v>2.5242</v>
        <stp/>
        <stp>##V3_BDHV12</stp>
        <stp>RCOM IN Equity</stp>
        <stp>TOTAL_EQUITY_1_YEAR_GROWTH</stp>
        <stp>FY 2010</stp>
        <stp>FY 2010</stp>
        <stp>[FA1_ymffleas.xlsx]Growth!R26C4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6" s="22"/>
      </tp>
      <tp>
        <v>2064.0268999999998</v>
        <stp/>
        <stp>##V3_BDHV12</stp>
        <stp>RCOM IN Equity</stp>
        <stp>IS_AVG_NUM_SH_FOR_EPS</stp>
        <stp>FY 2012</stp>
        <stp>FY 2012</stp>
        <stp>[FA1_ymffleas.xlsx]Income - GAAP!R87C5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7" s="10"/>
      </tp>
      <tp>
        <v>-6.1246999999999998</v>
        <stp/>
        <stp>##V3_BDHV12</stp>
        <stp>RCOM IN Equity</stp>
        <stp>TOTAL_EQUITY_1_YEAR_GROWTH</stp>
        <stp>FY 2011</stp>
        <stp>FY 2011</stp>
        <stp>[FA1_ymffleas.xlsx]Growth!R26C5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6" s="22"/>
      </tp>
      <tp>
        <v>2064.0268999999998</v>
        <stp/>
        <stp>##V3_BDHV12</stp>
        <stp>RCOM IN Equity</stp>
        <stp>IS_AVG_NUM_SH_FOR_EPS</stp>
        <stp>FY 2013</stp>
        <stp>FY 2013</stp>
        <stp>[FA1_ymffleas.xlsx]Income - GAAP!R87C6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7" s="10"/>
      </tp>
      <tp>
        <v>-10.084</v>
        <stp/>
        <stp>##V3_BDHV12</stp>
        <stp>RCOM IN Equity</stp>
        <stp>TOTAL_EQUITY_1_YEAR_GROWTH</stp>
        <stp>FY 2012</stp>
        <stp>FY 2012</stp>
        <stp>[FA1_ymffleas.xlsx]Growth!R26C6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6" s="22"/>
      </tp>
      <tp>
        <v>2064.0268999999998</v>
        <stp/>
        <stp>##V3_BDHV12</stp>
        <stp>RCOM IN Equity</stp>
        <stp>IS_AVG_NUM_SH_FOR_EPS</stp>
        <stp>FY 2014</stp>
        <stp>FY 2014</stp>
        <stp>[FA1_ymffleas.xlsx]Income - GAAP!R87C7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7" s="10"/>
      </tp>
      <tp>
        <v>-6.9463999999999997</v>
        <stp/>
        <stp>##V3_BDHV12</stp>
        <stp>RCOM IN Equity</stp>
        <stp>TOTAL_EQUITY_1_YEAR_GROWTH</stp>
        <stp>FY 2013</stp>
        <stp>FY 2013</stp>
        <stp>[FA1_ymffleas.xlsx]Growth!R26C7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6" s="22"/>
      </tp>
      <tp>
        <v>2333.9049</v>
        <stp/>
        <stp>##V3_BDHV12</stp>
        <stp>RCOM IN Equity</stp>
        <stp>IS_AVG_NUM_SH_FOR_EPS</stp>
        <stp>FY 2015</stp>
        <stp>FY 2015</stp>
        <stp>[FA1_ymffleas.xlsx]Income - GAAP!R87C8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7" s="10"/>
      </tp>
      <tp>
        <v>-2.9964</v>
        <stp/>
        <stp>##V3_BDHV12</stp>
        <stp>RCOM IN Equity</stp>
        <stp>TOTAL_EQUITY_1_YEAR_GROWTH</stp>
        <stp>FY 2014</stp>
        <stp>FY 2014</stp>
        <stp>[FA1_ymffleas.xlsx]Growth!R26C8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6" s="22"/>
      </tp>
      <tp>
        <v>2467.7006999999999</v>
        <stp/>
        <stp>##V3_BDHV12</stp>
        <stp>RCOM IN Equity</stp>
        <stp>IS_AVG_NUM_SH_FOR_EPS</stp>
        <stp>FY 2016</stp>
        <stp>FY 2016</stp>
        <stp>[FA1_ymffleas.xlsx]Income - GAAP!R87C9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7" s="10"/>
      </tp>
      <tp>
        <v>14.636699999999999</v>
        <stp/>
        <stp>##V3_BDHV12</stp>
        <stp>RCOM IN Equity</stp>
        <stp>TOTAL_EQUITY_1_YEAR_GROWTH</stp>
        <stp>FY 2015</stp>
        <stp>FY 2015</stp>
        <stp>[FA1_ymffleas.xlsx]Growth!R26C9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6" s="22"/>
      </tp>
      <tp>
        <v>8.1600999999999999</v>
        <stp/>
        <stp>##V3_BDHV12</stp>
        <stp>RCOM IN Equity</stp>
        <stp>AVG_EV_TO_T12M_EBITDA</stp>
        <stp>FY 2011</stp>
        <stp>FY 2011</stp>
        <stp>[FA1_ymffleas.xlsx]Multiples!R42C4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42" s="6"/>
      </tp>
      <tp>
        <v>2.0188999999999999</v>
        <stp/>
        <stp>##V3_BDHV12</stp>
        <stp>RCOM IN Equity</stp>
        <stp>RETURN_COM_EQY</stp>
        <stp>FY 2015</stp>
        <stp>FY 2015</stp>
        <stp>[FA1_ymffleas.xlsx]Profitability!R7C9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7" s="21"/>
      </tp>
      <tp>
        <v>7360</v>
        <stp/>
        <stp>##V3_BDHV12</stp>
        <stp>RCOM IN Equity</stp>
        <stp>C&amp;CE_AND_STI_DETAILED</stp>
        <stp>FY 2018</stp>
        <stp>FY 2018</stp>
        <stp>[FA1_ymffleas.xlsx]Bal Sheet - Standardized!R7C12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" s="16"/>
      </tp>
      <tp>
        <v>15170</v>
        <stp/>
        <stp>##V3_BDHV12</stp>
        <stp>RCOM IN Equity</stp>
        <stp>C&amp;CE_AND_STI_DETAILED</stp>
        <stp>FY 2016</stp>
        <stp>FY 2016</stp>
        <stp>[FA1_ymffleas.xlsx]Bal Sheet - Standardized!R7C10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" s="16"/>
      </tp>
      <tp>
        <v>13140</v>
        <stp/>
        <stp>##V3_BDHV12</stp>
        <stp>RCOM IN Equity</stp>
        <stp>C&amp;CE_AND_STI_DETAILED</stp>
        <stp>FY 2017</stp>
        <stp>FY 2017</stp>
        <stp>[FA1_ymffleas.xlsx]Bal Sheet - Standardized!R7C11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" s="16"/>
      </tp>
      <tp t="s">
        <v>—</v>
        <stp/>
        <stp>##V3_BDHV12</stp>
        <stp>RCOM IN Equity</stp>
        <stp>ARDR_NON_OP_PROF_LOSS_DISP_FIXED</stp>
        <stp>FY 2018</stp>
        <stp>FY 2018</stp>
        <stp>[FA1_ymffleas.xlsx]Income - As Reported!R101C12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1" s="11"/>
      </tp>
      <tp t="s">
        <v>—</v>
        <stp/>
        <stp>##V3_BDHV12</stp>
        <stp>RCOM IN Equity</stp>
        <stp>ARDR_NON_OP_PROF_LOSS_DISP_FIXED</stp>
        <stp>FY 2016</stp>
        <stp>FY 2016</stp>
        <stp>[FA1_ymffleas.xlsx]Income - As Reported!R101C10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1" s="11"/>
      </tp>
      <tp t="s">
        <v>—</v>
        <stp/>
        <stp>##V3_BDHV12</stp>
        <stp>RCOM IN Equity</stp>
        <stp>ARDR_NON_OP_PROF_LOSS_DISP_FIXED</stp>
        <stp>FY 2017</stp>
        <stp>FY 2017</stp>
        <stp>[FA1_ymffleas.xlsx]Income - As Reported!R101C11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1" s="11"/>
      </tp>
      <tp>
        <v>75.475700000000003</v>
        <stp/>
        <stp>##V3_BDHV12</stp>
        <stp>RCOM IN Equity</stp>
        <stp>TAX_EFFICIENCY</stp>
        <stp>FY 2015</stp>
        <stp>FY 2015</stp>
        <stp>[FA1_ymffleas.xlsx]DuPont Analysis!R7C9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7" s="27"/>
      </tp>
      <tp>
        <v>4.4855999999999998</v>
        <stp/>
        <stp>##V3_BDHV12</stp>
        <stp>RCOM IN Equity</stp>
        <stp>TOT_DEBT_TO_EBITDA</stp>
        <stp>FY 2009</stp>
        <stp>FY 2009</stp>
        <stp>[FA1_ymffleas.xlsx]Credit!R10C3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0" s="23"/>
      </tp>
      <tp>
        <v>5.1742999999999997</v>
        <stp/>
        <stp>##V3_BDHV12</stp>
        <stp>RCOM IN Equity</stp>
        <stp>NET_DEBT_TO_EBITDA</stp>
        <stp>FY 2015</stp>
        <stp>FY 2015</stp>
        <stp>[FA1_ymffleas.xlsx]Credit!R11C9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1" s="23"/>
      </tp>
      <tp t="s">
        <v>—</v>
        <stp/>
        <stp>##V3_BDHV12</stp>
        <stp>RCOM IN Equity</stp>
        <stp>EBIT_TO_CASH_INTEREST_PAID</stp>
        <stp>FY 2015</stp>
        <stp>FY 2015</stp>
        <stp>[FA1_ymffleas.xlsx]Credit!R22C9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2" s="23"/>
      </tp>
      <tp>
        <v>4840</v>
        <stp/>
        <stp>##V3_BDHV12</stp>
        <stp>RCOM IN Equity</stp>
        <stp>ARDR_OTHER_CURRENT_LIABILITIES</stp>
        <stp>FY 2015</stp>
        <stp>FY 2015</stp>
        <stp>[FA1_ymffleas.xlsx]Bal Sheet - As Reported!R87C9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7" s="17"/>
      </tp>
      <tp>
        <v>8370</v>
        <stp/>
        <stp>##V3_BDHV12</stp>
        <stp>RCOM IN Equity</stp>
        <stp>ARDR_OTHER_CURRENT_LIABILITIES</stp>
        <stp>FY 2014</stp>
        <stp>FY 2014</stp>
        <stp>[FA1_ymffleas.xlsx]Bal Sheet - As Reported!R87C8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7" s="17"/>
      </tp>
      <tp>
        <v>114890</v>
        <stp/>
        <stp>##V3_BDHV12</stp>
        <stp>RCOM IN Equity</stp>
        <stp>ARDR_OTHER_CURRENT_LIABILITIES</stp>
        <stp>FY 2009</stp>
        <stp>FY 2009</stp>
        <stp>[FA1_ymffleas.xlsx]Bal Sheet - As Reported!R87C3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7" s="17"/>
      </tp>
      <tp>
        <v>27400</v>
        <stp/>
        <stp>##V3_BDHV12</stp>
        <stp>RCOM IN Equity</stp>
        <stp>ARDR_OTHER_CURRENT_LIABILITIES</stp>
        <stp>FY 2011</stp>
        <stp>FY 2011</stp>
        <stp>[FA1_ymffleas.xlsx]Bal Sheet - As Reported!R87C5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7" s="17"/>
      </tp>
      <tp>
        <v>107954</v>
        <stp/>
        <stp>##V3_BDHV12</stp>
        <stp>RCOM IN Equity</stp>
        <stp>ARDR_OTHER_CURRENT_LIABILITIES</stp>
        <stp>FY 2010</stp>
        <stp>FY 2010</stp>
        <stp>[FA1_ymffleas.xlsx]Bal Sheet - As Reported!R87C4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7" s="17"/>
      </tp>
      <tp>
        <v>11490</v>
        <stp/>
        <stp>##V3_BDHV12</stp>
        <stp>RCOM IN Equity</stp>
        <stp>ARDR_OTHER_CURRENT_LIABILITIES</stp>
        <stp>FY 2013</stp>
        <stp>FY 2013</stp>
        <stp>[FA1_ymffleas.xlsx]Bal Sheet - As Reported!R87C7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7" s="17"/>
      </tp>
      <tp>
        <v>18360</v>
        <stp/>
        <stp>##V3_BDHV12</stp>
        <stp>RCOM IN Equity</stp>
        <stp>ARDR_OTHER_CURRENT_LIABILITIES</stp>
        <stp>FY 2012</stp>
        <stp>FY 2012</stp>
        <stp>[FA1_ymffleas.xlsx]Bal Sheet - As Reported!R87C6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7" s="17"/>
      </tp>
      <tp>
        <v>7140</v>
        <stp/>
        <stp>##V3_BDHV12</stp>
        <stp>RCOM IN Equity</stp>
        <stp>REINVEST_EARN</stp>
        <stp>FY 2015</stp>
        <stp>FY 2015</stp>
        <stp>[FA1_ymffleas.xlsx]Sources of Capital!R12C9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12" s="32"/>
      </tp>
      <tp>
        <v>10470</v>
        <stp/>
        <stp>##V3_BDHV12</stp>
        <stp>RCOM IN Equity</stp>
        <stp>REINVEST_EARN</stp>
        <stp>FY 2014</stp>
        <stp>FY 2014</stp>
        <stp>[FA1_ymffleas.xlsx]Sources of Capital!R12C8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12" s="32"/>
      </tp>
      <tp>
        <v>12420</v>
        <stp/>
        <stp>##V3_BDHV12</stp>
        <stp>RCOM IN Equity</stp>
        <stp>REINVEST_EARN</stp>
        <stp>FY 2011</stp>
        <stp>FY 2011</stp>
        <stp>[FA1_ymffleas.xlsx]Sources of Capital!R12C5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12" s="32"/>
      </tp>
      <tp>
        <v>44795.6</v>
        <stp/>
        <stp>##V3_BDHV12</stp>
        <stp>RCOM IN Equity</stp>
        <stp>REINVEST_EARN</stp>
        <stp>FY 2010</stp>
        <stp>FY 2010</stp>
        <stp>[FA1_ymffleas.xlsx]Sources of Capital!R12C4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12" s="32"/>
      </tp>
      <tp>
        <v>6200</v>
        <stp/>
        <stp>##V3_BDHV12</stp>
        <stp>RCOM IN Equity</stp>
        <stp>REINVEST_EARN</stp>
        <stp>FY 2013</stp>
        <stp>FY 2013</stp>
        <stp>[FA1_ymffleas.xlsx]Sources of Capital!R12C7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12" s="32"/>
      </tp>
      <tp>
        <v>8760</v>
        <stp/>
        <stp>##V3_BDHV12</stp>
        <stp>RCOM IN Equity</stp>
        <stp>REINVEST_EARN</stp>
        <stp>FY 2012</stp>
        <stp>FY 2012</stp>
        <stp>[FA1_ymffleas.xlsx]Sources of Capital!R12C6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12" s="32"/>
      </tp>
      <tp>
        <v>58798.1</v>
        <stp/>
        <stp>##V3_BDHV12</stp>
        <stp>RCOM IN Equity</stp>
        <stp>REINVEST_EARN</stp>
        <stp>FY 2009</stp>
        <stp>FY 2009</stp>
        <stp>[FA1_ymffleas.xlsx]Sources of Capital!R12C3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12" s="32"/>
      </tp>
      <tp t="s">
        <v>—</v>
        <stp/>
        <stp>##V3_BDHV12</stp>
        <stp>RCOM IN Equity</stp>
        <stp>ARDR_SPARES_AND_CONSUMABLES</stp>
        <stp>FY 2013</stp>
        <stp>FY 2013</stp>
        <stp>[FA1_ymffleas.xlsx]Bal Sheet - As Reported!R166C7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6" s="17"/>
      </tp>
      <tp t="s">
        <v>—</v>
        <stp/>
        <stp>##V3_BDHV12</stp>
        <stp>RCOM IN Equity</stp>
        <stp>ARDR_SPARES_AND_CONSUMABLES</stp>
        <stp>FY 2012</stp>
        <stp>FY 2012</stp>
        <stp>[FA1_ymffleas.xlsx]Bal Sheet - As Reported!R166C6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6" s="17"/>
      </tp>
      <tp t="s">
        <v>—</v>
        <stp/>
        <stp>##V3_BDHV12</stp>
        <stp>RCOM IN Equity</stp>
        <stp>ARDR_SPARES_AND_CONSUMABLES</stp>
        <stp>FY 2011</stp>
        <stp>FY 2011</stp>
        <stp>[FA1_ymffleas.xlsx]Bal Sheet - As Reported!R166C5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6" s="17"/>
      </tp>
      <tp t="s">
        <v>—</v>
        <stp/>
        <stp>##V3_BDHV12</stp>
        <stp>RCOM IN Equity</stp>
        <stp>ARDR_SPARES_AND_CONSUMABLES</stp>
        <stp>FY 2010</stp>
        <stp>FY 2010</stp>
        <stp>[FA1_ymffleas.xlsx]Bal Sheet - As Reported!R166C4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6" s="17"/>
      </tp>
      <tp t="s">
        <v>—</v>
        <stp/>
        <stp>##V3_BDHV12</stp>
        <stp>RCOM IN Equity</stp>
        <stp>ARDR_SPARES_AND_CONSUMABLES</stp>
        <stp>FY 2009</stp>
        <stp>FY 2009</stp>
        <stp>[FA1_ymffleas.xlsx]Bal Sheet - As Reported!R166C3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6" s="17"/>
      </tp>
      <tp>
        <v>2450</v>
        <stp/>
        <stp>##V3_BDHV12</stp>
        <stp>RCOM IN Equity</stp>
        <stp>ARDR_SPARES_AND_CONSUMABLES</stp>
        <stp>FY 2015</stp>
        <stp>FY 2015</stp>
        <stp>[FA1_ymffleas.xlsx]Bal Sheet - As Reported!R166C9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6" s="17"/>
      </tp>
      <tp t="s">
        <v>—</v>
        <stp/>
        <stp>##V3_BDHV12</stp>
        <stp>RCOM IN Equity</stp>
        <stp>ARDR_SPARES_AND_CONSUMABLES</stp>
        <stp>FY 2014</stp>
        <stp>FY 2014</stp>
        <stp>[FA1_ymffleas.xlsx]Bal Sheet - As Reported!R166C8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6" s="17"/>
      </tp>
      <tp>
        <v>-71.106300000000005</v>
        <stp/>
        <stp>##V3_BDHV12</stp>
        <stp>RCOM IN Equity</stp>
        <stp>NET_INCOME_TO_COMMON_SEQ_GROWTH</stp>
        <stp>FY 2011</stp>
        <stp>FY 2011</stp>
        <stp>[FA1_ymffleas.xlsx]Growth!R63C5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63" s="22"/>
      </tp>
      <tp>
        <v>1.7563</v>
        <stp/>
        <stp>##V3_BDHV12</stp>
        <stp>RCOM IN Equity</stp>
        <stp>CASH_FLOW_TO_NET_INC</stp>
        <stp>FY 2010</stp>
        <stp>FY 2010</stp>
        <stp>[FA1_ymffleas.xlsx]Cash Flow - Standardized!R66C3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66" s="19"/>
      </tp>
      <tp>
        <v>11.0205</v>
        <stp/>
        <stp>##V3_BDHV12</stp>
        <stp>RCOM IN Equity</stp>
        <stp>NORMALIZED_ROE</stp>
        <stp>FY 2010</stp>
        <stp>FY 2010</stp>
        <stp>[FA1_ymffleas.xlsx]DuPont Analysis!R19C4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9" s="27"/>
      </tp>
      <tp>
        <v>0.23150000000000001</v>
        <stp/>
        <stp>##V3_BDHV12</stp>
        <stp>RCOM IN Equity</stp>
        <stp>ASSET_TURNOVER</stp>
        <stp>FY 2014</stp>
        <stp>FY 2014</stp>
        <stp>[FA1_ymffleas.xlsx]DuPont Analysis!R15C8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5" s="27"/>
      </tp>
      <tp>
        <v>-28.973800000000001</v>
        <stp/>
        <stp>##V3_BDHV12</stp>
        <stp>RCOM IN Equity</stp>
        <stp>5Y_GEO_GROWTH_DILUTED_EPS_BEF_XO</stp>
        <stp>FY 2014</stp>
        <stp>FY 2014</stp>
        <stp>[FA1_ymffleas.xlsx]Growth!R41C8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1" s="22"/>
      </tp>
      <tp>
        <v>-32.4086</v>
        <stp/>
        <stp>##V3_BDHV12</stp>
        <stp>RCOM IN Equity</stp>
        <stp>5Y_GEO_GROWTH_DILUTED_EPS_BEF_XO</stp>
        <stp>FY 2015</stp>
        <stp>FY 2015</stp>
        <stp>[FA1_ymffleas.xlsx]Growth!R41C9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1" s="22"/>
      </tp>
      <tp>
        <v>379860</v>
        <stp/>
        <stp>##V3_BDHV12</stp>
        <stp>RCOM IN Equity</stp>
        <stp>ARDR_ACCUMULATED_DEPREC</stp>
        <stp>FY 2015</stp>
        <stp>FY 2015</stp>
        <stp>[FA1_ymffleas.xlsx]Bal Sheet - As Reported!R73C9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3" s="17"/>
      </tp>
      <tp>
        <v>345080</v>
        <stp/>
        <stp>##V3_BDHV12</stp>
        <stp>RCOM IN Equity</stp>
        <stp>ARDR_ACCUMULATED_DEPREC</stp>
        <stp>FY 2014</stp>
        <stp>FY 2014</stp>
        <stp>[FA1_ymffleas.xlsx]Bal Sheet - As Reported!R73C8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3" s="17"/>
      </tp>
      <tp>
        <v>128354.2</v>
        <stp/>
        <stp>##V3_BDHV12</stp>
        <stp>RCOM IN Equity</stp>
        <stp>ARDR_ACCUMULATED_DEPREC</stp>
        <stp>FY 2009</stp>
        <stp>FY 2009</stp>
        <stp>[FA1_ymffleas.xlsx]Bal Sheet - As Reported!R73C3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3" s="17"/>
      </tp>
      <tp>
        <v>216740</v>
        <stp/>
        <stp>##V3_BDHV12</stp>
        <stp>RCOM IN Equity</stp>
        <stp>ARDR_ACCUMULATED_DEPREC</stp>
        <stp>FY 2011</stp>
        <stp>FY 2011</stp>
        <stp>[FA1_ymffleas.xlsx]Bal Sheet - As Reported!R73C5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3" s="17"/>
      </tp>
      <tp>
        <v>160732.70000000001</v>
        <stp/>
        <stp>##V3_BDHV12</stp>
        <stp>RCOM IN Equity</stp>
        <stp>ARDR_ACCUMULATED_DEPREC</stp>
        <stp>FY 2010</stp>
        <stp>FY 2010</stp>
        <stp>[FA1_ymffleas.xlsx]Bal Sheet - As Reported!R73C4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3" s="17"/>
      </tp>
      <tp>
        <v>293280</v>
        <stp/>
        <stp>##V3_BDHV12</stp>
        <stp>RCOM IN Equity</stp>
        <stp>ARDR_ACCUMULATED_DEPREC</stp>
        <stp>FY 2013</stp>
        <stp>FY 2013</stp>
        <stp>[FA1_ymffleas.xlsx]Bal Sheet - As Reported!R73C7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3" s="17"/>
      </tp>
      <tp>
        <v>252810</v>
        <stp/>
        <stp>##V3_BDHV12</stp>
        <stp>RCOM IN Equity</stp>
        <stp>ARDR_ACCUMULATED_DEPREC</stp>
        <stp>FY 2012</stp>
        <stp>FY 2012</stp>
        <stp>[FA1_ymffleas.xlsx]Bal Sheet - As Reported!R73C6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3" s="17"/>
      </tp>
      <tp t="s">
        <v>—</v>
        <stp/>
        <stp>##V3_BDHV12</stp>
        <stp>RCOM IN Equity</stp>
        <stp>ARDR_ST_LOANS</stp>
        <stp>FY 2015</stp>
        <stp>FY 2015</stp>
        <stp>[FA1_ymffleas.xlsx]Bal Sheet - As Reported!R144C9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4" s="17"/>
      </tp>
      <tp t="s">
        <v>—</v>
        <stp/>
        <stp>##V3_BDHV12</stp>
        <stp>RCOM IN Equity</stp>
        <stp>ARDR_ST_LOANS</stp>
        <stp>FY 2014</stp>
        <stp>FY 2014</stp>
        <stp>[FA1_ymffleas.xlsx]Bal Sheet - As Reported!R144C8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4" s="17"/>
      </tp>
      <tp t="s">
        <v>—</v>
        <stp/>
        <stp>##V3_BDHV12</stp>
        <stp>RCOM IN Equity</stp>
        <stp>ARDR_ST_LOANS</stp>
        <stp>FY 2011</stp>
        <stp>FY 2011</stp>
        <stp>[FA1_ymffleas.xlsx]Bal Sheet - As Reported!R144C5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4" s="17"/>
      </tp>
      <tp t="s">
        <v>—</v>
        <stp/>
        <stp>##V3_BDHV12</stp>
        <stp>RCOM IN Equity</stp>
        <stp>ARDR_ST_LOANS</stp>
        <stp>FY 2010</stp>
        <stp>FY 2010</stp>
        <stp>[FA1_ymffleas.xlsx]Bal Sheet - As Reported!R144C4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4" s="17"/>
      </tp>
      <tp t="s">
        <v>—</v>
        <stp/>
        <stp>##V3_BDHV12</stp>
        <stp>RCOM IN Equity</stp>
        <stp>ARDR_ST_LOANS</stp>
        <stp>FY 2013</stp>
        <stp>FY 2013</stp>
        <stp>[FA1_ymffleas.xlsx]Bal Sheet - As Reported!R144C7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4" s="17"/>
      </tp>
      <tp t="s">
        <v>—</v>
        <stp/>
        <stp>##V3_BDHV12</stp>
        <stp>RCOM IN Equity</stp>
        <stp>ARDR_ST_LOANS</stp>
        <stp>FY 2012</stp>
        <stp>FY 2012</stp>
        <stp>[FA1_ymffleas.xlsx]Bal Sheet - As Reported!R144C6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4" s="17"/>
      </tp>
      <tp t="s">
        <v>—</v>
        <stp/>
        <stp>##V3_BDHV12</stp>
        <stp>RCOM IN Equity</stp>
        <stp>ARDR_ST_LOANS</stp>
        <stp>FY 2009</stp>
        <stp>FY 2009</stp>
        <stp>[FA1_ymffleas.xlsx]Bal Sheet - As Reported!R144C3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4" s="17"/>
      </tp>
      <tp t="s">
        <v>—</v>
        <stp/>
        <stp>##V3_BDHV12</stp>
        <stp>RCOM IN Equity</stp>
        <stp>5Y_GEO_GROWTH_DILUTED_EPS_BEF_XO</stp>
        <stp>FY 2009</stp>
        <stp>FY 2009</stp>
        <stp>[FA1_ymffleas.xlsx]Growth!R41C3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1" s="22"/>
      </tp>
      <tp>
        <v>80470</v>
        <stp/>
        <stp>##V3_BDHV12</stp>
        <stp>RCOM IN Equity</stp>
        <stp>ARDR_ADDITIONAL_PAID_IN_CAPITAL</stp>
        <stp>FY 2014</stp>
        <stp>FY 2014</stp>
        <stp>[FA1_ymffleas.xlsx]Bal Sheet - As Reported!R96C8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6" s="17"/>
      </tp>
      <tp>
        <v>138940</v>
        <stp/>
        <stp>##V3_BDHV12</stp>
        <stp>RCOM IN Equity</stp>
        <stp>ARDR_ADDITIONAL_PAID_IN_CAPITAL</stp>
        <stp>FY 2015</stp>
        <stp>FY 2015</stp>
        <stp>[FA1_ymffleas.xlsx]Bal Sheet - As Reported!R96C9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6" s="17"/>
      </tp>
      <tp>
        <v>88826.3</v>
        <stp/>
        <stp>##V3_BDHV12</stp>
        <stp>RCOM IN Equity</stp>
        <stp>ARDR_ADDITIONAL_PAID_IN_CAPITAL</stp>
        <stp>FY 2010</stp>
        <stp>FY 2010</stp>
        <stp>[FA1_ymffleas.xlsx]Bal Sheet - As Reported!R96C4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6" s="17"/>
      </tp>
      <tp>
        <v>85810</v>
        <stp/>
        <stp>##V3_BDHV12</stp>
        <stp>RCOM IN Equity</stp>
        <stp>ARDR_ADDITIONAL_PAID_IN_CAPITAL</stp>
        <stp>FY 2011</stp>
        <stp>FY 2011</stp>
        <stp>[FA1_ymffleas.xlsx]Bal Sheet - As Reported!R96C5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6" s="17"/>
      </tp>
      <tp>
        <v>80470</v>
        <stp/>
        <stp>##V3_BDHV12</stp>
        <stp>RCOM IN Equity</stp>
        <stp>ARDR_ADDITIONAL_PAID_IN_CAPITAL</stp>
        <stp>FY 2012</stp>
        <stp>FY 2012</stp>
        <stp>[FA1_ymffleas.xlsx]Bal Sheet - As Reported!R96C6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6" s="17"/>
      </tp>
      <tp>
        <v>80470</v>
        <stp/>
        <stp>##V3_BDHV12</stp>
        <stp>RCOM IN Equity</stp>
        <stp>ARDR_ADDITIONAL_PAID_IN_CAPITAL</stp>
        <stp>FY 2013</stp>
        <stp>FY 2013</stp>
        <stp>[FA1_ymffleas.xlsx]Bal Sheet - As Reported!R96C7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6" s="17"/>
      </tp>
      <tp>
        <v>91719.3</v>
        <stp/>
        <stp>##V3_BDHV12</stp>
        <stp>RCOM IN Equity</stp>
        <stp>ARDR_ADDITIONAL_PAID_IN_CAPITAL</stp>
        <stp>FY 2009</stp>
        <stp>FY 2009</stp>
        <stp>[FA1_ymffleas.xlsx]Bal Sheet - As Reported!R96C3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6" s="17"/>
      </tp>
      <tp t="s">
        <v>—</v>
        <stp/>
        <stp>##V3_BDHV12</stp>
        <stp>RCOM IN Equity</stp>
        <stp>5Y_GEO_GROWTH_DILUTED_EPS_BEF_XO</stp>
        <stp>FY 2010</stp>
        <stp>FY 2010</stp>
        <stp>[FA1_ymffleas.xlsx]Growth!R41C4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1" s="22"/>
      </tp>
      <tp t="s">
        <v>—</v>
        <stp/>
        <stp>##V3_BDHV12</stp>
        <stp>RCOM IN Equity</stp>
        <stp>5Y_GEO_GROWTH_DILUTED_EPS_BEF_XO</stp>
        <stp>FY 2011</stp>
        <stp>FY 2011</stp>
        <stp>[FA1_ymffleas.xlsx]Growth!R41C5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1" s="22"/>
      </tp>
      <tp t="s">
        <v>—</v>
        <stp/>
        <stp>##V3_BDHV12</stp>
        <stp>RCOM IN Equity</stp>
        <stp>5Y_GEO_GROWTH_DILUTED_EPS_BEF_XO</stp>
        <stp>FY 2012</stp>
        <stp>FY 2012</stp>
        <stp>[FA1_ymffleas.xlsx]Growth!R41C6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1" s="22"/>
      </tp>
      <tp>
        <v>-32.473999999999997</v>
        <stp/>
        <stp>##V3_BDHV12</stp>
        <stp>RCOM IN Equity</stp>
        <stp>5Y_GEO_GROWTH_DILUTED_EPS_BEF_XO</stp>
        <stp>FY 2013</stp>
        <stp>FY 2013</stp>
        <stp>[FA1_ymffleas.xlsx]Growth!R41C7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1" s="22"/>
      </tp>
      <tp>
        <v>15660</v>
        <stp/>
        <stp>##V3_BDHV12</stp>
        <stp>RCOM IN Equity</stp>
        <stp>ARDR_ALLOW_FOR_DOUBTFUL_ACCTS</stp>
        <stp>FY 2015</stp>
        <stp>FY 2015</stp>
        <stp>[FA1_ymffleas.xlsx]Bal Sheet - As Reported!R110C9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0" s="17"/>
      </tp>
      <tp>
        <v>15090</v>
        <stp/>
        <stp>##V3_BDHV12</stp>
        <stp>RCOM IN Equity</stp>
        <stp>ARDR_ALLOW_FOR_DOUBTFUL_ACCTS</stp>
        <stp>FY 2014</stp>
        <stp>FY 2014</stp>
        <stp>[FA1_ymffleas.xlsx]Bal Sheet - As Reported!R110C8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0" s="17"/>
      </tp>
      <tp>
        <v>3946.6</v>
        <stp/>
        <stp>##V3_BDHV12</stp>
        <stp>RCOM IN Equity</stp>
        <stp>ARDR_ALLOW_FOR_DOUBTFUL_ACCTS</stp>
        <stp>FY 2009</stp>
        <stp>FY 2009</stp>
        <stp>[FA1_ymffleas.xlsx]Bal Sheet - As Reported!R110C3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0" s="17"/>
      </tp>
      <tp>
        <v>6360</v>
        <stp/>
        <stp>##V3_BDHV12</stp>
        <stp>RCOM IN Equity</stp>
        <stp>ARDR_ALLOW_FOR_DOUBTFUL_ACCTS</stp>
        <stp>FY 2011</stp>
        <stp>FY 2011</stp>
        <stp>[FA1_ymffleas.xlsx]Bal Sheet - As Reported!R110C5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0" s="17"/>
      </tp>
      <tp>
        <v>5599.8</v>
        <stp/>
        <stp>##V3_BDHV12</stp>
        <stp>RCOM IN Equity</stp>
        <stp>ARDR_ALLOW_FOR_DOUBTFUL_ACCTS</stp>
        <stp>FY 2010</stp>
        <stp>FY 2010</stp>
        <stp>[FA1_ymffleas.xlsx]Bal Sheet - As Reported!R110C4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0" s="17"/>
      </tp>
      <tp>
        <v>12530</v>
        <stp/>
        <stp>##V3_BDHV12</stp>
        <stp>RCOM IN Equity</stp>
        <stp>ARDR_ALLOW_FOR_DOUBTFUL_ACCTS</stp>
        <stp>FY 2013</stp>
        <stp>FY 2013</stp>
        <stp>[FA1_ymffleas.xlsx]Bal Sheet - As Reported!R110C7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0" s="17"/>
      </tp>
      <tp>
        <v>10380</v>
        <stp/>
        <stp>##V3_BDHV12</stp>
        <stp>RCOM IN Equity</stp>
        <stp>ARDR_ALLOW_FOR_DOUBTFUL_ACCTS</stp>
        <stp>FY 2012</stp>
        <stp>FY 2012</stp>
        <stp>[FA1_ymffleas.xlsx]Bal Sheet - As Reported!R110C6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0" s="17"/>
      </tp>
      <tp>
        <v>5.6584000000000003</v>
        <stp/>
        <stp>##V3_BDHV12</stp>
        <stp>RCOM IN Equity</stp>
        <stp>LOW_EV_TO_T12M_EBITDA</stp>
        <stp>FY 2012</stp>
        <stp>FY 2012</stp>
        <stp>[FA1_ymffleas.xlsx]Multiples!R44C5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44" s="6"/>
      </tp>
      <tp>
        <v>-1874</v>
        <stp/>
        <stp>##V3_BDHV12</stp>
        <stp>RCOM IN Equity</stp>
        <stp>ARDR_FOREIGN_EXCHANGE</stp>
        <stp>FY 2009</stp>
        <stp>FY 2009</stp>
        <stp>[FA1_ymffleas.xlsx]Income - As Reported!R70C3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0" s="11"/>
      </tp>
      <tp t="s">
        <v>—</v>
        <stp/>
        <stp>##V3_BDHV12</stp>
        <stp>RCOM IN Equity</stp>
        <stp>ARDR_FOREIGN_EXCHANGE</stp>
        <stp>FY 2011</stp>
        <stp>FY 2011</stp>
        <stp>[FA1_ymffleas.xlsx]Income - As Reported!R70C5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0" s="11"/>
      </tp>
      <tp>
        <v>-26450.3</v>
        <stp/>
        <stp>##V3_BDHV12</stp>
        <stp>RCOM IN Equity</stp>
        <stp>ARDR_FOREIGN_EXCHANGE</stp>
        <stp>FY 2010</stp>
        <stp>FY 2010</stp>
        <stp>[FA1_ymffleas.xlsx]Income - As Reported!R70C4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0" s="11"/>
      </tp>
      <tp t="s">
        <v>—</v>
        <stp/>
        <stp>##V3_BDHV12</stp>
        <stp>RCOM IN Equity</stp>
        <stp>ARDR_FOREIGN_EXCHANGE</stp>
        <stp>FY 2013</stp>
        <stp>FY 2013</stp>
        <stp>[FA1_ymffleas.xlsx]Income - As Reported!R70C7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0" s="11"/>
      </tp>
      <tp>
        <v>100</v>
        <stp/>
        <stp>##V3_BDHV12</stp>
        <stp>RCOM IN Equity</stp>
        <stp>ARDR_FOREIGN_EXCHANGE</stp>
        <stp>FY 2012</stp>
        <stp>FY 2012</stp>
        <stp>[FA1_ymffleas.xlsx]Income - As Reported!R70C6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0" s="11"/>
      </tp>
      <tp t="s">
        <v>—</v>
        <stp/>
        <stp>##V3_BDHV12</stp>
        <stp>RCOM IN Equity</stp>
        <stp>ARDR_FOREIGN_EXCHANGE</stp>
        <stp>FY 2015</stp>
        <stp>FY 2015</stp>
        <stp>[FA1_ymffleas.xlsx]Income - As Reported!R70C9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0" s="11"/>
      </tp>
      <tp t="s">
        <v>—</v>
        <stp/>
        <stp>##V3_BDHV12</stp>
        <stp>RCOM IN Equity</stp>
        <stp>ARDR_FOREIGN_EXCHANGE</stp>
        <stp>FY 2014</stp>
        <stp>FY 2014</stp>
        <stp>[FA1_ymffleas.xlsx]Income - As Reported!R70C8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0" s="11"/>
      </tp>
      <tp>
        <v>-30</v>
        <stp/>
        <stp>##V3_BDHV12</stp>
        <stp>RCOM IN Equity</stp>
        <stp>ARD_INCOME_BEFORE_INCOME_TAXES</stp>
        <stp>FY 2018</stp>
        <stp>FY 2018</stp>
        <stp>[FA1_ymffleas.xlsx]Income - As Reported!R27C12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7" s="11"/>
      </tp>
      <tp>
        <v>2320</v>
        <stp/>
        <stp>##V3_BDHV12</stp>
        <stp>RCOM IN Equity</stp>
        <stp>ARD_INCOME_BEFORE_INCOME_TAXES</stp>
        <stp>FY 2016</stp>
        <stp>FY 2016</stp>
        <stp>[FA1_ymffleas.xlsx]Income - As Reported!R27C10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7" s="11"/>
      </tp>
      <tp>
        <v>1550</v>
        <stp/>
        <stp>##V3_BDHV12</stp>
        <stp>RCOM IN Equity</stp>
        <stp>ARD_INCOME_BEFORE_INCOME_TAXES</stp>
        <stp>FY 2017</stp>
        <stp>FY 2017</stp>
        <stp>[FA1_ymffleas.xlsx]Income - As Reported!R27C11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7" s="11"/>
      </tp>
      <tp>
        <v>6.2943999999999996</v>
        <stp/>
        <stp>##V3_BDHV12</stp>
        <stp>RCOM IN Equity</stp>
        <stp>AVG_EV_TO_T12M_EBITDA</stp>
        <stp>FY 2012</stp>
        <stp>FY 2012</stp>
        <stp>[FA1_ymffleas.xlsx]Multiples!R42C5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42" s="6"/>
      </tp>
      <tp>
        <v>-152.07320000000001</v>
        <stp/>
        <stp>##V3_BDHV12</stp>
        <stp>RCOM IN Equity</stp>
        <stp>SUSTAIN_GROWTH_RT</stp>
        <stp>FY 2018</stp>
        <stp>FY 2018</stp>
        <stp>[FA1_ymffleas.xlsx]DuPont Analysis!R23C12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23" s="27"/>
      </tp>
      <tp>
        <v>3.1419999999999999</v>
        <stp/>
        <stp>##V3_BDHV12</stp>
        <stp>RCOM IN Equity</stp>
        <stp>RETURN_COM_EQY</stp>
        <stp>FY 2014</stp>
        <stp>FY 2014</stp>
        <stp>[FA1_ymffleas.xlsx]Profitability!R7C8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7" s="21"/>
      </tp>
      <tp>
        <v>5.1078000000000001</v>
        <stp/>
        <stp>##V3_BDHV12</stp>
        <stp>RCOM IN Equity</stp>
        <stp>IS_DIL_EPS_CONT_OPS</stp>
        <stp>FY 2014</stp>
        <stp>FY 2014</stp>
        <stp>[FA1_ymffleas.xlsx]Earnings!R16C8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" s="4"/>
      </tp>
      <tp>
        <v>2.9695999999999998</v>
        <stp/>
        <stp>##V3_BDHV12</stp>
        <stp>RCOM IN Equity</stp>
        <stp>IS_DIL_EPS_CONT_OPS</stp>
        <stp>FY 2015</stp>
        <stp>FY 2015</stp>
        <stp>[FA1_ymffleas.xlsx]Earnings!R16C9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" s="4"/>
      </tp>
      <tp>
        <v>27.0443</v>
        <stp/>
        <stp>##V3_BDHV12</stp>
        <stp>RCOM IN Equity</stp>
        <stp>IS_DIL_EPS_CONT_OPS</stp>
        <stp>FY 2009</stp>
        <stp>FY 2009</stp>
        <stp>[FA1_ymffleas.xlsx]Earnings!R16C3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" s="4"/>
      </tp>
      <tp>
        <v>5.5015999999999998</v>
        <stp/>
        <stp>##V3_BDHV12</stp>
        <stp>RCOM IN Equity</stp>
        <stp>IS_DIL_EPS_CONT_OPS</stp>
        <stp>FY 2012</stp>
        <stp>FY 2012</stp>
        <stp>[FA1_ymffleas.xlsx]Earnings!R16C6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" s="4"/>
      </tp>
      <tp>
        <v>3.2397999999999998</v>
        <stp/>
        <stp>##V3_BDHV12</stp>
        <stp>RCOM IN Equity</stp>
        <stp>IS_DIL_EPS_CONT_OPS</stp>
        <stp>FY 2013</stp>
        <stp>FY 2013</stp>
        <stp>[FA1_ymffleas.xlsx]Earnings!R16C7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" s="4"/>
      </tp>
      <tp>
        <v>21.916599999999999</v>
        <stp/>
        <stp>##V3_BDHV12</stp>
        <stp>RCOM IN Equity</stp>
        <stp>IS_DIL_EPS_CONT_OPS</stp>
        <stp>FY 2010</stp>
        <stp>FY 2010</stp>
        <stp>[FA1_ymffleas.xlsx]Earnings!R16C4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" s="4"/>
      </tp>
      <tp>
        <v>5.0293999999999999</v>
        <stp/>
        <stp>##V3_BDHV12</stp>
        <stp>RCOM IN Equity</stp>
        <stp>IS_DIL_EPS_CONT_OPS</stp>
        <stp>FY 2011</stp>
        <stp>FY 2011</stp>
        <stp>[FA1_ymffleas.xlsx]Earnings!R16C5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" s="4"/>
      </tp>
      <tp>
        <v>120.1649</v>
        <stp/>
        <stp>##V3_BDHV12</stp>
        <stp>RCOM IN Equity</stp>
        <stp>TOT_DEBT_TO_TOT_EQY</stp>
        <stp>FY 2013</stp>
        <stp>FY 2013</stp>
        <stp>[FA1_ymffleas.xlsx]Credit!R32C7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2" s="23"/>
      </tp>
      <tp>
        <v>902.58619999999996</v>
        <stp/>
        <stp>##V3_BDHV12</stp>
        <stp>RCOM IN Equity</stp>
        <stp>TAX_EFFICIENCY</stp>
        <stp>FY 2014</stp>
        <stp>FY 2014</stp>
        <stp>[FA1_ymffleas.xlsx]DuPont Analysis!R7C8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7" s="27"/>
      </tp>
      <tp>
        <v>103.087</v>
        <stp/>
        <stp>##V3_BDHV12</stp>
        <stp>RCOM IN Equity</stp>
        <stp>TOT_DEBT_TO_TOT_EQY</stp>
        <stp>FY 2012</stp>
        <stp>FY 2012</stp>
        <stp>[FA1_ymffleas.xlsx]Credit!R32C6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2" s="23"/>
      </tp>
      <tp>
        <v>94.550299999999993</v>
        <stp/>
        <stp>##V3_BDHV12</stp>
        <stp>RCOM IN Equity</stp>
        <stp>TOT_DEBT_TO_TOT_EQY</stp>
        <stp>FY 2011</stp>
        <stp>FY 2011</stp>
        <stp>[FA1_ymffleas.xlsx]Credit!R32C5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2" s="23"/>
      </tp>
      <tp>
        <v>67.505799999999994</v>
        <stp/>
        <stp>##V3_BDHV12</stp>
        <stp>RCOM IN Equity</stp>
        <stp>TOT_DEBT_TO_TOT_EQY</stp>
        <stp>FY 2010</stp>
        <stp>FY 2010</stp>
        <stp>[FA1_ymffleas.xlsx]Credit!R32C4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2" s="23"/>
      </tp>
      <tp>
        <v>91.212400000000002</v>
        <stp/>
        <stp>##V3_BDHV12</stp>
        <stp>RCOM IN Equity</stp>
        <stp>TOT_DEBT_TO_TOT_EQY</stp>
        <stp>FY 2009</stp>
        <stp>FY 2009</stp>
        <stp>[FA1_ymffleas.xlsx]Credit!R32C3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2" s="23"/>
      </tp>
      <tp>
        <v>6.1375999999999999</v>
        <stp/>
        <stp>##V3_BDHV12</stp>
        <stp>RCOM IN Equity</stp>
        <stp>NET_DEBT_TO_EBITDA</stp>
        <stp>FY 2014</stp>
        <stp>FY 2014</stp>
        <stp>[FA1_ymffleas.xlsx]Credit!R11C8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1" s="23"/>
      </tp>
      <tp>
        <v>316620</v>
        <stp/>
        <stp>##V3_BDHV12</stp>
        <stp>RCOM IN Equity</stp>
        <stp>ARD_TOT_NONCURRENT_LIABILITIES</stp>
        <stp>FY 2014</stp>
        <stp>FY 2014</stp>
        <stp>[FA1_ymffleas.xlsx]Bal Sheet - As Reported!R16C8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" s="17"/>
      </tp>
      <tp>
        <v>319130</v>
        <stp/>
        <stp>##V3_BDHV12</stp>
        <stp>RCOM IN Equity</stp>
        <stp>ARD_TOT_NONCURRENT_LIABILITIES</stp>
        <stp>FY 2015</stp>
        <stp>FY 2015</stp>
        <stp>[FA1_ymffleas.xlsx]Bal Sheet - As Reported!R16C9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" s="17"/>
      </tp>
      <tp t="s">
        <v>—</v>
        <stp/>
        <stp>##V3_BDHV12</stp>
        <stp>RCOM IN Equity</stp>
        <stp>ARD_TOT_NONCURRENT_LIABILITIES</stp>
        <stp>FY 2009</stp>
        <stp>FY 2009</stp>
        <stp>[FA1_ymffleas.xlsx]Bal Sheet - As Reported!R16C3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" s="17"/>
      </tp>
      <tp t="s">
        <v>—</v>
        <stp/>
        <stp>##V3_BDHV12</stp>
        <stp>RCOM IN Equity</stp>
        <stp>ARD_TOT_NONCURRENT_LIABILITIES</stp>
        <stp>FY 2010</stp>
        <stp>FY 2010</stp>
        <stp>[FA1_ymffleas.xlsx]Bal Sheet - As Reported!R16C4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" s="17"/>
      </tp>
      <tp>
        <v>210980</v>
        <stp/>
        <stp>##V3_BDHV12</stp>
        <stp>RCOM IN Equity</stp>
        <stp>ARD_TOT_NONCURRENT_LIABILITIES</stp>
        <stp>FY 2011</stp>
        <stp>FY 2011</stp>
        <stp>[FA1_ymffleas.xlsx]Bal Sheet - As Reported!R16C5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" s="17"/>
      </tp>
      <tp>
        <v>327050</v>
        <stp/>
        <stp>##V3_BDHV12</stp>
        <stp>RCOM IN Equity</stp>
        <stp>ARD_TOT_NONCURRENT_LIABILITIES</stp>
        <stp>FY 2012</stp>
        <stp>FY 2012</stp>
        <stp>[FA1_ymffleas.xlsx]Bal Sheet - As Reported!R16C6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" s="17"/>
      </tp>
      <tp>
        <v>321680</v>
        <stp/>
        <stp>##V3_BDHV12</stp>
        <stp>RCOM IN Equity</stp>
        <stp>ARD_TOT_NONCURRENT_LIABILITIES</stp>
        <stp>FY 2013</stp>
        <stp>FY 2013</stp>
        <stp>[FA1_ymffleas.xlsx]Bal Sheet - As Reported!R16C7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" s="17"/>
      </tp>
      <tp>
        <v>103.943</v>
        <stp/>
        <stp>##V3_BDHV12</stp>
        <stp>RCOM IN Equity</stp>
        <stp>TOT_DEBT_TO_TOT_EQY</stp>
        <stp>FY 2015</stp>
        <stp>FY 2015</stp>
        <stp>[FA1_ymffleas.xlsx]Credit!R32C9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2" s="23"/>
      </tp>
      <tp>
        <v>126.0264</v>
        <stp/>
        <stp>##V3_BDHV12</stp>
        <stp>RCOM IN Equity</stp>
        <stp>TOT_DEBT_TO_TOT_EQY</stp>
        <stp>FY 2014</stp>
        <stp>FY 2014</stp>
        <stp>[FA1_ymffleas.xlsx]Credit!R32C8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2" s="23"/>
      </tp>
      <tp>
        <v>1.538</v>
        <stp/>
        <stp>##V3_BDHV12</stp>
        <stp>RCOM IN Equity</stp>
        <stp>TOTAL_DEBT_5_YEAR_GROWTH</stp>
        <stp>FY 2014</stp>
        <stp>FY 2014</stp>
        <stp>[FA1_ymffleas.xlsx]Growth!R52C8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52" s="22"/>
      </tp>
      <tp>
        <v>0.71940000000000004</v>
        <stp/>
        <stp>##V3_BDHV12</stp>
        <stp>RCOM IN Equity</stp>
        <stp>EBIT_TO_CASH_INTEREST_PAID</stp>
        <stp>FY 2014</stp>
        <stp>FY 2014</stp>
        <stp>[FA1_ymffleas.xlsx]Credit!R22C8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2" s="23"/>
      </tp>
      <tp>
        <v>0.35189999999999999</v>
        <stp/>
        <stp>##V3_BDHV12</stp>
        <stp>RCOM IN Equity</stp>
        <stp>INVENTORY_SEQUENTIAL_GROWTH</stp>
        <stp>FY 2010</stp>
        <stp>FY 2010</stp>
        <stp>[FA1_ymffleas.xlsx]Growth!R70C4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0" s="22"/>
      </tp>
      <tp>
        <v>6.1054000000000004</v>
        <stp/>
        <stp>##V3_BDHV12</stp>
        <stp>RCOM IN Equity</stp>
        <stp>TOTAL_DEBT_5_YEAR_GROWTH</stp>
        <stp>FY 2015</stp>
        <stp>FY 2015</stp>
        <stp>[FA1_ymffleas.xlsx]Growth!R52C9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52" s="22"/>
      </tp>
      <tp>
        <v>-5.0731999999999999</v>
        <stp/>
        <stp>##V3_BDHV12</stp>
        <stp>RCOM IN Equity</stp>
        <stp>INVENTORY_SEQUENTIAL_GROWTH</stp>
        <stp>FY 2011</stp>
        <stp>FY 2011</stp>
        <stp>[FA1_ymffleas.xlsx]Growth!R70C5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0" s="22"/>
      </tp>
      <tp>
        <v>9.4778000000000002</v>
        <stp/>
        <stp>##V3_BDHV12</stp>
        <stp>RCOM IN Equity</stp>
        <stp>INVENTORY_SEQUENTIAL_GROWTH</stp>
        <stp>FY 2012</stp>
        <stp>FY 2012</stp>
        <stp>[FA1_ymffleas.xlsx]Growth!R70C6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0" s="22"/>
      </tp>
      <tp>
        <v>-12.190799999999999</v>
        <stp/>
        <stp>##V3_BDHV12</stp>
        <stp>RCOM IN Equity</stp>
        <stp>INVENTORY_SEQUENTIAL_GROWTH</stp>
        <stp>FY 2013</stp>
        <stp>FY 2013</stp>
        <stp>[FA1_ymffleas.xlsx]Growth!R70C7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0" s="22"/>
      </tp>
      <tp>
        <v>1.7354000000000001</v>
        <stp/>
        <stp>##V3_BDHV12</stp>
        <stp>RCOM IN Equity</stp>
        <stp>TOTAL_DEBT_1_YEAR_GROWTH</stp>
        <stp>FY 2014</stp>
        <stp>FY 2014</stp>
        <stp>[FA1_ymffleas.xlsx]Growth!R25C8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5" s="22"/>
      </tp>
      <tp>
        <v>-5.4508999999999999</v>
        <stp/>
        <stp>##V3_BDHV12</stp>
        <stp>RCOM IN Equity</stp>
        <stp>TOTAL_DEBT_1_YEAR_GROWTH</stp>
        <stp>FY 2015</stp>
        <stp>FY 2015</stp>
        <stp>[FA1_ymffleas.xlsx]Growth!R25C9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5" s="22"/>
      </tp>
      <tp t="s">
        <v>—</v>
        <stp/>
        <stp>##V3_BDHV12</stp>
        <stp>RCOM IN Equity</stp>
        <stp>ARDR_TOT_LIAB_AND_SHHOLDER_EQY</stp>
        <stp>FY 2014</stp>
        <stp>FY 2014</stp>
        <stp>[FA1_ymffleas.xlsx]Bal Sheet - As Reported!R125C8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5" s="17"/>
      </tp>
      <tp>
        <v>912840</v>
        <stp/>
        <stp>##V3_BDHV12</stp>
        <stp>RCOM IN Equity</stp>
        <stp>ARDR_TOT_LIAB_AND_SHHOLDER_EQY</stp>
        <stp>FY 2015</stp>
        <stp>FY 2015</stp>
        <stp>[FA1_ymffleas.xlsx]Bal Sheet - As Reported!R125C9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5" s="17"/>
      </tp>
      <tp t="s">
        <v>—</v>
        <stp/>
        <stp>##V3_BDHV12</stp>
        <stp>RCOM IN Equity</stp>
        <stp>ARDR_TOT_LIAB_AND_SHHOLDER_EQY</stp>
        <stp>FY 2009</stp>
        <stp>FY 2009</stp>
        <stp>[FA1_ymffleas.xlsx]Bal Sheet - As Reported!R125C3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5" s="17"/>
      </tp>
      <tp t="s">
        <v>—</v>
        <stp/>
        <stp>##V3_BDHV12</stp>
        <stp>RCOM IN Equity</stp>
        <stp>ARDR_TOT_LIAB_AND_SHHOLDER_EQY</stp>
        <stp>FY 2010</stp>
        <stp>FY 2010</stp>
        <stp>[FA1_ymffleas.xlsx]Bal Sheet - As Reported!R125C4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5" s="17"/>
      </tp>
      <tp t="s">
        <v>—</v>
        <stp/>
        <stp>##V3_BDHV12</stp>
        <stp>RCOM IN Equity</stp>
        <stp>ARDR_TOT_LIAB_AND_SHHOLDER_EQY</stp>
        <stp>FY 2011</stp>
        <stp>FY 2011</stp>
        <stp>[FA1_ymffleas.xlsx]Bal Sheet - As Reported!R125C5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5" s="17"/>
      </tp>
      <tp t="s">
        <v>—</v>
        <stp/>
        <stp>##V3_BDHV12</stp>
        <stp>RCOM IN Equity</stp>
        <stp>ARDR_TOT_LIAB_AND_SHHOLDER_EQY</stp>
        <stp>FY 2012</stp>
        <stp>FY 2012</stp>
        <stp>[FA1_ymffleas.xlsx]Bal Sheet - As Reported!R125C6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5" s="17"/>
      </tp>
      <tp t="s">
        <v>—</v>
        <stp/>
        <stp>##V3_BDHV12</stp>
        <stp>RCOM IN Equity</stp>
        <stp>ARDR_TOT_LIAB_AND_SHHOLDER_EQY</stp>
        <stp>FY 2013</stp>
        <stp>FY 2013</stp>
        <stp>[FA1_ymffleas.xlsx]Bal Sheet - As Reported!R125C7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5" s="17"/>
      </tp>
      <tp>
        <v>33.714399999999998</v>
        <stp/>
        <stp>##V3_BDHV12</stp>
        <stp>RCOM IN Equity</stp>
        <stp>INVENTORY_SEQUENTIAL_GROWTH</stp>
        <stp>FY 2009</stp>
        <stp>FY 2009</stp>
        <stp>[FA1_ymffleas.xlsx]Growth!R70C3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0" s="22"/>
      </tp>
      <tp>
        <v>-24.122299999999999</v>
        <stp/>
        <stp>##V3_BDHV12</stp>
        <stp>RCOM IN Equity</stp>
        <stp>TOTAL_DEBT_1_YEAR_GROWTH</stp>
        <stp>FY 2010</stp>
        <stp>FY 2010</stp>
        <stp>[FA1_ymffleas.xlsx]Growth!R25C4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5" s="22"/>
      </tp>
      <tp>
        <v>31.483899999999998</v>
        <stp/>
        <stp>##V3_BDHV12</stp>
        <stp>RCOM IN Equity</stp>
        <stp>TOTAL_DEBT_1_YEAR_GROWTH</stp>
        <stp>FY 2011</stp>
        <stp>FY 2011</stp>
        <stp>[FA1_ymffleas.xlsx]Growth!R25C5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5" s="22"/>
      </tp>
      <tp>
        <v>-1.9657</v>
        <stp/>
        <stp>##V3_BDHV12</stp>
        <stp>RCOM IN Equity</stp>
        <stp>TOTAL_DEBT_1_YEAR_GROWTH</stp>
        <stp>FY 2012</stp>
        <stp>FY 2012</stp>
        <stp>[FA1_ymffleas.xlsx]Growth!R25C6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5" s="22"/>
      </tp>
      <tp t="s">
        <v>—</v>
        <stp/>
        <stp>##V3_BDHV12</stp>
        <stp>RCOM IN Equity</stp>
        <stp>TOTAL_DEBT_5_YEAR_GROWTH</stp>
        <stp>FY 2009</stp>
        <stp>FY 2009</stp>
        <stp>[FA1_ymffleas.xlsx]Growth!R52C3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52" s="22"/>
      </tp>
      <tp>
        <v>8.4693000000000005</v>
        <stp/>
        <stp>##V3_BDHV12</stp>
        <stp>RCOM IN Equity</stp>
        <stp>TOTAL_DEBT_1_YEAR_GROWTH</stp>
        <stp>FY 2013</stp>
        <stp>FY 2013</stp>
        <stp>[FA1_ymffleas.xlsx]Growth!R25C7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5" s="22"/>
      </tp>
      <tp t="s">
        <v>—</v>
        <stp/>
        <stp>##V3_BDHV12</stp>
        <stp>RCOM IN Equity</stp>
        <stp>ARDR_CONSTRUCTION_PROGRESS_NET</stp>
        <stp>FY 2013</stp>
        <stp>FY 2013</stp>
        <stp>[FA1_ymffleas.xlsx]Bal Sheet - As Reported!R165C7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5" s="17"/>
      </tp>
      <tp t="s">
        <v>—</v>
        <stp/>
        <stp>##V3_BDHV12</stp>
        <stp>RCOM IN Equity</stp>
        <stp>ARDR_CONSTRUCTION_PROGRESS_NET</stp>
        <stp>FY 2012</stp>
        <stp>FY 2012</stp>
        <stp>[FA1_ymffleas.xlsx]Bal Sheet - As Reported!R165C6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5" s="17"/>
      </tp>
      <tp t="s">
        <v>—</v>
        <stp/>
        <stp>##V3_BDHV12</stp>
        <stp>RCOM IN Equity</stp>
        <stp>ARDR_CONSTRUCTION_PROGRESS_NET</stp>
        <stp>FY 2011</stp>
        <stp>FY 2011</stp>
        <stp>[FA1_ymffleas.xlsx]Bal Sheet - As Reported!R165C5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5" s="17"/>
      </tp>
      <tp t="s">
        <v>—</v>
        <stp/>
        <stp>##V3_BDHV12</stp>
        <stp>RCOM IN Equity</stp>
        <stp>ARDR_CONSTRUCTION_PROGRESS_NET</stp>
        <stp>FY 2010</stp>
        <stp>FY 2010</stp>
        <stp>[FA1_ymffleas.xlsx]Bal Sheet - As Reported!R165C4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5" s="17"/>
      </tp>
      <tp t="s">
        <v>—</v>
        <stp/>
        <stp>##V3_BDHV12</stp>
        <stp>RCOM IN Equity</stp>
        <stp>ARDR_CONSTRUCTION_PROGRESS_NET</stp>
        <stp>FY 2009</stp>
        <stp>FY 2009</stp>
        <stp>[FA1_ymffleas.xlsx]Bal Sheet - As Reported!R165C3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5" s="17"/>
      </tp>
      <tp>
        <v>26880</v>
        <stp/>
        <stp>##V3_BDHV12</stp>
        <stp>RCOM IN Equity</stp>
        <stp>ARDR_CONSTRUCTION_PROGRESS_NET</stp>
        <stp>FY 2015</stp>
        <stp>FY 2015</stp>
        <stp>[FA1_ymffleas.xlsx]Bal Sheet - As Reported!R165C9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5" s="17"/>
      </tp>
      <tp t="s">
        <v>—</v>
        <stp/>
        <stp>##V3_BDHV12</stp>
        <stp>RCOM IN Equity</stp>
        <stp>ARDR_CONSTRUCTION_PROGRESS_NET</stp>
        <stp>FY 2014</stp>
        <stp>FY 2014</stp>
        <stp>[FA1_ymffleas.xlsx]Bal Sheet - As Reported!R165C8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5" s="17"/>
      </tp>
      <tp>
        <v>907390</v>
        <stp/>
        <stp>##V3_BDHV12</stp>
        <stp>RCOM IN Equity</stp>
        <stp>ARD_TOT_ASSETS</stp>
        <stp>FY 2014</stp>
        <stp>FY 2014</stp>
        <stp>[FA1_ymffleas.xlsx]Bal Sheet - As Reported!R56C8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6" s="17"/>
      </tp>
      <tp>
        <v>912840</v>
        <stp/>
        <stp>##V3_BDHV12</stp>
        <stp>RCOM IN Equity</stp>
        <stp>ARD_TOT_ASSETS</stp>
        <stp>FY 2015</stp>
        <stp>FY 2015</stp>
        <stp>[FA1_ymffleas.xlsx]Bal Sheet - As Reported!R56C9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6" s="17"/>
      </tp>
      <tp>
        <v>922650</v>
        <stp/>
        <stp>##V3_BDHV12</stp>
        <stp>RCOM IN Equity</stp>
        <stp>ARD_TOT_ASSETS</stp>
        <stp>FY 2012</stp>
        <stp>FY 2012</stp>
        <stp>[FA1_ymffleas.xlsx]Bal Sheet - As Reported!R56C6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6" s="17"/>
      </tp>
      <tp>
        <v>901820</v>
        <stp/>
        <stp>##V3_BDHV12</stp>
        <stp>RCOM IN Equity</stp>
        <stp>ARD_TOT_ASSETS</stp>
        <stp>FY 2013</stp>
        <stp>FY 2013</stp>
        <stp>[FA1_ymffleas.xlsx]Bal Sheet - As Reported!R56C7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6" s="17"/>
      </tp>
      <tp t="s">
        <v>—</v>
        <stp/>
        <stp>##V3_BDHV12</stp>
        <stp>RCOM IN Equity</stp>
        <stp>ARD_TOT_ASSETS</stp>
        <stp>FY 2010</stp>
        <stp>FY 2010</stp>
        <stp>[FA1_ymffleas.xlsx]Bal Sheet - As Reported!R56C4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6" s="17"/>
      </tp>
      <tp t="s">
        <v>—</v>
        <stp/>
        <stp>##V3_BDHV12</stp>
        <stp>RCOM IN Equity</stp>
        <stp>TOTAL_DEBT_5_YEAR_GROWTH</stp>
        <stp>FY 2010</stp>
        <stp>FY 2010</stp>
        <stp>[FA1_ymffleas.xlsx]Growth!R52C4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52" s="22"/>
      </tp>
      <tp>
        <v>947230</v>
        <stp/>
        <stp>##V3_BDHV12</stp>
        <stp>RCOM IN Equity</stp>
        <stp>ARD_TOT_ASSETS</stp>
        <stp>FY 2011</stp>
        <stp>FY 2011</stp>
        <stp>[FA1_ymffleas.xlsx]Bal Sheet - As Reported!R56C5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6" s="17"/>
      </tp>
      <tp t="s">
        <v>—</v>
        <stp/>
        <stp>##V3_BDHV12</stp>
        <stp>RCOM IN Equity</stp>
        <stp>ARD_TOT_ASSETS</stp>
        <stp>FY 2009</stp>
        <stp>FY 2009</stp>
        <stp>[FA1_ymffleas.xlsx]Bal Sheet - As Reported!R56C3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6" s="17"/>
      </tp>
      <tp>
        <v>-16.498999999999999</v>
        <stp/>
        <stp>##V3_BDHV12</stp>
        <stp>RCOM IN Equity</stp>
        <stp>INVENTORY_SEQUENTIAL_GROWTH</stp>
        <stp>FY 2014</stp>
        <stp>FY 2014</stp>
        <stp>[FA1_ymffleas.xlsx]Growth!R70C8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0" s="22"/>
      </tp>
      <tp t="s">
        <v>—</v>
        <stp/>
        <stp>##V3_BDHV12</stp>
        <stp>RCOM IN Equity</stp>
        <stp>TOTAL_DEBT_5_YEAR_GROWTH</stp>
        <stp>FY 2011</stp>
        <stp>FY 2011</stp>
        <stp>[FA1_ymffleas.xlsx]Growth!R52C5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52" s="22"/>
      </tp>
      <tp>
        <v>-3.3734999999999999</v>
        <stp/>
        <stp>##V3_BDHV12</stp>
        <stp>RCOM IN Equity</stp>
        <stp>INVENTORY_SEQUENTIAL_GROWTH</stp>
        <stp>FY 2015</stp>
        <stp>FY 2015</stp>
        <stp>[FA1_ymffleas.xlsx]Growth!R70C9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0" s="22"/>
      </tp>
      <tp t="s">
        <v>—</v>
        <stp/>
        <stp>##V3_BDHV12</stp>
        <stp>RCOM IN Equity</stp>
        <stp>TOTAL_DEBT_5_YEAR_GROWTH</stp>
        <stp>FY 2012</stp>
        <stp>FY 2012</stp>
        <stp>[FA1_ymffleas.xlsx]Growth!R52C6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52" s="22"/>
      </tp>
      <tp>
        <v>9.9793000000000003</v>
        <stp/>
        <stp>##V3_BDHV12</stp>
        <stp>RCOM IN Equity</stp>
        <stp>TOTAL_DEBT_5_YEAR_GROWTH</stp>
        <stp>FY 2013</stp>
        <stp>FY 2013</stp>
        <stp>[FA1_ymffleas.xlsx]Growth!R52C7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52" s="22"/>
      </tp>
      <tp>
        <v>51.664099999999998</v>
        <stp/>
        <stp>##V3_BDHV12</stp>
        <stp>RCOM IN Equity</stp>
        <stp>TOTAL_DEBT_1_YEAR_GROWTH</stp>
        <stp>FY 2009</stp>
        <stp>FY 2009</stp>
        <stp>[FA1_ymffleas.xlsx]Growth!R25C3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5" s="22"/>
      </tp>
      <tp>
        <v>-22.993300000000001</v>
        <stp/>
        <stp>##V3_BDHV12</stp>
        <stp>RCOM IN Equity</stp>
        <stp>NET_INCOME_TO_COMMON_SEQ_GROWTH</stp>
        <stp>FY 2010</stp>
        <stp>FY 2010</stp>
        <stp>[FA1_ymffleas.xlsx]Growth!R63C4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63" s="22"/>
      </tp>
      <tp>
        <v>7400</v>
        <stp/>
        <stp>##V3_BDHV12</stp>
        <stp>RCOM IN Equity</stp>
        <stp>ARD_CASH_AND_EQUIVALENTS</stp>
        <stp>FY 2018</stp>
        <stp>FY 2018</stp>
        <stp>[FA1_ymffleas.xlsx]Bal Sheet - As Reported!R39C12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9" s="17"/>
      </tp>
      <tp>
        <v>15240</v>
        <stp/>
        <stp>##V3_BDHV12</stp>
        <stp>RCOM IN Equity</stp>
        <stp>ARD_CASH_AND_EQUIVALENTS</stp>
        <stp>FY 2016</stp>
        <stp>FY 2016</stp>
        <stp>[FA1_ymffleas.xlsx]Bal Sheet - As Reported!R39C10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9" s="17"/>
      </tp>
      <tp>
        <v>13190</v>
        <stp/>
        <stp>##V3_BDHV12</stp>
        <stp>RCOM IN Equity</stp>
        <stp>ARD_CASH_AND_EQUIVALENTS</stp>
        <stp>FY 2017</stp>
        <stp>FY 2017</stp>
        <stp>[FA1_ymffleas.xlsx]Bal Sheet - As Reported!R39C11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9" s="17"/>
      </tp>
      <tp>
        <v>0</v>
        <stp/>
        <stp>##V3_BDHV12</stp>
        <stp>RCOM IN Equity</stp>
        <stp>IS_D&amp;A_NONGAAP_ADJUSTMENTS</stp>
        <stp>FY 2018</stp>
        <stp>FY 2018</stp>
        <stp>[FA1_ymffleas.xlsx]Reconciliation!R13C11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" s="12"/>
      </tp>
      <tp>
        <v>0</v>
        <stp/>
        <stp>##V3_BDHV12</stp>
        <stp>RCOM IN Equity</stp>
        <stp>IS_D&amp;A_NONGAAP_ADJUSTMENTS</stp>
        <stp>FY 2017</stp>
        <stp>FY 2017</stp>
        <stp>[FA1_ymffleas.xlsx]Reconciliation!R13C10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" s="12"/>
      </tp>
      <tp>
        <v>2.5827</v>
        <stp/>
        <stp>##V3_BDHV12</stp>
        <stp>RCOM IN Equity</stp>
        <stp>NORMALIZED_ROE</stp>
        <stp>FY 2011</stp>
        <stp>FY 2011</stp>
        <stp>[FA1_ymffleas.xlsx]DuPont Analysis!R19C5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9" s="27"/>
      </tp>
      <tp>
        <v>0.23319999999999999</v>
        <stp/>
        <stp>##V3_BDHV12</stp>
        <stp>RCOM IN Equity</stp>
        <stp>ASSET_TURNOVER</stp>
        <stp>FY 2015</stp>
        <stp>FY 2015</stp>
        <stp>[FA1_ymffleas.xlsx]DuPont Analysis!R15C9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5" s="27"/>
      </tp>
      <tp>
        <v>3.5924</v>
        <stp/>
        <stp>##V3_BDHV12</stp>
        <stp>RCOM IN Equity</stp>
        <stp>T12_EBIT_TO_REVENUE</stp>
        <stp>FY 2018</stp>
        <stp>FY 2018</stp>
        <stp>[FA1_ymffleas.xlsx]DuPont Analysis!R13C12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3" s="27"/>
      </tp>
      <tp>
        <v>6720</v>
        <stp/>
        <stp>##V3_BDHV12</stp>
        <stp>RCOM IN Equity</stp>
        <stp>NET_INCOME</stp>
        <stp>FY 2013</stp>
        <stp>FY 2013</stp>
        <stp>[FA1_ymffleas.xlsx]Addl - Overview!R16C6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16" s="29"/>
      </tp>
      <tp t="s">
        <v>—</v>
        <stp/>
        <stp>##V3_BDHV12</stp>
        <stp>RCOM IN Equity</stp>
        <stp>GEO_GROW_TOT_ASSET</stp>
        <stp>FY 2011</stp>
        <stp>FY 2011</stp>
        <stp>[FA1_ymffleas.xlsx]Growth!R48C5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8" s="22"/>
      </tp>
      <tp>
        <v>10470</v>
        <stp/>
        <stp>##V3_BDHV12</stp>
        <stp>RCOM IN Equity</stp>
        <stp>NET_INCOME</stp>
        <stp>FY 2014</stp>
        <stp>FY 2014</stp>
        <stp>[FA1_ymffleas.xlsx]Addl - Overview!R16C7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16" s="29"/>
      </tp>
      <tp t="s">
        <v>—</v>
        <stp/>
        <stp>##V3_BDHV12</stp>
        <stp>RCOM IN Equity</stp>
        <stp>IS_FOREIGN_CRNCY_TRANS_ADJ</stp>
        <stp>FY 2012</stp>
        <stp>FY 2012</stp>
        <stp>[FA1_ymffleas.xlsx]Comprehensive Income!R7C5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" s="33"/>
      </tp>
      <tp t="s">
        <v>—</v>
        <stp/>
        <stp>##V3_BDHV12</stp>
        <stp>RCOM IN Equity</stp>
        <stp>IS_FOREIGN_CRNCY_TRANS_ADJ</stp>
        <stp>FY 2011</stp>
        <stp>FY 2011</stp>
        <stp>[FA1_ymffleas.xlsx]Comprehensive Income!R7C4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" s="33"/>
      </tp>
      <tp t="s">
        <v>—</v>
        <stp/>
        <stp>##V3_BDHV12</stp>
        <stp>RCOM IN Equity</stp>
        <stp>IS_FOREIGN_CRNCY_TRANS_ADJ</stp>
        <stp>FY 2014</stp>
        <stp>FY 2014</stp>
        <stp>[FA1_ymffleas.xlsx]Comprehensive Income!R7C7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" s="33"/>
      </tp>
      <tp t="s">
        <v>—</v>
        <stp/>
        <stp>##V3_BDHV12</stp>
        <stp>RCOM IN Equity</stp>
        <stp>IS_FOREIGN_CRNCY_TRANS_ADJ</stp>
        <stp>FY 2013</stp>
        <stp>FY 2013</stp>
        <stp>[FA1_ymffleas.xlsx]Comprehensive Income!R7C6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" s="33"/>
      </tp>
      <tp t="s">
        <v>—</v>
        <stp/>
        <stp>##V3_BDHV12</stp>
        <stp>RCOM IN Equity</stp>
        <stp>IS_FOREIGN_CRNCY_TRANS_ADJ</stp>
        <stp>FY 2010</stp>
        <stp>FY 2010</stp>
        <stp>[FA1_ymffleas.xlsx]Comprehensive Income!R7C3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" s="33"/>
      </tp>
      <tp>
        <v>0</v>
        <stp/>
        <stp>##V3_BDHV12</stp>
        <stp>RCOM IN Equity</stp>
        <stp>IS_FOREIGN_CRNCY_TRANS_ADJ</stp>
        <stp>FY 2016</stp>
        <stp>FY 2016</stp>
        <stp>[FA1_ymffleas.xlsx]Comprehensive Income!R7C9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" s="33"/>
      </tp>
      <tp t="s">
        <v>—</v>
        <stp/>
        <stp>##V3_BDHV12</stp>
        <stp>RCOM IN Equity</stp>
        <stp>IS_FOREIGN_CRNCY_TRANS_ADJ</stp>
        <stp>FY 2015</stp>
        <stp>FY 2015</stp>
        <stp>[FA1_ymffleas.xlsx]Comprehensive Income!R7C8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" s="33"/>
      </tp>
      <tp t="s">
        <v>—</v>
        <stp/>
        <stp>##V3_BDHV12</stp>
        <stp>RCOM IN Equity</stp>
        <stp>GEO_GROW_TOT_ASSET</stp>
        <stp>FY 2010</stp>
        <stp>FY 2010</stp>
        <stp>[FA1_ymffleas.xlsx]Growth!R48C4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8" s="22"/>
      </tp>
      <tp>
        <v>13450</v>
        <stp/>
        <stp>##V3_BDHV12</stp>
        <stp>RCOM IN Equity</stp>
        <stp>NET_INCOME</stp>
        <stp>FY 2011</stp>
        <stp>FY 2011</stp>
        <stp>[FA1_ymffleas.xlsx]Addl - Overview!R16C4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16" s="29"/>
      </tp>
      <tp>
        <v>3.0882999999999998</v>
        <stp/>
        <stp>##V3_BDHV12</stp>
        <stp>RCOM IN Equity</stp>
        <stp>GEO_GROW_TOT_ASSET</stp>
        <stp>FY 2013</stp>
        <stp>FY 2013</stp>
        <stp>[FA1_ymffleas.xlsx]Growth!R48C7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8" s="22"/>
      </tp>
      <tp>
        <v>9280</v>
        <stp/>
        <stp>##V3_BDHV12</stp>
        <stp>RCOM IN Equity</stp>
        <stp>NET_INCOME</stp>
        <stp>FY 2012</stp>
        <stp>FY 2012</stp>
        <stp>[FA1_ymffleas.xlsx]Addl - Overview!R16C5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16" s="29"/>
      </tp>
      <tp t="s">
        <v>—</v>
        <stp/>
        <stp>##V3_BDHV12</stp>
        <stp>RCOM IN Equity</stp>
        <stp>GEO_GROW_TOT_ASSET</stp>
        <stp>FY 2012</stp>
        <stp>FY 2012</stp>
        <stp>[FA1_ymffleas.xlsx]Growth!R48C6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8" s="22"/>
      </tp>
      <tp>
        <v>46550</v>
        <stp/>
        <stp>##V3_BDHV12</stp>
        <stp>RCOM IN Equity</stp>
        <stp>NET_INCOME</stp>
        <stp>FY 2010</stp>
        <stp>FY 2010</stp>
        <stp>[FA1_ymffleas.xlsx]Addl - Overview!R16C3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16" s="29"/>
      </tp>
      <tp t="s">
        <v>—</v>
        <stp/>
        <stp>##V3_BDHV12</stp>
        <stp>RCOM IN Equity</stp>
        <stp>GEO_GROW_TOT_ASSET</stp>
        <stp>FY 2009</stp>
        <stp>FY 2009</stp>
        <stp>[FA1_ymffleas.xlsx]Growth!R48C3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8" s="22"/>
      </tp>
      <tp>
        <v>9.7799999999999998E-2</v>
        <stp/>
        <stp>##V3_BDHV12</stp>
        <stp>RCOM IN Equity</stp>
        <stp>GEO_GROW_TOT_ASSET</stp>
        <stp>FY 2015</stp>
        <stp>FY 2015</stp>
        <stp>[FA1_ymffleas.xlsx]Growth!R48C9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8" s="22"/>
      </tp>
      <tp>
        <v>-2.3521999999999998</v>
        <stp/>
        <stp>##V3_BDHV12</stp>
        <stp>RCOM IN Equity</stp>
        <stp>GEO_GROW_TOT_ASSET</stp>
        <stp>FY 2014</stp>
        <stp>FY 2014</stp>
        <stp>[FA1_ymffleas.xlsx]Growth!R48C8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8" s="22"/>
      </tp>
      <tp>
        <v>7140</v>
        <stp/>
        <stp>##V3_BDHV12</stp>
        <stp>RCOM IN Equity</stp>
        <stp>NET_INCOME</stp>
        <stp>FY 2015</stp>
        <stp>FY 2015</stp>
        <stp>[FA1_ymffleas.xlsx]Addl - Overview!R16C8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16" s="29"/>
      </tp>
      <tp>
        <v>6390</v>
        <stp/>
        <stp>##V3_BDHV12</stp>
        <stp>RCOM IN Equity</stp>
        <stp>NET_INCOME</stp>
        <stp>FY 2016</stp>
        <stp>FY 2016</stp>
        <stp>[FA1_ymffleas.xlsx]Addl - Overview!R16C9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16" s="29"/>
      </tp>
      <tp>
        <v>45080</v>
        <stp/>
        <stp>##V3_BDHV12</stp>
        <stp>RCOM IN Equity</stp>
        <stp>IS_OPERATING_EXPN</stp>
        <stp>FY 2018</stp>
        <stp>FY 2018</stp>
        <stp>[FA1_ymffleas.xlsx]Income - GAAP!R19C11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19" s="10"/>
      </tp>
      <tp>
        <v>62320</v>
        <stp/>
        <stp>##V3_BDHV12</stp>
        <stp>RCOM IN Equity</stp>
        <stp>IS_OPERATING_EXPN</stp>
        <stp>FY 2017</stp>
        <stp>FY 2017</stp>
        <stp>[FA1_ymffleas.xlsx]Income - GAAP!R19C10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19" s="10"/>
      </tp>
      <tp t="s">
        <v>—</v>
        <stp/>
        <stp>##V3_BDHV12</stp>
        <stp>RCOM IN Equity</stp>
        <stp>ARDR_PROPERTY_PLANT_EQUIP_GROSS</stp>
        <stp>FY 2015</stp>
        <stp>FY 2015</stp>
        <stp>[FA1_ymffleas.xlsx]Bal Sheet - As Reported!R72C9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2" s="17"/>
      </tp>
      <tp t="s">
        <v>—</v>
        <stp/>
        <stp>##V3_BDHV12</stp>
        <stp>RCOM IN Equity</stp>
        <stp>ARDR_PROPERTY_PLANT_EQUIP_GROSS</stp>
        <stp>FY 2014</stp>
        <stp>FY 2014</stp>
        <stp>[FA1_ymffleas.xlsx]Bal Sheet - As Reported!R72C8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2" s="17"/>
      </tp>
      <tp t="s">
        <v>—</v>
        <stp/>
        <stp>##V3_BDHV12</stp>
        <stp>RCOM IN Equity</stp>
        <stp>ARDR_PROPERTY_PLANT_EQUIP_GROSS</stp>
        <stp>FY 2009</stp>
        <stp>FY 2009</stp>
        <stp>[FA1_ymffleas.xlsx]Bal Sheet - As Reported!R72C3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2" s="17"/>
      </tp>
      <tp t="s">
        <v>—</v>
        <stp/>
        <stp>##V3_BDHV12</stp>
        <stp>RCOM IN Equity</stp>
        <stp>ARDR_PROPERTY_PLANT_EQUIP_GROSS</stp>
        <stp>FY 2011</stp>
        <stp>FY 2011</stp>
        <stp>[FA1_ymffleas.xlsx]Bal Sheet - As Reported!R72C5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2" s="17"/>
      </tp>
      <tp t="s">
        <v>—</v>
        <stp/>
        <stp>##V3_BDHV12</stp>
        <stp>RCOM IN Equity</stp>
        <stp>ARDR_PROPERTY_PLANT_EQUIP_GROSS</stp>
        <stp>FY 2010</stp>
        <stp>FY 2010</stp>
        <stp>[FA1_ymffleas.xlsx]Bal Sheet - As Reported!R72C4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2" s="17"/>
      </tp>
      <tp t="s">
        <v>—</v>
        <stp/>
        <stp>##V3_BDHV12</stp>
        <stp>RCOM IN Equity</stp>
        <stp>ARDR_PROPERTY_PLANT_EQUIP_GROSS</stp>
        <stp>FY 2013</stp>
        <stp>FY 2013</stp>
        <stp>[FA1_ymffleas.xlsx]Bal Sheet - As Reported!R72C7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2" s="17"/>
      </tp>
      <tp t="s">
        <v>—</v>
        <stp/>
        <stp>##V3_BDHV12</stp>
        <stp>RCOM IN Equity</stp>
        <stp>ARDR_PROPERTY_PLANT_EQUIP_GROSS</stp>
        <stp>FY 2012</stp>
        <stp>FY 2012</stp>
        <stp>[FA1_ymffleas.xlsx]Bal Sheet - As Reported!R72C6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2" s="17"/>
      </tp>
      <tp>
        <v>8.2797000000000001</v>
        <stp/>
        <stp>##V3_BDHV12</stp>
        <stp>RCOM IN Equity</stp>
        <stp>LOW_EV_TO_T12M_EBITDA</stp>
        <stp>FY 2013</stp>
        <stp>FY 2013</stp>
        <stp>[FA1_ymffleas.xlsx]Multiples!R44C6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44" s="6"/>
      </tp>
      <tp>
        <v>28670</v>
        <stp/>
        <stp>##V3_BDHV12</stp>
        <stp>RCOM IN Equity</stp>
        <stp>ADJUSTED_D&amp;A_EXPENSES</stp>
        <stp>FY 2018</stp>
        <stp>FY 2018</stp>
        <stp>[FA1_ymffleas.xlsx]Reconciliation!R17C11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" s="12"/>
      </tp>
      <tp>
        <v>42210</v>
        <stp/>
        <stp>##V3_BDHV12</stp>
        <stp>RCOM IN Equity</stp>
        <stp>ADJUSTED_D&amp;A_EXPENSES</stp>
        <stp>FY 2017</stp>
        <stp>FY 2017</stp>
        <stp>[FA1_ymffleas.xlsx]Reconciliation!R17C10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" s="12"/>
      </tp>
      <tp>
        <v>8.9537999999999993</v>
        <stp/>
        <stp>##V3_BDHV12</stp>
        <stp>RCOM IN Equity</stp>
        <stp>AVG_EV_TO_T12M_EBITDA</stp>
        <stp>FY 2013</stp>
        <stp>FY 2013</stp>
        <stp>[FA1_ymffleas.xlsx]Multiples!R42C6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42" s="6"/>
      </tp>
      <tp>
        <v>-4.6647999999999996</v>
        <stp/>
        <stp>##V3_BDHV12</stp>
        <stp>RCOM IN Equity</stp>
        <stp>SUSTAIN_GROWTH_RT</stp>
        <stp>FY 2017</stp>
        <stp>FY 2017</stp>
        <stp>[FA1_ymffleas.xlsx]DuPont Analysis!R23C11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3" s="27"/>
      </tp>
      <tp t="s">
        <v>—</v>
        <stp/>
        <stp>##V3_BDHV12</stp>
        <stp>RCOM IN Equity</stp>
        <stp>5Y_AVG_CAPEX_TO_DEPR_EXPN</stp>
        <stp>FY 2011</stp>
        <stp>FY 2011</stp>
        <stp>[FA1_ymffleas.xlsx]CAPEX &amp; Depreciation!R15C5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5" s="28"/>
      </tp>
      <tp t="s">
        <v>—</v>
        <stp/>
        <stp>##V3_BDHV12</stp>
        <stp>RCOM IN Equity</stp>
        <stp>5Y_AVG_CAPEX_TO_DEPR_EXPN</stp>
        <stp>FY 2010</stp>
        <stp>FY 2010</stp>
        <stp>[FA1_ymffleas.xlsx]CAPEX &amp; Depreciation!R15C4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5" s="28"/>
      </tp>
      <tp>
        <v>2.6381000000000001</v>
        <stp/>
        <stp>##V3_BDHV12</stp>
        <stp>RCOM IN Equity</stp>
        <stp>5Y_AVG_CAPEX_TO_DEPR_EXPN</stp>
        <stp>FY 2013</stp>
        <stp>FY 2013</stp>
        <stp>[FA1_ymffleas.xlsx]CAPEX &amp; Depreciation!R15C7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5" s="28"/>
      </tp>
      <tp>
        <v>3.7688000000000001</v>
        <stp/>
        <stp>##V3_BDHV12</stp>
        <stp>RCOM IN Equity</stp>
        <stp>5Y_AVG_CAPEX_TO_DEPR_EXPN</stp>
        <stp>FY 2012</stp>
        <stp>FY 2012</stp>
        <stp>[FA1_ymffleas.xlsx]CAPEX &amp; Depreciation!R15C6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5" s="28"/>
      </tp>
      <tp t="s">
        <v>—</v>
        <stp/>
        <stp>##V3_BDHV12</stp>
        <stp>RCOM IN Equity</stp>
        <stp>5Y_AVG_CAPEX_TO_DEPR_EXPN</stp>
        <stp>FY 2009</stp>
        <stp>FY 2009</stp>
        <stp>[FA1_ymffleas.xlsx]CAPEX &amp; Depreciation!R15C3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5" s="28"/>
      </tp>
      <tp>
        <v>0</v>
        <stp/>
        <stp>##V3_BDHV12</stp>
        <stp>RCOM IN Equity</stp>
        <stp>IS_OPEX_R&amp;D</stp>
        <stp>FY 2014</stp>
        <stp>FY 2014</stp>
        <stp>[FA1_ymffleas.xlsx]Income - Adjusted!R27C7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7" s="9"/>
      </tp>
      <tp>
        <v>0</v>
        <stp/>
        <stp>##V3_BDHV12</stp>
        <stp>RCOM IN Equity</stp>
        <stp>IS_OPEX_R&amp;D</stp>
        <stp>FY 2013</stp>
        <stp>FY 2013</stp>
        <stp>[FA1_ymffleas.xlsx]Income - Adjusted!R27C6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7" s="9"/>
      </tp>
      <tp>
        <v>0</v>
        <stp/>
        <stp>##V3_BDHV12</stp>
        <stp>RCOM IN Equity</stp>
        <stp>IS_OPEX_R&amp;D</stp>
        <stp>FY 2012</stp>
        <stp>FY 2012</stp>
        <stp>[FA1_ymffleas.xlsx]Income - Adjusted!R27C5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7" s="9"/>
      </tp>
      <tp>
        <v>0</v>
        <stp/>
        <stp>##V3_BDHV12</stp>
        <stp>RCOM IN Equity</stp>
        <stp>IS_OPEX_R&amp;D</stp>
        <stp>FY 2011</stp>
        <stp>FY 2011</stp>
        <stp>[FA1_ymffleas.xlsx]Income - Adjusted!R27C4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7" s="9"/>
      </tp>
      <tp>
        <v>0</v>
        <stp/>
        <stp>##V3_BDHV12</stp>
        <stp>RCOM IN Equity</stp>
        <stp>IS_OPEX_R&amp;D</stp>
        <stp>FY 2010</stp>
        <stp>FY 2010</stp>
        <stp>[FA1_ymffleas.xlsx]Income - Adjusted!R27C3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7" s="9"/>
      </tp>
      <tp>
        <v>0</v>
        <stp/>
        <stp>##V3_BDHV12</stp>
        <stp>RCOM IN Equity</stp>
        <stp>IS_OPEX_R&amp;D</stp>
        <stp>FY 2016</stp>
        <stp>FY 2016</stp>
        <stp>[FA1_ymffleas.xlsx]Income - Adjusted!R27C9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7" s="9"/>
      </tp>
      <tp>
        <v>0</v>
        <stp/>
        <stp>##V3_BDHV12</stp>
        <stp>RCOM IN Equity</stp>
        <stp>IS_OPEX_R&amp;D</stp>
        <stp>FY 2015</stp>
        <stp>FY 2015</stp>
        <stp>[FA1_ymffleas.xlsx]Income - Adjusted!R27C8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7" s="9"/>
      </tp>
      <tp t="s">
        <v>—</v>
        <stp/>
        <stp>##V3_BDHV12</stp>
        <stp>RCOM IN Equity</stp>
        <stp>5Y_AVG_CAPEX_TO_DEPR_EXPN</stp>
        <stp>FY 2015</stp>
        <stp>FY 2015</stp>
        <stp>[FA1_ymffleas.xlsx]CAPEX &amp; Depreciation!R15C9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5" s="28"/>
      </tp>
      <tp t="s">
        <v>—</v>
        <stp/>
        <stp>##V3_BDHV12</stp>
        <stp>RCOM IN Equity</stp>
        <stp>5Y_AVG_CAPEX_TO_DEPR_EXPN</stp>
        <stp>FY 2014</stp>
        <stp>FY 2014</stp>
        <stp>[FA1_ymffleas.xlsx]CAPEX &amp; Depreciation!R15C8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5" s="28"/>
      </tp>
      <tp>
        <v>-92.296599999999998</v>
        <stp/>
        <stp>##V3_BDHV12</stp>
        <stp>RCOM IN Equity</stp>
        <stp>IS_DILUTED_EPS</stp>
        <stp>FY 2018</stp>
        <stp>FY 2018</stp>
        <stp>[FA1_ymffleas.xlsx]Per Share!R17C11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7" s="7"/>
      </tp>
      <tp>
        <v>0.97070000000000001</v>
        <stp/>
        <stp>##V3_BDHV12</stp>
        <stp>RCOM IN Equity</stp>
        <stp>NORM_NET_INC_TO_NET_INC_FO_COM</stp>
        <stp>FY 2015</stp>
        <stp>FY 2015</stp>
        <stp>[FA1_ymffleas.xlsx]DuPont Analysis!R9C9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9" s="27"/>
      </tp>
      <tp>
        <v>20</v>
        <stp/>
        <stp>##V3_BDHV12</stp>
        <stp>RCOM IN Equity</stp>
        <stp>ARDR_OTHER_TAX_PAYABLE</stp>
        <stp>FY 2014</stp>
        <stp>FY 2014</stp>
        <stp>[FA1_ymffleas.xlsx]Bal Sheet - As Reported!R173C8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3" s="17"/>
      </tp>
      <tp>
        <v>10</v>
        <stp/>
        <stp>##V3_BDHV12</stp>
        <stp>RCOM IN Equity</stp>
        <stp>ARDR_OTHER_TAX_PAYABLE</stp>
        <stp>FY 2015</stp>
        <stp>FY 2015</stp>
        <stp>[FA1_ymffleas.xlsx]Bal Sheet - As Reported!R173C9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3" s="17"/>
      </tp>
      <tp>
        <v>324.3</v>
        <stp/>
        <stp>##V3_BDHV12</stp>
        <stp>RCOM IN Equity</stp>
        <stp>ARDR_OTHER_TAX_PAYABLE</stp>
        <stp>FY 2010</stp>
        <stp>FY 2010</stp>
        <stp>[FA1_ymffleas.xlsx]Bal Sheet - As Reported!R173C4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3" s="17"/>
      </tp>
      <tp>
        <v>200</v>
        <stp/>
        <stp>##V3_BDHV12</stp>
        <stp>RCOM IN Equity</stp>
        <stp>ARDR_OTHER_TAX_PAYABLE</stp>
        <stp>FY 2011</stp>
        <stp>FY 2011</stp>
        <stp>[FA1_ymffleas.xlsx]Bal Sheet - As Reported!R173C5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3" s="17"/>
      </tp>
      <tp>
        <v>100</v>
        <stp/>
        <stp>##V3_BDHV12</stp>
        <stp>RCOM IN Equity</stp>
        <stp>ARDR_OTHER_TAX_PAYABLE</stp>
        <stp>FY 2012</stp>
        <stp>FY 2012</stp>
        <stp>[FA1_ymffleas.xlsx]Bal Sheet - As Reported!R173C6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3" s="17"/>
      </tp>
      <tp>
        <v>110</v>
        <stp/>
        <stp>##V3_BDHV12</stp>
        <stp>RCOM IN Equity</stp>
        <stp>ARDR_OTHER_TAX_PAYABLE</stp>
        <stp>FY 2013</stp>
        <stp>FY 2013</stp>
        <stp>[FA1_ymffleas.xlsx]Bal Sheet - As Reported!R173C7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3" s="17"/>
      </tp>
      <tp>
        <v>313.60000000000002</v>
        <stp/>
        <stp>##V3_BDHV12</stp>
        <stp>RCOM IN Equity</stp>
        <stp>ARDR_OTHER_TAX_PAYABLE</stp>
        <stp>FY 2009</stp>
        <stp>FY 2009</stp>
        <stp>[FA1_ymffleas.xlsx]Bal Sheet - As Reported!R173C3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3" s="17"/>
      </tp>
      <tp>
        <v>7360</v>
        <stp/>
        <stp>##V3_BDHV12</stp>
        <stp>RCOM IN Equity</stp>
        <stp>BS_CASH_NEAR_CASH_ITEM</stp>
        <stp>FY 2018</stp>
        <stp>FY 2018</stp>
        <stp>[FA1_ymffleas.xlsx]Bal Sheet - Standardized!R9C12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" s="16"/>
      </tp>
      <tp>
        <v>13140</v>
        <stp/>
        <stp>##V3_BDHV12</stp>
        <stp>RCOM IN Equity</stp>
        <stp>BS_CASH_NEAR_CASH_ITEM</stp>
        <stp>FY 2017</stp>
        <stp>FY 2017</stp>
        <stp>[FA1_ymffleas.xlsx]Bal Sheet - Standardized!R9C11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" s="16"/>
      </tp>
      <tp>
        <v>15170</v>
        <stp/>
        <stp>##V3_BDHV12</stp>
        <stp>RCOM IN Equity</stp>
        <stp>BS_CASH_NEAR_CASH_ITEM</stp>
        <stp>FY 2016</stp>
        <stp>FY 2016</stp>
        <stp>[FA1_ymffleas.xlsx]Bal Sheet - Standardized!R9C10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" s="16"/>
      </tp>
      <tp>
        <v>33.390099999999997</v>
        <stp/>
        <stp>##V3_BDHV12</stp>
        <stp>RCOM IN Equity</stp>
        <stp>EBITDA_MARGIN</stp>
        <stp>FY 2016</stp>
        <stp>FY 2016</stp>
        <stp>[FA1_ymffleas.xlsx]Addl - Overview!R15C9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5" s="29"/>
      </tp>
      <tp>
        <v>1680</v>
        <stp/>
        <stp>##V3_BDHV12</stp>
        <stp>RCOM IN Equity</stp>
        <stp>ARDR_INTEREST_EXP_BORROW</stp>
        <stp>FY 2018</stp>
        <stp>FY 2018</stp>
        <stp>[FA1_ymffleas.xlsx]Income - As Reported!R91C12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1" s="11"/>
      </tp>
      <tp>
        <v>23160</v>
        <stp/>
        <stp>##V3_BDHV12</stp>
        <stp>RCOM IN Equity</stp>
        <stp>ARDR_INTEREST_EXP_BORROW</stp>
        <stp>FY 2016</stp>
        <stp>FY 2016</stp>
        <stp>[FA1_ymffleas.xlsx]Income - As Reported!R91C10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1" s="11"/>
      </tp>
      <tp>
        <v>2240</v>
        <stp/>
        <stp>##V3_BDHV12</stp>
        <stp>RCOM IN Equity</stp>
        <stp>ARDR_INTEREST_EXP_BORROW</stp>
        <stp>FY 2017</stp>
        <stp>FY 2017</stp>
        <stp>[FA1_ymffleas.xlsx]Income - As Reported!R91C11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1" s="11"/>
      </tp>
      <tp t="s">
        <v>—</v>
        <stp/>
        <stp>##V3_BDHV12</stp>
        <stp>RCOM IN Equity</stp>
        <stp>ARD_COST_OF_GOODS_SOLD</stp>
        <stp>FY 2014</stp>
        <stp>FY 2014</stp>
        <stp>[FA1_ymffleas.xlsx]Income - As Reported!R13C8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" s="11"/>
      </tp>
      <tp t="s">
        <v>—</v>
        <stp/>
        <stp>##V3_BDHV12</stp>
        <stp>RCOM IN Equity</stp>
        <stp>ARD_COST_OF_GOODS_SOLD</stp>
        <stp>FY 2015</stp>
        <stp>FY 2015</stp>
        <stp>[FA1_ymffleas.xlsx]Income - As Reported!R13C9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" s="11"/>
      </tp>
      <tp t="s">
        <v>—</v>
        <stp/>
        <stp>##V3_BDHV12</stp>
        <stp>RCOM IN Equity</stp>
        <stp>ARD_COST_OF_GOODS_SOLD</stp>
        <stp>FY 2009</stp>
        <stp>FY 2009</stp>
        <stp>[FA1_ymffleas.xlsx]Income - As Reported!R13C3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" s="11"/>
      </tp>
      <tp t="s">
        <v>—</v>
        <stp/>
        <stp>##V3_BDHV12</stp>
        <stp>RCOM IN Equity</stp>
        <stp>ARD_COST_OF_GOODS_SOLD</stp>
        <stp>FY 2010</stp>
        <stp>FY 2010</stp>
        <stp>[FA1_ymffleas.xlsx]Income - As Reported!R13C4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" s="11"/>
      </tp>
      <tp t="s">
        <v>—</v>
        <stp/>
        <stp>##V3_BDHV12</stp>
        <stp>RCOM IN Equity</stp>
        <stp>ARD_COST_OF_GOODS_SOLD</stp>
        <stp>FY 2011</stp>
        <stp>FY 2011</stp>
        <stp>[FA1_ymffleas.xlsx]Income - As Reported!R13C5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" s="11"/>
      </tp>
      <tp>
        <v>96520</v>
        <stp/>
        <stp>##V3_BDHV12</stp>
        <stp>RCOM IN Equity</stp>
        <stp>ARD_COST_OF_GOODS_SOLD</stp>
        <stp>FY 2012</stp>
        <stp>FY 2012</stp>
        <stp>[FA1_ymffleas.xlsx]Income - As Reported!R13C6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" s="11"/>
      </tp>
      <tp t="s">
        <v>—</v>
        <stp/>
        <stp>##V3_BDHV12</stp>
        <stp>RCOM IN Equity</stp>
        <stp>ARD_COST_OF_GOODS_SOLD</stp>
        <stp>FY 2013</stp>
        <stp>FY 2013</stp>
        <stp>[FA1_ymffleas.xlsx]Income - As Reported!R13C7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" s="11"/>
      </tp>
      <tp>
        <v>11270</v>
        <stp/>
        <stp>##V3_BDHV12</stp>
        <stp>RCOM IN Equity</stp>
        <stp>BS_ACCT_NOTE_RCV</stp>
        <stp>FY 2014</stp>
        <stp>FY 2014</stp>
        <stp>[FA1_ymffleas.xlsx]Bal Sheet - Standardized!R13C8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" s="16"/>
      </tp>
      <tp>
        <v>11940</v>
        <stp/>
        <stp>##V3_BDHV12</stp>
        <stp>RCOM IN Equity</stp>
        <stp>BS_ACCT_NOTE_RCV</stp>
        <stp>FY 2015</stp>
        <stp>FY 2015</stp>
        <stp>[FA1_ymffleas.xlsx]Bal Sheet - Standardized!R13C9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" s="16"/>
      </tp>
      <tp>
        <v>8512.7999999999993</v>
        <stp/>
        <stp>##V3_BDHV12</stp>
        <stp>RCOM IN Equity</stp>
        <stp>BS_ACCT_NOTE_RCV</stp>
        <stp>FY 2009</stp>
        <stp>FY 2009</stp>
        <stp>[FA1_ymffleas.xlsx]Bal Sheet - Standardized!R13C3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" s="16"/>
      </tp>
      <tp>
        <v>9904.4</v>
        <stp/>
        <stp>##V3_BDHV12</stp>
        <stp>RCOM IN Equity</stp>
        <stp>BS_ACCT_NOTE_RCV</stp>
        <stp>FY 2010</stp>
        <stp>FY 2010</stp>
        <stp>[FA1_ymffleas.xlsx]Bal Sheet - Standardized!R13C4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" s="16"/>
      </tp>
      <tp>
        <v>13380</v>
        <stp/>
        <stp>##V3_BDHV12</stp>
        <stp>RCOM IN Equity</stp>
        <stp>BS_ACCT_NOTE_RCV</stp>
        <stp>FY 2011</stp>
        <stp>FY 2011</stp>
        <stp>[FA1_ymffleas.xlsx]Bal Sheet - Standardized!R13C5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" s="16"/>
      </tp>
      <tp>
        <v>18420</v>
        <stp/>
        <stp>##V3_BDHV12</stp>
        <stp>RCOM IN Equity</stp>
        <stp>BS_ACCT_NOTE_RCV</stp>
        <stp>FY 2012</stp>
        <stp>FY 2012</stp>
        <stp>[FA1_ymffleas.xlsx]Bal Sheet - Standardized!R13C6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" s="16"/>
      </tp>
      <tp>
        <v>15740</v>
        <stp/>
        <stp>##V3_BDHV12</stp>
        <stp>RCOM IN Equity</stp>
        <stp>BS_ACCT_NOTE_RCV</stp>
        <stp>FY 2013</stp>
        <stp>FY 2013</stp>
        <stp>[FA1_ymffleas.xlsx]Bal Sheet - Standardized!R13C7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" s="16"/>
      </tp>
      <tp>
        <v>93.819199999999995</v>
        <stp/>
        <stp>##V3_BDHV12</stp>
        <stp>RCOM IN Equity</stp>
        <stp>TOT_DEBT_TO_TOT_CAP</stp>
        <stp>FY 2018</stp>
        <stp>FY 2018</stp>
        <stp>[FA1_ymffleas.xlsx]Enterprise Value!R14C11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4" s="5"/>
      </tp>
      <tp>
        <v>61.220599999999997</v>
        <stp/>
        <stp>##V3_BDHV12</stp>
        <stp>RCOM IN Equity</stp>
        <stp>TOT_DEBT_TO_TOT_CAP</stp>
        <stp>FY 2017</stp>
        <stp>FY 2017</stp>
        <stp>[FA1_ymffleas.xlsx]Enterprise Value!R14C10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4" s="5"/>
      </tp>
      <tp>
        <v>-27.586200000000002</v>
        <stp/>
        <stp>##V3_BDHV12</stp>
        <stp>RCOM IN Equity</stp>
        <stp>NET_INCOME_TO_COMMON_SEQ_GROWTH</stp>
        <stp>FY 2013</stp>
        <stp>FY 2013</stp>
        <stp>[FA1_ymffleas.xlsx]Growth!R63C7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63" s="22"/>
      </tp>
      <tp>
        <v>2064.027</v>
        <stp/>
        <stp>##V3_BDHV12</stp>
        <stp>RCOM IN Equity</stp>
        <stp>EQY_SH_OUT</stp>
        <stp>FY 2014</stp>
        <stp>FY 2014</stp>
        <stp>[FA1_ymffleas.xlsx]Stock Value!R13C7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3" s="8"/>
      </tp>
      <tp>
        <v>2064.027</v>
        <stp/>
        <stp>##V3_BDHV12</stp>
        <stp>RCOM IN Equity</stp>
        <stp>EQY_SH_OUT</stp>
        <stp>FY 2013</stp>
        <stp>FY 2013</stp>
        <stp>[FA1_ymffleas.xlsx]Stock Value!R13C6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3" s="8"/>
      </tp>
      <tp>
        <v>2064.027</v>
        <stp/>
        <stp>##V3_BDHV12</stp>
        <stp>RCOM IN Equity</stp>
        <stp>EQY_SH_OUT</stp>
        <stp>FY 2012</stp>
        <stp>FY 2012</stp>
        <stp>[FA1_ymffleas.xlsx]Stock Value!R13C5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3" s="8"/>
      </tp>
      <tp>
        <v>2064.027</v>
        <stp/>
        <stp>##V3_BDHV12</stp>
        <stp>RCOM IN Equity</stp>
        <stp>EQY_SH_OUT</stp>
        <stp>FY 2011</stp>
        <stp>FY 2011</stp>
        <stp>[FA1_ymffleas.xlsx]Stock Value!R13C4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3" s="8"/>
      </tp>
      <tp>
        <v>2064.027</v>
        <stp/>
        <stp>##V3_BDHV12</stp>
        <stp>RCOM IN Equity</stp>
        <stp>EQY_SH_OUT</stp>
        <stp>FY 2010</stp>
        <stp>FY 2010</stp>
        <stp>[FA1_ymffleas.xlsx]Stock Value!R13C3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3" s="8"/>
      </tp>
      <tp t="s">
        <v>—</v>
        <stp/>
        <stp>##V3_BDHV12</stp>
        <stp>RCOM IN Equity</stp>
        <stp>ARD_INTEREST_EXPENSE</stp>
        <stp>FY 2009</stp>
        <stp>FY 2009</stp>
        <stp>[FA1_ymffleas.xlsx]Cash Flow - As Reported!R27C3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7" s="20"/>
      </tp>
      <tp>
        <v>13422.1</v>
        <stp/>
        <stp>##V3_BDHV12</stp>
        <stp>RCOM IN Equity</stp>
        <stp>ARD_INTEREST_EXPENSE</stp>
        <stp>FY 2010</stp>
        <stp>FY 2010</stp>
        <stp>[FA1_ymffleas.xlsx]Cash Flow - As Reported!R27C4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7" s="20"/>
      </tp>
      <tp>
        <v>9020</v>
        <stp/>
        <stp>##V3_BDHV12</stp>
        <stp>RCOM IN Equity</stp>
        <stp>ARD_INTEREST_EXPENSE</stp>
        <stp>FY 2011</stp>
        <stp>FY 2011</stp>
        <stp>[FA1_ymffleas.xlsx]Cash Flow - As Reported!R27C5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7" s="20"/>
      </tp>
      <tp t="s">
        <v>—</v>
        <stp/>
        <stp>##V3_BDHV12</stp>
        <stp>RCOM IN Equity</stp>
        <stp>ARD_INTEREST_EXPENSE</stp>
        <stp>FY 2012</stp>
        <stp>FY 2012</stp>
        <stp>[FA1_ymffleas.xlsx]Cash Flow - As Reported!R27C6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7" s="20"/>
      </tp>
      <tp t="s">
        <v>—</v>
        <stp/>
        <stp>##V3_BDHV12</stp>
        <stp>RCOM IN Equity</stp>
        <stp>ARD_INTEREST_EXPENSE</stp>
        <stp>FY 2013</stp>
        <stp>FY 2013</stp>
        <stp>[FA1_ymffleas.xlsx]Cash Flow - As Reported!R27C7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7" s="20"/>
      </tp>
      <tp t="s">
        <v>—</v>
        <stp/>
        <stp>##V3_BDHV12</stp>
        <stp>RCOM IN Equity</stp>
        <stp>ARD_INTEREST_EXPENSE</stp>
        <stp>FY 2014</stp>
        <stp>FY 2014</stp>
        <stp>[FA1_ymffleas.xlsx]Cash Flow - As Reported!R27C8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7" s="20"/>
      </tp>
      <tp t="s">
        <v>—</v>
        <stp/>
        <stp>##V3_BDHV12</stp>
        <stp>RCOM IN Equity</stp>
        <stp>ARD_INTEREST_EXPENSE</stp>
        <stp>FY 2015</stp>
        <stp>FY 2015</stp>
        <stp>[FA1_ymffleas.xlsx]Cash Flow - As Reported!R27C9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7" s="20"/>
      </tp>
      <tp>
        <v>3.0150000000000001</v>
        <stp/>
        <stp>##V3_BDHV12</stp>
        <stp>RCOM IN Equity</stp>
        <stp>NORMALIZED_ROE</stp>
        <stp>FY 2012</stp>
        <stp>FY 2012</stp>
        <stp>[FA1_ymffleas.xlsx]DuPont Analysis!R19C6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9" s="27"/>
      </tp>
      <tp>
        <v>5.7827000000000002</v>
        <stp/>
        <stp>##V3_BDHV12</stp>
        <stp>RCOM IN Equity</stp>
        <stp>T12_EBIT_TO_REVENUE</stp>
        <stp>FY 2017</stp>
        <stp>FY 2017</stp>
        <stp>[FA1_ymffleas.xlsx]DuPont Analysis!R13C11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3" s="27"/>
      </tp>
      <tp>
        <v>2488.98</v>
        <stp/>
        <stp>##V3_BDHV12</stp>
        <stp>RCOM IN Equity</stp>
        <stp>EQY_SH_OUT</stp>
        <stp>FY 2016</stp>
        <stp>FY 2016</stp>
        <stp>[FA1_ymffleas.xlsx]Stock Value!R13C9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3" s="8"/>
      </tp>
      <tp>
        <v>2488.98</v>
        <stp/>
        <stp>##V3_BDHV12</stp>
        <stp>RCOM IN Equity</stp>
        <stp>EQY_SH_OUT</stp>
        <stp>FY 2015</stp>
        <stp>FY 2015</stp>
        <stp>[FA1_ymffleas.xlsx]Stock Value!R13C8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3" s="8"/>
      </tp>
      <tp>
        <v>2.59</v>
        <stp/>
        <stp>##V3_BDHV12</stp>
        <stp>RCOM IN Equity</stp>
        <stp>ARD_DILUTED_EPS</stp>
        <stp>FY 2016</stp>
        <stp>FY 2016</stp>
        <stp>[FA1_ymffleas.xlsx]Income - As Reported!R45C10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5" s="11"/>
      </tp>
      <tp>
        <v>-4280</v>
        <stp/>
        <stp>##V3_BDHV12</stp>
        <stp>RCOM IN Equity</stp>
        <stp>IS_INC_TAX_EXP</stp>
        <stp>FY 2016</stp>
        <stp>FY 2016</stp>
        <stp>[FA1_ymffleas.xlsx]Income - Adjusted!R77C9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77" s="9"/>
      </tp>
      <tp t="s">
        <v>—</v>
        <stp/>
        <stp>##V3_BDHV12</stp>
        <stp>RCOM IN Equity</stp>
        <stp>ARD_DILUTED_EPS</stp>
        <stp>FY 2017</stp>
        <stp>FY 2017</stp>
        <stp>[FA1_ymffleas.xlsx]Income - As Reported!R45C11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5" s="11"/>
      </tp>
      <tp>
        <v>3260</v>
        <stp/>
        <stp>##V3_BDHV12</stp>
        <stp>RCOM IN Equity</stp>
        <stp>IS_INC_TAX_EXP</stp>
        <stp>FY 2015</stp>
        <stp>FY 2015</stp>
        <stp>[FA1_ymffleas.xlsx]Income - Adjusted!R77C8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77" s="9"/>
      </tp>
      <tp t="s">
        <v>—</v>
        <stp/>
        <stp>##V3_BDHV12</stp>
        <stp>RCOM IN Equity</stp>
        <stp>ARD_DILUTED_EPS</stp>
        <stp>FY 2018</stp>
        <stp>FY 2018</stp>
        <stp>[FA1_ymffleas.xlsx]Income - As Reported!R45C12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5" s="11"/>
      </tp>
      <tp t="s">
        <v>—</v>
        <stp/>
        <stp>##V3_BDHV12</stp>
        <stp>RCOM IN Equity</stp>
        <stp>IS_EXPORT_SALES</stp>
        <stp>FY 2015</stp>
        <stp>FY 2015</stp>
        <stp>[FA1_ymffleas.xlsx]Income - GAAP!R109C8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9" s="10"/>
      </tp>
      <tp t="s">
        <v>—</v>
        <stp/>
        <stp>##V3_BDHV12</stp>
        <stp>RCOM IN Equity</stp>
        <stp>IS_EXPORT_SALES</stp>
        <stp>FY 2016</stp>
        <stp>FY 2016</stp>
        <stp>[FA1_ymffleas.xlsx]Income - GAAP!R109C9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9" s="10"/>
      </tp>
      <tp t="s">
        <v>—</v>
        <stp/>
        <stp>##V3_BDHV12</stp>
        <stp>RCOM IN Equity</stp>
        <stp>IS_EXPORT_SALES</stp>
        <stp>FY 2013</stp>
        <stp>FY 2013</stp>
        <stp>[FA1_ymffleas.xlsx]Income - GAAP!R109C6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9" s="10"/>
      </tp>
      <tp t="s">
        <v>—</v>
        <stp/>
        <stp>##V3_BDHV12</stp>
        <stp>RCOM IN Equity</stp>
        <stp>IS_EXPORT_SALES</stp>
        <stp>FY 2014</stp>
        <stp>FY 2014</stp>
        <stp>[FA1_ymffleas.xlsx]Income - GAAP!R109C7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9" s="10"/>
      </tp>
      <tp t="s">
        <v>—</v>
        <stp/>
        <stp>##V3_BDHV12</stp>
        <stp>RCOM IN Equity</stp>
        <stp>IS_EXPORT_SALES</stp>
        <stp>FY 2011</stp>
        <stp>FY 2011</stp>
        <stp>[FA1_ymffleas.xlsx]Income - GAAP!R109C4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9" s="10"/>
      </tp>
      <tp>
        <v>9990</v>
        <stp/>
        <stp>##V3_BDHV12</stp>
        <stp>RCOM IN Equity</stp>
        <stp>IS_EXPORT_SALES</stp>
        <stp>FY 2012</stp>
        <stp>FY 2012</stp>
        <stp>[FA1_ymffleas.xlsx]Income - GAAP!R109C5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9" s="10"/>
      </tp>
      <tp t="s">
        <v>—</v>
        <stp/>
        <stp>##V3_BDHV12</stp>
        <stp>RCOM IN Equity</stp>
        <stp>IS_EXPORT_SALES</stp>
        <stp>FY 2010</stp>
        <stp>FY 2010</stp>
        <stp>[FA1_ymffleas.xlsx]Income - GAAP!R109C3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9" s="10"/>
      </tp>
      <tp>
        <v>4453.8999999999996</v>
        <stp/>
        <stp>##V3_BDHV12</stp>
        <stp>RCOM IN Equity</stp>
        <stp>IS_INC_TAX_EXP</stp>
        <stp>FY 2010</stp>
        <stp>FY 2010</stp>
        <stp>[FA1_ymffleas.xlsx]Income - Adjusted!R77C3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77" s="9"/>
      </tp>
      <tp>
        <v>160</v>
        <stp/>
        <stp>##V3_BDHV12</stp>
        <stp>RCOM IN Equity</stp>
        <stp>ARDR_GL_ON_SALE_OF_ASSETS</stp>
        <stp>FY 2016</stp>
        <stp>FY 2016</stp>
        <stp>[FA1_ymffleas.xlsx]Income - As Reported!R71C10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1" s="11"/>
      </tp>
      <tp t="s">
        <v>—</v>
        <stp/>
        <stp>##V3_BDHV12</stp>
        <stp>RCOM IN Equity</stp>
        <stp>ARDR_GL_ON_SALE_OF_ASSETS</stp>
        <stp>FY 2017</stp>
        <stp>FY 2017</stp>
        <stp>[FA1_ymffleas.xlsx]Income - As Reported!R71C11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1" s="11"/>
      </tp>
      <tp t="s">
        <v>—</v>
        <stp/>
        <stp>##V3_BDHV12</stp>
        <stp>RCOM IN Equity</stp>
        <stp>ARDR_GL_ON_SALE_OF_ASSETS</stp>
        <stp>FY 2018</stp>
        <stp>FY 2018</stp>
        <stp>[FA1_ymffleas.xlsx]Income - As Reported!R71C12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1" s="11"/>
      </tp>
      <tp>
        <v>-1060</v>
        <stp/>
        <stp>##V3_BDHV12</stp>
        <stp>RCOM IN Equity</stp>
        <stp>IS_INC_TAX_EXP</stp>
        <stp>FY 2012</stp>
        <stp>FY 2012</stp>
        <stp>[FA1_ymffleas.xlsx]Income - Adjusted!R77C5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77" s="9"/>
      </tp>
      <tp>
        <v>120</v>
        <stp/>
        <stp>##V3_BDHV12</stp>
        <stp>RCOM IN Equity</stp>
        <stp>IS_INC_TAX_EXP</stp>
        <stp>FY 2011</stp>
        <stp>FY 2011</stp>
        <stp>[FA1_ymffleas.xlsx]Income - Adjusted!R77C4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77" s="9"/>
      </tp>
      <tp>
        <v>-10210</v>
        <stp/>
        <stp>##V3_BDHV12</stp>
        <stp>RCOM IN Equity</stp>
        <stp>IS_INC_TAX_EXP</stp>
        <stp>FY 2014</stp>
        <stp>FY 2014</stp>
        <stp>[FA1_ymffleas.xlsx]Income - Adjusted!R77C7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77" s="9"/>
      </tp>
      <tp>
        <v>710</v>
        <stp/>
        <stp>##V3_BDHV12</stp>
        <stp>RCOM IN Equity</stp>
        <stp>IS_INC_TAX_EXP</stp>
        <stp>FY 2013</stp>
        <stp>FY 2013</stp>
        <stp>[FA1_ymffleas.xlsx]Income - Adjusted!R77C6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77" s="9"/>
      </tp>
      <tp>
        <v>8.8814999999999991</v>
        <stp/>
        <stp>##V3_BDHV12</stp>
        <stp>RCOM IN Equity</stp>
        <stp>LOW_EV_TO_T12M_EBITDA</stp>
        <stp>FY 2014</stp>
        <stp>FY 2014</stp>
        <stp>[FA1_ymffleas.xlsx]Multiples!R44C7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44" s="6"/>
      </tp>
      <tp t="s">
        <v>—</v>
        <stp/>
        <stp>##V3_BDHV12</stp>
        <stp>RCOM IN Equity</stp>
        <stp>PENSION_LIABILITIES</stp>
        <stp>FY 2015</stp>
        <stp>FY 2015</stp>
        <stp>[FA1_ymffleas.xlsx]Bal Sheet - Standardized!R113C9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3" s="16"/>
      </tp>
      <tp t="s">
        <v>—</v>
        <stp/>
        <stp>##V3_BDHV12</stp>
        <stp>RCOM IN Equity</stp>
        <stp>PENSION_LIABILITIES</stp>
        <stp>FY 2014</stp>
        <stp>FY 2014</stp>
        <stp>[FA1_ymffleas.xlsx]Bal Sheet - Standardized!R113C8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3" s="16"/>
      </tp>
      <tp t="s">
        <v>—</v>
        <stp/>
        <stp>##V3_BDHV12</stp>
        <stp>RCOM IN Equity</stp>
        <stp>PENSION_LIABILITIES</stp>
        <stp>FY 2013</stp>
        <stp>FY 2013</stp>
        <stp>[FA1_ymffleas.xlsx]Bal Sheet - Standardized!R113C7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3" s="16"/>
      </tp>
      <tp t="s">
        <v>—</v>
        <stp/>
        <stp>##V3_BDHV12</stp>
        <stp>RCOM IN Equity</stp>
        <stp>PENSION_LIABILITIES</stp>
        <stp>FY 2012</stp>
        <stp>FY 2012</stp>
        <stp>[FA1_ymffleas.xlsx]Bal Sheet - Standardized!R113C6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3" s="16"/>
      </tp>
      <tp t="s">
        <v>—</v>
        <stp/>
        <stp>##V3_BDHV12</stp>
        <stp>RCOM IN Equity</stp>
        <stp>PENSION_LIABILITIES</stp>
        <stp>FY 2011</stp>
        <stp>FY 2011</stp>
        <stp>[FA1_ymffleas.xlsx]Bal Sheet - Standardized!R113C5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3" s="16"/>
      </tp>
      <tp t="s">
        <v>—</v>
        <stp/>
        <stp>##V3_BDHV12</stp>
        <stp>RCOM IN Equity</stp>
        <stp>PENSION_LIABILITIES</stp>
        <stp>FY 2010</stp>
        <stp>FY 2010</stp>
        <stp>[FA1_ymffleas.xlsx]Bal Sheet - Standardized!R113C4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3" s="16"/>
      </tp>
      <tp t="s">
        <v>—</v>
        <stp/>
        <stp>##V3_BDHV12</stp>
        <stp>RCOM IN Equity</stp>
        <stp>PENSION_LIABILITIES</stp>
        <stp>FY 2009</stp>
        <stp>FY 2009</stp>
        <stp>[FA1_ymffleas.xlsx]Bal Sheet - Standardized!R113C3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3" s="16"/>
      </tp>
      <tp>
        <v>11.2333</v>
        <stp/>
        <stp>##V3_BDHV12</stp>
        <stp>RCOM IN Equity</stp>
        <stp>AVG_EV_TO_T12M_EBITDA</stp>
        <stp>FY 2014</stp>
        <stp>FY 2014</stp>
        <stp>[FA1_ymffleas.xlsx]Multiples!R42C7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42" s="6"/>
      </tp>
      <tp t="s">
        <v>—</v>
        <stp/>
        <stp>##V3_BDHV12</stp>
        <stp>RCOM IN Equity</stp>
        <stp>ARDR_LONG_TERM_LOAN_SECURED</stp>
        <stp>FY 2017</stp>
        <stp>FY 2017</stp>
        <stp>[FA1_ymffleas.xlsx]Bal Sheet - As Reported!R195C11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5" s="17"/>
      </tp>
      <tp t="s">
        <v>—</v>
        <stp/>
        <stp>##V3_BDHV12</stp>
        <stp>RCOM IN Equity</stp>
        <stp>ARDR_LONG_TERM_LOAN_SECURED</stp>
        <stp>FY 2016</stp>
        <stp>FY 2016</stp>
        <stp>[FA1_ymffleas.xlsx]Bal Sheet - As Reported!R195C10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5" s="17"/>
      </tp>
      <tp t="s">
        <v>—</v>
        <stp/>
        <stp>##V3_BDHV12</stp>
        <stp>RCOM IN Equity</stp>
        <stp>ARDR_LONG_TERM_LOAN_SECURED</stp>
        <stp>FY 2018</stp>
        <stp>FY 2018</stp>
        <stp>[FA1_ymffleas.xlsx]Bal Sheet - As Reported!R195C12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5" s="17"/>
      </tp>
      <tp>
        <v>1.8383</v>
        <stp/>
        <stp>##V3_BDHV12</stp>
        <stp>RCOM IN Equity</stp>
        <stp>SUSTAIN_GROWTH_RT</stp>
        <stp>FY 2016</stp>
        <stp>FY 2016</stp>
        <stp>[FA1_ymffleas.xlsx]DuPont Analysis!R23C10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3" s="27"/>
      </tp>
      <tp>
        <v>288830</v>
        <stp/>
        <stp>##V3_BDHV12</stp>
        <stp>RCOM IN Equity</stp>
        <stp>ARDR_UNSECURED_DEBT</stp>
        <stp>FY 2018</stp>
        <stp>FY 2018</stp>
        <stp>[FA1_ymffleas.xlsx]Bal Sheet - As Reported!R118C12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8" s="17"/>
      </tp>
      <tp>
        <v>33550</v>
        <stp/>
        <stp>##V3_BDHV12</stp>
        <stp>RCOM IN Equity</stp>
        <stp>ARDR_UNSECURED_DEBT</stp>
        <stp>FY 2016</stp>
        <stp>FY 2016</stp>
        <stp>[FA1_ymffleas.xlsx]Bal Sheet - As Reported!R118C10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8" s="17"/>
      </tp>
      <tp>
        <v>89250</v>
        <stp/>
        <stp>##V3_BDHV12</stp>
        <stp>RCOM IN Equity</stp>
        <stp>ARDR_UNSECURED_DEBT</stp>
        <stp>FY 2017</stp>
        <stp>FY 2017</stp>
        <stp>[FA1_ymffleas.xlsx]Bal Sheet - As Reported!R118C11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8" s="17"/>
      </tp>
      <tp>
        <v>0</v>
        <stp/>
        <stp>##V3_BDHV12</stp>
        <stp>RCOM IN Equity</stp>
        <stp>IS_ABNORMAL_ITEM</stp>
        <stp>FY 2018</stp>
        <stp>FY 2018</stp>
        <stp>[FA1_ymffleas.xlsx]Income - Adjusted!R55C11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5" s="9"/>
      </tp>
      <tp>
        <v>0</v>
        <stp/>
        <stp>##V3_BDHV12</stp>
        <stp>RCOM IN Equity</stp>
        <stp>IS_ABNORMAL_ITEM</stp>
        <stp>FY 2017</stp>
        <stp>FY 2017</stp>
        <stp>[FA1_ymffleas.xlsx]Income - Adjusted!R55C10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5" s="9"/>
      </tp>
      <tp>
        <v>431450</v>
        <stp/>
        <stp>##V3_BDHV12</stp>
        <stp>RCOM IN Equity</stp>
        <stp>CAPITAL_EMPLOYED</stp>
        <stp>FY 2015</stp>
        <stp>FY 2015</stp>
        <stp>[FA1_ymffleas.xlsx]Sources of Capital!R17C9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" s="32"/>
      </tp>
      <tp>
        <v>349630</v>
        <stp/>
        <stp>##V3_BDHV12</stp>
        <stp>RCOM IN Equity</stp>
        <stp>CAPITAL_EMPLOYED</stp>
        <stp>FY 2014</stp>
        <stp>FY 2014</stp>
        <stp>[FA1_ymffleas.xlsx]Sources of Capital!R17C8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" s="32"/>
      </tp>
      <tp>
        <v>370250</v>
        <stp/>
        <stp>##V3_BDHV12</stp>
        <stp>RCOM IN Equity</stp>
        <stp>CAPITAL_EMPLOYED</stp>
        <stp>FY 2013</stp>
        <stp>FY 2013</stp>
        <stp>[FA1_ymffleas.xlsx]Sources of Capital!R17C7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" s="32"/>
      </tp>
      <tp>
        <v>387180</v>
        <stp/>
        <stp>##V3_BDHV12</stp>
        <stp>RCOM IN Equity</stp>
        <stp>CAPITAL_EMPLOYED</stp>
        <stp>FY 2012</stp>
        <stp>FY 2012</stp>
        <stp>[FA1_ymffleas.xlsx]Sources of Capital!R17C6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" s="32"/>
      </tp>
      <tp>
        <v>400330</v>
        <stp/>
        <stp>##V3_BDHV12</stp>
        <stp>RCOM IN Equity</stp>
        <stp>CAPITAL_EMPLOYED</stp>
        <stp>FY 2011</stp>
        <stp>FY 2011</stp>
        <stp>[FA1_ymffleas.xlsx]Sources of Capital!R17C5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" s="32"/>
      </tp>
      <tp>
        <v>404123.9</v>
        <stp/>
        <stp>##V3_BDHV12</stp>
        <stp>RCOM IN Equity</stp>
        <stp>CAPITAL_EMPLOYED</stp>
        <stp>FY 2010</stp>
        <stp>FY 2010</stp>
        <stp>[FA1_ymffleas.xlsx]Sources of Capital!R17C4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" s="32"/>
      </tp>
      <tp>
        <v>451624.8</v>
        <stp/>
        <stp>##V3_BDHV12</stp>
        <stp>RCOM IN Equity</stp>
        <stp>CAPITAL_EMPLOYED</stp>
        <stp>FY 2009</stp>
        <stp>FY 2009</stp>
        <stp>[FA1_ymffleas.xlsx]Sources of Capital!R17C3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" s="32"/>
      </tp>
      <tp>
        <v>-5.6855000000000002</v>
        <stp/>
        <stp>##V3_BDHV12</stp>
        <stp>RCOM IN Equity</stp>
        <stp>IS_DILUTED_EPS</stp>
        <stp>FY 2017</stp>
        <stp>FY 2017</stp>
        <stp>[FA1_ymffleas.xlsx]Per Share!R17C10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7" s="7"/>
      </tp>
      <tp>
        <v>34.61</v>
        <stp/>
        <stp>##V3_BDHV12</stp>
        <stp>RCOM IN Equity</stp>
        <stp>ARDR_EBITDA_MARGIN</stp>
        <stp>FY 2014</stp>
        <stp>FY 2014</stp>
        <stp>[FA1_ymffleas.xlsx]Income - As Reported!R133C8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33" s="11"/>
      </tp>
      <tp>
        <v>34.020000000000003</v>
        <stp/>
        <stp>##V3_BDHV12</stp>
        <stp>RCOM IN Equity</stp>
        <stp>ARDR_EBITDA_MARGIN</stp>
        <stp>FY 2015</stp>
        <stp>FY 2015</stp>
        <stp>[FA1_ymffleas.xlsx]Income - As Reported!R133C9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33" s="11"/>
      </tp>
      <tp>
        <v>1.0068999999999999</v>
        <stp/>
        <stp>##V3_BDHV12</stp>
        <stp>RCOM IN Equity</stp>
        <stp>NORM_NET_INC_TO_NET_INC_FO_COM</stp>
        <stp>FY 2014</stp>
        <stp>FY 2014</stp>
        <stp>[FA1_ymffleas.xlsx]DuPont Analysis!R9C8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9" s="27"/>
      </tp>
      <tp>
        <v>33.636699999999998</v>
        <stp/>
        <stp>##V3_BDHV12</stp>
        <stp>RCOM IN Equity</stp>
        <stp>EBITDA_MARGIN</stp>
        <stp>FY 2015</stp>
        <stp>FY 2015</stp>
        <stp>[FA1_ymffleas.xlsx]Addl - Overview!R15C8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5" s="29"/>
      </tp>
      <tp>
        <v>40.549999999999997</v>
        <stp/>
        <stp>##V3_BDHV12</stp>
        <stp>RCOM IN Equity</stp>
        <stp>ARDR_EBITDA_MARGIN</stp>
        <stp>FY 2009</stp>
        <stp>FY 2009</stp>
        <stp>[FA1_ymffleas.xlsx]Income - As Reported!R133C3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33" s="11"/>
      </tp>
      <tp>
        <v>31.84</v>
        <stp/>
        <stp>##V3_BDHV12</stp>
        <stp>RCOM IN Equity</stp>
        <stp>ARDR_EBITDA_MARGIN</stp>
        <stp>FY 2012</stp>
        <stp>FY 2012</stp>
        <stp>[FA1_ymffleas.xlsx]Income - As Reported!R133C6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33" s="11"/>
      </tp>
      <tp>
        <v>32.869999999999997</v>
        <stp/>
        <stp>##V3_BDHV12</stp>
        <stp>RCOM IN Equity</stp>
        <stp>ARDR_EBITDA_MARGIN</stp>
        <stp>FY 2013</stp>
        <stp>FY 2013</stp>
        <stp>[FA1_ymffleas.xlsx]Income - As Reported!R133C7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33" s="11"/>
      </tp>
      <tp>
        <v>35.340000000000003</v>
        <stp/>
        <stp>##V3_BDHV12</stp>
        <stp>RCOM IN Equity</stp>
        <stp>ARDR_EBITDA_MARGIN</stp>
        <stp>FY 2010</stp>
        <stp>FY 2010</stp>
        <stp>[FA1_ymffleas.xlsx]Income - As Reported!R133C4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33" s="11"/>
      </tp>
      <tp>
        <v>39.299999999999997</v>
        <stp/>
        <stp>##V3_BDHV12</stp>
        <stp>RCOM IN Equity</stp>
        <stp>ARDR_EBITDA_MARGIN</stp>
        <stp>FY 2011</stp>
        <stp>FY 2011</stp>
        <stp>[FA1_ymffleas.xlsx]Income - As Reported!R133C5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33" s="11"/>
      </tp>
      <tp>
        <v>290</v>
        <stp/>
        <stp>##V3_BDHV12</stp>
        <stp>RCOM IN Equity</stp>
        <stp>ARDR_ACC_COMP_POSTRETIRE_OBLIG</stp>
        <stp>FY 2013</stp>
        <stp>FY 2013</stp>
        <stp>[FA1_ymffleas.xlsx]Bal Sheet - As Reported!R84C7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4" s="17"/>
      </tp>
      <tp>
        <v>530</v>
        <stp/>
        <stp>##V3_BDHV12</stp>
        <stp>RCOM IN Equity</stp>
        <stp>ARDR_ACC_COMP_POSTRETIRE_OBLIG</stp>
        <stp>FY 2012</stp>
        <stp>FY 2012</stp>
        <stp>[FA1_ymffleas.xlsx]Bal Sheet - As Reported!R84C6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4" s="17"/>
      </tp>
      <tp>
        <v>1260</v>
        <stp/>
        <stp>##V3_BDHV12</stp>
        <stp>RCOM IN Equity</stp>
        <stp>ARDR_ACC_COMP_POSTRETIRE_OBLIG</stp>
        <stp>FY 2011</stp>
        <stp>FY 2011</stp>
        <stp>[FA1_ymffleas.xlsx]Bal Sheet - As Reported!R84C5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4" s="17"/>
      </tp>
      <tp>
        <v>1167</v>
        <stp/>
        <stp>##V3_BDHV12</stp>
        <stp>RCOM IN Equity</stp>
        <stp>ARDR_ACC_COMP_POSTRETIRE_OBLIG</stp>
        <stp>FY 2010</stp>
        <stp>FY 2010</stp>
        <stp>[FA1_ymffleas.xlsx]Bal Sheet - As Reported!R84C4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4" s="17"/>
      </tp>
      <tp>
        <v>1448.4</v>
        <stp/>
        <stp>##V3_BDHV12</stp>
        <stp>RCOM IN Equity</stp>
        <stp>ARDR_ACC_COMP_POSTRETIRE_OBLIG</stp>
        <stp>FY 2009</stp>
        <stp>FY 2009</stp>
        <stp>[FA1_ymffleas.xlsx]Bal Sheet - As Reported!R84C3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4" s="17"/>
      </tp>
      <tp>
        <v>270</v>
        <stp/>
        <stp>##V3_BDHV12</stp>
        <stp>RCOM IN Equity</stp>
        <stp>ARDR_ACC_COMP_POSTRETIRE_OBLIG</stp>
        <stp>FY 2015</stp>
        <stp>FY 2015</stp>
        <stp>[FA1_ymffleas.xlsx]Bal Sheet - As Reported!R84C9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4" s="17"/>
      </tp>
      <tp>
        <v>340</v>
        <stp/>
        <stp>##V3_BDHV12</stp>
        <stp>RCOM IN Equity</stp>
        <stp>ARDR_ACC_COMP_POSTRETIRE_OBLIG</stp>
        <stp>FY 2014</stp>
        <stp>FY 2014</stp>
        <stp>[FA1_ymffleas.xlsx]Bal Sheet - As Reported!R84C8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4" s="17"/>
      </tp>
      <tp>
        <v>-31.003699999999998</v>
        <stp/>
        <stp>##V3_BDHV12</stp>
        <stp>RCOM IN Equity</stp>
        <stp>NET_INCOME_TO_COMMON_SEQ_GROWTH</stp>
        <stp>FY 2012</stp>
        <stp>FY 2012</stp>
        <stp>[FA1_ymffleas.xlsx]Growth!R63C6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63" s="22"/>
      </tp>
      <tp>
        <v>224470</v>
        <stp/>
        <stp>##V3_BDHV12</stp>
        <stp>RCOM IN Equity</stp>
        <stp>BS_DISCLOSED_INTANGIBLES</stp>
        <stp>FY 2015</stp>
        <stp>FY 2015</stp>
        <stp>[FA1_ymffleas.xlsx]Bal Sheet - Standardized!R55C9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5" s="16"/>
      </tp>
      <tp>
        <v>246190</v>
        <stp/>
        <stp>##V3_BDHV12</stp>
        <stp>RCOM IN Equity</stp>
        <stp>BS_DISCLOSED_INTANGIBLES</stp>
        <stp>FY 2014</stp>
        <stp>FY 2014</stp>
        <stp>[FA1_ymffleas.xlsx]Bal Sheet - Standardized!R55C8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5" s="16"/>
      </tp>
      <tp>
        <v>202110</v>
        <stp/>
        <stp>##V3_BDHV12</stp>
        <stp>RCOM IN Equity</stp>
        <stp>BS_DISCLOSED_INTANGIBLES</stp>
        <stp>FY 2011</stp>
        <stp>FY 2011</stp>
        <stp>[FA1_ymffleas.xlsx]Bal Sheet - Standardized!R55C5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5" s="16"/>
      </tp>
      <tp>
        <v>228375.6</v>
        <stp/>
        <stp>##V3_BDHV12</stp>
        <stp>RCOM IN Equity</stp>
        <stp>BS_DISCLOSED_INTANGIBLES</stp>
        <stp>FY 2010</stp>
        <stp>FY 2010</stp>
        <stp>[FA1_ymffleas.xlsx]Bal Sheet - Standardized!R55C4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5" s="16"/>
      </tp>
      <tp>
        <v>261740</v>
        <stp/>
        <stp>##V3_BDHV12</stp>
        <stp>RCOM IN Equity</stp>
        <stp>BS_DISCLOSED_INTANGIBLES</stp>
        <stp>FY 2013</stp>
        <stp>FY 2013</stp>
        <stp>[FA1_ymffleas.xlsx]Bal Sheet - Standardized!R55C7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5" s="16"/>
      </tp>
      <tp>
        <v>279100</v>
        <stp/>
        <stp>##V3_BDHV12</stp>
        <stp>RCOM IN Equity</stp>
        <stp>BS_DISCLOSED_INTANGIBLES</stp>
        <stp>FY 2012</stp>
        <stp>FY 2012</stp>
        <stp>[FA1_ymffleas.xlsx]Bal Sheet - Standardized!R55C6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5" s="16"/>
      </tp>
      <tp>
        <v>248100.2</v>
        <stp/>
        <stp>##V3_BDHV12</stp>
        <stp>RCOM IN Equity</stp>
        <stp>BS_DISCLOSED_INTANGIBLES</stp>
        <stp>FY 2009</stp>
        <stp>FY 2009</stp>
        <stp>[FA1_ymffleas.xlsx]Bal Sheet - Standardized!R55C3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5" s="16"/>
      </tp>
      <tp>
        <v>1180</v>
        <stp/>
        <stp>##V3_BDHV12</stp>
        <stp>RCOM IN Equity</stp>
        <stp>ARDR_INVESTMENT_COST_METHOD</stp>
        <stp>FY 2014</stp>
        <stp>FY 2014</stp>
        <stp>[FA1_ymffleas.xlsx]Bal Sheet - As Reported!R142C8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2" s="17"/>
      </tp>
      <tp>
        <v>1250</v>
        <stp/>
        <stp>##V3_BDHV12</stp>
        <stp>RCOM IN Equity</stp>
        <stp>ARDR_INVESTMENT_COST_METHOD</stp>
        <stp>FY 2015</stp>
        <stp>FY 2015</stp>
        <stp>[FA1_ymffleas.xlsx]Bal Sheet - As Reported!R142C9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2" s="17"/>
      </tp>
      <tp>
        <v>2762.3</v>
        <stp/>
        <stp>##V3_BDHV12</stp>
        <stp>RCOM IN Equity</stp>
        <stp>ARDR_INVESTMENT_COST_METHOD</stp>
        <stp>FY 2009</stp>
        <stp>FY 2009</stp>
        <stp>[FA1_ymffleas.xlsx]Bal Sheet - As Reported!R142C3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2" s="17"/>
      </tp>
      <tp>
        <v>1280</v>
        <stp/>
        <stp>##V3_BDHV12</stp>
        <stp>RCOM IN Equity</stp>
        <stp>ARDR_INVESTMENT_COST_METHOD</stp>
        <stp>FY 2012</stp>
        <stp>FY 2012</stp>
        <stp>[FA1_ymffleas.xlsx]Bal Sheet - As Reported!R142C6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2" s="17"/>
      </tp>
      <tp>
        <v>1060</v>
        <stp/>
        <stp>##V3_BDHV12</stp>
        <stp>RCOM IN Equity</stp>
        <stp>ARDR_INVESTMENT_COST_METHOD</stp>
        <stp>FY 2013</stp>
        <stp>FY 2013</stp>
        <stp>[FA1_ymffleas.xlsx]Bal Sheet - As Reported!R142C7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2" s="17"/>
      </tp>
      <tp>
        <v>1147.3</v>
        <stp/>
        <stp>##V3_BDHV12</stp>
        <stp>RCOM IN Equity</stp>
        <stp>ARDR_INVESTMENT_COST_METHOD</stp>
        <stp>FY 2010</stp>
        <stp>FY 2010</stp>
        <stp>[FA1_ymffleas.xlsx]Bal Sheet - As Reported!R142C4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2" s="17"/>
      </tp>
      <tp>
        <v>1130</v>
        <stp/>
        <stp>##V3_BDHV12</stp>
        <stp>RCOM IN Equity</stp>
        <stp>ARDR_INVESTMENT_COST_METHOD</stp>
        <stp>FY 2011</stp>
        <stp>FY 2011</stp>
        <stp>[FA1_ymffleas.xlsx]Bal Sheet - As Reported!R142C5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2" s="17"/>
      </tp>
      <tp t="s">
        <v>—</v>
        <stp/>
        <stp>##V3_BDHV12</stp>
        <stp>RCOM IN Equity</stp>
        <stp>ARDR_CONVERTIBLE_DEBT_LT</stp>
        <stp>FY 2018</stp>
        <stp>FY 2018</stp>
        <stp>[FA1_ymffleas.xlsx]Bal Sheet - As Reported!R90C12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0" s="17"/>
      </tp>
      <tp t="s">
        <v>—</v>
        <stp/>
        <stp>##V3_BDHV12</stp>
        <stp>RCOM IN Equity</stp>
        <stp>ARDR_CONVERTIBLE_DEBT_LT</stp>
        <stp>FY 2016</stp>
        <stp>FY 2016</stp>
        <stp>[FA1_ymffleas.xlsx]Bal Sheet - As Reported!R90C10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0" s="17"/>
      </tp>
      <tp t="s">
        <v>—</v>
        <stp/>
        <stp>##V3_BDHV12</stp>
        <stp>RCOM IN Equity</stp>
        <stp>ARDR_CONVERTIBLE_DEBT_LT</stp>
        <stp>FY 2017</stp>
        <stp>FY 2017</stp>
        <stp>[FA1_ymffleas.xlsx]Bal Sheet - As Reported!R90C11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0" s="17"/>
      </tp>
      <tp>
        <v>1.9066000000000001</v>
        <stp/>
        <stp>##V3_BDHV12</stp>
        <stp>RCOM IN Equity</stp>
        <stp>NORMALIZED_ROE</stp>
        <stp>FY 2013</stp>
        <stp>FY 2013</stp>
        <stp>[FA1_ymffleas.xlsx]DuPont Analysis!R19C7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9" s="27"/>
      </tp>
      <tp>
        <v>60870</v>
        <stp/>
        <stp>##V3_BDHV12</stp>
        <stp>RCOM IN Equity</stp>
        <stp>ACCT_PAYABLE_&amp;_ACCRUALS_DETAILED</stp>
        <stp>FY 2017</stp>
        <stp>FY 2017</stp>
        <stp>[FA1_ymffleas.xlsx]Bal Sheet - Standardized!R75C11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5" s="16"/>
      </tp>
      <tp>
        <v>60960</v>
        <stp/>
        <stp>##V3_BDHV12</stp>
        <stp>RCOM IN Equity</stp>
        <stp>ACCT_PAYABLE_&amp;_ACCRUALS_DETAILED</stp>
        <stp>FY 2016</stp>
        <stp>FY 2016</stp>
        <stp>[FA1_ymffleas.xlsx]Bal Sheet - Standardized!R75C10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5" s="16"/>
      </tp>
      <tp>
        <v>53810</v>
        <stp/>
        <stp>##V3_BDHV12</stp>
        <stp>RCOM IN Equity</stp>
        <stp>ACCT_PAYABLE_&amp;_ACCRUALS_DETAILED</stp>
        <stp>FY 2018</stp>
        <stp>FY 2018</stp>
        <stp>[FA1_ymffleas.xlsx]Bal Sheet - Standardized!R75C12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5" s="16"/>
      </tp>
      <tp>
        <v>46550</v>
        <stp/>
        <stp>##V3_BDHV12</stp>
        <stp>RCOM IN Equity</stp>
        <stp>CF_NET_INC</stp>
        <stp>FY 2010</stp>
        <stp>FY 2010</stp>
        <stp>[FA1_ymffleas.xlsx]Cash Flow - Standardized!R7C3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" s="19"/>
      </tp>
      <tp>
        <v>9280</v>
        <stp/>
        <stp>##V3_BDHV12</stp>
        <stp>RCOM IN Equity</stp>
        <stp>CF_NET_INC</stp>
        <stp>FY 2012</stp>
        <stp>FY 2012</stp>
        <stp>[FA1_ymffleas.xlsx]Cash Flow - Standardized!R7C5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" s="19"/>
      </tp>
      <tp>
        <v>13450</v>
        <stp/>
        <stp>##V3_BDHV12</stp>
        <stp>RCOM IN Equity</stp>
        <stp>CF_NET_INC</stp>
        <stp>FY 2011</stp>
        <stp>FY 2011</stp>
        <stp>[FA1_ymffleas.xlsx]Cash Flow - Standardized!R7C4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" s="19"/>
      </tp>
      <tp>
        <v>10470</v>
        <stp/>
        <stp>##V3_BDHV12</stp>
        <stp>RCOM IN Equity</stp>
        <stp>CF_NET_INC</stp>
        <stp>FY 2014</stp>
        <stp>FY 2014</stp>
        <stp>[FA1_ymffleas.xlsx]Cash Flow - Standardized!R7C7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" s="19"/>
      </tp>
      <tp>
        <v>6720</v>
        <stp/>
        <stp>##V3_BDHV12</stp>
        <stp>RCOM IN Equity</stp>
        <stp>CF_NET_INC</stp>
        <stp>FY 2013</stp>
        <stp>FY 2013</stp>
        <stp>[FA1_ymffleas.xlsx]Cash Flow - Standardized!R7C6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" s="19"/>
      </tp>
      <tp>
        <v>6390</v>
        <stp/>
        <stp>##V3_BDHV12</stp>
        <stp>RCOM IN Equity</stp>
        <stp>CF_NET_INC</stp>
        <stp>FY 2016</stp>
        <stp>FY 2016</stp>
        <stp>[FA1_ymffleas.xlsx]Cash Flow - Standardized!R7C9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" s="19"/>
      </tp>
      <tp>
        <v>7140</v>
        <stp/>
        <stp>##V3_BDHV12</stp>
        <stp>RCOM IN Equity</stp>
        <stp>CF_NET_INC</stp>
        <stp>FY 2015</stp>
        <stp>FY 2015</stp>
        <stp>[FA1_ymffleas.xlsx]Cash Flow - Standardized!R7C8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" s="19"/>
      </tp>
      <tp>
        <v>11.7187</v>
        <stp/>
        <stp>##V3_BDHV12</stp>
        <stp>RCOM IN Equity</stp>
        <stp>T12_EBIT_TO_REVENUE</stp>
        <stp>FY 2016</stp>
        <stp>FY 2016</stp>
        <stp>[FA1_ymffleas.xlsx]DuPont Analysis!R13C10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3" s="27"/>
      </tp>
      <tp>
        <v>810</v>
        <stp/>
        <stp>##V3_BDHV12</stp>
        <stp>RCOM IN Equity</stp>
        <stp>ARDR_CAPITALIZED_SOFTWARE_NET</stp>
        <stp>FY 2015</stp>
        <stp>FY 2015</stp>
        <stp>[FA1_ymffleas.xlsx]Bal Sheet - As Reported!R112C9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2" s="17"/>
      </tp>
      <tp>
        <v>1270</v>
        <stp/>
        <stp>##V3_BDHV12</stp>
        <stp>RCOM IN Equity</stp>
        <stp>ARDR_CAPITALIZED_SOFTWARE_NET</stp>
        <stp>FY 2014</stp>
        <stp>FY 2014</stp>
        <stp>[FA1_ymffleas.xlsx]Bal Sheet - As Reported!R112C8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2" s="17"/>
      </tp>
      <tp>
        <v>1440</v>
        <stp/>
        <stp>##V3_BDHV12</stp>
        <stp>RCOM IN Equity</stp>
        <stp>ARDR_CAPITALIZED_SOFTWARE_NET</stp>
        <stp>FY 2011</stp>
        <stp>FY 2011</stp>
        <stp>[FA1_ymffleas.xlsx]Bal Sheet - As Reported!R112C5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2" s="17"/>
      </tp>
      <tp>
        <v>105.5</v>
        <stp/>
        <stp>##V3_BDHV12</stp>
        <stp>RCOM IN Equity</stp>
        <stp>ARDR_CAPITALIZED_SOFTWARE_NET</stp>
        <stp>FY 2010</stp>
        <stp>FY 2010</stp>
        <stp>[FA1_ymffleas.xlsx]Bal Sheet - As Reported!R112C4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2" s="17"/>
      </tp>
      <tp>
        <v>1470</v>
        <stp/>
        <stp>##V3_BDHV12</stp>
        <stp>RCOM IN Equity</stp>
        <stp>ARDR_CAPITALIZED_SOFTWARE_NET</stp>
        <stp>FY 2013</stp>
        <stp>FY 2013</stp>
        <stp>[FA1_ymffleas.xlsx]Bal Sheet - As Reported!R112C7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2" s="17"/>
      </tp>
      <tp>
        <v>1650</v>
        <stp/>
        <stp>##V3_BDHV12</stp>
        <stp>RCOM IN Equity</stp>
        <stp>ARDR_CAPITALIZED_SOFTWARE_NET</stp>
        <stp>FY 2012</stp>
        <stp>FY 2012</stp>
        <stp>[FA1_ymffleas.xlsx]Bal Sheet - As Reported!R112C6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2" s="17"/>
      </tp>
      <tp>
        <v>408.8</v>
        <stp/>
        <stp>##V3_BDHV12</stp>
        <stp>RCOM IN Equity</stp>
        <stp>ARDR_CAPITALIZED_SOFTWARE_NET</stp>
        <stp>FY 2009</stp>
        <stp>FY 2009</stp>
        <stp>[FA1_ymffleas.xlsx]Bal Sheet - As Reported!R112C3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2" s="17"/>
      </tp>
      <tp t="s">
        <v>—</v>
        <stp/>
        <stp>##V3_BDHV12</stp>
        <stp>RCOM IN Equity</stp>
        <stp>ARD_CHANGE_IN_ACCOUNTS_PAYABLE</stp>
        <stp>FY 2014</stp>
        <stp>FY 2014</stp>
        <stp>[FA1_ymffleas.xlsx]Cash Flow - As Reported!R13C8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" s="20"/>
      </tp>
      <tp t="s">
        <v>—</v>
        <stp/>
        <stp>##V3_BDHV12</stp>
        <stp>RCOM IN Equity</stp>
        <stp>ARD_CHANGE_IN_ACCOUNTS_PAYABLE</stp>
        <stp>FY 2015</stp>
        <stp>FY 2015</stp>
        <stp>[FA1_ymffleas.xlsx]Cash Flow - As Reported!R13C9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" s="20"/>
      </tp>
      <tp>
        <v>9299.7999999999993</v>
        <stp/>
        <stp>##V3_BDHV12</stp>
        <stp>RCOM IN Equity</stp>
        <stp>ARD_CHANGE_IN_ACCOUNTS_PAYABLE</stp>
        <stp>FY 2010</stp>
        <stp>FY 2010</stp>
        <stp>[FA1_ymffleas.xlsx]Cash Flow - As Reported!R13C4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" s="20"/>
      </tp>
      <tp t="s">
        <v>—</v>
        <stp/>
        <stp>##V3_BDHV12</stp>
        <stp>RCOM IN Equity</stp>
        <stp>ARD_CHANGE_IN_ACCOUNTS_PAYABLE</stp>
        <stp>FY 2011</stp>
        <stp>FY 2011</stp>
        <stp>[FA1_ymffleas.xlsx]Cash Flow - As Reported!R13C5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" s="20"/>
      </tp>
      <tp t="s">
        <v>—</v>
        <stp/>
        <stp>##V3_BDHV12</stp>
        <stp>RCOM IN Equity</stp>
        <stp>ARD_CHANGE_IN_ACCOUNTS_PAYABLE</stp>
        <stp>FY 2012</stp>
        <stp>FY 2012</stp>
        <stp>[FA1_ymffleas.xlsx]Cash Flow - As Reported!R13C6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" s="20"/>
      </tp>
      <tp t="s">
        <v>—</v>
        <stp/>
        <stp>##V3_BDHV12</stp>
        <stp>RCOM IN Equity</stp>
        <stp>ARD_CHANGE_IN_ACCOUNTS_PAYABLE</stp>
        <stp>FY 2013</stp>
        <stp>FY 2013</stp>
        <stp>[FA1_ymffleas.xlsx]Cash Flow - As Reported!R13C7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" s="20"/>
      </tp>
      <tp>
        <v>-16458.7</v>
        <stp/>
        <stp>##V3_BDHV12</stp>
        <stp>RCOM IN Equity</stp>
        <stp>ARD_CHANGE_IN_ACCOUNTS_PAYABLE</stp>
        <stp>FY 2009</stp>
        <stp>FY 2009</stp>
        <stp>[FA1_ymffleas.xlsx]Cash Flow - As Reported!R13C3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" s="20"/>
      </tp>
      <tp>
        <v>-30.311599999999999</v>
        <stp/>
        <stp>##V3_BDHV12</stp>
        <stp>RCOM IN Equity</stp>
        <stp>FREE_CASH_FLOW_PER_SH</stp>
        <stp>FY 2017</stp>
        <stp>FY 2017</stp>
        <stp>[FA1_ymffleas.xlsx]Per Share!R23C10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3" s="7"/>
      </tp>
      <tp>
        <v>-3.8639000000000001</v>
        <stp/>
        <stp>##V3_BDHV12</stp>
        <stp>RCOM IN Equity</stp>
        <stp>FREE_CASH_FLOW_PER_SH</stp>
        <stp>FY 2018</stp>
        <stp>FY 2018</stp>
        <stp>[FA1_ymffleas.xlsx]Per Share!R23C11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3" s="7"/>
      </tp>
      <tp t="s">
        <v>—</v>
        <stp/>
        <stp>##V3_BDHV12</stp>
        <stp>RCOM IN Equity</stp>
        <stp>ARD_WRITE_OFFS</stp>
        <stp>FY 2014</stp>
        <stp>FY 2014</stp>
        <stp>[FA1_ymffleas.xlsx]Cash Flow - As Reported!R17C8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" s="20"/>
      </tp>
      <tp t="s">
        <v>—</v>
        <stp/>
        <stp>##V3_BDHV12</stp>
        <stp>RCOM IN Equity</stp>
        <stp>ARD_WRITE_OFFS</stp>
        <stp>FY 2015</stp>
        <stp>FY 2015</stp>
        <stp>[FA1_ymffleas.xlsx]Cash Flow - As Reported!R17C9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" s="20"/>
      </tp>
      <tp t="s">
        <v>—</v>
        <stp/>
        <stp>##V3_BDHV12</stp>
        <stp>RCOM IN Equity</stp>
        <stp>ARD_WRITE_OFFS</stp>
        <stp>FY 2012</stp>
        <stp>FY 2012</stp>
        <stp>[FA1_ymffleas.xlsx]Cash Flow - As Reported!R17C6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" s="20"/>
      </tp>
      <tp t="s">
        <v>—</v>
        <stp/>
        <stp>##V3_BDHV12</stp>
        <stp>RCOM IN Equity</stp>
        <stp>ARD_WRITE_OFFS</stp>
        <stp>FY 2013</stp>
        <stp>FY 2013</stp>
        <stp>[FA1_ymffleas.xlsx]Cash Flow - As Reported!R17C7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" s="20"/>
      </tp>
      <tp t="s">
        <v>—</v>
        <stp/>
        <stp>##V3_BDHV12</stp>
        <stp>RCOM IN Equity</stp>
        <stp>ARD_WRITE_OFFS</stp>
        <stp>FY 2010</stp>
        <stp>FY 2010</stp>
        <stp>[FA1_ymffleas.xlsx]Cash Flow - As Reported!R17C4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" s="20"/>
      </tp>
      <tp t="s">
        <v>—</v>
        <stp/>
        <stp>##V3_BDHV12</stp>
        <stp>RCOM IN Equity</stp>
        <stp>ARD_WRITE_OFFS</stp>
        <stp>FY 2011</stp>
        <stp>FY 2011</stp>
        <stp>[FA1_ymffleas.xlsx]Cash Flow - As Reported!R17C5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" s="20"/>
      </tp>
      <tp t="s">
        <v>—</v>
        <stp/>
        <stp>##V3_BDHV12</stp>
        <stp>RCOM IN Equity</stp>
        <stp>ARD_WRITE_OFFS</stp>
        <stp>FY 2009</stp>
        <stp>FY 2009</stp>
        <stp>[FA1_ymffleas.xlsx]Cash Flow - As Reported!R17C3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" s="20"/>
      </tp>
      <tp>
        <v>4870</v>
        <stp/>
        <stp>##V3_BDHV12</stp>
        <stp>RCOM IN Equity</stp>
        <stp>ARDR_OTH_NONCURRENT_LIABILITIES</stp>
        <stp>FY 2013</stp>
        <stp>FY 2013</stp>
        <stp>[FA1_ymffleas.xlsx]Bal Sheet - As Reported!R93C7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3" s="17"/>
      </tp>
      <tp>
        <v>2670</v>
        <stp/>
        <stp>##V3_BDHV12</stp>
        <stp>RCOM IN Equity</stp>
        <stp>ARDR_OTH_NONCURRENT_LIABILITIES</stp>
        <stp>FY 2012</stp>
        <stp>FY 2012</stp>
        <stp>[FA1_ymffleas.xlsx]Bal Sheet - As Reported!R93C6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3" s="17"/>
      </tp>
      <tp>
        <v>2420</v>
        <stp/>
        <stp>##V3_BDHV12</stp>
        <stp>RCOM IN Equity</stp>
        <stp>ARDR_OTH_NONCURRENT_LIABILITIES</stp>
        <stp>FY 2011</stp>
        <stp>FY 2011</stp>
        <stp>[FA1_ymffleas.xlsx]Bal Sheet - As Reported!R93C5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3" s="17"/>
      </tp>
      <tp t="s">
        <v>—</v>
        <stp/>
        <stp>##V3_BDHV12</stp>
        <stp>RCOM IN Equity</stp>
        <stp>ARDR_OTH_NONCURRENT_LIABILITIES</stp>
        <stp>FY 2010</stp>
        <stp>FY 2010</stp>
        <stp>[FA1_ymffleas.xlsx]Bal Sheet - As Reported!R93C4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3" s="17"/>
      </tp>
      <tp t="s">
        <v>—</v>
        <stp/>
        <stp>##V3_BDHV12</stp>
        <stp>RCOM IN Equity</stp>
        <stp>ARDR_OTH_NONCURRENT_LIABILITIES</stp>
        <stp>FY 2009</stp>
        <stp>FY 2009</stp>
        <stp>[FA1_ymffleas.xlsx]Bal Sheet - As Reported!R93C3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3" s="17"/>
      </tp>
      <tp>
        <v>2620</v>
        <stp/>
        <stp>##V3_BDHV12</stp>
        <stp>RCOM IN Equity</stp>
        <stp>ARDR_OTH_NONCURRENT_LIABILITIES</stp>
        <stp>FY 2015</stp>
        <stp>FY 2015</stp>
        <stp>[FA1_ymffleas.xlsx]Bal Sheet - As Reported!R93C9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3" s="17"/>
      </tp>
      <tp>
        <v>2480</v>
        <stp/>
        <stp>##V3_BDHV12</stp>
        <stp>RCOM IN Equity</stp>
        <stp>ARDR_OTH_NONCURRENT_LIABILITIES</stp>
        <stp>FY 2014</stp>
        <stp>FY 2014</stp>
        <stp>[FA1_ymffleas.xlsx]Bal Sheet - As Reported!R93C8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3" s="17"/>
      </tp>
      <tp t="s">
        <v>—</v>
        <stp/>
        <stp>##V3_BDHV12</stp>
        <stp>RCOM IN Equity</stp>
        <stp>ARDR_OTHER_TAX</stp>
        <stp>FY 2017</stp>
        <stp>FY 2017</stp>
        <stp>[FA1_ymffleas.xlsx]Income - As Reported!R77C11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7" s="11"/>
      </tp>
      <tp t="s">
        <v>—</v>
        <stp/>
        <stp>##V3_BDHV12</stp>
        <stp>RCOM IN Equity</stp>
        <stp>ARDR_OTHER_TAX</stp>
        <stp>FY 2016</stp>
        <stp>FY 2016</stp>
        <stp>[FA1_ymffleas.xlsx]Income - As Reported!R77C10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7" s="11"/>
      </tp>
      <tp t="s">
        <v>—</v>
        <stp/>
        <stp>##V3_BDHV12</stp>
        <stp>RCOM IN Equity</stp>
        <stp>ARDR_OTHER_TAX</stp>
        <stp>FY 2018</stp>
        <stp>FY 2018</stp>
        <stp>[FA1_ymffleas.xlsx]Income - As Reported!R77C12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7" s="11"/>
      </tp>
      <tp>
        <v>6.2465999999999999</v>
        <stp/>
        <stp>##V3_BDHV12</stp>
        <stp>RCOM IN Equity</stp>
        <stp>IS_DILUTED_EPS</stp>
        <stp>FY 2011</stp>
        <stp>FY 2011</stp>
        <stp>[FA1_ymffleas.xlsx]Earnings!R15C5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5" s="4"/>
      </tp>
      <tp>
        <v>240</v>
        <stp/>
        <stp>##V3_BDHV12</stp>
        <stp>RCOM IN Equity</stp>
        <stp>ARD_CUR_INCOME_TAX_EXP_BENEFIT</stp>
        <stp>FY 2017</stp>
        <stp>FY 2017</stp>
        <stp>[FA1_ymffleas.xlsx]Income - As Reported!R28C11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8" s="11"/>
      </tp>
      <tp>
        <v>870</v>
        <stp/>
        <stp>##V3_BDHV12</stp>
        <stp>RCOM IN Equity</stp>
        <stp>ARD_CUR_INCOME_TAX_EXP_BENEFIT</stp>
        <stp>FY 2016</stp>
        <stp>FY 2016</stp>
        <stp>[FA1_ymffleas.xlsx]Income - As Reported!R28C10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8" s="11"/>
      </tp>
      <tp>
        <v>40</v>
        <stp/>
        <stp>##V3_BDHV12</stp>
        <stp>RCOM IN Equity</stp>
        <stp>ARD_CUR_INCOME_TAX_EXP_BENEFIT</stp>
        <stp>FY 2018</stp>
        <stp>FY 2018</stp>
        <stp>[FA1_ymffleas.xlsx]Income - As Reported!R28C12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8" s="11"/>
      </tp>
      <tp>
        <v>2765.5331000000001</v>
        <stp/>
        <stp>##V3_BDHV12</stp>
        <stp>RCOM IN Equity</stp>
        <stp>ARDR_SHARES_ISSUED</stp>
        <stp>FY 2018</stp>
        <stp>FY 2018</stp>
        <stp>[FA1_ymffleas.xlsx]Bal Sheet - As Reported!R102C12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02" s="17"/>
      </tp>
      <tp>
        <v>0</v>
        <stp/>
        <stp>##V3_BDHV12</stp>
        <stp>RCOM IN Equity</stp>
        <stp>OTHER_ADJUSTMENTS</stp>
        <stp>FY 2018</stp>
        <stp>FY 2018</stp>
        <stp>[FA1_ymffleas.xlsx]Income - Adjusted!R102C11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2" s="9"/>
      </tp>
      <tp>
        <v>0</v>
        <stp/>
        <stp>##V3_BDHV12</stp>
        <stp>RCOM IN Equity</stp>
        <stp>OTHER_ADJUSTMENTS</stp>
        <stp>FY 2017</stp>
        <stp>FY 2017</stp>
        <stp>[FA1_ymffleas.xlsx]Income - Adjusted!R102C10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2" s="9"/>
      </tp>
      <tp>
        <v>2488.9796999999999</v>
        <stp/>
        <stp>##V3_BDHV12</stp>
        <stp>RCOM IN Equity</stp>
        <stp>ARDR_SHARES_ISSUED</stp>
        <stp>FY 2017</stp>
        <stp>FY 2017</stp>
        <stp>[FA1_ymffleas.xlsx]Bal Sheet - As Reported!R102C11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02" s="17"/>
      </tp>
      <tp>
        <v>2488.9796999999999</v>
        <stp/>
        <stp>##V3_BDHV12</stp>
        <stp>RCOM IN Equity</stp>
        <stp>ARDR_SHARES_ISSUED</stp>
        <stp>FY 2016</stp>
        <stp>FY 2016</stp>
        <stp>[FA1_ymffleas.xlsx]Bal Sheet - As Reported!R102C10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02" s="17"/>
      </tp>
      <tp>
        <v>290130</v>
        <stp/>
        <stp>##V3_BDHV12</stp>
        <stp>RCOM IN Equity</stp>
        <stp>LONG_TERM_BORROWINGS_DETAILED</stp>
        <stp>FY 2016</stp>
        <stp>FY 2016</stp>
        <stp>[FA1_ymffleas.xlsx]Bal Sheet - Standardized!R105C10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5" s="16"/>
      </tp>
      <tp>
        <v>224620</v>
        <stp/>
        <stp>##V3_BDHV12</stp>
        <stp>RCOM IN Equity</stp>
        <stp>LONG_TERM_BORROWINGS_DETAILED</stp>
        <stp>FY 2017</stp>
        <stp>FY 2017</stp>
        <stp>[FA1_ymffleas.xlsx]Bal Sheet - Standardized!R105C11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5" s="16"/>
      </tp>
      <tp>
        <v>130700</v>
        <stp/>
        <stp>##V3_BDHV12</stp>
        <stp>RCOM IN Equity</stp>
        <stp>LONG_TERM_BORROWINGS_DETAILED</stp>
        <stp>FY 2018</stp>
        <stp>FY 2018</stp>
        <stp>[FA1_ymffleas.xlsx]Bal Sheet - Standardized!R105C12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5" s="16"/>
      </tp>
      <tp t="s">
        <v>—</v>
        <stp/>
        <stp>##V3_BDHV12</stp>
        <stp>RCOM IN Equity</stp>
        <stp>INCREMENTAL_OPERATING_MARGIN</stp>
        <stp>FY 2016</stp>
        <stp>FY 2016</stp>
        <stp>[FA1_ymffleas.xlsx]Profitability!R15C10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5" s="21"/>
      </tp>
      <tp>
        <v>7.2220000000000004</v>
        <stp/>
        <stp>##V3_BDHV12</stp>
        <stp>RCOM IN Equity</stp>
        <stp>LOW_EV_TO_T12M_SALES</stp>
        <stp>FY 2018</stp>
        <stp>FY 2018</stp>
        <stp>[FA1_ymffleas.xlsx]Multiples!R39C11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39" s="6"/>
      </tp>
      <tp t="s">
        <v>—</v>
        <stp/>
        <stp>##V3_BDHV12</stp>
        <stp>RCOM IN Equity</stp>
        <stp>ARDR_OTHER_PAYABLES</stp>
        <stp>FY 2016</stp>
        <stp>FY 2016</stp>
        <stp>[FA1_ymffleas.xlsx]Bal Sheet - As Reported!R128C10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8" s="17"/>
      </tp>
      <tp t="s">
        <v>—</v>
        <stp/>
        <stp>##V3_BDHV12</stp>
        <stp>RCOM IN Equity</stp>
        <stp>ARDR_OTHER_PAYABLES</stp>
        <stp>FY 2017</stp>
        <stp>FY 2017</stp>
        <stp>[FA1_ymffleas.xlsx]Bal Sheet - As Reported!R128C11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8" s="17"/>
      </tp>
      <tp t="s">
        <v>—</v>
        <stp/>
        <stp>##V3_BDHV12</stp>
        <stp>RCOM IN Equity</stp>
        <stp>ARDR_OTHER_PAYABLES</stp>
        <stp>FY 2018</stp>
        <stp>FY 2018</stp>
        <stp>[FA1_ymffleas.xlsx]Bal Sheet - As Reported!R128C12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8" s="17"/>
      </tp>
      <tp>
        <v>21330</v>
        <stp/>
        <stp>##V3_BDHV12</stp>
        <stp>RCOM IN Equity</stp>
        <stp>BS_ACCT_NOTE_RCV</stp>
        <stp>FY 2018</stp>
        <stp>FY 2018</stp>
        <stp>[FA1_ymffleas.xlsx]Bal Sheet - Standardized!R13C12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" s="16"/>
      </tp>
      <tp>
        <v>29810</v>
        <stp/>
        <stp>##V3_BDHV12</stp>
        <stp>RCOM IN Equity</stp>
        <stp>BS_ACCT_NOTE_RCV</stp>
        <stp>FY 2016</stp>
        <stp>FY 2016</stp>
        <stp>[FA1_ymffleas.xlsx]Bal Sheet - Standardized!R13C10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" s="16"/>
      </tp>
      <tp>
        <v>32510</v>
        <stp/>
        <stp>##V3_BDHV12</stp>
        <stp>RCOM IN Equity</stp>
        <stp>BS_ACCT_NOTE_RCV</stp>
        <stp>FY 2017</stp>
        <stp>FY 2017</stp>
        <stp>[FA1_ymffleas.xlsx]Bal Sheet - Standardized!R13C11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" s="16"/>
      </tp>
      <tp>
        <v>1.4464000000000001</v>
        <stp/>
        <stp>##V3_BDHV12</stp>
        <stp>RCOM IN Equity</stp>
        <stp>OPER_INC_TO_INT_EXP</stp>
        <stp>FY 2018</stp>
        <stp>FY 2018</stp>
        <stp>[FA1_ymffleas.xlsx]Credit!R18C12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8" s="23"/>
      </tp>
      <tp>
        <v>0.1893</v>
        <stp/>
        <stp>##V3_BDHV12</stp>
        <stp>RCOM IN Equity</stp>
        <stp>GEO_GROW_NET_SALES</stp>
        <stp>FY 2014</stp>
        <stp>FY 2014</stp>
        <stp>[FA1_ymffleas.xlsx]Growth!R36C8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36" s="22"/>
      </tp>
      <tp t="s">
        <v>—</v>
        <stp/>
        <stp>##V3_BDHV12</stp>
        <stp>RCOM IN Equity</stp>
        <stp>ARDR_STATUTORY_CAPITAL</stp>
        <stp>FY 2015</stp>
        <stp>FY 2015</stp>
        <stp>[FA1_ymffleas.xlsx]Bal Sheet - As Reported!R127C9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7" s="17"/>
      </tp>
      <tp t="s">
        <v>—</v>
        <stp/>
        <stp>##V3_BDHV12</stp>
        <stp>RCOM IN Equity</stp>
        <stp>ARDR_STATUTORY_CAPITAL</stp>
        <stp>FY 2014</stp>
        <stp>FY 2014</stp>
        <stp>[FA1_ymffleas.xlsx]Bal Sheet - As Reported!R127C8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7" s="17"/>
      </tp>
      <tp>
        <v>0.2</v>
        <stp/>
        <stp>##V3_BDHV12</stp>
        <stp>RCOM IN Equity</stp>
        <stp>ARDR_STATUTORY_CAPITAL</stp>
        <stp>FY 2009</stp>
        <stp>FY 2009</stp>
        <stp>[FA1_ymffleas.xlsx]Bal Sheet - As Reported!R127C3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7" s="17"/>
      </tp>
      <tp>
        <v>0</v>
        <stp/>
        <stp>##V3_BDHV12</stp>
        <stp>RCOM IN Equity</stp>
        <stp>ARDR_STATUTORY_CAPITAL</stp>
        <stp>FY 2013</stp>
        <stp>FY 2013</stp>
        <stp>[FA1_ymffleas.xlsx]Bal Sheet - As Reported!R127C7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7" s="17"/>
      </tp>
      <tp>
        <v>0</v>
        <stp/>
        <stp>##V3_BDHV12</stp>
        <stp>RCOM IN Equity</stp>
        <stp>ARDR_STATUTORY_CAPITAL</stp>
        <stp>FY 2012</stp>
        <stp>FY 2012</stp>
        <stp>[FA1_ymffleas.xlsx]Bal Sheet - As Reported!R127C6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7" s="17"/>
      </tp>
      <tp>
        <v>0</v>
        <stp/>
        <stp>##V3_BDHV12</stp>
        <stp>RCOM IN Equity</stp>
        <stp>ARDR_STATUTORY_CAPITAL</stp>
        <stp>FY 2011</stp>
        <stp>FY 2011</stp>
        <stp>[FA1_ymffleas.xlsx]Bal Sheet - As Reported!R127C5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7" s="17"/>
      </tp>
      <tp>
        <v>0.5</v>
        <stp/>
        <stp>##V3_BDHV12</stp>
        <stp>RCOM IN Equity</stp>
        <stp>ARDR_STATUTORY_CAPITAL</stp>
        <stp>FY 2010</stp>
        <stp>FY 2010</stp>
        <stp>[FA1_ymffleas.xlsx]Bal Sheet - As Reported!R127C4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7" s="17"/>
      </tp>
      <tp t="s">
        <v>—</v>
        <stp/>
        <stp>##V3_BDHV12</stp>
        <stp>RCOM IN Equity</stp>
        <stp>ARD_NET_CURRENT_ASSETS</stp>
        <stp>FY 2014</stp>
        <stp>FY 2014</stp>
        <stp>[FA1_ymffleas.xlsx]Bal Sheet - As Reported!R57C8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7" s="17"/>
      </tp>
      <tp t="s">
        <v>—</v>
        <stp/>
        <stp>##V3_BDHV12</stp>
        <stp>RCOM IN Equity</stp>
        <stp>ARD_NET_CURRENT_ASSETS</stp>
        <stp>FY 2015</stp>
        <stp>FY 2015</stp>
        <stp>[FA1_ymffleas.xlsx]Bal Sheet - As Reported!R57C9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7" s="17"/>
      </tp>
      <tp t="s">
        <v>—</v>
        <stp/>
        <stp>##V3_BDHV12</stp>
        <stp>RCOM IN Equity</stp>
        <stp>ARD_NET_CURRENT_ASSETS</stp>
        <stp>FY 2009</stp>
        <stp>FY 2009</stp>
        <stp>[FA1_ymffleas.xlsx]Bal Sheet - As Reported!R57C3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7" s="17"/>
      </tp>
      <tp t="s">
        <v>—</v>
        <stp/>
        <stp>##V3_BDHV12</stp>
        <stp>RCOM IN Equity</stp>
        <stp>ARD_NET_CURRENT_ASSETS</stp>
        <stp>FY 2010</stp>
        <stp>FY 2010</stp>
        <stp>[FA1_ymffleas.xlsx]Bal Sheet - As Reported!R57C4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7" s="17"/>
      </tp>
      <tp t="s">
        <v>—</v>
        <stp/>
        <stp>##V3_BDHV12</stp>
        <stp>RCOM IN Equity</stp>
        <stp>ARD_NET_CURRENT_ASSETS</stp>
        <stp>FY 2011</stp>
        <stp>FY 2011</stp>
        <stp>[FA1_ymffleas.xlsx]Bal Sheet - As Reported!R57C5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7" s="17"/>
      </tp>
      <tp t="s">
        <v>—</v>
        <stp/>
        <stp>##V3_BDHV12</stp>
        <stp>RCOM IN Equity</stp>
        <stp>ARD_NET_CURRENT_ASSETS</stp>
        <stp>FY 2012</stp>
        <stp>FY 2012</stp>
        <stp>[FA1_ymffleas.xlsx]Bal Sheet - As Reported!R57C6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7" s="17"/>
      </tp>
      <tp t="s">
        <v>—</v>
        <stp/>
        <stp>##V3_BDHV12</stp>
        <stp>RCOM IN Equity</stp>
        <stp>ARD_NET_CURRENT_ASSETS</stp>
        <stp>FY 2013</stp>
        <stp>FY 2013</stp>
        <stp>[FA1_ymffleas.xlsx]Bal Sheet - As Reported!R57C7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7" s="17"/>
      </tp>
      <tp t="s">
        <v>—</v>
        <stp/>
        <stp>##V3_BDHV12</stp>
        <stp>RCOM IN Equity</stp>
        <stp>ARD_OTH_NONCURRENT_LIABILITIES</stp>
        <stp>FY 2010</stp>
        <stp>FY 2010</stp>
        <stp>[FA1_ymffleas.xlsx]Bal Sheet - As Reported!R20C4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" s="17"/>
      </tp>
      <tp>
        <v>11710</v>
        <stp/>
        <stp>##V3_BDHV12</stp>
        <stp>RCOM IN Equity</stp>
        <stp>ARD_OTH_NONCURRENT_LIABILITIES</stp>
        <stp>FY 2011</stp>
        <stp>FY 2011</stp>
        <stp>[FA1_ymffleas.xlsx]Bal Sheet - As Reported!R20C5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" s="17"/>
      </tp>
      <tp>
        <v>12170</v>
        <stp/>
        <stp>##V3_BDHV12</stp>
        <stp>RCOM IN Equity</stp>
        <stp>ARD_OTH_NONCURRENT_LIABILITIES</stp>
        <stp>FY 2012</stp>
        <stp>FY 2012</stp>
        <stp>[FA1_ymffleas.xlsx]Bal Sheet - As Reported!R20C6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" s="17"/>
      </tp>
      <tp>
        <v>12330</v>
        <stp/>
        <stp>##V3_BDHV12</stp>
        <stp>RCOM IN Equity</stp>
        <stp>ARD_OTH_NONCURRENT_LIABILITIES</stp>
        <stp>FY 2013</stp>
        <stp>FY 2013</stp>
        <stp>[FA1_ymffleas.xlsx]Bal Sheet - As Reported!R20C7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" s="17"/>
      </tp>
      <tp t="s">
        <v>—</v>
        <stp/>
        <stp>##V3_BDHV12</stp>
        <stp>RCOM IN Equity</stp>
        <stp>ARD_OTH_NONCURRENT_LIABILITIES</stp>
        <stp>FY 2009</stp>
        <stp>FY 2009</stp>
        <stp>[FA1_ymffleas.xlsx]Bal Sheet - As Reported!R20C3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" s="17"/>
      </tp>
      <tp>
        <v>9150</v>
        <stp/>
        <stp>##V3_BDHV12</stp>
        <stp>RCOM IN Equity</stp>
        <stp>ARD_OTH_NONCURRENT_LIABILITIES</stp>
        <stp>FY 2014</stp>
        <stp>FY 2014</stp>
        <stp>[FA1_ymffleas.xlsx]Bal Sheet - As Reported!R20C8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" s="17"/>
      </tp>
      <tp>
        <v>7360</v>
        <stp/>
        <stp>##V3_BDHV12</stp>
        <stp>RCOM IN Equity</stp>
        <stp>ARD_OTH_NONCURRENT_LIABILITIES</stp>
        <stp>FY 2015</stp>
        <stp>FY 2015</stp>
        <stp>[FA1_ymffleas.xlsx]Bal Sheet - As Reported!R20C9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" s="17"/>
      </tp>
      <tp>
        <v>2.0188999999999999</v>
        <stp/>
        <stp>##V3_BDHV12</stp>
        <stp>RCOM IN Equity</stp>
        <stp>SUSTAIN_GROWTH_RT</stp>
        <stp>FY 2015</stp>
        <stp>FY 2015</stp>
        <stp>[FA1_ymffleas.xlsx]DuPont Analysis!R23C9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3" s="27"/>
      </tp>
      <tp t="s">
        <v>—</v>
        <stp/>
        <stp>##V3_BDHV12</stp>
        <stp>RCOM IN Equity</stp>
        <stp>NORM_NET_INC_TO_NET_INC_FO_COM</stp>
        <stp>FY 2018</stp>
        <stp>FY 2018</stp>
        <stp>[FA1_ymffleas.xlsx]DuPont Analysis!R9C12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9" s="27"/>
      </tp>
      <tp>
        <v>-163</v>
        <stp/>
        <stp>##V3_BDHV12</stp>
        <stp>RCOM IN Equity</stp>
        <stp>ARD_NET_INVESTMENT_INCOME_CF</stp>
        <stp>FY 2009</stp>
        <stp>FY 2009</stp>
        <stp>[FA1_ymffleas.xlsx]Cash Flow - As Reported!R39C3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9" s="20"/>
      </tp>
      <tp t="s">
        <v>—</v>
        <stp/>
        <stp>##V3_BDHV12</stp>
        <stp>RCOM IN Equity</stp>
        <stp>ARD_NET_INVESTMENT_INCOME_CF</stp>
        <stp>FY 2010</stp>
        <stp>FY 2010</stp>
        <stp>[FA1_ymffleas.xlsx]Cash Flow - As Reported!R39C4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9" s="20"/>
      </tp>
      <tp t="s">
        <v>—</v>
        <stp/>
        <stp>##V3_BDHV12</stp>
        <stp>RCOM IN Equity</stp>
        <stp>ARD_NET_INVESTMENT_INCOME_CF</stp>
        <stp>FY 2011</stp>
        <stp>FY 2011</stp>
        <stp>[FA1_ymffleas.xlsx]Cash Flow - As Reported!R39C5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9" s="20"/>
      </tp>
      <tp t="s">
        <v>—</v>
        <stp/>
        <stp>##V3_BDHV12</stp>
        <stp>RCOM IN Equity</stp>
        <stp>ARD_NET_INVESTMENT_INCOME_CF</stp>
        <stp>FY 2012</stp>
        <stp>FY 2012</stp>
        <stp>[FA1_ymffleas.xlsx]Cash Flow - As Reported!R39C6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9" s="20"/>
      </tp>
      <tp t="s">
        <v>—</v>
        <stp/>
        <stp>##V3_BDHV12</stp>
        <stp>RCOM IN Equity</stp>
        <stp>ARD_NET_INVESTMENT_INCOME_CF</stp>
        <stp>FY 2013</stp>
        <stp>FY 2013</stp>
        <stp>[FA1_ymffleas.xlsx]Cash Flow - As Reported!R39C7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9" s="20"/>
      </tp>
      <tp t="s">
        <v>—</v>
        <stp/>
        <stp>##V3_BDHV12</stp>
        <stp>RCOM IN Equity</stp>
        <stp>ARD_NET_INVESTMENT_INCOME_CF</stp>
        <stp>FY 2014</stp>
        <stp>FY 2014</stp>
        <stp>[FA1_ymffleas.xlsx]Cash Flow - As Reported!R39C8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9" s="20"/>
      </tp>
      <tp t="s">
        <v>—</v>
        <stp/>
        <stp>##V3_BDHV12</stp>
        <stp>RCOM IN Equity</stp>
        <stp>ARD_NET_INVESTMENT_INCOME_CF</stp>
        <stp>FY 2015</stp>
        <stp>FY 2015</stp>
        <stp>[FA1_ymffleas.xlsx]Cash Flow - As Reported!R39C9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9" s="20"/>
      </tp>
      <tp t="s">
        <v>—</v>
        <stp/>
        <stp>##V3_BDHV12</stp>
        <stp>RCOM IN Equity</stp>
        <stp>EV_TO_T12M_FREE_CASH_FLOW_FIRM</stp>
        <stp>FY 2017</stp>
        <stp>FY 2017</stp>
        <stp>[FA1_ymffleas.xlsx]Enterprise Value!R21C10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1" s="5"/>
      </tp>
      <tp>
        <v>0</v>
        <stp/>
        <stp>##V3_BDHV12</stp>
        <stp>RCOM IN Equity</stp>
        <stp>DVD_PAYOUT_RATIO</stp>
        <stp>FY 2017</stp>
        <stp>FY 2017</stp>
        <stp>[FA1_ymffleas.xlsx]Dividend Summary!R9C11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9" s="31"/>
      </tp>
      <tp>
        <v>-71.106300000000005</v>
        <stp/>
        <stp>##V3_BDHV12</stp>
        <stp>RCOM IN Equity</stp>
        <stp>DILUTED_EPS_AFT_XO_ITEMS_GROWTH</stp>
        <stp>FY 2011</stp>
        <stp>FY 2011</stp>
        <stp>[FA1_ymffleas.xlsx]Growth!R11C5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1" s="22"/>
      </tp>
      <tp>
        <v>457330</v>
        <stp/>
        <stp>##V3_BDHV12</stp>
        <stp>RCOM IN Equity</stp>
        <stp>SHORT_AND_LONG_TERM_DEBT</stp>
        <stp>FY 2017</stp>
        <stp>FY 2017</stp>
        <stp>[FA1_ymffleas.xlsx]Adj Highlights!R9C10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" s="2"/>
      </tp>
      <tp>
        <v>472830</v>
        <stp/>
        <stp>##V3_BDHV12</stp>
        <stp>RCOM IN Equity</stp>
        <stp>SHORT_AND_LONG_TERM_DEBT</stp>
        <stp>FY 2018</stp>
        <stp>FY 2018</stp>
        <stp>[FA1_ymffleas.xlsx]Adj Highlights!R9C11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" s="2"/>
      </tp>
      <tp>
        <v>0.4456</v>
        <stp/>
        <stp>##V3_BDHV12</stp>
        <stp>RCOM IN Equity</stp>
        <stp>AVERAGE_PRICE_TO_BOOK_RATIO</stp>
        <stp>FY 2012</stp>
        <stp>FY 2012</stp>
        <stp>[FA1_ymffleas.xlsx]Multiples!R12C5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2" s="6"/>
      </tp>
      <tp>
        <v>0.72699999999999998</v>
        <stp/>
        <stp>##V3_BDHV12</stp>
        <stp>RCOM IN Equity</stp>
        <stp>AVERAGE_PRICE_TO_BOOK_RATIO</stp>
        <stp>FY 2011</stp>
        <stp>FY 2011</stp>
        <stp>[FA1_ymffleas.xlsx]Multiples!R12C4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2" s="6"/>
      </tp>
      <tp>
        <v>-64580</v>
        <stp/>
        <stp>##V3_BDHV12</stp>
        <stp>RCOM IN Equity</stp>
        <stp>CF_CASH_FROM_INV_ACT</stp>
        <stp>FY 2011</stp>
        <stp>FY 2011</stp>
        <stp>[FA1_ymffleas.xlsx]Cash Flow - Standardized!R35C4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5" s="19"/>
      </tp>
      <tp>
        <v>-46110</v>
        <stp/>
        <stp>##V3_BDHV12</stp>
        <stp>RCOM IN Equity</stp>
        <stp>CF_CASH_FROM_INV_ACT</stp>
        <stp>FY 2012</stp>
        <stp>FY 2012</stp>
        <stp>[FA1_ymffleas.xlsx]Cash Flow - Standardized!R35C5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5" s="19"/>
      </tp>
      <tp>
        <v>-20790</v>
        <stp/>
        <stp>##V3_BDHV12</stp>
        <stp>RCOM IN Equity</stp>
        <stp>CF_CASH_FROM_INV_ACT</stp>
        <stp>FY 2013</stp>
        <stp>FY 2013</stp>
        <stp>[FA1_ymffleas.xlsx]Cash Flow - Standardized!R35C6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5" s="19"/>
      </tp>
      <tp>
        <v>-21490</v>
        <stp/>
        <stp>##V3_BDHV12</stp>
        <stp>RCOM IN Equity</stp>
        <stp>CF_CASH_FROM_INV_ACT</stp>
        <stp>FY 2014</stp>
        <stp>FY 2014</stp>
        <stp>[FA1_ymffleas.xlsx]Cash Flow - Standardized!R35C7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5" s="19"/>
      </tp>
      <tp>
        <v>-18600.5</v>
        <stp/>
        <stp>##V3_BDHV12</stp>
        <stp>RCOM IN Equity</stp>
        <stp>CF_CASH_FROM_INV_ACT</stp>
        <stp>FY 2010</stp>
        <stp>FY 2010</stp>
        <stp>[FA1_ymffleas.xlsx]Cash Flow - Standardized!R35C3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5" s="19"/>
      </tp>
      <tp>
        <v>-31560</v>
        <stp/>
        <stp>##V3_BDHV12</stp>
        <stp>RCOM IN Equity</stp>
        <stp>CF_CASH_FROM_INV_ACT</stp>
        <stp>FY 2015</stp>
        <stp>FY 2015</stp>
        <stp>[FA1_ymffleas.xlsx]Cash Flow - Standardized!R35C8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5" s="19"/>
      </tp>
      <tp>
        <v>-150650</v>
        <stp/>
        <stp>##V3_BDHV12</stp>
        <stp>RCOM IN Equity</stp>
        <stp>CF_CASH_FROM_INV_ACT</stp>
        <stp>FY 2016</stp>
        <stp>FY 2016</stp>
        <stp>[FA1_ymffleas.xlsx]Cash Flow - Standardized!R35C9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5" s="19"/>
      </tp>
      <tp>
        <v>0.76149999999999995</v>
        <stp/>
        <stp>##V3_BDHV12</stp>
        <stp>RCOM IN Equity</stp>
        <stp>AVERAGE_PRICE_TO_BOOK_RATIO</stp>
        <stp>FY 2014</stp>
        <stp>FY 2014</stp>
        <stp>[FA1_ymffleas.xlsx]Multiples!R12C7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2" s="6"/>
      </tp>
      <tp>
        <v>0.37969999999999998</v>
        <stp/>
        <stp>##V3_BDHV12</stp>
        <stp>RCOM IN Equity</stp>
        <stp>AVERAGE_PRICE_TO_BOOK_RATIO</stp>
        <stp>FY 2013</stp>
        <stp>FY 2013</stp>
        <stp>[FA1_ymffleas.xlsx]Multiples!R12C6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2" s="6"/>
      </tp>
      <tp t="s">
        <v>—</v>
        <stp/>
        <stp>##V3_BDHV12</stp>
        <stp>RCOM IN Equity</stp>
        <stp>IS_UNREALIZED_GAIN_LOSS_COMP_INC</stp>
        <stp>FY 2014</stp>
        <stp>FY 2014</stp>
        <stp>[FA1_ymffleas.xlsx]Comprehensive Income!R8C7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33"/>
      </tp>
      <tp t="s">
        <v>—</v>
        <stp/>
        <stp>##V3_BDHV12</stp>
        <stp>RCOM IN Equity</stp>
        <stp>IS_UNREALIZED_GAIN_LOSS_COMP_INC</stp>
        <stp>FY 2013</stp>
        <stp>FY 2013</stp>
        <stp>[FA1_ymffleas.xlsx]Comprehensive Income!R8C6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33"/>
      </tp>
      <tp t="s">
        <v>—</v>
        <stp/>
        <stp>##V3_BDHV12</stp>
        <stp>RCOM IN Equity</stp>
        <stp>IS_UNREALIZED_GAIN_LOSS_COMP_INC</stp>
        <stp>FY 2012</stp>
        <stp>FY 2012</stp>
        <stp>[FA1_ymffleas.xlsx]Comprehensive Income!R8C5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33"/>
      </tp>
      <tp t="s">
        <v>—</v>
        <stp/>
        <stp>##V3_BDHV12</stp>
        <stp>RCOM IN Equity</stp>
        <stp>IS_UNREALIZED_GAIN_LOSS_COMP_INC</stp>
        <stp>FY 2011</stp>
        <stp>FY 2011</stp>
        <stp>[FA1_ymffleas.xlsx]Comprehensive Income!R8C4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33"/>
      </tp>
      <tp t="s">
        <v>—</v>
        <stp/>
        <stp>##V3_BDHV12</stp>
        <stp>RCOM IN Equity</stp>
        <stp>IS_UNREALIZED_GAIN_LOSS_COMP_INC</stp>
        <stp>FY 2010</stp>
        <stp>FY 2010</stp>
        <stp>[FA1_ymffleas.xlsx]Comprehensive Income!R8C3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33"/>
      </tp>
      <tp>
        <v>0</v>
        <stp/>
        <stp>##V3_BDHV12</stp>
        <stp>RCOM IN Equity</stp>
        <stp>IS_UNREALIZED_GAIN_LOSS_COMP_INC</stp>
        <stp>FY 2016</stp>
        <stp>FY 2016</stp>
        <stp>[FA1_ymffleas.xlsx]Comprehensive Income!R8C9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33"/>
      </tp>
      <tp t="s">
        <v>—</v>
        <stp/>
        <stp>##V3_BDHV12</stp>
        <stp>RCOM IN Equity</stp>
        <stp>IS_UNREALIZED_GAIN_LOSS_COMP_INC</stp>
        <stp>FY 2015</stp>
        <stp>FY 2015</stp>
        <stp>[FA1_ymffleas.xlsx]Comprehensive Income!R8C8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33"/>
      </tp>
      <tp>
        <v>71.116900000000001</v>
        <stp/>
        <stp>##V3_BDHV12</stp>
        <stp>RCOM IN Equity</stp>
        <stp>EBITDA_MARGIN</stp>
        <stp>FY 2017</stp>
        <stp>FY 2017</stp>
        <stp>[FA1_ymffleas.xlsx]Addl - Overview!R15C10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5" s="29"/>
      </tp>
      <tp>
        <v>1.1164000000000001</v>
        <stp/>
        <stp>##V3_BDHV12</stp>
        <stp>RCOM IN Equity</stp>
        <stp>AVERAGE_PRICE_TO_BOOK_RATIO</stp>
        <stp>FY 2010</stp>
        <stp>FY 2010</stp>
        <stp>[FA1_ymffleas.xlsx]Multiples!R12C3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2" s="6"/>
      </tp>
      <tp>
        <v>2.0196999999999998</v>
        <stp/>
        <stp>##V3_BDHV12</stp>
        <stp>RCOM IN Equity</stp>
        <stp>IS_DIL_EPS_CONT_OPS</stp>
        <stp>FY 2016</stp>
        <stp>FY 2016</stp>
        <stp>[FA1_ymffleas.xlsx]Adj Highlights!R20C9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0" s="2"/>
      </tp>
      <tp>
        <v>2.9695999999999998</v>
        <stp/>
        <stp>##V3_BDHV12</stp>
        <stp>RCOM IN Equity</stp>
        <stp>IS_DIL_EPS_CONT_OPS</stp>
        <stp>FY 2015</stp>
        <stp>FY 2015</stp>
        <stp>[FA1_ymffleas.xlsx]Adj Highlights!R20C8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0" s="2"/>
      </tp>
      <tp>
        <v>5.1078000000000001</v>
        <stp/>
        <stp>##V3_BDHV12</stp>
        <stp>RCOM IN Equity</stp>
        <stp>IS_DIL_EPS_CONT_OPS</stp>
        <stp>FY 2014</stp>
        <stp>FY 2014</stp>
        <stp>[FA1_ymffleas.xlsx]Adj Highlights!R20C7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0" s="2"/>
      </tp>
      <tp>
        <v>3.05</v>
        <stp/>
        <stp>##V3_BDHV12</stp>
        <stp>RCOM IN Equity</stp>
        <stp>IS_EPS</stp>
        <stp>FY 2015</stp>
        <stp>FY 2015</stp>
        <stp>[FA1_ymffleas.xlsx]Income - Adjusted!R110C8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10" s="9"/>
      </tp>
      <tp>
        <v>3.2397999999999998</v>
        <stp/>
        <stp>##V3_BDHV12</stp>
        <stp>RCOM IN Equity</stp>
        <stp>IS_DIL_EPS_CONT_OPS</stp>
        <stp>FY 2013</stp>
        <stp>FY 2013</stp>
        <stp>[FA1_ymffleas.xlsx]Adj Highlights!R20C6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0" s="2"/>
      </tp>
      <tp>
        <v>5.5015999999999998</v>
        <stp/>
        <stp>##V3_BDHV12</stp>
        <stp>RCOM IN Equity</stp>
        <stp>IS_DIL_EPS_CONT_OPS</stp>
        <stp>FY 2012</stp>
        <stp>FY 2012</stp>
        <stp>[FA1_ymffleas.xlsx]Adj Highlights!R20C5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0" s="2"/>
      </tp>
      <tp>
        <v>5.0293999999999999</v>
        <stp/>
        <stp>##V3_BDHV12</stp>
        <stp>RCOM IN Equity</stp>
        <stp>IS_DIL_EPS_CONT_OPS</stp>
        <stp>FY 2011</stp>
        <stp>FY 2011</stp>
        <stp>[FA1_ymffleas.xlsx]Adj Highlights!R20C4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0" s="2"/>
      </tp>
      <tp>
        <v>0.4355</v>
        <stp/>
        <stp>##V3_BDHV12</stp>
        <stp>RCOM IN Equity</stp>
        <stp>AVERAGE_PRICE_TO_BOOK_RATIO</stp>
        <stp>FY 2016</stp>
        <stp>FY 2016</stp>
        <stp>[FA1_ymffleas.xlsx]Multiples!R12C9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2" s="6"/>
      </tp>
      <tp>
        <v>21.916599999999999</v>
        <stp/>
        <stp>##V3_BDHV12</stp>
        <stp>RCOM IN Equity</stp>
        <stp>IS_DIL_EPS_CONT_OPS</stp>
        <stp>FY 2010</stp>
        <stp>FY 2010</stp>
        <stp>[FA1_ymffleas.xlsx]Adj Highlights!R20C3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0" s="2"/>
      </tp>
      <tp>
        <v>0.67459999999999998</v>
        <stp/>
        <stp>##V3_BDHV12</stp>
        <stp>RCOM IN Equity</stp>
        <stp>AVERAGE_PRICE_TO_BOOK_RATIO</stp>
        <stp>FY 2015</stp>
        <stp>FY 2015</stp>
        <stp>[FA1_ymffleas.xlsx]Multiples!R12C8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2" s="6"/>
      </tp>
      <tp>
        <v>1.6073</v>
        <stp/>
        <stp>##V3_BDHV12</stp>
        <stp>RCOM IN Equity</stp>
        <stp>ARDR_OPTIONS_OUTSTANDING_END_PER</stp>
        <stp>FY 2009</stp>
        <stp>FY 2009</stp>
        <stp>[FA1_ymffleas.xlsx]Bal Sheet - As Reported!R146C3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46" s="17"/>
      </tp>
      <tp>
        <v>4700</v>
        <stp/>
        <stp>##V3_BDHV12</stp>
        <stp>RCOM IN Equity</stp>
        <stp>ARD_TAX_REFUND</stp>
        <stp>FY 2012</stp>
        <stp>FY 2012</stp>
        <stp>[FA1_ymffleas.xlsx]Cash Flow - As Reported!R34C6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4" s="20"/>
      </tp>
      <tp>
        <v>4770</v>
        <stp/>
        <stp>##V3_BDHV12</stp>
        <stp>RCOM IN Equity</stp>
        <stp>ARD_TAX_REFUND</stp>
        <stp>FY 2013</stp>
        <stp>FY 2013</stp>
        <stp>[FA1_ymffleas.xlsx]Cash Flow - As Reported!R34C7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4" s="20"/>
      </tp>
      <tp>
        <v>2047.9</v>
        <stp/>
        <stp>##V3_BDHV12</stp>
        <stp>RCOM IN Equity</stp>
        <stp>ARD_TAX_REFUND</stp>
        <stp>FY 2010</stp>
        <stp>FY 2010</stp>
        <stp>[FA1_ymffleas.xlsx]Cash Flow - As Reported!R34C4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4" s="20"/>
      </tp>
      <tp>
        <v>5190</v>
        <stp/>
        <stp>##V3_BDHV12</stp>
        <stp>RCOM IN Equity</stp>
        <stp>ARD_TAX_REFUND</stp>
        <stp>FY 2011</stp>
        <stp>FY 2011</stp>
        <stp>[FA1_ymffleas.xlsx]Cash Flow - As Reported!R34C5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4" s="20"/>
      </tp>
      <tp t="s">
        <v>—</v>
        <stp/>
        <stp>##V3_BDHV12</stp>
        <stp>RCOM IN Equity</stp>
        <stp>ARD_TAX_REFUND</stp>
        <stp>FY 2009</stp>
        <stp>FY 2009</stp>
        <stp>[FA1_ymffleas.xlsx]Cash Flow - As Reported!R34C3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4" s="20"/>
      </tp>
      <tp>
        <v>2500</v>
        <stp/>
        <stp>##V3_BDHV12</stp>
        <stp>RCOM IN Equity</stp>
        <stp>ARD_TAX_REFUND</stp>
        <stp>FY 2014</stp>
        <stp>FY 2014</stp>
        <stp>[FA1_ymffleas.xlsx]Cash Flow - As Reported!R34C8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4" s="20"/>
      </tp>
      <tp>
        <v>1290</v>
        <stp/>
        <stp>##V3_BDHV12</stp>
        <stp>RCOM IN Equity</stp>
        <stp>ARD_TAX_REFUND</stp>
        <stp>FY 2015</stp>
        <stp>FY 2015</stp>
        <stp>[FA1_ymffleas.xlsx]Cash Flow - As Reported!R34C9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4" s="20"/>
      </tp>
      <tp>
        <v>57.6584</v>
        <stp/>
        <stp>##V3_BDHV12</stp>
        <stp>RCOM IN Equity</stp>
        <stp>RR_DIL_EPS_CONT_OPS_GROWTH</stp>
        <stp>FY 2014</stp>
        <stp>FY 2014</stp>
        <stp>[FA1_ymffleas.xlsx]Growth!R13C8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3" s="22"/>
      </tp>
      <tp>
        <v>-41.861400000000003</v>
        <stp/>
        <stp>##V3_BDHV12</stp>
        <stp>RCOM IN Equity</stp>
        <stp>RR_DIL_EPS_CONT_OPS_GROWTH</stp>
        <stp>FY 2015</stp>
        <stp>FY 2015</stp>
        <stp>[FA1_ymffleas.xlsx]Growth!R13C9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3" s="22"/>
      </tp>
      <tp>
        <v>1980</v>
        <stp/>
        <stp>##V3_BDHV12</stp>
        <stp>RCOM IN Equity</stp>
        <stp>CF_CASH_PAID_FOR_TAX</stp>
        <stp>FY 2016</stp>
        <stp>FY 2016</stp>
        <stp>[FA1_ymffleas.xlsx]Cash Flow - Standardized!R54C9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4" s="19"/>
      </tp>
      <tp>
        <v>4360</v>
        <stp/>
        <stp>##V3_BDHV12</stp>
        <stp>RCOM IN Equity</stp>
        <stp>CF_CASH_PAID_FOR_TAX</stp>
        <stp>FY 2015</stp>
        <stp>FY 2015</stp>
        <stp>[FA1_ymffleas.xlsx]Cash Flow - Standardized!R54C8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4" s="19"/>
      </tp>
      <tp>
        <v>-810</v>
        <stp/>
        <stp>##V3_BDHV12</stp>
        <stp>RCOM IN Equity</stp>
        <stp>CF_CASH_PAID_FOR_TAX</stp>
        <stp>FY 2012</stp>
        <stp>FY 2012</stp>
        <stp>[FA1_ymffleas.xlsx]Cash Flow - Standardized!R54C5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4" s="19"/>
      </tp>
      <tp>
        <v>800</v>
        <stp/>
        <stp>##V3_BDHV12</stp>
        <stp>RCOM IN Equity</stp>
        <stp>CF_CASH_PAID_FOR_TAX</stp>
        <stp>FY 2011</stp>
        <stp>FY 2011</stp>
        <stp>[FA1_ymffleas.xlsx]Cash Flow - Standardized!R54C4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4" s="19"/>
      </tp>
      <tp>
        <v>2710</v>
        <stp/>
        <stp>##V3_BDHV12</stp>
        <stp>RCOM IN Equity</stp>
        <stp>CF_CASH_PAID_FOR_TAX</stp>
        <stp>FY 2014</stp>
        <stp>FY 2014</stp>
        <stp>[FA1_ymffleas.xlsx]Cash Flow - Standardized!R54C7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4" s="19"/>
      </tp>
      <tp>
        <v>-2040</v>
        <stp/>
        <stp>##V3_BDHV12</stp>
        <stp>RCOM IN Equity</stp>
        <stp>CF_CASH_PAID_FOR_TAX</stp>
        <stp>FY 2013</stp>
        <stp>FY 2013</stp>
        <stp>[FA1_ymffleas.xlsx]Cash Flow - Standardized!R54C6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4" s="19"/>
      </tp>
      <tp>
        <v>3121.7</v>
        <stp/>
        <stp>##V3_BDHV12</stp>
        <stp>RCOM IN Equity</stp>
        <stp>CF_CASH_PAID_FOR_TAX</stp>
        <stp>FY 2010</stp>
        <stp>FY 2010</stp>
        <stp>[FA1_ymffleas.xlsx]Cash Flow - Standardized!R54C3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4" s="19"/>
      </tp>
      <tp>
        <v>0.39150000000000001</v>
        <stp/>
        <stp>##V3_BDHV12</stp>
        <stp>RCOM IN Equity</stp>
        <stp>ARDR_OPTIONS_OUTSTANDING_END_PER</stp>
        <stp>FY 2013</stp>
        <stp>FY 2013</stp>
        <stp>[FA1_ymffleas.xlsx]Bal Sheet - As Reported!R146C7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46" s="17"/>
      </tp>
      <tp>
        <v>6.5164</v>
        <stp/>
        <stp>##V3_BDHV12</stp>
        <stp>RCOM IN Equity</stp>
        <stp>IS_EPS</stp>
        <stp>FY 2011</stp>
        <stp>FY 2011</stp>
        <stp>[FA1_ymffleas.xlsx]GAAP Highlights!R9C5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9" s="3"/>
      </tp>
      <tp>
        <v>3.0177999999999998</v>
        <stp/>
        <stp>##V3_BDHV12</stp>
        <stp>RCOM IN Equity</stp>
        <stp>ARDR_OPTIONS_OUTSTANDING_END_PER</stp>
        <stp>FY 2012</stp>
        <stp>FY 2012</stp>
        <stp>[FA1_ymffleas.xlsx]Bal Sheet - As Reported!R146C6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46" s="17"/>
      </tp>
      <tp>
        <v>7.2095000000000002</v>
        <stp/>
        <stp>##V3_BDHV12</stp>
        <stp>RCOM IN Equity</stp>
        <stp>ARDR_OPTIONS_OUTSTANDING_END_PER</stp>
        <stp>FY 2011</stp>
        <stp>FY 2011</stp>
        <stp>[FA1_ymffleas.xlsx]Bal Sheet - As Reported!R146C5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46" s="17"/>
      </tp>
      <tp>
        <v>10.445399999999999</v>
        <stp/>
        <stp>##V3_BDHV12</stp>
        <stp>RCOM IN Equity</stp>
        <stp>ARDR_OPTIONS_OUTSTANDING_END_PER</stp>
        <stp>FY 2010</stp>
        <stp>FY 2010</stp>
        <stp>[FA1_ymffleas.xlsx]Bal Sheet - As Reported!R146C4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46" s="17"/>
      </tp>
      <tp>
        <v>37530</v>
        <stp/>
        <stp>##V3_BDHV12</stp>
        <stp>RCOM IN Equity</stp>
        <stp>ARD_ACCTS_REC_OTHER_REC</stp>
        <stp>FY 2011</stp>
        <stp>FY 2011</stp>
        <stp>[FA1_ymffleas.xlsx]Bal Sheet - As Reported!R45C5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5" s="17"/>
      </tp>
      <tp>
        <v>33116.699999999997</v>
        <stp/>
        <stp>##V3_BDHV12</stp>
        <stp>RCOM IN Equity</stp>
        <stp>ARD_ACCTS_REC_OTHER_REC</stp>
        <stp>FY 2010</stp>
        <stp>FY 2010</stp>
        <stp>[FA1_ymffleas.xlsx]Bal Sheet - As Reported!R45C4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5" s="17"/>
      </tp>
      <tp>
        <v>39110</v>
        <stp/>
        <stp>##V3_BDHV12</stp>
        <stp>RCOM IN Equity</stp>
        <stp>ARD_ACCTS_REC_OTHER_REC</stp>
        <stp>FY 2013</stp>
        <stp>FY 2013</stp>
        <stp>[FA1_ymffleas.xlsx]Bal Sheet - As Reported!R45C7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5" s="17"/>
      </tp>
      <tp>
        <v>35840</v>
        <stp/>
        <stp>##V3_BDHV12</stp>
        <stp>RCOM IN Equity</stp>
        <stp>ARD_ACCTS_REC_OTHER_REC</stp>
        <stp>FY 2012</stp>
        <stp>FY 2012</stp>
        <stp>[FA1_ymffleas.xlsx]Bal Sheet - As Reported!R45C6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5" s="17"/>
      </tp>
      <tp>
        <v>39617.699999999997</v>
        <stp/>
        <stp>##V3_BDHV12</stp>
        <stp>RCOM IN Equity</stp>
        <stp>ARD_ACCTS_REC_OTHER_REC</stp>
        <stp>FY 2009</stp>
        <stp>FY 2009</stp>
        <stp>[FA1_ymffleas.xlsx]Bal Sheet - As Reported!R45C3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5" s="17"/>
      </tp>
      <tp>
        <v>49160</v>
        <stp/>
        <stp>##V3_BDHV12</stp>
        <stp>RCOM IN Equity</stp>
        <stp>ARD_ACCTS_REC_OTHER_REC</stp>
        <stp>FY 2015</stp>
        <stp>FY 2015</stp>
        <stp>[FA1_ymffleas.xlsx]Bal Sheet - As Reported!R45C9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5" s="17"/>
      </tp>
      <tp>
        <v>39190</v>
        <stp/>
        <stp>##V3_BDHV12</stp>
        <stp>RCOM IN Equity</stp>
        <stp>ARD_ACCTS_REC_OTHER_REC</stp>
        <stp>FY 2014</stp>
        <stp>FY 2014</stp>
        <stp>[FA1_ymffleas.xlsx]Bal Sheet - As Reported!R45C8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5" s="17"/>
      </tp>
      <tp>
        <v>43.543399999999998</v>
        <stp/>
        <stp>##V3_BDHV12</stp>
        <stp>RCOM IN Equity</stp>
        <stp>RR_DIL_EPS_CONT_OPS_GROWTH</stp>
        <stp>FY 2009</stp>
        <stp>FY 2009</stp>
        <stp>[FA1_ymffleas.xlsx]Growth!R13C3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3" s="22"/>
      </tp>
      <tp t="s">
        <v>—</v>
        <stp/>
        <stp>##V3_BDHV12</stp>
        <stp>RCOM IN Equity</stp>
        <stp>ARD_NET_INVESTMENT_INCOME_CF</stp>
        <stp>FY 2018</stp>
        <stp>FY 2018</stp>
        <stp>[FA1_ymffleas.xlsx]Cash Flow - As Reported!R39C12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9" s="20"/>
      </tp>
      <tp t="s">
        <v>—</v>
        <stp/>
        <stp>##V3_BDHV12</stp>
        <stp>RCOM IN Equity</stp>
        <stp>ARD_NET_INVESTMENT_INCOME_CF</stp>
        <stp>FY 2016</stp>
        <stp>FY 2016</stp>
        <stp>[FA1_ymffleas.xlsx]Cash Flow - As Reported!R39C10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9" s="20"/>
      </tp>
      <tp t="s">
        <v>—</v>
        <stp/>
        <stp>##V3_BDHV12</stp>
        <stp>RCOM IN Equity</stp>
        <stp>ARD_NET_INVESTMENT_INCOME_CF</stp>
        <stp>FY 2017</stp>
        <stp>FY 2017</stp>
        <stp>[FA1_ymffleas.xlsx]Cash Flow - As Reported!R39C11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9" s="20"/>
      </tp>
      <tp>
        <v>1.3376000000000001</v>
        <stp/>
        <stp>##V3_BDHV12</stp>
        <stp>RCOM IN Equity</stp>
        <stp>ARDR_OPTIONS_OUTSTANDING_END_PER</stp>
        <stp>FY 2015</stp>
        <stp>FY 2015</stp>
        <stp>[FA1_ymffleas.xlsx]Bal Sheet - As Reported!R146C9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46" s="17"/>
      </tp>
      <tp>
        <v>2.1514000000000002</v>
        <stp/>
        <stp>##V3_BDHV12</stp>
        <stp>RCOM IN Equity</stp>
        <stp>ARDR_OPTIONS_OUTSTANDING_END_PER</stp>
        <stp>FY 2014</stp>
        <stp>FY 2014</stp>
        <stp>[FA1_ymffleas.xlsx]Bal Sheet - As Reported!R146C8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46" s="17"/>
      </tp>
      <tp t="s">
        <v>—</v>
        <stp/>
        <stp>##V3_BDHV12</stp>
        <stp>RCOM IN Equity</stp>
        <stp>ACCOUNTS_PAYABLE_TURNOVER</stp>
        <stp>FY 2016</stp>
        <stp>FY 2016</stp>
        <stp>[FA1_ymffleas.xlsx]Working Capital!R10C10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0" s="25"/>
      </tp>
      <tp>
        <v>9.3872999999999998</v>
        <stp/>
        <stp>##V3_BDHV12</stp>
        <stp>RCOM IN Equity</stp>
        <stp>RR_DIL_EPS_CONT_OPS_GROWTH</stp>
        <stp>FY 2012</stp>
        <stp>FY 2012</stp>
        <stp>[FA1_ymffleas.xlsx]Growth!R13C6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3" s="22"/>
      </tp>
      <tp>
        <v>-41.111600000000003</v>
        <stp/>
        <stp>##V3_BDHV12</stp>
        <stp>RCOM IN Equity</stp>
        <stp>RR_DIL_EPS_CONT_OPS_GROWTH</stp>
        <stp>FY 2013</stp>
        <stp>FY 2013</stp>
        <stp>[FA1_ymffleas.xlsx]Growth!R13C7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3" s="22"/>
      </tp>
      <tp>
        <v>-18.9604</v>
        <stp/>
        <stp>##V3_BDHV12</stp>
        <stp>RCOM IN Equity</stp>
        <stp>RR_DIL_EPS_CONT_OPS_GROWTH</stp>
        <stp>FY 2010</stp>
        <stp>FY 2010</stp>
        <stp>[FA1_ymffleas.xlsx]Growth!R13C4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3" s="22"/>
      </tp>
      <tp>
        <v>-77.051900000000003</v>
        <stp/>
        <stp>##V3_BDHV12</stp>
        <stp>RCOM IN Equity</stp>
        <stp>RR_DIL_EPS_CONT_OPS_GROWTH</stp>
        <stp>FY 2011</stp>
        <stp>FY 2011</stp>
        <stp>[FA1_ymffleas.xlsx]Growth!R13C5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3" s="22"/>
      </tp>
      <tp>
        <v>37440</v>
        <stp/>
        <stp>##V3_BDHV12</stp>
        <stp>RCOM IN Equity</stp>
        <stp>ARDR_DEPRECIATION_EXP</stp>
        <stp>FY 2011</stp>
        <stp>FY 2011</stp>
        <stp>[FA1_ymffleas.xlsx]Income - As Reported!R66C5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6" s="11"/>
      </tp>
      <tp>
        <v>28646</v>
        <stp/>
        <stp>##V3_BDHV12</stp>
        <stp>RCOM IN Equity</stp>
        <stp>ARDR_DEPRECIATION_EXP</stp>
        <stp>FY 2010</stp>
        <stp>FY 2010</stp>
        <stp>[FA1_ymffleas.xlsx]Income - As Reported!R66C4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6" s="11"/>
      </tp>
      <tp>
        <v>19080</v>
        <stp/>
        <stp>##V3_BDHV12</stp>
        <stp>RCOM IN Equity</stp>
        <stp>ARDR_DEPRECIATION_EXP</stp>
        <stp>FY 2013</stp>
        <stp>FY 2013</stp>
        <stp>[FA1_ymffleas.xlsx]Income - As Reported!R66C7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6" s="11"/>
      </tp>
      <tp>
        <v>16370</v>
        <stp/>
        <stp>##V3_BDHV12</stp>
        <stp>RCOM IN Equity</stp>
        <stp>ARDR_DEPRECIATION_EXP</stp>
        <stp>FY 2012</stp>
        <stp>FY 2012</stp>
        <stp>[FA1_ymffleas.xlsx]Income - As Reported!R66C6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6" s="11"/>
      </tp>
      <tp>
        <v>32737</v>
        <stp/>
        <stp>##V3_BDHV12</stp>
        <stp>RCOM IN Equity</stp>
        <stp>ARDR_DEPRECIATION_EXP</stp>
        <stp>FY 2009</stp>
        <stp>FY 2009</stp>
        <stp>[FA1_ymffleas.xlsx]Income - As Reported!R66C3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6" s="11"/>
      </tp>
      <tp t="s">
        <v>—</v>
        <stp/>
        <stp>##V3_BDHV12</stp>
        <stp>RCOM IN Equity</stp>
        <stp>ARDR_DEPRECIATION_EXP</stp>
        <stp>FY 2015</stp>
        <stp>FY 2015</stp>
        <stp>[FA1_ymffleas.xlsx]Income - As Reported!R66C9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6" s="11"/>
      </tp>
      <tp t="s">
        <v>—</v>
        <stp/>
        <stp>##V3_BDHV12</stp>
        <stp>RCOM IN Equity</stp>
        <stp>ARDR_DEPRECIATION_EXP</stp>
        <stp>FY 2014</stp>
        <stp>FY 2014</stp>
        <stp>[FA1_ymffleas.xlsx]Income - As Reported!R66C8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6" s="11"/>
      </tp>
      <tp>
        <v>21.619299999999999</v>
        <stp/>
        <stp>##V3_BDHV12</stp>
        <stp>RCOM IN Equity</stp>
        <stp>IS_DILUTED_EPS</stp>
        <stp>FY 2010</stp>
        <stp>FY 2010</stp>
        <stp>[FA1_ymffleas.xlsx]Earnings!R15C4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5" s="4"/>
      </tp>
      <tp>
        <v>65440</v>
        <stp/>
        <stp>##V3_BDHV12</stp>
        <stp>RCOM IN Equity</stp>
        <stp>OTHER_INS_RES_TO_SHRHLDR_EQY</stp>
        <stp>FY 2016</stp>
        <stp>FY 2016</stp>
        <stp>[FA1_ymffleas.xlsx]Bal Sheet - Standardized!R145C10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45" s="16"/>
      </tp>
      <tp>
        <v>49330</v>
        <stp/>
        <stp>##V3_BDHV12</stp>
        <stp>RCOM IN Equity</stp>
        <stp>OTHER_INS_RES_TO_SHRHLDR_EQY</stp>
        <stp>FY 2017</stp>
        <stp>FY 2017</stp>
        <stp>[FA1_ymffleas.xlsx]Bal Sheet - Standardized!R145C11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45" s="16"/>
      </tp>
      <tp>
        <v>517100</v>
        <stp/>
        <stp>##V3_BDHV12</stp>
        <stp>RCOM IN Equity</stp>
        <stp>BS_NET_FIX_ASSET</stp>
        <stp>FY 2017</stp>
        <stp>FY 2017</stp>
        <stp>[FA1_ymffleas.xlsx]Addl - Overview!R24C10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4" s="29"/>
      </tp>
      <tp>
        <v>167660</v>
        <stp/>
        <stp>##V3_BDHV12</stp>
        <stp>RCOM IN Equity</stp>
        <stp>BS_NET_FIX_ASSET</stp>
        <stp>FY 2018</stp>
        <stp>FY 2018</stp>
        <stp>[FA1_ymffleas.xlsx]Addl - Overview!R24C11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4" s="29"/>
      </tp>
      <tp>
        <v>28470</v>
        <stp/>
        <stp>##V3_BDHV12</stp>
        <stp>RCOM IN Equity</stp>
        <stp>OTHER_INS_RES_TO_SHRHLDR_EQY</stp>
        <stp>FY 2018</stp>
        <stp>FY 2018</stp>
        <stp>[FA1_ymffleas.xlsx]Bal Sheet - Standardized!R145C12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45" s="16"/>
      </tp>
      <tp>
        <v>-15.3796</v>
        <stp/>
        <stp>##V3_BDHV12</stp>
        <stp>RCOM IN Equity</stp>
        <stp>INCREMENTAL_OPERATING_MARGIN</stp>
        <stp>FY 2017</stp>
        <stp>FY 2017</stp>
        <stp>[FA1_ymffleas.xlsx]Profitability!R15C11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5" s="21"/>
      </tp>
      <tp>
        <v>2.3024</v>
        <stp/>
        <stp>##V3_BDHV12</stp>
        <stp>RCOM IN Equity</stp>
        <stp>LOW_EV_TO_T12M_SALES</stp>
        <stp>FY 2017</stp>
        <stp>FY 2017</stp>
        <stp>[FA1_ymffleas.xlsx]Multiples!R39C10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39" s="6"/>
      </tp>
      <tp>
        <v>0.39350000000000002</v>
        <stp/>
        <stp>##V3_BDHV12</stp>
        <stp>RCOM IN Equity</stp>
        <stp>BS_OPTIONS_OUTSTANDING</stp>
        <stp>FY 2018</stp>
        <stp>FY 2018</stp>
        <stp>[FA1_ymffleas.xlsx]Bal Sheet - Standardized!R166C12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6" s="16"/>
      </tp>
      <tp>
        <v>0.70240000000000002</v>
        <stp/>
        <stp>##V3_BDHV12</stp>
        <stp>RCOM IN Equity</stp>
        <stp>BS_OPTIONS_OUTSTANDING</stp>
        <stp>FY 2016</stp>
        <stp>FY 2016</stp>
        <stp>[FA1_ymffleas.xlsx]Bal Sheet - Standardized!R166C10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6" s="16"/>
      </tp>
      <tp>
        <v>0.70350000000000001</v>
        <stp/>
        <stp>##V3_BDHV12</stp>
        <stp>RCOM IN Equity</stp>
        <stp>GEO_GROW_NET_SALES</stp>
        <stp>FY 2015</stp>
        <stp>FY 2015</stp>
        <stp>[FA1_ymffleas.xlsx]Growth!R36C9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36" s="22"/>
      </tp>
      <tp>
        <v>0.60160000000000002</v>
        <stp/>
        <stp>##V3_BDHV12</stp>
        <stp>RCOM IN Equity</stp>
        <stp>BS_OPTIONS_OUTSTANDING</stp>
        <stp>FY 2017</stp>
        <stp>FY 2017</stp>
        <stp>[FA1_ymffleas.xlsx]Bal Sheet - Standardized!R166C11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6" s="16"/>
      </tp>
      <tp t="s">
        <v>—</v>
        <stp/>
        <stp>##V3_BDHV12</stp>
        <stp>RCOM IN Equity</stp>
        <stp>ARD_CASH_PAID_FOR_TAXES</stp>
        <stp>FY 2009</stp>
        <stp>FY 2009</stp>
        <stp>[FA1_ymffleas.xlsx]Cash Flow - As Reported!R15C3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" s="20"/>
      </tp>
      <tp t="s">
        <v>—</v>
        <stp/>
        <stp>##V3_BDHV12</stp>
        <stp>RCOM IN Equity</stp>
        <stp>ARD_CASH_PAID_FOR_TAXES</stp>
        <stp>FY 2011</stp>
        <stp>FY 2011</stp>
        <stp>[FA1_ymffleas.xlsx]Cash Flow - As Reported!R15C5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" s="20"/>
      </tp>
      <tp t="s">
        <v>—</v>
        <stp/>
        <stp>##V3_BDHV12</stp>
        <stp>RCOM IN Equity</stp>
        <stp>ARD_CASH_PAID_FOR_TAXES</stp>
        <stp>FY 2010</stp>
        <stp>FY 2010</stp>
        <stp>[FA1_ymffleas.xlsx]Cash Flow - As Reported!R15C4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" s="20"/>
      </tp>
      <tp t="s">
        <v>—</v>
        <stp/>
        <stp>##V3_BDHV12</stp>
        <stp>RCOM IN Equity</stp>
        <stp>ARD_CASH_PAID_FOR_TAXES</stp>
        <stp>FY 2013</stp>
        <stp>FY 2013</stp>
        <stp>[FA1_ymffleas.xlsx]Cash Flow - As Reported!R15C7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" s="20"/>
      </tp>
      <tp>
        <v>-3890</v>
        <stp/>
        <stp>##V3_BDHV12</stp>
        <stp>RCOM IN Equity</stp>
        <stp>ARD_CASH_PAID_FOR_TAXES</stp>
        <stp>FY 2012</stp>
        <stp>FY 2012</stp>
        <stp>[FA1_ymffleas.xlsx]Cash Flow - As Reported!R15C6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" s="20"/>
      </tp>
      <tp t="s">
        <v>—</v>
        <stp/>
        <stp>##V3_BDHV12</stp>
        <stp>RCOM IN Equity</stp>
        <stp>ARD_CASH_PAID_FOR_TAXES</stp>
        <stp>FY 2015</stp>
        <stp>FY 2015</stp>
        <stp>[FA1_ymffleas.xlsx]Cash Flow - As Reported!R15C9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" s="20"/>
      </tp>
      <tp t="s">
        <v>—</v>
        <stp/>
        <stp>##V3_BDHV12</stp>
        <stp>RCOM IN Equity</stp>
        <stp>ARD_CASH_PAID_FOR_TAXES</stp>
        <stp>FY 2014</stp>
        <stp>FY 2014</stp>
        <stp>[FA1_ymffleas.xlsx]Cash Flow - As Reported!R15C8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" s="20"/>
      </tp>
      <tp t="s">
        <v>—</v>
        <stp/>
        <stp>##V3_BDHV12</stp>
        <stp>RCOM IN Equity</stp>
        <stp>5Y_AVG_CAPEX_TO_DEPR_EXPN</stp>
        <stp>FY 2017</stp>
        <stp>FY 2017</stp>
        <stp>[FA1_ymffleas.xlsx]CAPEX &amp; Depreciation!R15C11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5" s="28"/>
      </tp>
      <tp t="s">
        <v>—</v>
        <stp/>
        <stp>##V3_BDHV12</stp>
        <stp>RCOM IN Equity</stp>
        <stp>5Y_AVG_CAPEX_TO_DEPR_EXPN</stp>
        <stp>FY 2016</stp>
        <stp>FY 2016</stp>
        <stp>[FA1_ymffleas.xlsx]CAPEX &amp; Depreciation!R15C10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5" s="28"/>
      </tp>
      <tp>
        <v>1220</v>
        <stp/>
        <stp>##V3_BDHV12</stp>
        <stp>RCOM IN Equity</stp>
        <stp>ARDR_FURNITURE_MACHINERY_EQUIP</stp>
        <stp>FY 2014</stp>
        <stp>FY 2014</stp>
        <stp>[FA1_ymffleas.xlsx]Bal Sheet - As Reported!R71C8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1" s="17"/>
      </tp>
      <tp>
        <v>1220</v>
        <stp/>
        <stp>##V3_BDHV12</stp>
        <stp>RCOM IN Equity</stp>
        <stp>ARDR_FURNITURE_MACHINERY_EQUIP</stp>
        <stp>FY 2015</stp>
        <stp>FY 2015</stp>
        <stp>[FA1_ymffleas.xlsx]Bal Sheet - As Reported!R71C9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1" s="17"/>
      </tp>
      <tp>
        <v>34.4</v>
        <stp/>
        <stp>##V3_BDHV12</stp>
        <stp>RCOM IN Equity</stp>
        <stp>ARDR_FURNITURE_MACHINERY_EQUIP</stp>
        <stp>FY 2010</stp>
        <stp>FY 2010</stp>
        <stp>[FA1_ymffleas.xlsx]Bal Sheet - As Reported!R71C4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1" s="17"/>
      </tp>
      <tp>
        <v>1320</v>
        <stp/>
        <stp>##V3_BDHV12</stp>
        <stp>RCOM IN Equity</stp>
        <stp>ARDR_FURNITURE_MACHINERY_EQUIP</stp>
        <stp>FY 2011</stp>
        <stp>FY 2011</stp>
        <stp>[FA1_ymffleas.xlsx]Bal Sheet - As Reported!R71C5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1" s="17"/>
      </tp>
      <tp>
        <v>1330</v>
        <stp/>
        <stp>##V3_BDHV12</stp>
        <stp>RCOM IN Equity</stp>
        <stp>ARDR_FURNITURE_MACHINERY_EQUIP</stp>
        <stp>FY 2012</stp>
        <stp>FY 2012</stp>
        <stp>[FA1_ymffleas.xlsx]Bal Sheet - As Reported!R71C6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1" s="17"/>
      </tp>
      <tp>
        <v>1210</v>
        <stp/>
        <stp>##V3_BDHV12</stp>
        <stp>RCOM IN Equity</stp>
        <stp>ARDR_FURNITURE_MACHINERY_EQUIP</stp>
        <stp>FY 2013</stp>
        <stp>FY 2013</stp>
        <stp>[FA1_ymffleas.xlsx]Bal Sheet - As Reported!R71C7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1" s="17"/>
      </tp>
      <tp>
        <v>32.5</v>
        <stp/>
        <stp>##V3_BDHV12</stp>
        <stp>RCOM IN Equity</stp>
        <stp>ARDR_FURNITURE_MACHINERY_EQUIP</stp>
        <stp>FY 2009</stp>
        <stp>FY 2009</stp>
        <stp>[FA1_ymffleas.xlsx]Bal Sheet - As Reported!R71C3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1" s="17"/>
      </tp>
      <tp t="s">
        <v>—</v>
        <stp/>
        <stp>##V3_BDHV12</stp>
        <stp>RCOM IN Equity</stp>
        <stp>5Y_AVG_CAPEX_TO_DEPR_EXPN</stp>
        <stp>FY 2018</stp>
        <stp>FY 2018</stp>
        <stp>[FA1_ymffleas.xlsx]CAPEX &amp; Depreciation!R15C12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5" s="28"/>
      </tp>
      <tp>
        <v>6720</v>
        <stp/>
        <stp>##V3_BDHV12</stp>
        <stp>RCOM IN Equity</stp>
        <stp>NET_INCOME</stp>
        <stp>FY 2013</stp>
        <stp>FY 2013</stp>
        <stp>[FA1_ymffleas.xlsx]Comprehensive Income!R6C6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6" s="33"/>
      </tp>
      <tp>
        <v>10470</v>
        <stp/>
        <stp>##V3_BDHV12</stp>
        <stp>RCOM IN Equity</stp>
        <stp>NET_INCOME</stp>
        <stp>FY 2014</stp>
        <stp>FY 2014</stp>
        <stp>[FA1_ymffleas.xlsx]Comprehensive Income!R6C7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6" s="33"/>
      </tp>
      <tp>
        <v>13450</v>
        <stp/>
        <stp>##V3_BDHV12</stp>
        <stp>RCOM IN Equity</stp>
        <stp>NET_INCOME</stp>
        <stp>FY 2011</stp>
        <stp>FY 2011</stp>
        <stp>[FA1_ymffleas.xlsx]Comprehensive Income!R6C4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6" s="33"/>
      </tp>
      <tp>
        <v>9280</v>
        <stp/>
        <stp>##V3_BDHV12</stp>
        <stp>RCOM IN Equity</stp>
        <stp>NET_INCOME</stp>
        <stp>FY 2012</stp>
        <stp>FY 2012</stp>
        <stp>[FA1_ymffleas.xlsx]Comprehensive Income!R6C5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6" s="33"/>
      </tp>
      <tp>
        <v>46550</v>
        <stp/>
        <stp>##V3_BDHV12</stp>
        <stp>RCOM IN Equity</stp>
        <stp>NET_INCOME</stp>
        <stp>FY 2010</stp>
        <stp>FY 2010</stp>
        <stp>[FA1_ymffleas.xlsx]Comprehensive Income!R6C3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6" s="33"/>
      </tp>
      <tp>
        <v>3.1419999999999999</v>
        <stp/>
        <stp>##V3_BDHV12</stp>
        <stp>RCOM IN Equity</stp>
        <stp>SUSTAIN_GROWTH_RT</stp>
        <stp>FY 2014</stp>
        <stp>FY 2014</stp>
        <stp>[FA1_ymffleas.xlsx]DuPont Analysis!R23C8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3" s="27"/>
      </tp>
      <tp>
        <v>4540</v>
        <stp/>
        <stp>##V3_BDHV12</stp>
        <stp>RCOM IN Equity</stp>
        <stp>OTHER_NONCURRENT_LIABS_DETAILED</stp>
        <stp>FY 2018</stp>
        <stp>FY 2018</stp>
        <stp>[FA1_ymffleas.xlsx]Bal Sheet - Standardized!R127C12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7" s="16"/>
      </tp>
      <tp>
        <v>42190</v>
        <stp/>
        <stp>##V3_BDHV12</stp>
        <stp>RCOM IN Equity</stp>
        <stp>OTHER_NONCURRENT_LIABS_DETAILED</stp>
        <stp>FY 2017</stp>
        <stp>FY 2017</stp>
        <stp>[FA1_ymffleas.xlsx]Bal Sheet - Standardized!R127C11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7" s="16"/>
      </tp>
      <tp>
        <v>69990</v>
        <stp/>
        <stp>##V3_BDHV12</stp>
        <stp>RCOM IN Equity</stp>
        <stp>OTHER_NONCURRENT_LIABS_DETAILED</stp>
        <stp>FY 2016</stp>
        <stp>FY 2016</stp>
        <stp>[FA1_ymffleas.xlsx]Bal Sheet - Standardized!R127C10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7" s="16"/>
      </tp>
      <tp>
        <v>7140</v>
        <stp/>
        <stp>##V3_BDHV12</stp>
        <stp>RCOM IN Equity</stp>
        <stp>NET_INCOME</stp>
        <stp>FY 2015</stp>
        <stp>FY 2015</stp>
        <stp>[FA1_ymffleas.xlsx]Comprehensive Income!R6C8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6" s="33"/>
      </tp>
      <tp>
        <v>6390</v>
        <stp/>
        <stp>##V3_BDHV12</stp>
        <stp>RCOM IN Equity</stp>
        <stp>NET_INCOME</stp>
        <stp>FY 2016</stp>
        <stp>FY 2016</stp>
        <stp>[FA1_ymffleas.xlsx]Comprehensive Income!R6C9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6" s="33"/>
      </tp>
      <tp>
        <v>2.59</v>
        <stp/>
        <stp>##V3_BDHV12</stp>
        <stp>RCOM IN Equity</stp>
        <stp>IS_DIL_EPS_BEF_XO</stp>
        <stp>FY 2016</stp>
        <stp>FY 2016</stp>
        <stp>[FA1_ymffleas.xlsx]Per Share!R18C9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8" s="7"/>
      </tp>
      <tp>
        <v>3.05</v>
        <stp/>
        <stp>##V3_BDHV12</stp>
        <stp>RCOM IN Equity</stp>
        <stp>IS_DIL_EPS_BEF_XO</stp>
        <stp>FY 2015</stp>
        <stp>FY 2015</stp>
        <stp>[FA1_ymffleas.xlsx]Per Share!R18C8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8" s="7"/>
      </tp>
      <tp t="s">
        <v>—</v>
        <stp/>
        <stp>##V3_BDHV12</stp>
        <stp>RCOM IN Equity</stp>
        <stp>EV_TO_T12M_FREE_CASH_FLOW_FIRM</stp>
        <stp>FY 2018</stp>
        <stp>FY 2018</stp>
        <stp>[FA1_ymffleas.xlsx]Enterprise Value!R21C11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1" s="5"/>
      </tp>
      <tp>
        <v>4.41</v>
        <stp/>
        <stp>##V3_BDHV12</stp>
        <stp>RCOM IN Equity</stp>
        <stp>IS_DIL_EPS_BEF_XO</stp>
        <stp>FY 2012</stp>
        <stp>FY 2012</stp>
        <stp>[FA1_ymffleas.xlsx]Per Share!R18C5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8" s="7"/>
      </tp>
      <tp>
        <v>6.2465999999999999</v>
        <stp/>
        <stp>##V3_BDHV12</stp>
        <stp>RCOM IN Equity</stp>
        <stp>IS_DIL_EPS_BEF_XO</stp>
        <stp>FY 2011</stp>
        <stp>FY 2011</stp>
        <stp>[FA1_ymffleas.xlsx]Per Share!R18C4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8" s="7"/>
      </tp>
      <tp>
        <v>5.07</v>
        <stp/>
        <stp>##V3_BDHV12</stp>
        <stp>RCOM IN Equity</stp>
        <stp>IS_DIL_EPS_BEF_XO</stp>
        <stp>FY 2014</stp>
        <stp>FY 2014</stp>
        <stp>[FA1_ymffleas.xlsx]Per Share!R18C7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8" s="7"/>
      </tp>
      <tp>
        <v>3.26</v>
        <stp/>
        <stp>##V3_BDHV12</stp>
        <stp>RCOM IN Equity</stp>
        <stp>IS_DIL_EPS_BEF_XO</stp>
        <stp>FY 2013</stp>
        <stp>FY 2013</stp>
        <stp>[FA1_ymffleas.xlsx]Per Share!R18C6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8" s="7"/>
      </tp>
      <tp>
        <v>0</v>
        <stp/>
        <stp>##V3_BDHV12</stp>
        <stp>RCOM IN Equity</stp>
        <stp>DVD_PAYOUT_RATIO</stp>
        <stp>FY 2016</stp>
        <stp>FY 2016</stp>
        <stp>[FA1_ymffleas.xlsx]Dividend Summary!R9C10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9" s="31"/>
      </tp>
      <tp>
        <v>21.619299999999999</v>
        <stp/>
        <stp>##V3_BDHV12</stp>
        <stp>RCOM IN Equity</stp>
        <stp>IS_DIL_EPS_BEF_XO</stp>
        <stp>FY 2010</stp>
        <stp>FY 2010</stp>
        <stp>[FA1_ymffleas.xlsx]Per Share!R18C3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8" s="7"/>
      </tp>
      <tp>
        <v>-22.922499999999999</v>
        <stp/>
        <stp>##V3_BDHV12</stp>
        <stp>RCOM IN Equity</stp>
        <stp>DILUTED_EPS_AFT_XO_ITEMS_GROWTH</stp>
        <stp>FY 2010</stp>
        <stp>FY 2010</stp>
        <stp>[FA1_ymffleas.xlsx]Growth!R11C4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1" s="22"/>
      </tp>
      <tp>
        <v>-238390</v>
        <stp/>
        <stp>##V3_BDHV12</stp>
        <stp>RCOM IN Equity</stp>
        <stp>EARN_FOR_COMMON</stp>
        <stp>FY 2018</stp>
        <stp>FY 2018</stp>
        <stp>[FA1_ymffleas.xlsx]Earnings!R44C12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44" s="4"/>
      </tp>
      <tp>
        <v>-14030</v>
        <stp/>
        <stp>##V3_BDHV12</stp>
        <stp>RCOM IN Equity</stp>
        <stp>EARN_FOR_COMMON</stp>
        <stp>FY 2017</stp>
        <stp>FY 2017</stp>
        <stp>[FA1_ymffleas.xlsx]Earnings!R44C11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44" s="4"/>
      </tp>
      <tp>
        <v>6390</v>
        <stp/>
        <stp>##V3_BDHV12</stp>
        <stp>RCOM IN Equity</stp>
        <stp>EARN_FOR_COMMON</stp>
        <stp>FY 2016</stp>
        <stp>FY 2016</stp>
        <stp>[FA1_ymffleas.xlsx]Earnings!R44C10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44" s="4"/>
      </tp>
      <tp t="s">
        <v>—</v>
        <stp/>
        <stp>##V3_BDHV12</stp>
        <stp>RCOM IN Equity</stp>
        <stp>ARDR_DILUTED_EPS_BEF_XO_ITEMS</stp>
        <stp>FY 2018</stp>
        <stp>FY 2018</stp>
        <stp>[FA1_ymffleas.xlsx]Income - As Reported!R82C12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2" s="11"/>
      </tp>
      <tp t="s">
        <v>—</v>
        <stp/>
        <stp>##V3_BDHV12</stp>
        <stp>RCOM IN Equity</stp>
        <stp>ARDR_DILUTED_EPS_BEF_XO_ITEMS</stp>
        <stp>FY 2017</stp>
        <stp>FY 2017</stp>
        <stp>[FA1_ymffleas.xlsx]Income - As Reported!R82C11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2" s="11"/>
      </tp>
      <tp t="s">
        <v>—</v>
        <stp/>
        <stp>##V3_BDHV12</stp>
        <stp>RCOM IN Equity</stp>
        <stp>ARDR_DILUTED_EPS_BEF_XO_ITEMS</stp>
        <stp>FY 2016</stp>
        <stp>FY 2016</stp>
        <stp>[FA1_ymffleas.xlsx]Income - As Reported!R82C10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2" s="11"/>
      </tp>
      <tp>
        <v>78850</v>
        <stp/>
        <stp>##V3_BDHV12</stp>
        <stp>RCOM IN Equity</stp>
        <stp>ARDR_CURRENT_PORTION_OF_LT_DEBT</stp>
        <stp>FY 2015</stp>
        <stp>FY 2015</stp>
        <stp>[FA1_ymffleas.xlsx]Bal Sheet - As Reported!R81C9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1" s="17"/>
      </tp>
      <tp>
        <v>51560</v>
        <stp/>
        <stp>##V3_BDHV12</stp>
        <stp>RCOM IN Equity</stp>
        <stp>ARDR_CURRENT_PORTION_OF_LT_DEBT</stp>
        <stp>FY 2014</stp>
        <stp>FY 2014</stp>
        <stp>[FA1_ymffleas.xlsx]Bal Sheet - As Reported!R81C8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1" s="17"/>
      </tp>
      <tp>
        <v>118716.2</v>
        <stp/>
        <stp>##V3_BDHV12</stp>
        <stp>RCOM IN Equity</stp>
        <stp>ARDR_CURRENT_PORTION_OF_LT_DEBT</stp>
        <stp>FY 2009</stp>
        <stp>FY 2009</stp>
        <stp>[FA1_ymffleas.xlsx]Bal Sheet - As Reported!R81C3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1" s="17"/>
      </tp>
      <tp>
        <v>40690</v>
        <stp/>
        <stp>##V3_BDHV12</stp>
        <stp>RCOM IN Equity</stp>
        <stp>ARDR_CURRENT_PORTION_OF_LT_DEBT</stp>
        <stp>FY 2013</stp>
        <stp>FY 2013</stp>
        <stp>[FA1_ymffleas.xlsx]Bal Sheet - As Reported!R81C7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1" s="17"/>
      </tp>
      <tp>
        <v>31180</v>
        <stp/>
        <stp>##V3_BDHV12</stp>
        <stp>RCOM IN Equity</stp>
        <stp>ARDR_CURRENT_PORTION_OF_LT_DEBT</stp>
        <stp>FY 2012</stp>
        <stp>FY 2012</stp>
        <stp>[FA1_ymffleas.xlsx]Bal Sheet - As Reported!R81C6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1" s="17"/>
      </tp>
      <tp>
        <v>90760</v>
        <stp/>
        <stp>##V3_BDHV12</stp>
        <stp>RCOM IN Equity</stp>
        <stp>ARDR_CURRENT_PORTION_OF_LT_DEBT</stp>
        <stp>FY 2011</stp>
        <stp>FY 2011</stp>
        <stp>[FA1_ymffleas.xlsx]Bal Sheet - As Reported!R81C5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1" s="17"/>
      </tp>
      <tp>
        <v>104636</v>
        <stp/>
        <stp>##V3_BDHV12</stp>
        <stp>RCOM IN Equity</stp>
        <stp>ARDR_CURRENT_PORTION_OF_LT_DEBT</stp>
        <stp>FY 2010</stp>
        <stp>FY 2010</stp>
        <stp>[FA1_ymffleas.xlsx]Bal Sheet - As Reported!R81C4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1" s="17"/>
      </tp>
      <tp>
        <v>0</v>
        <stp/>
        <stp>##V3_BDHV12</stp>
        <stp>RCOM IN Equity</stp>
        <stp>IS_EXTRAORD_ITEMS_&amp;_ACCTG_CHNG</stp>
        <stp>FY 2011</stp>
        <stp>FY 2011</stp>
        <stp>[FA1_ymffleas.xlsx]Income - Adjusted!R93C4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3" s="9"/>
      </tp>
      <tp>
        <v>0</v>
        <stp/>
        <stp>##V3_BDHV12</stp>
        <stp>RCOM IN Equity</stp>
        <stp>IS_EXTRAORD_ITEMS_&amp;_ACCTG_CHNG</stp>
        <stp>FY 2012</stp>
        <stp>FY 2012</stp>
        <stp>[FA1_ymffleas.xlsx]Income - Adjusted!R93C5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3" s="9"/>
      </tp>
      <tp>
        <v>0</v>
        <stp/>
        <stp>##V3_BDHV12</stp>
        <stp>RCOM IN Equity</stp>
        <stp>IS_EXTRAORD_ITEMS_&amp;_ACCTG_CHNG</stp>
        <stp>FY 2013</stp>
        <stp>FY 2013</stp>
        <stp>[FA1_ymffleas.xlsx]Income - Adjusted!R93C6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3" s="9"/>
      </tp>
      <tp>
        <v>0</v>
        <stp/>
        <stp>##V3_BDHV12</stp>
        <stp>RCOM IN Equity</stp>
        <stp>IS_EXTRAORD_ITEMS_&amp;_ACCTG_CHNG</stp>
        <stp>FY 2014</stp>
        <stp>FY 2014</stp>
        <stp>[FA1_ymffleas.xlsx]Income - Adjusted!R93C7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3" s="9"/>
      </tp>
      <tp>
        <v>0</v>
        <stp/>
        <stp>##V3_BDHV12</stp>
        <stp>RCOM IN Equity</stp>
        <stp>IS_EXTRAORD_ITEMS_&amp;_ACCTG_CHNG</stp>
        <stp>FY 2010</stp>
        <stp>FY 2010</stp>
        <stp>[FA1_ymffleas.xlsx]Income - Adjusted!R93C3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3" s="9"/>
      </tp>
      <tp>
        <v>0</v>
        <stp/>
        <stp>##V3_BDHV12</stp>
        <stp>RCOM IN Equity</stp>
        <stp>IS_EXTRAORD_ITEMS_&amp;_ACCTG_CHNG</stp>
        <stp>FY 2015</stp>
        <stp>FY 2015</stp>
        <stp>[FA1_ymffleas.xlsx]Income - Adjusted!R93C8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3" s="9"/>
      </tp>
      <tp>
        <v>0</v>
        <stp/>
        <stp>##V3_BDHV12</stp>
        <stp>RCOM IN Equity</stp>
        <stp>IS_EXTRAORD_ITEMS_&amp;_ACCTG_CHNG</stp>
        <stp>FY 2016</stp>
        <stp>FY 2016</stp>
        <stp>[FA1_ymffleas.xlsx]Income - Adjusted!R93C9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3" s="9"/>
      </tp>
      <tp>
        <v>67.711699999999993</v>
        <stp/>
        <stp>##V3_BDHV12</stp>
        <stp>RCOM IN Equity</stp>
        <stp>EBITDA_MARGIN</stp>
        <stp>FY 2018</stp>
        <stp>FY 2018</stp>
        <stp>[FA1_ymffleas.xlsx]Addl - Overview!R15C11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5" s="29"/>
      </tp>
      <tp>
        <v>2.59</v>
        <stp/>
        <stp>##V3_BDHV12</stp>
        <stp>RCOM IN Equity</stp>
        <stp>IS_EPS</stp>
        <stp>FY 2016</stp>
        <stp>FY 2016</stp>
        <stp>[FA1_ymffleas.xlsx]Income - Adjusted!R110C9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10" s="9"/>
      </tp>
      <tp>
        <v>2467.7006999999999</v>
        <stp/>
        <stp>##V3_BDHV12</stp>
        <stp>RCOM IN Equity</stp>
        <stp>ARDR_WEIGHTED_AVG_SHARE_DILUTED</stp>
        <stp>FY 2017</stp>
        <stp>FY 2017</stp>
        <stp>[FA1_ymffleas.xlsx]Income - As Reported!R84C11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4" s="11"/>
      </tp>
      <tp>
        <v>2467.7006999999999</v>
        <stp/>
        <stp>##V3_BDHV12</stp>
        <stp>RCOM IN Equity</stp>
        <stp>ARDR_WEIGHTED_AVG_SHARE_DILUTED</stp>
        <stp>FY 2016</stp>
        <stp>FY 2016</stp>
        <stp>[FA1_ymffleas.xlsx]Income - As Reported!R84C10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4" s="11"/>
      </tp>
      <tp>
        <v>2582.8681000000001</v>
        <stp/>
        <stp>##V3_BDHV12</stp>
        <stp>RCOM IN Equity</stp>
        <stp>ARDR_WEIGHTED_AVG_SHARE_DILUTED</stp>
        <stp>FY 2018</stp>
        <stp>FY 2018</stp>
        <stp>[FA1_ymffleas.xlsx]Income - As Reported!R84C12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4" s="11"/>
      </tp>
      <tp>
        <v>38.872900000000001</v>
        <stp/>
        <stp>##V3_BDHV12</stp>
        <stp>RCOM IN Equity</stp>
        <stp>LT_DEBT_TO_TOT_CAP</stp>
        <stp>FY 2015</stp>
        <stp>FY 2015</stp>
        <stp>[FA1_ymffleas.xlsx]Credit!R29C9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9" s="23"/>
      </tp>
      <tp>
        <v>9603.2999999999993</v>
        <stp/>
        <stp>##V3_BDHV12</stp>
        <stp>RCOM IN Equity</stp>
        <stp>ARD_CASH_CASH_EQUIV_BEG_OF_PER</stp>
        <stp>FY 2009</stp>
        <stp>FY 2009</stp>
        <stp>[FA1_ymffleas.xlsx]Cash Flow - As Reported!R64C3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4" s="20"/>
      </tp>
      <tp>
        <v>8190</v>
        <stp/>
        <stp>##V3_BDHV12</stp>
        <stp>RCOM IN Equity</stp>
        <stp>ARD_CASH_CASH_EQUIV_BEG_OF_PER</stp>
        <stp>FY 2011</stp>
        <stp>FY 2011</stp>
        <stp>[FA1_ymffleas.xlsx]Cash Flow - As Reported!R64C5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4" s="20"/>
      </tp>
      <tp>
        <v>16829</v>
        <stp/>
        <stp>##V3_BDHV12</stp>
        <stp>RCOM IN Equity</stp>
        <stp>ARD_CASH_CASH_EQUIV_BEG_OF_PER</stp>
        <stp>FY 2010</stp>
        <stp>FY 2010</stp>
        <stp>[FA1_ymffleas.xlsx]Cash Flow - As Reported!R64C4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4" s="20"/>
      </tp>
      <tp>
        <v>5500</v>
        <stp/>
        <stp>##V3_BDHV12</stp>
        <stp>RCOM IN Equity</stp>
        <stp>ARD_CASH_CASH_EQUIV_BEG_OF_PER</stp>
        <stp>FY 2013</stp>
        <stp>FY 2013</stp>
        <stp>[FA1_ymffleas.xlsx]Cash Flow - As Reported!R64C7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4" s="20"/>
      </tp>
      <tp>
        <v>48660</v>
        <stp/>
        <stp>##V3_BDHV12</stp>
        <stp>RCOM IN Equity</stp>
        <stp>ARD_CASH_CASH_EQUIV_BEG_OF_PER</stp>
        <stp>FY 2012</stp>
        <stp>FY 2012</stp>
        <stp>[FA1_ymffleas.xlsx]Cash Flow - As Reported!R64C6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4" s="20"/>
      </tp>
      <tp>
        <v>5040</v>
        <stp/>
        <stp>##V3_BDHV12</stp>
        <stp>RCOM IN Equity</stp>
        <stp>ARD_CASH_CASH_EQUIV_BEG_OF_PER</stp>
        <stp>FY 2015</stp>
        <stp>FY 2015</stp>
        <stp>[FA1_ymffleas.xlsx]Cash Flow - As Reported!R64C9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4" s="20"/>
      </tp>
      <tp>
        <v>7310</v>
        <stp/>
        <stp>##V3_BDHV12</stp>
        <stp>RCOM IN Equity</stp>
        <stp>ARD_CASH_CASH_EQUIV_BEG_OF_PER</stp>
        <stp>FY 2014</stp>
        <stp>FY 2014</stp>
        <stp>[FA1_ymffleas.xlsx]Cash Flow - As Reported!R64C8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4" s="20"/>
      </tp>
      <tp>
        <v>22.553000000000001</v>
        <stp/>
        <stp>##V3_BDHV12</stp>
        <stp>RCOM IN Equity</stp>
        <stp>IS_EPS</stp>
        <stp>FY 2010</stp>
        <stp>FY 2010</stp>
        <stp>[FA1_ymffleas.xlsx]GAAP Highlights!R9C4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9" s="3"/>
      </tp>
      <tp>
        <v>37.177300000000002</v>
        <stp/>
        <stp>##V3_BDHV12</stp>
        <stp>RCOM IN Equity</stp>
        <stp>LT_DEBT_TO_TOT_CAP</stp>
        <stp>FY 2014</stp>
        <stp>FY 2014</stp>
        <stp>[FA1_ymffleas.xlsx]Credit!R29C8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9" s="23"/>
      </tp>
      <tp>
        <v>24.0229</v>
        <stp/>
        <stp>##V3_BDHV12</stp>
        <stp>RCOM IN Equity</stp>
        <stp>LT_DEBT_TO_TOT_CAP</stp>
        <stp>FY 2011</stp>
        <stp>FY 2011</stp>
        <stp>[FA1_ymffleas.xlsx]Credit!R29C5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9" s="23"/>
      </tp>
      <tp>
        <v>26.1097</v>
        <stp/>
        <stp>##V3_BDHV12</stp>
        <stp>RCOM IN Equity</stp>
        <stp>LT_DEBT_TO_TOT_CAP</stp>
        <stp>FY 2010</stp>
        <stp>FY 2010</stp>
        <stp>[FA1_ymffleas.xlsx]Credit!R29C4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9" s="23"/>
      </tp>
      <tp>
        <v>37.673699999999997</v>
        <stp/>
        <stp>##V3_BDHV12</stp>
        <stp>RCOM IN Equity</stp>
        <stp>LT_DEBT_TO_TOT_CAP</stp>
        <stp>FY 2013</stp>
        <stp>FY 2013</stp>
        <stp>[FA1_ymffleas.xlsx]Credit!R29C7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9" s="23"/>
      </tp>
      <tp>
        <v>39.287599999999998</v>
        <stp/>
        <stp>##V3_BDHV12</stp>
        <stp>RCOM IN Equity</stp>
        <stp>LT_DEBT_TO_TOT_CAP</stp>
        <stp>FY 2012</stp>
        <stp>FY 2012</stp>
        <stp>[FA1_ymffleas.xlsx]Credit!R29C6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9" s="23"/>
      </tp>
      <tp t="s">
        <v>—</v>
        <stp/>
        <stp>##V3_BDHV12</stp>
        <stp>RCOM IN Equity</stp>
        <stp>ACCOUNTS_PAYABLE_TURNOVER</stp>
        <stp>FY 2017</stp>
        <stp>FY 2017</stp>
        <stp>[FA1_ymffleas.xlsx]Working Capital!R10C11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0" s="25"/>
      </tp>
      <tp>
        <v>33.241700000000002</v>
        <stp/>
        <stp>##V3_BDHV12</stp>
        <stp>RCOM IN Equity</stp>
        <stp>LT_DEBT_TO_TOT_CAP</stp>
        <stp>FY 2009</stp>
        <stp>FY 2009</stp>
        <stp>[FA1_ymffleas.xlsx]Credit!R29C3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9" s="23"/>
      </tp>
      <tp>
        <v>16829</v>
        <stp/>
        <stp>##V3_BDHV12</stp>
        <stp>RCOM IN Equity</stp>
        <stp>ARD_CASH_CASH_EQUIV_END_OF_PER</stp>
        <stp>FY 2009</stp>
        <stp>FY 2009</stp>
        <stp>[FA1_ymffleas.xlsx]Cash Flow - As Reported!R63C3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3" s="20"/>
      </tp>
      <tp>
        <v>5500</v>
        <stp/>
        <stp>##V3_BDHV12</stp>
        <stp>RCOM IN Equity</stp>
        <stp>ARD_CASH_CASH_EQUIV_END_OF_PER</stp>
        <stp>FY 2012</stp>
        <stp>FY 2012</stp>
        <stp>[FA1_ymffleas.xlsx]Cash Flow - As Reported!R63C6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3" s="20"/>
      </tp>
      <tp>
        <v>7310</v>
        <stp/>
        <stp>##V3_BDHV12</stp>
        <stp>RCOM IN Equity</stp>
        <stp>ARD_CASH_CASH_EQUIV_END_OF_PER</stp>
        <stp>FY 2013</stp>
        <stp>FY 2013</stp>
        <stp>[FA1_ymffleas.xlsx]Cash Flow - As Reported!R63C7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3" s="20"/>
      </tp>
      <tp>
        <v>8185.4</v>
        <stp/>
        <stp>##V3_BDHV12</stp>
        <stp>RCOM IN Equity</stp>
        <stp>ARD_CASH_CASH_EQUIV_END_OF_PER</stp>
        <stp>FY 2010</stp>
        <stp>FY 2010</stp>
        <stp>[FA1_ymffleas.xlsx]Cash Flow - As Reported!R63C4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3" s="20"/>
      </tp>
      <tp>
        <v>48660</v>
        <stp/>
        <stp>##V3_BDHV12</stp>
        <stp>RCOM IN Equity</stp>
        <stp>ARD_CASH_CASH_EQUIV_END_OF_PER</stp>
        <stp>FY 2011</stp>
        <stp>FY 2011</stp>
        <stp>[FA1_ymffleas.xlsx]Cash Flow - As Reported!R63C5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3" s="20"/>
      </tp>
      <tp>
        <v>5040</v>
        <stp/>
        <stp>##V3_BDHV12</stp>
        <stp>RCOM IN Equity</stp>
        <stp>ARD_CASH_CASH_EQUIV_END_OF_PER</stp>
        <stp>FY 2014</stp>
        <stp>FY 2014</stp>
        <stp>[FA1_ymffleas.xlsx]Cash Flow - As Reported!R63C8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3" s="20"/>
      </tp>
      <tp>
        <v>13560</v>
        <stp/>
        <stp>##V3_BDHV12</stp>
        <stp>RCOM IN Equity</stp>
        <stp>ARD_CASH_CASH_EQUIV_END_OF_PER</stp>
        <stp>FY 2015</stp>
        <stp>FY 2015</stp>
        <stp>[FA1_ymffleas.xlsx]Cash Flow - As Reported!R63C9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3" s="20"/>
      </tp>
      <tp t="s">
        <v>—</v>
        <stp/>
        <stp>##V3_BDHV12</stp>
        <stp>RCOM IN Equity</stp>
        <stp>ARD_COST_OF_GOODS_SOLD</stp>
        <stp>FY 2016</stp>
        <stp>FY 2016</stp>
        <stp>[FA1_ymffleas.xlsx]Income - As Reported!R13C10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" s="11"/>
      </tp>
      <tp t="s">
        <v>—</v>
        <stp/>
        <stp>##V3_BDHV12</stp>
        <stp>RCOM IN Equity</stp>
        <stp>ARD_COST_OF_GOODS_SOLD</stp>
        <stp>FY 2017</stp>
        <stp>FY 2017</stp>
        <stp>[FA1_ymffleas.xlsx]Income - As Reported!R13C11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" s="11"/>
      </tp>
      <tp t="s">
        <v>—</v>
        <stp/>
        <stp>##V3_BDHV12</stp>
        <stp>RCOM IN Equity</stp>
        <stp>ARD_COST_OF_GOODS_SOLD</stp>
        <stp>FY 2018</stp>
        <stp>FY 2018</stp>
        <stp>[FA1_ymffleas.xlsx]Income - As Reported!R13C12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" s="11"/>
      </tp>
      <tp>
        <v>2.9695999999999998</v>
        <stp/>
        <stp>##V3_BDHV12</stp>
        <stp>RCOM IN Equity</stp>
        <stp>IS_DILUTED_EPS</stp>
        <stp>FY 2015</stp>
        <stp>FY 2015</stp>
        <stp>[FA1_ymffleas.xlsx]Reconciliation!R51C8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H51" s="12"/>
      </tp>
      <tp>
        <v>-30</v>
        <stp/>
        <stp>##V3_BDHV12</stp>
        <stp>RCOM IN Equity</stp>
        <stp>ARDR_GL_ON_SALE_OF_INVESTMENTS</stp>
        <stp>FY 2016</stp>
        <stp>FY 2016</stp>
        <stp>[FA1_ymffleas.xlsx]Income - As Reported!R96C10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6" s="11"/>
      </tp>
      <tp t="s">
        <v>—</v>
        <stp/>
        <stp>##V3_BDHV12</stp>
        <stp>RCOM IN Equity</stp>
        <stp>ARDR_GL_ON_SALE_OF_INVESTMENTS</stp>
        <stp>FY 2017</stp>
        <stp>FY 2017</stp>
        <stp>[FA1_ymffleas.xlsx]Income - As Reported!R96C11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6" s="11"/>
      </tp>
      <tp t="s">
        <v>—</v>
        <stp/>
        <stp>##V3_BDHV12</stp>
        <stp>RCOM IN Equity</stp>
        <stp>ARDR_GL_ON_SALE_OF_INVESTMENTS</stp>
        <stp>FY 2018</stp>
        <stp>FY 2018</stp>
        <stp>[FA1_ymffleas.xlsx]Income - As Reported!R96C12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6" s="11"/>
      </tp>
      <tp t="s">
        <v>—</v>
        <stp/>
        <stp>##V3_BDHV12</stp>
        <stp>RCOM IN Equity</stp>
        <stp>ARD_DEFERRED_UNEARNED_REV_ST</stp>
        <stp>FY 2014</stp>
        <stp>FY 2014</stp>
        <stp>[FA1_ymffleas.xlsx]Bal Sheet - As Reported!R53C8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3" s="17"/>
      </tp>
      <tp t="s">
        <v>—</v>
        <stp/>
        <stp>##V3_BDHV12</stp>
        <stp>RCOM IN Equity</stp>
        <stp>ARD_DEFERRED_UNEARNED_REV_ST</stp>
        <stp>FY 2015</stp>
        <stp>FY 2015</stp>
        <stp>[FA1_ymffleas.xlsx]Bal Sheet - As Reported!R53C9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3" s="17"/>
      </tp>
      <tp t="s">
        <v>—</v>
        <stp/>
        <stp>##V3_BDHV12</stp>
        <stp>RCOM IN Equity</stp>
        <stp>ARD_DEFERRED_UNEARNED_REV_ST</stp>
        <stp>FY 2009</stp>
        <stp>FY 2009</stp>
        <stp>[FA1_ymffleas.xlsx]Bal Sheet - As Reported!R53C3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3" s="17"/>
      </tp>
      <tp t="s">
        <v>—</v>
        <stp/>
        <stp>##V3_BDHV12</stp>
        <stp>RCOM IN Equity</stp>
        <stp>ARD_DEFERRED_UNEARNED_REV_ST</stp>
        <stp>FY 2012</stp>
        <stp>FY 2012</stp>
        <stp>[FA1_ymffleas.xlsx]Bal Sheet - As Reported!R53C6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3" s="17"/>
      </tp>
      <tp t="s">
        <v>—</v>
        <stp/>
        <stp>##V3_BDHV12</stp>
        <stp>RCOM IN Equity</stp>
        <stp>ARD_DEFERRED_UNEARNED_REV_ST</stp>
        <stp>FY 2013</stp>
        <stp>FY 2013</stp>
        <stp>[FA1_ymffleas.xlsx]Bal Sheet - As Reported!R53C7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3" s="17"/>
      </tp>
      <tp t="s">
        <v>—</v>
        <stp/>
        <stp>##V3_BDHV12</stp>
        <stp>RCOM IN Equity</stp>
        <stp>ARD_DEFERRED_UNEARNED_REV_ST</stp>
        <stp>FY 2010</stp>
        <stp>FY 2010</stp>
        <stp>[FA1_ymffleas.xlsx]Bal Sheet - As Reported!R53C4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3" s="17"/>
      </tp>
      <tp>
        <v>3.26</v>
        <stp/>
        <stp>##V3_BDHV12</stp>
        <stp>RCOM IN Equity</stp>
        <stp>IS_DILUTED_EPS</stp>
        <stp>FY 2013</stp>
        <stp>FY 2013</stp>
        <stp>[FA1_ymffleas.xlsx]Earnings!R15C7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5" s="4"/>
      </tp>
      <tp t="s">
        <v>—</v>
        <stp/>
        <stp>##V3_BDHV12</stp>
        <stp>RCOM IN Equity</stp>
        <stp>ARD_DEFERRED_UNEARNED_REV_ST</stp>
        <stp>FY 2011</stp>
        <stp>FY 2011</stp>
        <stp>[FA1_ymffleas.xlsx]Bal Sheet - As Reported!R53C5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3" s="17"/>
      </tp>
      <tp>
        <v>-10.0459</v>
        <stp/>
        <stp>##V3_BDHV12</stp>
        <stp>RCOM IN Equity</stp>
        <stp>INCREMENTAL_OPERATING_MARGIN</stp>
        <stp>FY 2018</stp>
        <stp>FY 2018</stp>
        <stp>[FA1_ymffleas.xlsx]Profitability!R15C12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5" s="21"/>
      </tp>
      <tp>
        <v>770</v>
        <stp/>
        <stp>##V3_BDHV12</stp>
        <stp>RCOM IN Equity</stp>
        <stp>ARDR_SPARES_AND_CONSUMABLES</stp>
        <stp>FY 2018</stp>
        <stp>FY 2018</stp>
        <stp>[FA1_ymffleas.xlsx]Bal Sheet - As Reported!R166C12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6" s="17"/>
      </tp>
      <tp>
        <v>1560</v>
        <stp/>
        <stp>##V3_BDHV12</stp>
        <stp>RCOM IN Equity</stp>
        <stp>ARDR_SPARES_AND_CONSUMABLES</stp>
        <stp>FY 2016</stp>
        <stp>FY 2016</stp>
        <stp>[FA1_ymffleas.xlsx]Bal Sheet - As Reported!R166C10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6" s="17"/>
      </tp>
      <tp>
        <v>1230</v>
        <stp/>
        <stp>##V3_BDHV12</stp>
        <stp>RCOM IN Equity</stp>
        <stp>ARDR_SPARES_AND_CONSUMABLES</stp>
        <stp>FY 2017</stp>
        <stp>FY 2017</stp>
        <stp>[FA1_ymffleas.xlsx]Bal Sheet - As Reported!R166C11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6" s="17"/>
      </tp>
      <tp>
        <v>1.1985999999999999</v>
        <stp/>
        <stp>##V3_BDHV12</stp>
        <stp>RCOM IN Equity</stp>
        <stp>OPER_INC_TO_INT_EXP</stp>
        <stp>FY 2016</stp>
        <stp>FY 2016</stp>
        <stp>[FA1_ymffleas.xlsx]Credit!R18C10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8" s="23"/>
      </tp>
      <tp t="s">
        <v>—</v>
        <stp/>
        <stp>##V3_BDHV12</stp>
        <stp>RCOM IN Equity</stp>
        <stp>TRAIL_12M_CASH_FLOW_FIRM</stp>
        <stp>FY 2018</stp>
        <stp>FY 2018</stp>
        <stp>[FA1_ymffleas.xlsx]Enterprise Value!R32C11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2" s="5"/>
      </tp>
      <tp t="s">
        <v>—</v>
        <stp/>
        <stp>##V3_BDHV12</stp>
        <stp>RCOM IN Equity</stp>
        <stp>TRAIL_12M_CASH_FLOW_FIRM</stp>
        <stp>FY 2017</stp>
        <stp>FY 2017</stp>
        <stp>[FA1_ymffleas.xlsx]Enterprise Value!R32C10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2" s="5"/>
      </tp>
      <tp>
        <v>-9660</v>
        <stp/>
        <stp>##V3_BDHV12</stp>
        <stp>RCOM IN Equity</stp>
        <stp>IS_COMP_NET_INCOME_ADJUST</stp>
        <stp>FY 2017</stp>
        <stp>FY 2017</stp>
        <stp>[FA1_ymffleas.xlsx]Earnings!R43C11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3" s="4"/>
      </tp>
      <tp>
        <v>6810</v>
        <stp/>
        <stp>##V3_BDHV12</stp>
        <stp>RCOM IN Equity</stp>
        <stp>IS_COMP_NET_INCOME_ADJUST</stp>
        <stp>FY 2016</stp>
        <stp>FY 2016</stp>
        <stp>[FA1_ymffleas.xlsx]Earnings!R43C10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3" s="4"/>
      </tp>
      <tp t="s">
        <v>—</v>
        <stp/>
        <stp>##V3_BDHV12</stp>
        <stp>RCOM IN Equity</stp>
        <stp>IS_COMP_NET_INCOME_ADJUST</stp>
        <stp>FY 2018</stp>
        <stp>FY 2018</stp>
        <stp>[FA1_ymffleas.xlsx]Earnings!R43C12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3" s="4"/>
      </tp>
      <tp t="s">
        <v>—</v>
        <stp/>
        <stp>##V3_BDHV12</stp>
        <stp>RCOM IN Equity</stp>
        <stp>ARDR_DILUTED_EPS</stp>
        <stp>FY 2017</stp>
        <stp>FY 2017</stp>
        <stp>[FA1_ymffleas.xlsx]Income - As Reported!R83C11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3" s="11"/>
      </tp>
      <tp t="s">
        <v>—</v>
        <stp/>
        <stp>##V3_BDHV12</stp>
        <stp>RCOM IN Equity</stp>
        <stp>ARD_FOR_CRNCY_TRANS_ADJ_TAX</stp>
        <stp>FY 2014</stp>
        <stp>FY 2014</stp>
        <stp>[FA1_ymffleas.xlsx]Income - As Reported!R57C8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7" s="11"/>
      </tp>
      <tp t="s">
        <v>—</v>
        <stp/>
        <stp>##V3_BDHV12</stp>
        <stp>RCOM IN Equity</stp>
        <stp>ARD_FOR_CRNCY_TRANS_ADJ_TAX</stp>
        <stp>FY 2015</stp>
        <stp>FY 2015</stp>
        <stp>[FA1_ymffleas.xlsx]Income - As Reported!R57C9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7" s="11"/>
      </tp>
      <tp t="s">
        <v>—</v>
        <stp/>
        <stp>##V3_BDHV12</stp>
        <stp>RCOM IN Equity</stp>
        <stp>ARD_FOR_CRNCY_TRANS_ADJ_TAX</stp>
        <stp>FY 2012</stp>
        <stp>FY 2012</stp>
        <stp>[FA1_ymffleas.xlsx]Income - As Reported!R57C6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7" s="11"/>
      </tp>
      <tp t="s">
        <v>—</v>
        <stp/>
        <stp>##V3_BDHV12</stp>
        <stp>RCOM IN Equity</stp>
        <stp>ARD_FOR_CRNCY_TRANS_ADJ_TAX</stp>
        <stp>FY 2013</stp>
        <stp>FY 2013</stp>
        <stp>[FA1_ymffleas.xlsx]Income - As Reported!R57C7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7" s="11"/>
      </tp>
      <tp t="s">
        <v>—</v>
        <stp/>
        <stp>##V3_BDHV12</stp>
        <stp>RCOM IN Equity</stp>
        <stp>ARD_FOR_CRNCY_TRANS_ADJ_TAX</stp>
        <stp>FY 2010</stp>
        <stp>FY 2010</stp>
        <stp>[FA1_ymffleas.xlsx]Income - As Reported!R57C4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7" s="11"/>
      </tp>
      <tp t="s">
        <v>—</v>
        <stp/>
        <stp>##V3_BDHV12</stp>
        <stp>RCOM IN Equity</stp>
        <stp>ARD_FOR_CRNCY_TRANS_ADJ_TAX</stp>
        <stp>FY 2011</stp>
        <stp>FY 2011</stp>
        <stp>[FA1_ymffleas.xlsx]Income - As Reported!R57C5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7" s="11"/>
      </tp>
      <tp t="s">
        <v>—</v>
        <stp/>
        <stp>##V3_BDHV12</stp>
        <stp>RCOM IN Equity</stp>
        <stp>ARD_FOR_CRNCY_TRANS_ADJ_TAX</stp>
        <stp>FY 2009</stp>
        <stp>FY 2009</stp>
        <stp>[FA1_ymffleas.xlsx]Income - As Reported!R57C3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7" s="11"/>
      </tp>
      <tp>
        <v>2.59</v>
        <stp/>
        <stp>##V3_BDHV12</stp>
        <stp>RCOM IN Equity</stp>
        <stp>ARDR_DILUTED_EPS</stp>
        <stp>FY 2016</stp>
        <stp>FY 2016</stp>
        <stp>[FA1_ymffleas.xlsx]Income - As Reported!R83C10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3" s="11"/>
      </tp>
      <tp t="s">
        <v>—</v>
        <stp/>
        <stp>##V3_BDHV12</stp>
        <stp>RCOM IN Equity</stp>
        <stp>ARDR_DILUTED_EPS</stp>
        <stp>FY 2018</stp>
        <stp>FY 2018</stp>
        <stp>[FA1_ymffleas.xlsx]Income - As Reported!R83C12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3" s="11"/>
      </tp>
      <tp>
        <v>546923.1</v>
        <stp/>
        <stp>##V3_BDHV12</stp>
        <stp>RCOM IN Equity</stp>
        <stp>ARDR_PLANT_AND_EQUIPMENT_GROSS</stp>
        <stp>FY 2010</stp>
        <stp>FY 2010</stp>
        <stp>[FA1_ymffleas.xlsx]Bal Sheet - As Reported!R162C4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2" s="17"/>
      </tp>
      <tp>
        <v>575100</v>
        <stp/>
        <stp>##V3_BDHV12</stp>
        <stp>RCOM IN Equity</stp>
        <stp>ARDR_PLANT_AND_EQUIPMENT_GROSS</stp>
        <stp>FY 2011</stp>
        <stp>FY 2011</stp>
        <stp>[FA1_ymffleas.xlsx]Bal Sheet - As Reported!R162C5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2" s="17"/>
      </tp>
      <tp>
        <v>653580</v>
        <stp/>
        <stp>##V3_BDHV12</stp>
        <stp>RCOM IN Equity</stp>
        <stp>ARDR_PLANT_AND_EQUIPMENT_GROSS</stp>
        <stp>FY 2012</stp>
        <stp>FY 2012</stp>
        <stp>[FA1_ymffleas.xlsx]Bal Sheet - As Reported!R162C6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2" s="17"/>
      </tp>
      <tp>
        <v>701940</v>
        <stp/>
        <stp>##V3_BDHV12</stp>
        <stp>RCOM IN Equity</stp>
        <stp>ARDR_PLANT_AND_EQUIPMENT_GROSS</stp>
        <stp>FY 2013</stp>
        <stp>FY 2013</stp>
        <stp>[FA1_ymffleas.xlsx]Bal Sheet - As Reported!R162C7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2" s="17"/>
      </tp>
      <tp>
        <v>515744.7</v>
        <stp/>
        <stp>##V3_BDHV12</stp>
        <stp>RCOM IN Equity</stp>
        <stp>ARDR_PLANT_AND_EQUIPMENT_GROSS</stp>
        <stp>FY 2009</stp>
        <stp>FY 2009</stp>
        <stp>[FA1_ymffleas.xlsx]Bal Sheet - As Reported!R162C3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2" s="17"/>
      </tp>
      <tp>
        <v>749440</v>
        <stp/>
        <stp>##V3_BDHV12</stp>
        <stp>RCOM IN Equity</stp>
        <stp>ARDR_PLANT_AND_EQUIPMENT_GROSS</stp>
        <stp>FY 2014</stp>
        <stp>FY 2014</stp>
        <stp>[FA1_ymffleas.xlsx]Bal Sheet - As Reported!R162C8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2" s="17"/>
      </tp>
      <tp>
        <v>771110</v>
        <stp/>
        <stp>##V3_BDHV12</stp>
        <stp>RCOM IN Equity</stp>
        <stp>ARDR_PLANT_AND_EQUIPMENT_GROSS</stp>
        <stp>FY 2015</stp>
        <stp>FY 2015</stp>
        <stp>[FA1_ymffleas.xlsx]Bal Sheet - As Reported!R162C9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2" s="17"/>
      </tp>
      <tp>
        <v>-94.519300000000001</v>
        <stp/>
        <stp>##V3_BDHV12</stp>
        <stp>RCOM IN Equity</stp>
        <stp>ACCOUNTS_PAYABLE_GROWTH_1YR</stp>
        <stp>FY 2009</stp>
        <stp>FY 2009</stp>
        <stp>[FA1_ymffleas.xlsx]Growth!R23C3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3" s="22"/>
      </tp>
      <tp>
        <v>22.7104</v>
        <stp/>
        <stp>##V3_BDHV12</stp>
        <stp>RCOM IN Equity</stp>
        <stp>ACCOUNTS_PAYABLE_GROWTH_1YR</stp>
        <stp>FY 2012</stp>
        <stp>FY 2012</stp>
        <stp>[FA1_ymffleas.xlsx]Growth!R23C6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3" s="22"/>
      </tp>
      <tp>
        <v>1.9845000000000002</v>
        <stp/>
        <stp>##V3_BDHV12</stp>
        <stp>RCOM IN Equity</stp>
        <stp>ACCOUNTS_PAYABLE_GROWTH_1YR</stp>
        <stp>FY 2013</stp>
        <stp>FY 2013</stp>
        <stp>[FA1_ymffleas.xlsx]Growth!R23C7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3" s="22"/>
      </tp>
      <tp>
        <v>304.79500000000002</v>
        <stp/>
        <stp>##V3_BDHV12</stp>
        <stp>RCOM IN Equity</stp>
        <stp>ACCOUNTS_PAYABLE_GROWTH_1YR</stp>
        <stp>FY 2010</stp>
        <stp>FY 2010</stp>
        <stp>[FA1_ymffleas.xlsx]Growth!R23C4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3" s="22"/>
      </tp>
      <tp>
        <v>-2.0741000000000001</v>
        <stp/>
        <stp>##V3_BDHV12</stp>
        <stp>RCOM IN Equity</stp>
        <stp>ACCOUNTS_PAYABLE_GROWTH_1YR</stp>
        <stp>FY 2011</stp>
        <stp>FY 2011</stp>
        <stp>[FA1_ymffleas.xlsx]Growth!R23C5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3" s="22"/>
      </tp>
      <tp>
        <v>48.731000000000002</v>
        <stp/>
        <stp>##V3_BDHV12</stp>
        <stp>RCOM IN Equity</stp>
        <stp>ACCOUNTS_PAYABLE_GROWTH_1YR</stp>
        <stp>FY 2014</stp>
        <stp>FY 2014</stp>
        <stp>[FA1_ymffleas.xlsx]Growth!R23C8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3" s="22"/>
      </tp>
      <tp>
        <v>76.507400000000004</v>
        <stp/>
        <stp>##V3_BDHV12</stp>
        <stp>RCOM IN Equity</stp>
        <stp>ACCOUNTS_PAYABLE_GROWTH_1YR</stp>
        <stp>FY 2015</stp>
        <stp>FY 2015</stp>
        <stp>[FA1_ymffleas.xlsx]Growth!R23C9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3" s="22"/>
      </tp>
      <tp>
        <v>78850</v>
        <stp/>
        <stp>##V3_BDHV12</stp>
        <stp>RCOM IN Equity</stp>
        <stp>ARDR_OTHER_ST_LOANS_BORROWINGS</stp>
        <stp>FY 2015</stp>
        <stp>FY 2015</stp>
        <stp>[FA1_ymffleas.xlsx]Bal Sheet - As Reported!R151C9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1" s="17"/>
      </tp>
      <tp>
        <v>54290</v>
        <stp/>
        <stp>##V3_BDHV12</stp>
        <stp>RCOM IN Equity</stp>
        <stp>ARDR_OTHER_ST_LOANS_BORROWINGS</stp>
        <stp>FY 2014</stp>
        <stp>FY 2014</stp>
        <stp>[FA1_ymffleas.xlsx]Bal Sheet - As Reported!R151C8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1" s="17"/>
      </tp>
      <tp>
        <v>179340</v>
        <stp/>
        <stp>##V3_BDHV12</stp>
        <stp>RCOM IN Equity</stp>
        <stp>ARDR_OTHER_ST_LOANS_BORROWINGS</stp>
        <stp>FY 2011</stp>
        <stp>FY 2011</stp>
        <stp>[FA1_ymffleas.xlsx]Bal Sheet - As Reported!R151C5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1" s="17"/>
      </tp>
      <tp>
        <v>3.9</v>
        <stp/>
        <stp>##V3_BDHV12</stp>
        <stp>RCOM IN Equity</stp>
        <stp>ARDR_OTHER_ST_LOANS_BORROWINGS</stp>
        <stp>FY 2010</stp>
        <stp>FY 2010</stp>
        <stp>[FA1_ymffleas.xlsx]Bal Sheet - As Reported!R151C4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1" s="17"/>
      </tp>
      <tp>
        <v>44060</v>
        <stp/>
        <stp>##V3_BDHV12</stp>
        <stp>RCOM IN Equity</stp>
        <stp>ARDR_OTHER_ST_LOANS_BORROWINGS</stp>
        <stp>FY 2013</stp>
        <stp>FY 2013</stp>
        <stp>[FA1_ymffleas.xlsx]Bal Sheet - As Reported!R151C7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1" s="17"/>
      </tp>
      <tp>
        <v>31270</v>
        <stp/>
        <stp>##V3_BDHV12</stp>
        <stp>RCOM IN Equity</stp>
        <stp>ARDR_OTHER_ST_LOANS_BORROWINGS</stp>
        <stp>FY 2012</stp>
        <stp>FY 2012</stp>
        <stp>[FA1_ymffleas.xlsx]Bal Sheet - As Reported!R151C6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1" s="17"/>
      </tp>
      <tp>
        <v>0</v>
        <stp/>
        <stp>##V3_BDHV12</stp>
        <stp>RCOM IN Equity</stp>
        <stp>ARDR_OTHER_ST_LOANS_BORROWINGS</stp>
        <stp>FY 2009</stp>
        <stp>FY 2009</stp>
        <stp>[FA1_ymffleas.xlsx]Bal Sheet - As Reported!R151C3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1" s="17"/>
      </tp>
      <tp t="s">
        <v>—</v>
        <stp/>
        <stp>##V3_BDHV12</stp>
        <stp>RCOM IN Equity</stp>
        <stp>GEO_GROW_EBITDA</stp>
        <stp>FY 2009</stp>
        <stp>FY 2009</stp>
        <stp>[FA1_ymffleas.xlsx]Growth!R37C3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37" s="22"/>
      </tp>
      <tp>
        <v>0.78</v>
        <stp/>
        <stp>##V3_BDHV12</stp>
        <stp>RCOM IN Equity</stp>
        <stp>NORM_NET_INC_TO_NET_INC_FO_COM</stp>
        <stp>FY 2016</stp>
        <stp>FY 2016</stp>
        <stp>[FA1_ymffleas.xlsx]DuPont Analysis!R9C10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9" s="27"/>
      </tp>
      <tp>
        <v>0.95209999999999995</v>
        <stp/>
        <stp>##V3_BDHV12</stp>
        <stp>RCOM IN Equity</stp>
        <stp>LOW_PRICE_TO_TANGIBLE_BPS</stp>
        <stp>FY 2015</stp>
        <stp>FY 2015</stp>
        <stp>[FA1_ymffleas.xlsx]Multiples!R19C8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9" s="6"/>
      </tp>
      <tp>
        <v>0.79459999999999997</v>
        <stp/>
        <stp>##V3_BDHV12</stp>
        <stp>RCOM IN Equity</stp>
        <stp>LOW_PRICE_TO_TANGIBLE_BPS</stp>
        <stp>FY 2016</stp>
        <stp>FY 2016</stp>
        <stp>[FA1_ymffleas.xlsx]Multiples!R19C9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9" s="6"/>
      </tp>
      <tp t="s">
        <v>—</v>
        <stp/>
        <stp>##V3_BDHV12</stp>
        <stp>RCOM IN Equity</stp>
        <stp>EBITDA_AFT_CAPEX_TO_CASH_INT_PD</stp>
        <stp>FY 2015</stp>
        <stp>FY 2015</stp>
        <stp>[FA1_ymffleas.xlsx]Credit!R21C9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1" s="23"/>
      </tp>
      <tp>
        <v>0.86240000000000006</v>
        <stp/>
        <stp>##V3_BDHV12</stp>
        <stp>RCOM IN Equity</stp>
        <stp>LOW_PRICE_TO_TANGIBLE_BPS</stp>
        <stp>FY 2011</stp>
        <stp>FY 2011</stp>
        <stp>[FA1_ymffleas.xlsx]Multiples!R19C4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9" s="6"/>
      </tp>
      <tp>
        <v>0.63180000000000003</v>
        <stp/>
        <stp>##V3_BDHV12</stp>
        <stp>RCOM IN Equity</stp>
        <stp>LOW_PRICE_TO_TANGIBLE_BPS</stp>
        <stp>FY 2012</stp>
        <stp>FY 2012</stp>
        <stp>[FA1_ymffleas.xlsx]Multiples!R19C5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9" s="6"/>
      </tp>
      <tp>
        <v>1.179</v>
        <stp/>
        <stp>##V3_BDHV12</stp>
        <stp>RCOM IN Equity</stp>
        <stp>LOW_PRICE_TO_TANGIBLE_BPS</stp>
        <stp>FY 2013</stp>
        <stp>FY 2013</stp>
        <stp>[FA1_ymffleas.xlsx]Multiples!R19C6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9" s="6"/>
      </tp>
      <tp>
        <v>80</v>
        <stp/>
        <stp>##V3_BDHV12</stp>
        <stp>RCOM IN Equity</stp>
        <stp>BS_TAXES_PAYABLE</stp>
        <stp>FY 2014</stp>
        <stp>FY 2014</stp>
        <stp>[FA1_ymffleas.xlsx]Bal Sheet - Standardized!R79C8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9" s="16"/>
      </tp>
      <tp>
        <v>280</v>
        <stp/>
        <stp>##V3_BDHV12</stp>
        <stp>RCOM IN Equity</stp>
        <stp>BS_TAXES_PAYABLE</stp>
        <stp>FY 2015</stp>
        <stp>FY 2015</stp>
        <stp>[FA1_ymffleas.xlsx]Bal Sheet - Standardized!R79C9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9" s="16"/>
      </tp>
      <tp>
        <v>5016.8999999999996</v>
        <stp/>
        <stp>##V3_BDHV12</stp>
        <stp>RCOM IN Equity</stp>
        <stp>BS_TAXES_PAYABLE</stp>
        <stp>FY 2010</stp>
        <stp>FY 2010</stp>
        <stp>[FA1_ymffleas.xlsx]Bal Sheet - Standardized!R79C4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9" s="16"/>
      </tp>
      <tp>
        <v>2360</v>
        <stp/>
        <stp>##V3_BDHV12</stp>
        <stp>RCOM IN Equity</stp>
        <stp>BS_TAXES_PAYABLE</stp>
        <stp>FY 2011</stp>
        <stp>FY 2011</stp>
        <stp>[FA1_ymffleas.xlsx]Bal Sheet - Standardized!R79C5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9" s="16"/>
      </tp>
      <tp>
        <v>620</v>
        <stp/>
        <stp>##V3_BDHV12</stp>
        <stp>RCOM IN Equity</stp>
        <stp>BS_TAXES_PAYABLE</stp>
        <stp>FY 2012</stp>
        <stp>FY 2012</stp>
        <stp>[FA1_ymffleas.xlsx]Bal Sheet - Standardized!R79C6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9" s="16"/>
      </tp>
      <tp>
        <v>900</v>
        <stp/>
        <stp>##V3_BDHV12</stp>
        <stp>RCOM IN Equity</stp>
        <stp>BS_TAXES_PAYABLE</stp>
        <stp>FY 2013</stp>
        <stp>FY 2013</stp>
        <stp>[FA1_ymffleas.xlsx]Bal Sheet - Standardized!R79C7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9" s="16"/>
      </tp>
      <tp>
        <v>2438.9</v>
        <stp/>
        <stp>##V3_BDHV12</stp>
        <stp>RCOM IN Equity</stp>
        <stp>BS_TAXES_PAYABLE</stp>
        <stp>FY 2009</stp>
        <stp>FY 2009</stp>
        <stp>[FA1_ymffleas.xlsx]Bal Sheet - Standardized!R79C3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9" s="16"/>
      </tp>
      <tp>
        <v>1.534</v>
        <stp/>
        <stp>##V3_BDHV12</stp>
        <stp>RCOM IN Equity</stp>
        <stp>LOW_PRICE_TO_TANGIBLE_BPS</stp>
        <stp>FY 2014</stp>
        <stp>FY 2014</stp>
        <stp>[FA1_ymffleas.xlsx]Multiples!R19C7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9" s="6"/>
      </tp>
      <tp>
        <v>-26.077100000000002</v>
        <stp/>
        <stp>##V3_BDHV12</stp>
        <stp>RCOM IN Equity</stp>
        <stp>DILUTED_EPS_AFT_XO_ITEMS_GROWTH</stp>
        <stp>FY 2013</stp>
        <stp>FY 2013</stp>
        <stp>[FA1_ymffleas.xlsx]Growth!R11C7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1" s="22"/>
      </tp>
      <tp>
        <v>1.7092000000000001</v>
        <stp/>
        <stp>##V3_BDHV12</stp>
        <stp>RCOM IN Equity</stp>
        <stp>LOW_PRICE_TO_TANGIBLE_BPS</stp>
        <stp>FY 2010</stp>
        <stp>FY 2010</stp>
        <stp>[FA1_ymffleas.xlsx]Multiples!R19C3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9" s="6"/>
      </tp>
      <tp>
        <v>8.5</v>
        <stp/>
        <stp>##V3_BDHV12</stp>
        <stp>RCOM IN Equity</stp>
        <stp>ARDR_EXP_RET_PLAN_ASSET_HEALTH</stp>
        <stp>FY 2012</stp>
        <stp>FY 2012</stp>
        <stp>[FA1_ymffleas.xlsx]Bal Sheet - As Reported!R105C6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05" s="17"/>
      </tp>
      <tp>
        <v>8.6999999999999993</v>
        <stp/>
        <stp>##V3_BDHV12</stp>
        <stp>RCOM IN Equity</stp>
        <stp>ARDR_EXP_RET_PLAN_ASSET_HEALTH</stp>
        <stp>FY 2013</stp>
        <stp>FY 2013</stp>
        <stp>[FA1_ymffleas.xlsx]Bal Sheet - As Reported!R105C7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05" s="17"/>
      </tp>
      <tp>
        <v>7.5</v>
        <stp/>
        <stp>##V3_BDHV12</stp>
        <stp>RCOM IN Equity</stp>
        <stp>ARDR_EXP_RET_PLAN_ASSET_HEALTH</stp>
        <stp>FY 2010</stp>
        <stp>FY 2010</stp>
        <stp>[FA1_ymffleas.xlsx]Bal Sheet - As Reported!R105C4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05" s="17"/>
      </tp>
      <tp>
        <v>8.1999999999999993</v>
        <stp/>
        <stp>##V3_BDHV12</stp>
        <stp>RCOM IN Equity</stp>
        <stp>ARDR_EXP_RET_PLAN_ASSET_HEALTH</stp>
        <stp>FY 2011</stp>
        <stp>FY 2011</stp>
        <stp>[FA1_ymffleas.xlsx]Bal Sheet - As Reported!R105C5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05" s="17"/>
      </tp>
      <tp>
        <v>7</v>
        <stp/>
        <stp>##V3_BDHV12</stp>
        <stp>RCOM IN Equity</stp>
        <stp>ARDR_EXP_RET_PLAN_ASSET_HEALTH</stp>
        <stp>FY 2009</stp>
        <stp>FY 2009</stp>
        <stp>[FA1_ymffleas.xlsx]Bal Sheet - As Reported!R105C3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05" s="17"/>
      </tp>
      <tp>
        <v>0</v>
        <stp/>
        <stp>##V3_BDHV12</stp>
        <stp>RCOM IN Equity</stp>
        <stp>IS_D&amp;A_NONGAAP_ADJUSTMENTS</stp>
        <stp>FY 2016</stp>
        <stp>FY 2016</stp>
        <stp>[FA1_ymffleas.xlsx]Reconciliation!R13C9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" s="12"/>
      </tp>
      <tp>
        <v>0</v>
        <stp/>
        <stp>##V3_BDHV12</stp>
        <stp>RCOM IN Equity</stp>
        <stp>IS_D&amp;A_NONGAAP_ADJUSTMENTS</stp>
        <stp>FY 2015</stp>
        <stp>FY 2015</stp>
        <stp>[FA1_ymffleas.xlsx]Reconciliation!R13C8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" s="12"/>
      </tp>
      <tp>
        <v>0</v>
        <stp/>
        <stp>##V3_BDHV12</stp>
        <stp>RCOM IN Equity</stp>
        <stp>IS_D&amp;A_NONGAAP_ADJUSTMENTS</stp>
        <stp>FY 2014</stp>
        <stp>FY 2014</stp>
        <stp>[FA1_ymffleas.xlsx]Reconciliation!R13C7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" s="12"/>
      </tp>
      <tp>
        <v>0</v>
        <stp/>
        <stp>##V3_BDHV12</stp>
        <stp>RCOM IN Equity</stp>
        <stp>IS_D&amp;A_NONGAAP_ADJUSTMENTS</stp>
        <stp>FY 2013</stp>
        <stp>FY 2013</stp>
        <stp>[FA1_ymffleas.xlsx]Reconciliation!R13C6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" s="12"/>
      </tp>
      <tp>
        <v>0</v>
        <stp/>
        <stp>##V3_BDHV12</stp>
        <stp>RCOM IN Equity</stp>
        <stp>IS_D&amp;A_NONGAAP_ADJUSTMENTS</stp>
        <stp>FY 2012</stp>
        <stp>FY 2012</stp>
        <stp>[FA1_ymffleas.xlsx]Reconciliation!R13C5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" s="12"/>
      </tp>
      <tp>
        <v>0</v>
        <stp/>
        <stp>##V3_BDHV12</stp>
        <stp>RCOM IN Equity</stp>
        <stp>IS_D&amp;A_NONGAAP_ADJUSTMENTS</stp>
        <stp>FY 2011</stp>
        <stp>FY 2011</stp>
        <stp>[FA1_ymffleas.xlsx]Reconciliation!R13C4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" s="12"/>
      </tp>
      <tp>
        <v>0</v>
        <stp/>
        <stp>##V3_BDHV12</stp>
        <stp>RCOM IN Equity</stp>
        <stp>IS_D&amp;A_NONGAAP_ADJUSTMENTS</stp>
        <stp>FY 2010</stp>
        <stp>FY 2010</stp>
        <stp>[FA1_ymffleas.xlsx]Reconciliation!R13C3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" s="12"/>
      </tp>
      <tp>
        <v>9.3000000000000007</v>
        <stp/>
        <stp>##V3_BDHV12</stp>
        <stp>RCOM IN Equity</stp>
        <stp>ARDR_EXP_RET_PLAN_ASSET_HEALTH</stp>
        <stp>FY 2014</stp>
        <stp>FY 2014</stp>
        <stp>[FA1_ymffleas.xlsx]Bal Sheet - As Reported!R105C8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05" s="17"/>
      </tp>
      <tp>
        <v>7.98</v>
        <stp/>
        <stp>##V3_BDHV12</stp>
        <stp>RCOM IN Equity</stp>
        <stp>ARDR_EXP_RET_PLAN_ASSET_HEALTH</stp>
        <stp>FY 2015</stp>
        <stp>FY 2015</stp>
        <stp>[FA1_ymffleas.xlsx]Bal Sheet - As Reported!R105C9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05" s="17"/>
      </tp>
      <tp>
        <v>21040</v>
        <stp/>
        <stp>##V3_BDHV12</stp>
        <stp>RCOM IN Equity</stp>
        <stp>IS_SELLING_EXPENSES</stp>
        <stp>FY 2011</stp>
        <stp>FY 2011</stp>
        <stp>[FA1_ymffleas.xlsx]Income - GAAP!R23C4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23" s="10"/>
      </tp>
      <tp>
        <v>19890</v>
        <stp/>
        <stp>##V3_BDHV12</stp>
        <stp>RCOM IN Equity</stp>
        <stp>IS_SELLING_EXPENSES</stp>
        <stp>FY 2012</stp>
        <stp>FY 2012</stp>
        <stp>[FA1_ymffleas.xlsx]Income - GAAP!R23C5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23" s="10"/>
      </tp>
      <tp>
        <v>18540</v>
        <stp/>
        <stp>##V3_BDHV12</stp>
        <stp>RCOM IN Equity</stp>
        <stp>IS_SELLING_EXPENSES</stp>
        <stp>FY 2013</stp>
        <stp>FY 2013</stp>
        <stp>[FA1_ymffleas.xlsx]Income - GAAP!R23C6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23" s="10"/>
      </tp>
      <tp>
        <v>15430</v>
        <stp/>
        <stp>##V3_BDHV12</stp>
        <stp>RCOM IN Equity</stp>
        <stp>IS_SELLING_EXPENSES</stp>
        <stp>FY 2014</stp>
        <stp>FY 2014</stp>
        <stp>[FA1_ymffleas.xlsx]Income - GAAP!R23C7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23" s="10"/>
      </tp>
      <tp>
        <v>4.5999999999999999E-3</v>
        <stp/>
        <stp>##V3_BDHV12</stp>
        <stp>RCOM IN Equity</stp>
        <stp>IS_DISPOSAL_ASSETS_DILUTED_SHARE</stp>
        <stp>FY 2010</stp>
        <stp>FY 2010</stp>
        <stp>[FA1_ymffleas.xlsx]Reconciliation!R48C3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8" s="12"/>
      </tp>
      <tp>
        <v>-1.0383</v>
        <stp/>
        <stp>##V3_BDHV12</stp>
        <stp>RCOM IN Equity</stp>
        <stp>IS_DISPOSAL_ASSETS_DILUTED_SHARE</stp>
        <stp>FY 2011</stp>
        <stp>FY 2011</stp>
        <stp>[FA1_ymffleas.xlsx]Reconciliation!R48C4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8" s="12"/>
      </tp>
      <tp>
        <v>-2.2499999999999999E-2</v>
        <stp/>
        <stp>##V3_BDHV12</stp>
        <stp>RCOM IN Equity</stp>
        <stp>IS_DISPOSAL_ASSETS_DILUTED_SHARE</stp>
        <stp>FY 2012</stp>
        <stp>FY 2012</stp>
        <stp>[FA1_ymffleas.xlsx]Reconciliation!R48C5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8" s="12"/>
      </tp>
      <tp>
        <v>9.5899999999999999E-2</v>
        <stp/>
        <stp>##V3_BDHV12</stp>
        <stp>RCOM IN Equity</stp>
        <stp>IS_DISPOSAL_ASSETS_DILUTED_SHARE</stp>
        <stp>FY 2013</stp>
        <stp>FY 2013</stp>
        <stp>[FA1_ymffleas.xlsx]Reconciliation!R48C6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8" s="12"/>
      </tp>
      <tp>
        <v>22498.9</v>
        <stp/>
        <stp>##V3_BDHV12</stp>
        <stp>RCOM IN Equity</stp>
        <stp>IS_SELLING_EXPENSES</stp>
        <stp>FY 2010</stp>
        <stp>FY 2010</stp>
        <stp>[FA1_ymffleas.xlsx]Income - GAAP!R23C3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23" s="10"/>
      </tp>
      <tp>
        <v>6.4000000000000001E-2</v>
        <stp/>
        <stp>##V3_BDHV12</stp>
        <stp>RCOM IN Equity</stp>
        <stp>IS_DISPOSAL_ASSETS_DILUTED_SHARE</stp>
        <stp>FY 2014</stp>
        <stp>FY 2014</stp>
        <stp>[FA1_ymffleas.xlsx]Reconciliation!R48C7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8" s="12"/>
      </tp>
      <tp>
        <v>-5.5999999999999999E-3</v>
        <stp/>
        <stp>##V3_BDHV12</stp>
        <stp>RCOM IN Equity</stp>
        <stp>IS_DISPOSAL_ASSETS_DILUTED_SHARE</stp>
        <stp>FY 2015</stp>
        <stp>FY 2015</stp>
        <stp>[FA1_ymffleas.xlsx]Reconciliation!R48C8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8" s="12"/>
      </tp>
      <tp>
        <v>-0.56179999999999997</v>
        <stp/>
        <stp>##V3_BDHV12</stp>
        <stp>RCOM IN Equity</stp>
        <stp>IS_DISPOSAL_ASSETS_DILUTED_SHARE</stp>
        <stp>FY 2016</stp>
        <stp>FY 2016</stp>
        <stp>[FA1_ymffleas.xlsx]Reconciliation!R48C9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8" s="12"/>
      </tp>
      <tp>
        <v>19.6587</v>
        <stp/>
        <stp>##V3_BDHV12</stp>
        <stp>RCOM IN Equity</stp>
        <stp>AVERAGE_EV_TO_T12M_EBIT</stp>
        <stp>FY 2017</stp>
        <stp>FY 2017</stp>
        <stp>[FA1_ymffleas.xlsx]Multiples!R47C10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47" s="6"/>
      </tp>
      <tp t="s">
        <v>—</v>
        <stp/>
        <stp>##V3_BDHV12</stp>
        <stp>RCOM IN Equity</stp>
        <stp>ARDR_PROVISION_FOR_WEALTH_TAX</stp>
        <stp>FY 2009</stp>
        <stp>FY 2009</stp>
        <stp>[FA1_ymffleas.xlsx]Bal Sheet - As Reported!R186C3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6" s="17"/>
      </tp>
      <tp t="s">
        <v>—</v>
        <stp/>
        <stp>##V3_BDHV12</stp>
        <stp>RCOM IN Equity</stp>
        <stp>ARDR_PROVISION_FOR_WEALTH_TAX</stp>
        <stp>FY 2011</stp>
        <stp>FY 2011</stp>
        <stp>[FA1_ymffleas.xlsx]Bal Sheet - As Reported!R186C5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6" s="17"/>
      </tp>
      <tp t="s">
        <v>—</v>
        <stp/>
        <stp>##V3_BDHV12</stp>
        <stp>RCOM IN Equity</stp>
        <stp>ARDR_PROVISION_FOR_WEALTH_TAX</stp>
        <stp>FY 2010</stp>
        <stp>FY 2010</stp>
        <stp>[FA1_ymffleas.xlsx]Bal Sheet - As Reported!R186C4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6" s="17"/>
      </tp>
      <tp t="s">
        <v>—</v>
        <stp/>
        <stp>##V3_BDHV12</stp>
        <stp>RCOM IN Equity</stp>
        <stp>ARDR_PROVISION_FOR_WEALTH_TAX</stp>
        <stp>FY 2013</stp>
        <stp>FY 2013</stp>
        <stp>[FA1_ymffleas.xlsx]Bal Sheet - As Reported!R186C7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6" s="17"/>
      </tp>
      <tp t="s">
        <v>—</v>
        <stp/>
        <stp>##V3_BDHV12</stp>
        <stp>RCOM IN Equity</stp>
        <stp>ARDR_PROVISION_FOR_WEALTH_TAX</stp>
        <stp>FY 2012</stp>
        <stp>FY 2012</stp>
        <stp>[FA1_ymffleas.xlsx]Bal Sheet - As Reported!R186C6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6" s="17"/>
      </tp>
      <tp>
        <v>10</v>
        <stp/>
        <stp>##V3_BDHV12</stp>
        <stp>RCOM IN Equity</stp>
        <stp>ARDR_PROVISION_FOR_WEALTH_TAX</stp>
        <stp>FY 2015</stp>
        <stp>FY 2015</stp>
        <stp>[FA1_ymffleas.xlsx]Bal Sheet - As Reported!R186C9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6" s="17"/>
      </tp>
      <tp>
        <v>10</v>
        <stp/>
        <stp>##V3_BDHV12</stp>
        <stp>RCOM IN Equity</stp>
        <stp>ARDR_PROVISION_FOR_WEALTH_TAX</stp>
        <stp>FY 2014</stp>
        <stp>FY 2014</stp>
        <stp>[FA1_ymffleas.xlsx]Bal Sheet - As Reported!R186C8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6" s="17"/>
      </tp>
      <tp>
        <v>16750</v>
        <stp/>
        <stp>##V3_BDHV12</stp>
        <stp>RCOM IN Equity</stp>
        <stp>IS_SELLING_EXPENSES</stp>
        <stp>FY 2015</stp>
        <stp>FY 2015</stp>
        <stp>[FA1_ymffleas.xlsx]Income - GAAP!R23C8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23" s="10"/>
      </tp>
      <tp>
        <v>17780</v>
        <stp/>
        <stp>##V3_BDHV12</stp>
        <stp>RCOM IN Equity</stp>
        <stp>IS_SELLING_EXPENSES</stp>
        <stp>FY 2016</stp>
        <stp>FY 2016</stp>
        <stp>[FA1_ymffleas.xlsx]Income - GAAP!R23C9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23" s="10"/>
      </tp>
      <tp>
        <v>3.26</v>
        <stp/>
        <stp>##V3_BDHV12</stp>
        <stp>RCOM IN Equity</stp>
        <stp>IS_EPS</stp>
        <stp>FY 2013</stp>
        <stp>FY 2013</stp>
        <stp>[FA1_ymffleas.xlsx]GAAP Highlights!R9C7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9" s="3"/>
      </tp>
      <tp>
        <v>62320</v>
        <stp/>
        <stp>##V3_BDHV12</stp>
        <stp>RCOM IN Equity</stp>
        <stp>IS_OPERATING_EXPN</stp>
        <stp>FY 2017</stp>
        <stp>FY 2017</stp>
        <stp>[FA1_ymffleas.xlsx]Income - Adjusted!R19C10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9" s="9"/>
      </tp>
      <tp t="s">
        <v>—</v>
        <stp/>
        <stp>##V3_BDHV12</stp>
        <stp>RCOM IN Equity</stp>
        <stp>ACCOUNTS_PAYABLE_TURNOVER</stp>
        <stp>FY 2018</stp>
        <stp>FY 2018</stp>
        <stp>[FA1_ymffleas.xlsx]Working Capital!R10C12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0" s="25"/>
      </tp>
      <tp>
        <v>45080</v>
        <stp/>
        <stp>##V3_BDHV12</stp>
        <stp>RCOM IN Equity</stp>
        <stp>IS_OPERATING_EXPN</stp>
        <stp>FY 2018</stp>
        <stp>FY 2018</stp>
        <stp>[FA1_ymffleas.xlsx]Income - Adjusted!R19C11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9" s="9"/>
      </tp>
      <tp>
        <v>123.52679999999999</v>
        <stp/>
        <stp>##V3_BDHV12</stp>
        <stp>RCOM IN Equity</stp>
        <stp>EV_TO_T12M_EBIT</stp>
        <stp>FY 2017</stp>
        <stp>FY 2017</stp>
        <stp>[FA1_ymffleas.xlsx]Multiples!R46C10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46" s="6"/>
      </tp>
      <tp>
        <v>2.0196999999999998</v>
        <stp/>
        <stp>##V3_BDHV12</stp>
        <stp>RCOM IN Equity</stp>
        <stp>IS_DILUTED_EPS</stp>
        <stp>FY 2016</stp>
        <stp>FY 2016</stp>
        <stp>[FA1_ymffleas.xlsx]Reconciliation!R51C9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I51" s="12"/>
      </tp>
      <tp t="s">
        <v>—</v>
        <stp/>
        <stp>##V3_BDHV12</stp>
        <stp>RCOM IN Equity</stp>
        <stp>ARDR_ACCRUED_INT_RECEIVABLE</stp>
        <stp>FY 2016</stp>
        <stp>FY 2016</stp>
        <stp>[FA1_ymffleas.xlsx]Bal Sheet - As Reported!R117C10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7" s="17"/>
      </tp>
      <tp t="s">
        <v>—</v>
        <stp/>
        <stp>##V3_BDHV12</stp>
        <stp>RCOM IN Equity</stp>
        <stp>ARDR_ACCRUED_INT_RECEIVABLE</stp>
        <stp>FY 2017</stp>
        <stp>FY 2017</stp>
        <stp>[FA1_ymffleas.xlsx]Bal Sheet - As Reported!R117C11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7" s="17"/>
      </tp>
      <tp t="s">
        <v>—</v>
        <stp/>
        <stp>##V3_BDHV12</stp>
        <stp>RCOM IN Equity</stp>
        <stp>ARDR_ACCRUED_INT_RECEIVABLE</stp>
        <stp>FY 2018</stp>
        <stp>FY 2018</stp>
        <stp>[FA1_ymffleas.xlsx]Bal Sheet - As Reported!R117C12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7" s="17"/>
      </tp>
      <tp>
        <v>4.41</v>
        <stp/>
        <stp>##V3_BDHV12</stp>
        <stp>RCOM IN Equity</stp>
        <stp>IS_DILUTED_EPS</stp>
        <stp>FY 2012</stp>
        <stp>FY 2012</stp>
        <stp>[FA1_ymffleas.xlsx]Earnings!R15C6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5" s="4"/>
      </tp>
      <tp>
        <v>30200</v>
        <stp/>
        <stp>##V3_BDHV12</stp>
        <stp>RCOM IN Equity</stp>
        <stp>ARD_SELLING_GENERAL_ADMIN_EXP</stp>
        <stp>FY 2014</stp>
        <stp>FY 2014</stp>
        <stp>[FA1_ymffleas.xlsx]Income - As Reported!R16C8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" s="11"/>
      </tp>
      <tp>
        <v>27070</v>
        <stp/>
        <stp>##V3_BDHV12</stp>
        <stp>RCOM IN Equity</stp>
        <stp>ARD_SELLING_GENERAL_ADMIN_EXP</stp>
        <stp>FY 2015</stp>
        <stp>FY 2015</stp>
        <stp>[FA1_ymffleas.xlsx]Income - As Reported!R16C9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" s="11"/>
      </tp>
      <tp>
        <v>29570</v>
        <stp/>
        <stp>##V3_BDHV12</stp>
        <stp>RCOM IN Equity</stp>
        <stp>ARD_SELLING_GENERAL_ADMIN_EXP</stp>
        <stp>FY 2012</stp>
        <stp>FY 2012</stp>
        <stp>[FA1_ymffleas.xlsx]Income - As Reported!R16C6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" s="11"/>
      </tp>
      <tp>
        <v>30620</v>
        <stp/>
        <stp>##V3_BDHV12</stp>
        <stp>RCOM IN Equity</stp>
        <stp>ARD_SELLING_GENERAL_ADMIN_EXP</stp>
        <stp>FY 2013</stp>
        <stp>FY 2013</stp>
        <stp>[FA1_ymffleas.xlsx]Income - As Reported!R16C7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" s="11"/>
      </tp>
      <tp>
        <v>35328.400000000001</v>
        <stp/>
        <stp>##V3_BDHV12</stp>
        <stp>RCOM IN Equity</stp>
        <stp>ARD_SELLING_GENERAL_ADMIN_EXP</stp>
        <stp>FY 2010</stp>
        <stp>FY 2010</stp>
        <stp>[FA1_ymffleas.xlsx]Income - As Reported!R16C4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" s="11"/>
      </tp>
      <tp>
        <v>32750</v>
        <stp/>
        <stp>##V3_BDHV12</stp>
        <stp>RCOM IN Equity</stp>
        <stp>ARD_SELLING_GENERAL_ADMIN_EXP</stp>
        <stp>FY 2011</stp>
        <stp>FY 2011</stp>
        <stp>[FA1_ymffleas.xlsx]Income - As Reported!R16C5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" s="11"/>
      </tp>
      <tp>
        <v>39862.5</v>
        <stp/>
        <stp>##V3_BDHV12</stp>
        <stp>RCOM IN Equity</stp>
        <stp>ARD_SELLING_GENERAL_ADMIN_EXP</stp>
        <stp>FY 2009</stp>
        <stp>FY 2009</stp>
        <stp>[FA1_ymffleas.xlsx]Income - As Reported!R16C3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" s="11"/>
      </tp>
      <tp>
        <v>1120</v>
        <stp/>
        <stp>##V3_BDHV12</stp>
        <stp>RCOM IN Equity</stp>
        <stp>INVTRY_FINISHED_GOODS</stp>
        <stp>FY 2017</stp>
        <stp>FY 2017</stp>
        <stp>[FA1_ymffleas.xlsx]Working Capital!R19C11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" s="25"/>
      </tp>
      <tp>
        <v>520</v>
        <stp/>
        <stp>##V3_BDHV12</stp>
        <stp>RCOM IN Equity</stp>
        <stp>INVTRY_FINISHED_GOODS</stp>
        <stp>FY 2016</stp>
        <stp>FY 2016</stp>
        <stp>[FA1_ymffleas.xlsx]Working Capital!R19C10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" s="25"/>
      </tp>
      <tp>
        <v>1.9643000000000002</v>
        <stp/>
        <stp>##V3_BDHV12</stp>
        <stp>RCOM IN Equity</stp>
        <stp>OPER_INC_TO_INT_EXP</stp>
        <stp>FY 2017</stp>
        <stp>FY 2017</stp>
        <stp>[FA1_ymffleas.xlsx]Credit!R18C11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8" s="23"/>
      </tp>
      <tp>
        <v>20</v>
        <stp/>
        <stp>##V3_BDHV12</stp>
        <stp>RCOM IN Equity</stp>
        <stp>INVTRY_FINISHED_GOODS</stp>
        <stp>FY 2018</stp>
        <stp>FY 2018</stp>
        <stp>[FA1_ymffleas.xlsx]Working Capital!R19C12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" s="25"/>
      </tp>
      <tp>
        <v>18.739699999999999</v>
        <stp/>
        <stp>##V3_BDHV12</stp>
        <stp>RCOM IN Equity</stp>
        <stp>HIGH_PRICE_TO_FREE_CASH_FLOW</stp>
        <stp>FY 2015</stp>
        <stp>FY 2015</stp>
        <stp>[FA1_ymffleas.xlsx]Multiples!R33C8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3" s="6"/>
      </tp>
      <tp t="s">
        <v>—</v>
        <stp/>
        <stp>##V3_BDHV12</stp>
        <stp>RCOM IN Equity</stp>
        <stp>HIGH_PRICE_TO_FREE_CASH_FLOW</stp>
        <stp>FY 2016</stp>
        <stp>FY 2016</stp>
        <stp>[FA1_ymffleas.xlsx]Multiples!R33C9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3" s="6"/>
      </tp>
      <tp>
        <v>900</v>
        <stp/>
        <stp>##V3_BDHV12</stp>
        <stp>RCOM IN Equity</stp>
        <stp>BS_TOTAL_CAPITAL_LEASES</stp>
        <stp>FY 2017</stp>
        <stp>FY 2017</stp>
        <stp>[FA1_ymffleas.xlsx]Bal Sheet - Standardized!R162C11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2" s="16"/>
      </tp>
      <tp>
        <v>1110</v>
        <stp/>
        <stp>##V3_BDHV12</stp>
        <stp>RCOM IN Equity</stp>
        <stp>BS_TOTAL_CAPITAL_LEASES</stp>
        <stp>FY 2016</stp>
        <stp>FY 2016</stp>
        <stp>[FA1_ymffleas.xlsx]Bal Sheet - Standardized!R162C10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2" s="16"/>
      </tp>
      <tp>
        <v>0</v>
        <stp/>
        <stp>##V3_BDHV12</stp>
        <stp>RCOM IN Equity</stp>
        <stp>BS_TOTAL_CAPITAL_LEASES</stp>
        <stp>FY 2018</stp>
        <stp>FY 2018</stp>
        <stp>[FA1_ymffleas.xlsx]Bal Sheet - Standardized!R162C12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2" s="16"/>
      </tp>
      <tp>
        <v>63.400700000000001</v>
        <stp/>
        <stp>##V3_BDHV12</stp>
        <stp>RCOM IN Equity</stp>
        <stp>TOT_DEBT_TO_TOT_ASSET</stp>
        <stp>FY 2018</stp>
        <stp>FY 2018</stp>
        <stp>[FA1_ymffleas.xlsx]Liquidity!R18C12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8" s="24"/>
      </tp>
      <tp>
        <v>45.856400000000001</v>
        <stp/>
        <stp>##V3_BDHV12</stp>
        <stp>RCOM IN Equity</stp>
        <stp>TOT_DEBT_TO_TOT_ASSET</stp>
        <stp>FY 2017</stp>
        <stp>FY 2017</stp>
        <stp>[FA1_ymffleas.xlsx]Liquidity!R18C11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8" s="24"/>
      </tp>
      <tp>
        <v>42.160800000000002</v>
        <stp/>
        <stp>##V3_BDHV12</stp>
        <stp>RCOM IN Equity</stp>
        <stp>TOT_DEBT_TO_TOT_ASSET</stp>
        <stp>FY 2016</stp>
        <stp>FY 2016</stp>
        <stp>[FA1_ymffleas.xlsx]Liquidity!R18C10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8" s="24"/>
      </tp>
      <tp>
        <v>51.615099999999998</v>
        <stp/>
        <stp>##V3_BDHV12</stp>
        <stp>RCOM IN Equity</stp>
        <stp>HIGH_PRICE_TO_FREE_CASH_FLOW</stp>
        <stp>FY 2010</stp>
        <stp>FY 2010</stp>
        <stp>[FA1_ymffleas.xlsx]Multiples!R33C3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3" s="6"/>
      </tp>
      <tp t="s">
        <v>—</v>
        <stp/>
        <stp>##V3_BDHV12</stp>
        <stp>RCOM IN Equity</stp>
        <stp>HIGH_PRICE_TO_FREE_CASH_FLOW</stp>
        <stp>FY 2013</stp>
        <stp>FY 2013</stp>
        <stp>[FA1_ymffleas.xlsx]Multiples!R33C6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3" s="6"/>
      </tp>
      <tp>
        <v>15.6043</v>
        <stp/>
        <stp>##V3_BDHV12</stp>
        <stp>RCOM IN Equity</stp>
        <stp>HIGH_PRICE_TO_FREE_CASH_FLOW</stp>
        <stp>FY 2014</stp>
        <stp>FY 2014</stp>
        <stp>[FA1_ymffleas.xlsx]Multiples!R33C7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3" s="6"/>
      </tp>
      <tp>
        <v>61.242600000000003</v>
        <stp/>
        <stp>##V3_BDHV12</stp>
        <stp>RCOM IN Equity</stp>
        <stp>HIGH_PRICE_TO_FREE_CASH_FLOW</stp>
        <stp>FY 2011</stp>
        <stp>FY 2011</stp>
        <stp>[FA1_ymffleas.xlsx]Multiples!R33C4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3" s="6"/>
      </tp>
      <tp t="s">
        <v>—</v>
        <stp/>
        <stp>##V3_BDHV12</stp>
        <stp>RCOM IN Equity</stp>
        <stp>HIGH_PRICE_TO_FREE_CASH_FLOW</stp>
        <stp>FY 2012</stp>
        <stp>FY 2012</stp>
        <stp>[FA1_ymffleas.xlsx]Multiples!R33C5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3" s="6"/>
      </tp>
      <tp>
        <v>-16.648299999999999</v>
        <stp/>
        <stp>##V3_BDHV12</stp>
        <stp>RCOM IN Equity</stp>
        <stp>INVENTORY_5_YEAR_GROWTH</stp>
        <stp>FY 2016</stp>
        <stp>FY 2016</stp>
        <stp>[FA1_ymffleas.xlsx]Growth!R46C10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6" s="22"/>
      </tp>
      <tp>
        <v>-16.121600000000001</v>
        <stp/>
        <stp>##V3_BDHV12</stp>
        <stp>RCOM IN Equity</stp>
        <stp>INVENTORY_5_YEAR_GROWTH</stp>
        <stp>FY 2017</stp>
        <stp>FY 2017</stp>
        <stp>[FA1_ymffleas.xlsx]Growth!R46C11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6" s="22"/>
      </tp>
      <tp>
        <v>-30.776399999999999</v>
        <stp/>
        <stp>##V3_BDHV12</stp>
        <stp>RCOM IN Equity</stp>
        <stp>INVENTORY_5_YEAR_GROWTH</stp>
        <stp>FY 2018</stp>
        <stp>FY 2018</stp>
        <stp>[FA1_ymffleas.xlsx]Growth!R46C12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6" s="22"/>
      </tp>
      <tp t="s">
        <v>—</v>
        <stp/>
        <stp>##V3_BDHV12</stp>
        <stp>RCOM IN Equity</stp>
        <stp>NORM_NET_INC_TO_NET_INC_FO_COM</stp>
        <stp>FY 2017</stp>
        <stp>FY 2017</stp>
        <stp>[FA1_ymffleas.xlsx]DuPont Analysis!R9C11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9" s="27"/>
      </tp>
      <tp>
        <v>1.5045999999999999</v>
        <stp/>
        <stp>##V3_BDHV12</stp>
        <stp>RCOM IN Equity</stp>
        <stp>EBITDA_AFT_CAPEX_TO_CASH_INT_PD</stp>
        <stp>FY 2014</stp>
        <stp>FY 2014</stp>
        <stp>[FA1_ymffleas.xlsx]Credit!R21C8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1" s="23"/>
      </tp>
      <tp t="s">
        <v>—</v>
        <stp/>
        <stp>##V3_BDHV12</stp>
        <stp>RCOM IN Equity</stp>
        <stp>ARD_DEPR_AMORT_AND_WRITE_DOWNS</stp>
        <stp>FY 2015</stp>
        <stp>FY 2015</stp>
        <stp>[FA1_ymffleas.xlsx]Income - As Reported!R20C9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" s="11"/>
      </tp>
      <tp t="s">
        <v>—</v>
        <stp/>
        <stp>##V3_BDHV12</stp>
        <stp>RCOM IN Equity</stp>
        <stp>ARD_DEPR_AMORT_AND_WRITE_DOWNS</stp>
        <stp>FY 2014</stp>
        <stp>FY 2014</stp>
        <stp>[FA1_ymffleas.xlsx]Income - As Reported!R20C8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" s="11"/>
      </tp>
      <tp t="s">
        <v>—</v>
        <stp/>
        <stp>##V3_BDHV12</stp>
        <stp>RCOM IN Equity</stp>
        <stp>ARD_DEPR_AMORT_AND_WRITE_DOWNS</stp>
        <stp>FY 2009</stp>
        <stp>FY 2009</stp>
        <stp>[FA1_ymffleas.xlsx]Income - As Reported!R20C3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" s="11"/>
      </tp>
      <tp t="s">
        <v>—</v>
        <stp/>
        <stp>##V3_BDHV12</stp>
        <stp>RCOM IN Equity</stp>
        <stp>ARD_DEPR_AMORT_AND_WRITE_DOWNS</stp>
        <stp>FY 2011</stp>
        <stp>FY 2011</stp>
        <stp>[FA1_ymffleas.xlsx]Income - As Reported!R20C5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" s="11"/>
      </tp>
      <tp>
        <v>37465.1</v>
        <stp/>
        <stp>##V3_BDHV12</stp>
        <stp>RCOM IN Equity</stp>
        <stp>ARD_DEPR_AMORT_AND_WRITE_DOWNS</stp>
        <stp>FY 2010</stp>
        <stp>FY 2010</stp>
        <stp>[FA1_ymffleas.xlsx]Income - As Reported!R20C4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" s="11"/>
      </tp>
      <tp>
        <v>38450</v>
        <stp/>
        <stp>##V3_BDHV12</stp>
        <stp>RCOM IN Equity</stp>
        <stp>ARD_DEPR_AMORT_AND_WRITE_DOWNS</stp>
        <stp>FY 2013</stp>
        <stp>FY 2013</stp>
        <stp>[FA1_ymffleas.xlsx]Income - As Reported!R20C7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" s="11"/>
      </tp>
      <tp>
        <v>39780</v>
        <stp/>
        <stp>##V3_BDHV12</stp>
        <stp>RCOM IN Equity</stp>
        <stp>ARD_DEPR_AMORT_AND_WRITE_DOWNS</stp>
        <stp>FY 2012</stp>
        <stp>FY 2012</stp>
        <stp>[FA1_ymffleas.xlsx]Income - As Reported!R20C6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" s="11"/>
      </tp>
      <tp>
        <v>0</v>
        <stp/>
        <stp>##V3_BDHV12</stp>
        <stp>RCOM IN Equity</stp>
        <stp>DVD_PAYOUT_RATIO</stp>
        <stp>FY 2018</stp>
        <stp>FY 2018</stp>
        <stp>[FA1_ymffleas.xlsx]Dividend Summary!R9C12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9" s="31"/>
      </tp>
      <tp>
        <v>-29.401800000000001</v>
        <stp/>
        <stp>##V3_BDHV12</stp>
        <stp>RCOM IN Equity</stp>
        <stp>DILUTED_EPS_AFT_XO_ITEMS_GROWTH</stp>
        <stp>FY 2012</stp>
        <stp>FY 2012</stp>
        <stp>[FA1_ymffleas.xlsx]Growth!R11C6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1" s="22"/>
      </tp>
      <tp>
        <v>96.977699999999999</v>
        <stp/>
        <stp>##V3_BDHV12</stp>
        <stp>RCOM IN Equity</stp>
        <stp>NET_DEBT_TO_SHRHLDR_EQTY</stp>
        <stp>FY 2015</stp>
        <stp>FY 2015</stp>
        <stp>[FA1_ymffleas.xlsx]Credit!R36C9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6" s="23"/>
      </tp>
      <tp>
        <v>122.71980000000001</v>
        <stp/>
        <stp>##V3_BDHV12</stp>
        <stp>RCOM IN Equity</stp>
        <stp>NET_DEBT_TO_SHRHLDR_EQTY</stp>
        <stp>FY 2014</stp>
        <stp>FY 2014</stp>
        <stp>[FA1_ymffleas.xlsx]Credit!R36C8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6" s="23"/>
      </tp>
      <tp>
        <v>17.525300000000001</v>
        <stp/>
        <stp>##V3_BDHV12</stp>
        <stp>RCOM IN Equity</stp>
        <stp>LT_DEBT_TO_TOT_ASSET</stp>
        <stp>FY 2018</stp>
        <stp>FY 2018</stp>
        <stp>[FA1_ymffleas.xlsx]Credit!R30C12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30" s="23"/>
      </tp>
      <tp>
        <v>22.610800000000001</v>
        <stp/>
        <stp>##V3_BDHV12</stp>
        <stp>RCOM IN Equity</stp>
        <stp>LT_DEBT_TO_TOT_ASSET</stp>
        <stp>FY 2017</stp>
        <stp>FY 2017</stp>
        <stp>[FA1_ymffleas.xlsx]Credit!R30C11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0" s="23"/>
      </tp>
      <tp>
        <v>28.141999999999999</v>
        <stp/>
        <stp>##V3_BDHV12</stp>
        <stp>RCOM IN Equity</stp>
        <stp>LT_DEBT_TO_TOT_ASSET</stp>
        <stp>FY 2016</stp>
        <stp>FY 2016</stp>
        <stp>[FA1_ymffleas.xlsx]Credit!R30C10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0" s="23"/>
      </tp>
      <tp>
        <v>65.668899999999994</v>
        <stp/>
        <stp>##V3_BDHV12</stp>
        <stp>RCOM IN Equity</stp>
        <stp>NET_DEBT_TO_SHRHLDR_EQTY</stp>
        <stp>FY 2009</stp>
        <stp>FY 2009</stp>
        <stp>[FA1_ymffleas.xlsx]Credit!R36C3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6" s="23"/>
      </tp>
      <tp>
        <v>38170</v>
        <stp/>
        <stp>##V3_BDHV12</stp>
        <stp>RCOM IN Equity</stp>
        <stp>ADJUSTED_D&amp;A_EXPENSES</stp>
        <stp>FY 2015</stp>
        <stp>FY 2015</stp>
        <stp>[FA1_ymffleas.xlsx]Reconciliation!R17C8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" s="12"/>
      </tp>
      <tp>
        <v>44840</v>
        <stp/>
        <stp>##V3_BDHV12</stp>
        <stp>RCOM IN Equity</stp>
        <stp>ADJUSTED_D&amp;A_EXPENSES</stp>
        <stp>FY 2016</stp>
        <stp>FY 2016</stp>
        <stp>[FA1_ymffleas.xlsx]Reconciliation!R17C9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" s="12"/>
      </tp>
      <tp>
        <v>65040</v>
        <stp/>
        <stp>##V3_BDHV12</stp>
        <stp>RCOM IN Equity</stp>
        <stp>ADJUSTED_D&amp;A_EXPENSES</stp>
        <stp>FY 2011</stp>
        <stp>FY 2011</stp>
        <stp>[FA1_ymffleas.xlsx]Reconciliation!R17C4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" s="12"/>
      </tp>
      <tp>
        <v>39780</v>
        <stp/>
        <stp>##V3_BDHV12</stp>
        <stp>RCOM IN Equity</stp>
        <stp>ADJUSTED_D&amp;A_EXPENSES</stp>
        <stp>FY 2012</stp>
        <stp>FY 2012</stp>
        <stp>[FA1_ymffleas.xlsx]Reconciliation!R17C5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" s="12"/>
      </tp>
      <tp>
        <v>38450</v>
        <stp/>
        <stp>##V3_BDHV12</stp>
        <stp>RCOM IN Equity</stp>
        <stp>ADJUSTED_D&amp;A_EXPENSES</stp>
        <stp>FY 2013</stp>
        <stp>FY 2013</stp>
        <stp>[FA1_ymffleas.xlsx]Reconciliation!R17C6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" s="12"/>
      </tp>
      <tp>
        <v>45350</v>
        <stp/>
        <stp>##V3_BDHV12</stp>
        <stp>RCOM IN Equity</stp>
        <stp>ADJUSTED_D&amp;A_EXPENSES</stp>
        <stp>FY 2014</stp>
        <stp>FY 2014</stp>
        <stp>[FA1_ymffleas.xlsx]Reconciliation!R17C7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" s="12"/>
      </tp>
      <tp>
        <v>37465.1</v>
        <stp/>
        <stp>##V3_BDHV12</stp>
        <stp>RCOM IN Equity</stp>
        <stp>ADJUSTED_D&amp;A_EXPENSES</stp>
        <stp>FY 2010</stp>
        <stp>FY 2010</stp>
        <stp>[FA1_ymffleas.xlsx]Reconciliation!R17C3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" s="12"/>
      </tp>
      <tp>
        <v>116.45699999999999</v>
        <stp/>
        <stp>##V3_BDHV12</stp>
        <stp>RCOM IN Equity</stp>
        <stp>NET_DEBT_TO_SHRHLDR_EQTY</stp>
        <stp>FY 2013</stp>
        <stp>FY 2013</stp>
        <stp>[FA1_ymffleas.xlsx]Credit!R36C7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6" s="23"/>
      </tp>
      <tp>
        <v>100.2099</v>
        <stp/>
        <stp>##V3_BDHV12</stp>
        <stp>RCOM IN Equity</stp>
        <stp>NET_DEBT_TO_SHRHLDR_EQTY</stp>
        <stp>FY 2012</stp>
        <stp>FY 2012</stp>
        <stp>[FA1_ymffleas.xlsx]Credit!R36C6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6" s="23"/>
      </tp>
      <tp>
        <v>81.680899999999994</v>
        <stp/>
        <stp>##V3_BDHV12</stp>
        <stp>RCOM IN Equity</stp>
        <stp>NET_DEBT_TO_SHRHLDR_EQTY</stp>
        <stp>FY 2011</stp>
        <stp>FY 2011</stp>
        <stp>[FA1_ymffleas.xlsx]Credit!R36C5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6" s="23"/>
      </tp>
      <tp>
        <v>56.468600000000002</v>
        <stp/>
        <stp>##V3_BDHV12</stp>
        <stp>RCOM IN Equity</stp>
        <stp>NET_DEBT_TO_SHRHLDR_EQTY</stp>
        <stp>FY 2010</stp>
        <stp>FY 2010</stp>
        <stp>[FA1_ymffleas.xlsx]Credit!R36C4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6" s="23"/>
      </tp>
      <tp>
        <v>64840</v>
        <stp/>
        <stp>##V3_BDHV12</stp>
        <stp>RCOM IN Equity</stp>
        <stp>ARDR_GENERAL_RESERVES</stp>
        <stp>FY 2015</stp>
        <stp>FY 2015</stp>
        <stp>[FA1_ymffleas.xlsx]Bal Sheet - As Reported!R168C9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8" s="17"/>
      </tp>
      <tp>
        <v>84610</v>
        <stp/>
        <stp>##V3_BDHV12</stp>
        <stp>RCOM IN Equity</stp>
        <stp>ARDR_GENERAL_RESERVES</stp>
        <stp>FY 2014</stp>
        <stp>FY 2014</stp>
        <stp>[FA1_ymffleas.xlsx]Bal Sheet - As Reported!R168C8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8" s="17"/>
      </tp>
      <tp>
        <v>107880</v>
        <stp/>
        <stp>##V3_BDHV12</stp>
        <stp>RCOM IN Equity</stp>
        <stp>ARDR_GENERAL_RESERVES</stp>
        <stp>FY 2013</stp>
        <stp>FY 2013</stp>
        <stp>[FA1_ymffleas.xlsx]Bal Sheet - As Reported!R168C7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8" s="17"/>
      </tp>
      <tp>
        <v>134180</v>
        <stp/>
        <stp>##V3_BDHV12</stp>
        <stp>RCOM IN Equity</stp>
        <stp>ARDR_GENERAL_RESERVES</stp>
        <stp>FY 2012</stp>
        <stp>FY 2012</stp>
        <stp>[FA1_ymffleas.xlsx]Bal Sheet - As Reported!R168C6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8" s="17"/>
      </tp>
      <tp>
        <v>181750</v>
        <stp/>
        <stp>##V3_BDHV12</stp>
        <stp>RCOM IN Equity</stp>
        <stp>ARDR_GENERAL_RESERVES</stp>
        <stp>FY 2011</stp>
        <stp>FY 2011</stp>
        <stp>[FA1_ymffleas.xlsx]Bal Sheet - As Reported!R168C5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8" s="17"/>
      </tp>
      <tp>
        <v>223409.4</v>
        <stp/>
        <stp>##V3_BDHV12</stp>
        <stp>RCOM IN Equity</stp>
        <stp>ARDR_GENERAL_RESERVES</stp>
        <stp>FY 2010</stp>
        <stp>FY 2010</stp>
        <stp>[FA1_ymffleas.xlsx]Bal Sheet - As Reported!R168C4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8" s="17"/>
      </tp>
      <tp>
        <v>240276.2</v>
        <stp/>
        <stp>##V3_BDHV12</stp>
        <stp>RCOM IN Equity</stp>
        <stp>ARDR_GENERAL_RESERVES</stp>
        <stp>FY 2009</stp>
        <stp>FY 2009</stp>
        <stp>[FA1_ymffleas.xlsx]Bal Sheet - As Reported!R168C3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8" s="17"/>
      </tp>
      <tp>
        <v>21.619299999999999</v>
        <stp/>
        <stp>##V3_BDHV12</stp>
        <stp>RCOM IN Equity</stp>
        <stp>IS_DILUTED_EPS</stp>
        <stp>FY 2010</stp>
        <stp>FY 2010</stp>
        <stp>[FA1_ymffleas.xlsx]Income - Adjusted!R115C3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15" s="9"/>
      </tp>
      <tp>
        <v>57.6584</v>
        <stp/>
        <stp>##V3_BDHV12</stp>
        <stp>RCOM IN Equity</stp>
        <stp>EPS_DILUTED_BEF_ABNRML_SEQ_GRWTH</stp>
        <stp>FY 2014</stp>
        <stp>FY 2014</stp>
        <stp>[FA1_ymffleas.xlsx]Growth!R66C8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6" s="22"/>
      </tp>
      <tp>
        <v>-41.861400000000003</v>
        <stp/>
        <stp>##V3_BDHV12</stp>
        <stp>RCOM IN Equity</stp>
        <stp>EPS_DILUTED_BEF_ABNRML_SEQ_GRWTH</stp>
        <stp>FY 2015</stp>
        <stp>FY 2015</stp>
        <stp>[FA1_ymffleas.xlsx]Growth!R66C9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6" s="22"/>
      </tp>
      <tp>
        <v>9.3872999999999998</v>
        <stp/>
        <stp>##V3_BDHV12</stp>
        <stp>RCOM IN Equity</stp>
        <stp>EPS_DILUTED_BEF_ABNRML_SEQ_GRWTH</stp>
        <stp>FY 2012</stp>
        <stp>FY 2012</stp>
        <stp>[FA1_ymffleas.xlsx]Growth!R66C6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6" s="22"/>
      </tp>
      <tp>
        <v>-41.111600000000003</v>
        <stp/>
        <stp>##V3_BDHV12</stp>
        <stp>RCOM IN Equity</stp>
        <stp>EPS_DILUTED_BEF_ABNRML_SEQ_GRWTH</stp>
        <stp>FY 2013</stp>
        <stp>FY 2013</stp>
        <stp>[FA1_ymffleas.xlsx]Growth!R66C7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6" s="22"/>
      </tp>
      <tp>
        <v>-18.9604</v>
        <stp/>
        <stp>##V3_BDHV12</stp>
        <stp>RCOM IN Equity</stp>
        <stp>EPS_DILUTED_BEF_ABNRML_SEQ_GRWTH</stp>
        <stp>FY 2010</stp>
        <stp>FY 2010</stp>
        <stp>[FA1_ymffleas.xlsx]Growth!R66C4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6" s="22"/>
      </tp>
      <tp>
        <v>115.80410000000001</v>
        <stp/>
        <stp>##V3_BDHV12</stp>
        <stp>RCOM IN Equity</stp>
        <stp>AVERAGE_EV_TO_T12M_EBIT</stp>
        <stp>FY 2018</stp>
        <stp>FY 2018</stp>
        <stp>[FA1_ymffleas.xlsx]Multiples!R47C11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47" s="6"/>
      </tp>
      <tp>
        <v>-77.051900000000003</v>
        <stp/>
        <stp>##V3_BDHV12</stp>
        <stp>RCOM IN Equity</stp>
        <stp>EPS_DILUTED_BEF_ABNRML_SEQ_GRWTH</stp>
        <stp>FY 2011</stp>
        <stp>FY 2011</stp>
        <stp>[FA1_ymffleas.xlsx]Growth!R66C5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6" s="22"/>
      </tp>
      <tp>
        <v>43.543399999999998</v>
        <stp/>
        <stp>##V3_BDHV12</stp>
        <stp>RCOM IN Equity</stp>
        <stp>EPS_DILUTED_BEF_ABNRML_SEQ_GRWTH</stp>
        <stp>FY 2009</stp>
        <stp>FY 2009</stp>
        <stp>[FA1_ymffleas.xlsx]Growth!R66C3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6" s="22"/>
      </tp>
      <tp>
        <v>94.550299999999993</v>
        <stp/>
        <stp>##V3_BDHV12</stp>
        <stp>RCOM IN Equity</stp>
        <stp>TOT_DEBT_TO_TOT_EQY</stp>
        <stp>FY 2011</stp>
        <stp>FY 2011</stp>
        <stp>[FA1_ymffleas.xlsx]Liquidity!R16C5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" s="24"/>
      </tp>
      <tp>
        <v>67.505799999999994</v>
        <stp/>
        <stp>##V3_BDHV12</stp>
        <stp>RCOM IN Equity</stp>
        <stp>TOT_DEBT_TO_TOT_EQY</stp>
        <stp>FY 2010</stp>
        <stp>FY 2010</stp>
        <stp>[FA1_ymffleas.xlsx]Liquidity!R16C4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" s="24"/>
      </tp>
      <tp>
        <v>120.1649</v>
        <stp/>
        <stp>##V3_BDHV12</stp>
        <stp>RCOM IN Equity</stp>
        <stp>TOT_DEBT_TO_TOT_EQY</stp>
        <stp>FY 2013</stp>
        <stp>FY 2013</stp>
        <stp>[FA1_ymffleas.xlsx]Liquidity!R16C7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" s="24"/>
      </tp>
      <tp>
        <v>103.087</v>
        <stp/>
        <stp>##V3_BDHV12</stp>
        <stp>RCOM IN Equity</stp>
        <stp>TOT_DEBT_TO_TOT_EQY</stp>
        <stp>FY 2012</stp>
        <stp>FY 2012</stp>
        <stp>[FA1_ymffleas.xlsx]Liquidity!R16C6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" s="24"/>
      </tp>
      <tp>
        <v>4.5</v>
        <stp/>
        <stp>##V3_BDHV12</stp>
        <stp>RCOM IN Equity</stp>
        <stp>IS_EPS</stp>
        <stp>FY 2012</stp>
        <stp>FY 2012</stp>
        <stp>[FA1_ymffleas.xlsx]GAAP Highlights!R9C6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9" s="3"/>
      </tp>
      <tp>
        <v>91.212400000000002</v>
        <stp/>
        <stp>##V3_BDHV12</stp>
        <stp>RCOM IN Equity</stp>
        <stp>TOT_DEBT_TO_TOT_EQY</stp>
        <stp>FY 2009</stp>
        <stp>FY 2009</stp>
        <stp>[FA1_ymffleas.xlsx]Liquidity!R16C3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" s="24"/>
      </tp>
      <tp>
        <v>-2.911</v>
        <stp/>
        <stp>##V3_BDHV12</stp>
        <stp>RCOM IN Equity</stp>
        <stp>EBITDA_LES_CAP_EXPEND_TO_INT_EXP</stp>
        <stp>FY 2009</stp>
        <stp>FY 2009</stp>
        <stp>[FA1_ymffleas.xlsx]Credit!R17C3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7" s="23"/>
      </tp>
      <tp>
        <v>103.943</v>
        <stp/>
        <stp>##V3_BDHV12</stp>
        <stp>RCOM IN Equity</stp>
        <stp>TOT_DEBT_TO_TOT_EQY</stp>
        <stp>FY 2015</stp>
        <stp>FY 2015</stp>
        <stp>[FA1_ymffleas.xlsx]Liquidity!R16C9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" s="24"/>
      </tp>
      <tp>
        <v>126.0264</v>
        <stp/>
        <stp>##V3_BDHV12</stp>
        <stp>RCOM IN Equity</stp>
        <stp>TOT_DEBT_TO_TOT_EQY</stp>
        <stp>FY 2014</stp>
        <stp>FY 2014</stp>
        <stp>[FA1_ymffleas.xlsx]Liquidity!R16C8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" s="24"/>
      </tp>
      <tp>
        <v>2.7315</v>
        <stp/>
        <stp>##V3_BDHV12</stp>
        <stp>RCOM IN Equity</stp>
        <stp>DVD_PAYOUT_RATIO</stp>
        <stp>FY 2009</stp>
        <stp>FY 2009</stp>
        <stp>[FA1_ymffleas.xlsx]DuPont Analysis!R22C3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2" s="27"/>
      </tp>
      <tp>
        <v>217.67089999999999</v>
        <stp/>
        <stp>##V3_BDHV12</stp>
        <stp>RCOM IN Equity</stp>
        <stp>EV_TO_T12M_EBIT</stp>
        <stp>FY 2018</stp>
        <stp>FY 2018</stp>
        <stp>[FA1_ymffleas.xlsx]Multiples!R46C11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46" s="6"/>
      </tp>
      <tp>
        <v>27760</v>
        <stp/>
        <stp>##V3_BDHV12</stp>
        <stp>RCOM IN Equity</stp>
        <stp>EBIT</stp>
        <stp>FY 2016</stp>
        <stp>FY 2016</stp>
        <stp>[FA1_ymffleas.xlsx]Income - GAAP!R102C9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102" s="10"/>
      </tp>
      <tp>
        <v>33890</v>
        <stp/>
        <stp>##V3_BDHV12</stp>
        <stp>RCOM IN Equity</stp>
        <stp>EBIT</stp>
        <stp>FY 2015</stp>
        <stp>FY 2015</stp>
        <stp>[FA1_ymffleas.xlsx]Income - GAAP!R102C8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102" s="10"/>
      </tp>
      <tp>
        <v>-2680</v>
        <stp/>
        <stp>##V3_BDHV12</stp>
        <stp>RCOM IN Equity</stp>
        <stp>ARD_TOT_CASHFLOWS_FROM_INVESTING</stp>
        <stp>FY 2018</stp>
        <stp>FY 2018</stp>
        <stp>[FA1_ymffleas.xlsx]As Reported Summary!R28C12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8" s="30"/>
      </tp>
      <tp>
        <v>8120</v>
        <stp/>
        <stp>##V3_BDHV12</stp>
        <stp>RCOM IN Equity</stp>
        <stp>ARD_TOT_CASHFLOWS_FROM_INVESTING</stp>
        <stp>FY 2017</stp>
        <stp>FY 2017</stp>
        <stp>[FA1_ymffleas.xlsx]As Reported Summary!R28C11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8" s="30"/>
      </tp>
      <tp>
        <v>-149500</v>
        <stp/>
        <stp>##V3_BDHV12</stp>
        <stp>RCOM IN Equity</stp>
        <stp>ARD_TOT_CASHFLOWS_FROM_INVESTING</stp>
        <stp>FY 2016</stp>
        <stp>FY 2016</stp>
        <stp>[FA1_ymffleas.xlsx]As Reported Summary!R28C10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8" s="30"/>
      </tp>
      <tp>
        <v>32425.3</v>
        <stp/>
        <stp>##V3_BDHV12</stp>
        <stp>RCOM IN Equity</stp>
        <stp>EBIT</stp>
        <stp>FY 2010</stp>
        <stp>FY 2010</stp>
        <stp>[FA1_ymffleas.xlsx]Income - GAAP!R102C3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102" s="10"/>
      </tp>
      <tp>
        <v>21710</v>
        <stp/>
        <stp>##V3_BDHV12</stp>
        <stp>RCOM IN Equity</stp>
        <stp>EBIT</stp>
        <stp>FY 2014</stp>
        <stp>FY 2014</stp>
        <stp>[FA1_ymffleas.xlsx]Income - GAAP!R102C7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102" s="10"/>
      </tp>
      <tp>
        <v>20960</v>
        <stp/>
        <stp>##V3_BDHV12</stp>
        <stp>RCOM IN Equity</stp>
        <stp>EBIT</stp>
        <stp>FY 2013</stp>
        <stp>FY 2013</stp>
        <stp>[FA1_ymffleas.xlsx]Income - GAAP!R102C6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102" s="10"/>
      </tp>
      <tp>
        <v>18170</v>
        <stp/>
        <stp>##V3_BDHV12</stp>
        <stp>RCOM IN Equity</stp>
        <stp>EBIT</stp>
        <stp>FY 2012</stp>
        <stp>FY 2012</stp>
        <stp>[FA1_ymffleas.xlsx]Income - GAAP!R102C5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102" s="10"/>
      </tp>
      <tp>
        <v>18720</v>
        <stp/>
        <stp>##V3_BDHV12</stp>
        <stp>RCOM IN Equity</stp>
        <stp>EBIT</stp>
        <stp>FY 2011</stp>
        <stp>FY 2011</stp>
        <stp>[FA1_ymffleas.xlsx]Income - GAAP!R102C4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102" s="10"/>
      </tp>
      <tp>
        <v>-1407.3</v>
        <stp/>
        <stp>##V3_BDHV12</stp>
        <stp>RCOM IN Equity</stp>
        <stp>ARDR_OTHER_FINANCIAL_LOSSES</stp>
        <stp>FY 2009</stp>
        <stp>FY 2009</stp>
        <stp>[FA1_ymffleas.xlsx]Income - As Reported!R114C3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4" s="11"/>
      </tp>
      <tp>
        <v>2340</v>
        <stp/>
        <stp>##V3_BDHV12</stp>
        <stp>RCOM IN Equity</stp>
        <stp>ARDR_OTHER_FINANCIAL_LOSSES</stp>
        <stp>FY 2013</stp>
        <stp>FY 2013</stp>
        <stp>[FA1_ymffleas.xlsx]Income - As Reported!R114C7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4" s="11"/>
      </tp>
      <tp>
        <v>1530</v>
        <stp/>
        <stp>##V3_BDHV12</stp>
        <stp>RCOM IN Equity</stp>
        <stp>ARDR_OTHER_FINANCIAL_LOSSES</stp>
        <stp>FY 2012</stp>
        <stp>FY 2012</stp>
        <stp>[FA1_ymffleas.xlsx]Income - As Reported!R114C6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4" s="11"/>
      </tp>
      <tp>
        <v>2310</v>
        <stp/>
        <stp>##V3_BDHV12</stp>
        <stp>RCOM IN Equity</stp>
        <stp>ARDR_OTHER_FINANCIAL_LOSSES</stp>
        <stp>FY 2011</stp>
        <stp>FY 2011</stp>
        <stp>[FA1_ymffleas.xlsx]Income - As Reported!R114C5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4" s="11"/>
      </tp>
      <tp>
        <v>-24353.8</v>
        <stp/>
        <stp>##V3_BDHV12</stp>
        <stp>RCOM IN Equity</stp>
        <stp>ARDR_OTHER_FINANCIAL_LOSSES</stp>
        <stp>FY 2010</stp>
        <stp>FY 2010</stp>
        <stp>[FA1_ymffleas.xlsx]Income - As Reported!R114C4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4" s="11"/>
      </tp>
      <tp>
        <v>2930</v>
        <stp/>
        <stp>##V3_BDHV12</stp>
        <stp>RCOM IN Equity</stp>
        <stp>ARDR_OTHER_FINANCIAL_LOSSES</stp>
        <stp>FY 2015</stp>
        <stp>FY 2015</stp>
        <stp>[FA1_ymffleas.xlsx]Income - As Reported!R114C9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4" s="11"/>
      </tp>
      <tp>
        <v>2290</v>
        <stp/>
        <stp>##V3_BDHV12</stp>
        <stp>RCOM IN Equity</stp>
        <stp>ARDR_OTHER_FINANCIAL_LOSSES</stp>
        <stp>FY 2014</stp>
        <stp>FY 2014</stp>
        <stp>[FA1_ymffleas.xlsx]Income - As Reported!R114C8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4" s="11"/>
      </tp>
      <tp>
        <v>2080</v>
        <stp/>
        <stp>##V3_BDHV12</stp>
        <stp>RCOM IN Equity</stp>
        <stp>BS_INVENTORIES</stp>
        <stp>FY 2016</stp>
        <stp>FY 2016</stp>
        <stp>[FA1_ymffleas.xlsx]Bal Sheet - Standardized!R21C10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1" s="16"/>
      </tp>
      <tp>
        <v>2350</v>
        <stp/>
        <stp>##V3_BDHV12</stp>
        <stp>RCOM IN Equity</stp>
        <stp>BS_INVENTORIES</stp>
        <stp>FY 2017</stp>
        <stp>FY 2017</stp>
        <stp>[FA1_ymffleas.xlsx]Bal Sheet - Standardized!R21C11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1" s="16"/>
      </tp>
      <tp>
        <v>790</v>
        <stp/>
        <stp>##V3_BDHV12</stp>
        <stp>RCOM IN Equity</stp>
        <stp>BS_INVENTORIES</stp>
        <stp>FY 2018</stp>
        <stp>FY 2018</stp>
        <stp>[FA1_ymffleas.xlsx]Bal Sheet - Standardized!R21C12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1" s="16"/>
      </tp>
      <tp t="s">
        <v>—</v>
        <stp/>
        <stp>##V3_BDHV12</stp>
        <stp>RCOM IN Equity</stp>
        <stp>EFF_TAX_RATE</stp>
        <stp>FY 2018</stp>
        <stp>FY 2018</stp>
        <stp>[FA1_ymffleas.xlsx]Profitability!R22C12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22" s="21"/>
      </tp>
      <tp>
        <v>83760</v>
        <stp/>
        <stp>##V3_BDHV12</stp>
        <stp>RCOM IN Equity</stp>
        <stp>EBITDA</stp>
        <stp>FY 2011</stp>
        <stp>FY 2011</stp>
        <stp>[FA1_ymffleas.xlsx]Credit!R39C5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9" s="23"/>
      </tp>
      <tp>
        <v>69890.399999999994</v>
        <stp/>
        <stp>##V3_BDHV12</stp>
        <stp>RCOM IN Equity</stp>
        <stp>EBITDA</stp>
        <stp>FY 2010</stp>
        <stp>FY 2010</stp>
        <stp>[FA1_ymffleas.xlsx]Credit!R39C4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9" s="23"/>
      </tp>
      <tp>
        <v>59410</v>
        <stp/>
        <stp>##V3_BDHV12</stp>
        <stp>RCOM IN Equity</stp>
        <stp>EBITDA</stp>
        <stp>FY 2013</stp>
        <stp>FY 2013</stp>
        <stp>[FA1_ymffleas.xlsx]Credit!R39C7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9" s="23"/>
      </tp>
      <tp>
        <v>57950</v>
        <stp/>
        <stp>##V3_BDHV12</stp>
        <stp>RCOM IN Equity</stp>
        <stp>EBITDA</stp>
        <stp>FY 2012</stp>
        <stp>FY 2012</stp>
        <stp>[FA1_ymffleas.xlsx]Credit!R39C6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9" s="23"/>
      </tp>
      <tp>
        <v>87306.8</v>
        <stp/>
        <stp>##V3_BDHV12</stp>
        <stp>RCOM IN Equity</stp>
        <stp>EBITDA</stp>
        <stp>FY 2009</stp>
        <stp>FY 2009</stp>
        <stp>[FA1_ymffleas.xlsx]Credit!R39C3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9" s="23"/>
      </tp>
      <tp>
        <v>72060</v>
        <stp/>
        <stp>##V3_BDHV12</stp>
        <stp>RCOM IN Equity</stp>
        <stp>EBITDA</stp>
        <stp>FY 2015</stp>
        <stp>FY 2015</stp>
        <stp>[FA1_ymffleas.xlsx]Credit!R39C9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9" s="23"/>
      </tp>
      <tp>
        <v>67060</v>
        <stp/>
        <stp>##V3_BDHV12</stp>
        <stp>RCOM IN Equity</stp>
        <stp>EBITDA</stp>
        <stp>FY 2014</stp>
        <stp>FY 2014</stp>
        <stp>[FA1_ymffleas.xlsx]Credit!R39C8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9" s="23"/>
      </tp>
      <tp>
        <v>37.535200000000003</v>
        <stp/>
        <stp>##V3_BDHV12</stp>
        <stp>RCOM IN Equity</stp>
        <stp>COM_EQY_TO_TOT_ASSET</stp>
        <stp>FY 2013</stp>
        <stp>FY 2013</stp>
        <stp>[FA1_ymffleas.xlsx]Liquidity!R10C7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0" s="24"/>
      </tp>
      <tp>
        <v>39.338900000000002</v>
        <stp/>
        <stp>##V3_BDHV12</stp>
        <stp>RCOM IN Equity</stp>
        <stp>COM_EQY_TO_TOT_ASSET</stp>
        <stp>FY 2012</stp>
        <stp>FY 2012</stp>
        <stp>[FA1_ymffleas.xlsx]Liquidity!R10C6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0" s="24"/>
      </tp>
      <tp>
        <v>42.755200000000002</v>
        <stp/>
        <stp>##V3_BDHV12</stp>
        <stp>RCOM IN Equity</stp>
        <stp>COM_EQY_TO_TOT_ASSET</stp>
        <stp>FY 2011</stp>
        <stp>FY 2011</stp>
        <stp>[FA1_ymffleas.xlsx]Liquidity!R10C5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0" s="24"/>
      </tp>
      <tp>
        <v>46.8416</v>
        <stp/>
        <stp>##V3_BDHV12</stp>
        <stp>RCOM IN Equity</stp>
        <stp>COM_EQY_TO_TOT_ASSET</stp>
        <stp>FY 2010</stp>
        <stp>FY 2010</stp>
        <stp>[FA1_ymffleas.xlsx]Liquidity!R10C4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0" s="24"/>
      </tp>
      <tp>
        <v>41.3673</v>
        <stp/>
        <stp>##V3_BDHV12</stp>
        <stp>RCOM IN Equity</stp>
        <stp>COM_EQY_TO_TOT_ASSET</stp>
        <stp>FY 2009</stp>
        <stp>FY 2009</stp>
        <stp>[FA1_ymffleas.xlsx]Liquidity!R10C3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0" s="24"/>
      </tp>
      <tp>
        <v>11.792300000000001</v>
        <stp/>
        <stp>##V3_BDHV12</stp>
        <stp>RCOM IN Equity</stp>
        <stp>TOTAL_DEBT_TO_EBIT</stp>
        <stp>FY 2015</stp>
        <stp>FY 2015</stp>
        <stp>[FA1_ymffleas.xlsx]Credit!R13C9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3" s="23"/>
      </tp>
      <tp>
        <v>40.781799999999997</v>
        <stp/>
        <stp>##V3_BDHV12</stp>
        <stp>RCOM IN Equity</stp>
        <stp>COM_EQY_TO_TOT_ASSET</stp>
        <stp>FY 2015</stp>
        <stp>FY 2015</stp>
        <stp>[FA1_ymffleas.xlsx]Liquidity!R10C9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0" s="24"/>
      </tp>
      <tp>
        <v>36.1432</v>
        <stp/>
        <stp>##V3_BDHV12</stp>
        <stp>RCOM IN Equity</stp>
        <stp>COM_EQY_TO_TOT_ASSET</stp>
        <stp>FY 2014</stp>
        <stp>FY 2014</stp>
        <stp>[FA1_ymffleas.xlsx]Liquidity!R10C8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0" s="24"/>
      </tp>
      <tp>
        <v>-52110</v>
        <stp/>
        <stp>##V3_BDHV12</stp>
        <stp>RCOM IN Equity</stp>
        <stp>T12M_CHG_ST_BORROWINGS</stp>
        <stp>FY 2012</stp>
        <stp>FY 2012</stp>
        <stp>[FA1_ymffleas.xlsx]Yield Analysis!R38C6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8" s="26"/>
      </tp>
      <tp>
        <v>32680</v>
        <stp/>
        <stp>##V3_BDHV12</stp>
        <stp>RCOM IN Equity</stp>
        <stp>T12M_CHG_ST_BORROWINGS</stp>
        <stp>FY 2013</stp>
        <stp>FY 2013</stp>
        <stp>[FA1_ymffleas.xlsx]Yield Analysis!R38C7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8" s="26"/>
      </tp>
      <tp>
        <v>-32632.400000000001</v>
        <stp/>
        <stp>##V3_BDHV12</stp>
        <stp>RCOM IN Equity</stp>
        <stp>T12M_CHG_ST_BORROWINGS</stp>
        <stp>FY 2010</stp>
        <stp>FY 2010</stp>
        <stp>[FA1_ymffleas.xlsx]Yield Analysis!R38C4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8" s="26"/>
      </tp>
      <tp>
        <v>26840</v>
        <stp/>
        <stp>##V3_BDHV12</stp>
        <stp>RCOM IN Equity</stp>
        <stp>T12M_CHG_ST_BORROWINGS</stp>
        <stp>FY 2011</stp>
        <stp>FY 2011</stp>
        <stp>[FA1_ymffleas.xlsx]Yield Analysis!R38C5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8" s="26"/>
      </tp>
      <tp>
        <v>-14207.7</v>
        <stp/>
        <stp>##V3_BDHV12</stp>
        <stp>RCOM IN Equity</stp>
        <stp>T12M_CHG_ST_BORROWINGS</stp>
        <stp>FY 2009</stp>
        <stp>FY 2009</stp>
        <stp>[FA1_ymffleas.xlsx]Yield Analysis!R38C3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8" s="26"/>
      </tp>
      <tp>
        <v>1320</v>
        <stp/>
        <stp>##V3_BDHV12</stp>
        <stp>RCOM IN Equity</stp>
        <stp>T12M_CHG_ST_BORROWINGS</stp>
        <stp>FY 2014</stp>
        <stp>FY 2014</stp>
        <stp>[FA1_ymffleas.xlsx]Yield Analysis!R38C8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8" s="26"/>
      </tp>
      <tp>
        <v>-35150</v>
        <stp/>
        <stp>##V3_BDHV12</stp>
        <stp>RCOM IN Equity</stp>
        <stp>T12M_CHG_ST_BORROWINGS</stp>
        <stp>FY 2015</stp>
        <stp>FY 2015</stp>
        <stp>[FA1_ymffleas.xlsx]Yield Analysis!R38C9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8" s="26"/>
      </tp>
      <tp t="s">
        <v>—</v>
        <stp/>
        <stp>##V3_BDHV12</stp>
        <stp>RCOM IN Equity</stp>
        <stp>GEO_GROW_EBITDA</stp>
        <stp>FY 2011</stp>
        <stp>FY 2011</stp>
        <stp>[FA1_ymffleas.xlsx]Growth!R37C5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37" s="22"/>
      </tp>
      <tp>
        <v>-90</v>
        <stp/>
        <stp>##V3_BDHV12</stp>
        <stp>RCOM IN Equity</stp>
        <stp>ARDR_GL_ON_SALE_OF_INVESTMENTS</stp>
        <stp>FY 2014</stp>
        <stp>FY 2014</stp>
        <stp>[FA1_ymffleas.xlsx]Income - As Reported!R96C8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6" s="11"/>
      </tp>
      <tp>
        <v>-300</v>
        <stp/>
        <stp>##V3_BDHV12</stp>
        <stp>RCOM IN Equity</stp>
        <stp>ARDR_GL_ON_SALE_OF_INVESTMENTS</stp>
        <stp>FY 2015</stp>
        <stp>FY 2015</stp>
        <stp>[FA1_ymffleas.xlsx]Income - As Reported!R96C9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6" s="11"/>
      </tp>
      <tp>
        <v>-3278.2</v>
        <stp/>
        <stp>##V3_BDHV12</stp>
        <stp>RCOM IN Equity</stp>
        <stp>ARDR_GL_ON_SALE_OF_INVESTMENTS</stp>
        <stp>FY 2009</stp>
        <stp>FY 2009</stp>
        <stp>[FA1_ymffleas.xlsx]Income - As Reported!R96C3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6" s="11"/>
      </tp>
      <tp>
        <v>-230</v>
        <stp/>
        <stp>##V3_BDHV12</stp>
        <stp>RCOM IN Equity</stp>
        <stp>ARDR_GL_ON_SALE_OF_INVESTMENTS</stp>
        <stp>FY 2012</stp>
        <stp>FY 2012</stp>
        <stp>[FA1_ymffleas.xlsx]Income - As Reported!R96C6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6" s="11"/>
      </tp>
      <tp>
        <v>-350</v>
        <stp/>
        <stp>##V3_BDHV12</stp>
        <stp>RCOM IN Equity</stp>
        <stp>ARDR_GL_ON_SALE_OF_INVESTMENTS</stp>
        <stp>FY 2013</stp>
        <stp>FY 2013</stp>
        <stp>[FA1_ymffleas.xlsx]Income - As Reported!R96C7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6" s="11"/>
      </tp>
      <tp>
        <v>-2094.9</v>
        <stp/>
        <stp>##V3_BDHV12</stp>
        <stp>RCOM IN Equity</stp>
        <stp>ARDR_GL_ON_SALE_OF_INVESTMENTS</stp>
        <stp>FY 2010</stp>
        <stp>FY 2010</stp>
        <stp>[FA1_ymffleas.xlsx]Income - As Reported!R96C4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6" s="11"/>
      </tp>
      <tp>
        <v>-570</v>
        <stp/>
        <stp>##V3_BDHV12</stp>
        <stp>RCOM IN Equity</stp>
        <stp>ARDR_GL_ON_SALE_OF_INVESTMENTS</stp>
        <stp>FY 2011</stp>
        <stp>FY 2011</stp>
        <stp>[FA1_ymffleas.xlsx]Income - As Reported!R96C5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6" s="11"/>
      </tp>
      <tp>
        <v>0</v>
        <stp/>
        <stp>##V3_BDHV12</stp>
        <stp>RCOM IN Equity</stp>
        <stp>NOTES_RECEIVABLE</stp>
        <stp>FY 2009</stp>
        <stp>FY 2009</stp>
        <stp>[FA1_ymffleas.xlsx]Bal Sheet - Standardized!R17C3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" s="16"/>
      </tp>
      <tp>
        <v>0</v>
        <stp/>
        <stp>##V3_BDHV12</stp>
        <stp>RCOM IN Equity</stp>
        <stp>NOTES_RECEIVABLE</stp>
        <stp>FY 2012</stp>
        <stp>FY 2012</stp>
        <stp>[FA1_ymffleas.xlsx]Bal Sheet - Standardized!R17C6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" s="16"/>
      </tp>
      <tp>
        <v>0</v>
        <stp/>
        <stp>##V3_BDHV12</stp>
        <stp>RCOM IN Equity</stp>
        <stp>NOTES_RECEIVABLE</stp>
        <stp>FY 2013</stp>
        <stp>FY 2013</stp>
        <stp>[FA1_ymffleas.xlsx]Bal Sheet - Standardized!R17C7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" s="16"/>
      </tp>
      <tp>
        <v>0</v>
        <stp/>
        <stp>##V3_BDHV12</stp>
        <stp>RCOM IN Equity</stp>
        <stp>NOTES_RECEIVABLE</stp>
        <stp>FY 2010</stp>
        <stp>FY 2010</stp>
        <stp>[FA1_ymffleas.xlsx]Bal Sheet - Standardized!R17C4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" s="16"/>
      </tp>
      <tp>
        <v>0</v>
        <stp/>
        <stp>##V3_BDHV12</stp>
        <stp>RCOM IN Equity</stp>
        <stp>NOTES_RECEIVABLE</stp>
        <stp>FY 2011</stp>
        <stp>FY 2011</stp>
        <stp>[FA1_ymffleas.xlsx]Bal Sheet - Standardized!R17C5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" s="16"/>
      </tp>
      <tp>
        <v>0</v>
        <stp/>
        <stp>##V3_BDHV12</stp>
        <stp>RCOM IN Equity</stp>
        <stp>NOTES_RECEIVABLE</stp>
        <stp>FY 2014</stp>
        <stp>FY 2014</stp>
        <stp>[FA1_ymffleas.xlsx]Bal Sheet - Standardized!R17C8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" s="16"/>
      </tp>
      <tp>
        <v>0</v>
        <stp/>
        <stp>##V3_BDHV12</stp>
        <stp>RCOM IN Equity</stp>
        <stp>NOTES_RECEIVABLE</stp>
        <stp>FY 2015</stp>
        <stp>FY 2015</stp>
        <stp>[FA1_ymffleas.xlsx]Bal Sheet - Standardized!R17C9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" s="16"/>
      </tp>
      <tp>
        <v>2.9268999999999998</v>
        <stp/>
        <stp>##V3_BDHV12</stp>
        <stp>RCOM IN Equity</stp>
        <stp>EBITDA_TO_INTEREST_EXPN</stp>
        <stp>FY 2015</stp>
        <stp>FY 2015</stp>
        <stp>[FA1_ymffleas.xlsx]Credit!R16C9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6" s="23"/>
      </tp>
      <tp>
        <v>2.59</v>
        <stp/>
        <stp>##V3_BDHV12</stp>
        <stp>RCOM IN Equity</stp>
        <stp>ARD_BASIC_EPS</stp>
        <stp>FY 2016</stp>
        <stp>FY 2016</stp>
        <stp>[FA1_ymffleas.xlsx]Income - As Reported!R43C10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3" s="11"/>
      </tp>
      <tp t="s">
        <v>—</v>
        <stp/>
        <stp>##V3_BDHV12</stp>
        <stp>RCOM IN Equity</stp>
        <stp>ARD_BASIC_EPS</stp>
        <stp>FY 2017</stp>
        <stp>FY 2017</stp>
        <stp>[FA1_ymffleas.xlsx]Income - As Reported!R43C11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3" s="11"/>
      </tp>
      <tp t="s">
        <v>—</v>
        <stp/>
        <stp>##V3_BDHV12</stp>
        <stp>RCOM IN Equity</stp>
        <stp>ARD_BASIC_EPS</stp>
        <stp>FY 2018</stp>
        <stp>FY 2018</stp>
        <stp>[FA1_ymffleas.xlsx]Income - As Reported!R43C12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3" s="11"/>
      </tp>
      <tp>
        <v>-20</v>
        <stp/>
        <stp>##V3_BDHV12</stp>
        <stp>RCOM IN Equity</stp>
        <stp>INCOME_LOSS_FROM_AFFILIATES</stp>
        <stp>FY 2016</stp>
        <stp>FY 2016</stp>
        <stp>[FA1_ymffleas.xlsx]Income - GAAP!R49C9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49" s="10"/>
      </tp>
      <tp t="s">
        <v>—</v>
        <stp/>
        <stp>##V3_BDHV12</stp>
        <stp>RCOM IN Equity</stp>
        <stp>ARDR_OPTIONS_BEGINNING_OF_PERIOD</stp>
        <stp>FY 2014</stp>
        <stp>FY 2014</stp>
        <stp>[FA1_ymffleas.xlsx]Bal Sheet - As Reported!R212C8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12" s="17"/>
      </tp>
      <tp>
        <v>0</v>
        <stp/>
        <stp>##V3_BDHV12</stp>
        <stp>RCOM IN Equity</stp>
        <stp>INCOME_LOSS_FROM_AFFILIATES</stp>
        <stp>FY 2015</stp>
        <stp>FY 2015</stp>
        <stp>[FA1_ymffleas.xlsx]Income - GAAP!R49C8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49" s="10"/>
      </tp>
      <tp t="s">
        <v>—</v>
        <stp/>
        <stp>##V3_BDHV12</stp>
        <stp>RCOM IN Equity</stp>
        <stp>ARDR_OPTIONS_BEGINNING_OF_PERIOD</stp>
        <stp>FY 2015</stp>
        <stp>FY 2015</stp>
        <stp>[FA1_ymffleas.xlsx]Bal Sheet - As Reported!R212C9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12" s="17"/>
      </tp>
      <tp>
        <v>6.2465999999999999</v>
        <stp/>
        <stp>##V3_BDHV12</stp>
        <stp>RCOM IN Equity</stp>
        <stp>IS_DILUTED_EPS</stp>
        <stp>FY 2011</stp>
        <stp>FY 2011</stp>
        <stp>[FA1_ymffleas.xlsx]Income - Adjusted!R115C4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15" s="9"/>
      </tp>
      <tp>
        <v>25420</v>
        <stp/>
        <stp>##V3_BDHV12</stp>
        <stp>RCOM IN Equity</stp>
        <stp>ARD_DISC_OPS_LOSS_BEN_NET</stp>
        <stp>FY 2017</stp>
        <stp>FY 2017</stp>
        <stp>[FA1_ymffleas.xlsx]Income - As Reported!R62C11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2" s="11"/>
      </tp>
      <tp t="s">
        <v>—</v>
        <stp/>
        <stp>##V3_BDHV12</stp>
        <stp>RCOM IN Equity</stp>
        <stp>ARD_DISC_OPS_LOSS_BEN_NET</stp>
        <stp>FY 2016</stp>
        <stp>FY 2016</stp>
        <stp>[FA1_ymffleas.xlsx]Income - As Reported!R62C10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2" s="11"/>
      </tp>
      <tp>
        <v>258110</v>
        <stp/>
        <stp>##V3_BDHV12</stp>
        <stp>RCOM IN Equity</stp>
        <stp>ARD_DISC_OPS_LOSS_BEN_NET</stp>
        <stp>FY 2018</stp>
        <stp>FY 2018</stp>
        <stp>[FA1_ymffleas.xlsx]Income - As Reported!R62C12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2" s="11"/>
      </tp>
      <tp t="s">
        <v>—</v>
        <stp/>
        <stp>##V3_BDHV12</stp>
        <stp>RCOM IN Equity</stp>
        <stp>INCOME_LOSS_FROM_AFFILIATES</stp>
        <stp>FY 2010</stp>
        <stp>FY 2010</stp>
        <stp>[FA1_ymffleas.xlsx]Income - GAAP!R49C3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49" s="10"/>
      </tp>
      <tp t="s">
        <v>—</v>
        <stp/>
        <stp>##V3_BDHV12</stp>
        <stp>RCOM IN Equity</stp>
        <stp>ARDR_OPTIONS_BEGINNING_OF_PERIOD</stp>
        <stp>FY 2009</stp>
        <stp>FY 2009</stp>
        <stp>[FA1_ymffleas.xlsx]Bal Sheet - As Reported!R212C3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12" s="17"/>
      </tp>
      <tp>
        <v>2.7000000000000001E-3</v>
        <stp/>
        <stp>##V3_BDHV12</stp>
        <stp>RCOM IN Equity</stp>
        <stp>IS_STK_BASED_COMP_PER_BAS_SH</stp>
        <stp>FY 2018</stp>
        <stp>FY 2018</stp>
        <stp>[FA1_ymffleas.xlsx]SBC &amp; Amort!R17C12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7" s="13"/>
      </tp>
      <tp>
        <v>0</v>
        <stp/>
        <stp>##V3_BDHV12</stp>
        <stp>RCOM IN Equity</stp>
        <stp>INCOME_LOSS_FROM_AFFILIATES</stp>
        <stp>FY 2014</stp>
        <stp>FY 2014</stp>
        <stp>[FA1_ymffleas.xlsx]Income - GAAP!R49C7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49" s="10"/>
      </tp>
      <tp t="s">
        <v>—</v>
        <stp/>
        <stp>##V3_BDHV12</stp>
        <stp>RCOM IN Equity</stp>
        <stp>ARDR_OPTIONS_BEGINNING_OF_PERIOD</stp>
        <stp>FY 2012</stp>
        <stp>FY 2012</stp>
        <stp>[FA1_ymffleas.xlsx]Bal Sheet - As Reported!R212C6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12" s="17"/>
      </tp>
      <tp>
        <v>-1110</v>
        <stp/>
        <stp>##V3_BDHV12</stp>
        <stp>RCOM IN Equity</stp>
        <stp>ARD_OTHER_FINANCING_ACTIVITIES</stp>
        <stp>FY 2015</stp>
        <stp>FY 2015</stp>
        <stp>[FA1_ymffleas.xlsx]Cash Flow - As Reported!R60C9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0" s="20"/>
      </tp>
      <tp>
        <v>-5240</v>
        <stp/>
        <stp>##V3_BDHV12</stp>
        <stp>RCOM IN Equity</stp>
        <stp>ARD_OTHER_FINANCING_ACTIVITIES</stp>
        <stp>FY 2014</stp>
        <stp>FY 2014</stp>
        <stp>[FA1_ymffleas.xlsx]Cash Flow - As Reported!R60C8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0" s="20"/>
      </tp>
      <tp>
        <v>-12660</v>
        <stp/>
        <stp>##V3_BDHV12</stp>
        <stp>RCOM IN Equity</stp>
        <stp>ARD_OTHER_FINANCING_ACTIVITIES</stp>
        <stp>FY 2013</stp>
        <stp>FY 2013</stp>
        <stp>[FA1_ymffleas.xlsx]Cash Flow - As Reported!R60C7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0" s="20"/>
      </tp>
      <tp>
        <v>-1670</v>
        <stp/>
        <stp>##V3_BDHV12</stp>
        <stp>RCOM IN Equity</stp>
        <stp>ARD_OTHER_FINANCING_ACTIVITIES</stp>
        <stp>FY 2012</stp>
        <stp>FY 2012</stp>
        <stp>[FA1_ymffleas.xlsx]Cash Flow - As Reported!R60C6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0" s="20"/>
      </tp>
      <tp>
        <v>0</v>
        <stp/>
        <stp>##V3_BDHV12</stp>
        <stp>RCOM IN Equity</stp>
        <stp>ARD_OTHER_FINANCING_ACTIVITIES</stp>
        <stp>FY 2011</stp>
        <stp>FY 2011</stp>
        <stp>[FA1_ymffleas.xlsx]Cash Flow - As Reported!R60C5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0" s="20"/>
      </tp>
      <tp t="s">
        <v>—</v>
        <stp/>
        <stp>##V3_BDHV12</stp>
        <stp>RCOM IN Equity</stp>
        <stp>ARD_OTHER_FINANCING_ACTIVITIES</stp>
        <stp>FY 2010</stp>
        <stp>FY 2010</stp>
        <stp>[FA1_ymffleas.xlsx]Cash Flow - As Reported!R60C4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0" s="20"/>
      </tp>
      <tp>
        <v>-17086.5</v>
        <stp/>
        <stp>##V3_BDHV12</stp>
        <stp>RCOM IN Equity</stp>
        <stp>ARD_OTHER_FINANCING_ACTIVITIES</stp>
        <stp>FY 2009</stp>
        <stp>FY 2009</stp>
        <stp>[FA1_ymffleas.xlsx]Cash Flow - As Reported!R60C3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0" s="20"/>
      </tp>
      <tp t="s">
        <v>—</v>
        <stp/>
        <stp>##V3_BDHV12</stp>
        <stp>RCOM IN Equity</stp>
        <stp>INCOME_LOSS_FROM_AFFILIATES</stp>
        <stp>FY 2013</stp>
        <stp>FY 2013</stp>
        <stp>[FA1_ymffleas.xlsx]Income - GAAP!R49C6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49" s="10"/>
      </tp>
      <tp t="s">
        <v>—</v>
        <stp/>
        <stp>##V3_BDHV12</stp>
        <stp>RCOM IN Equity</stp>
        <stp>ARDR_OPTIONS_BEGINNING_OF_PERIOD</stp>
        <stp>FY 2013</stp>
        <stp>FY 2013</stp>
        <stp>[FA1_ymffleas.xlsx]Bal Sheet - As Reported!R212C7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12" s="17"/>
      </tp>
      <tp>
        <v>0</v>
        <stp/>
        <stp>##V3_BDHV12</stp>
        <stp>RCOM IN Equity</stp>
        <stp>IS_STK_BASED_COMP_PER_BAS_SH</stp>
        <stp>FY 2016</stp>
        <stp>FY 2016</stp>
        <stp>[FA1_ymffleas.xlsx]SBC &amp; Amort!R17C10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7" s="13"/>
      </tp>
      <tp t="s">
        <v>—</v>
        <stp/>
        <stp>##V3_BDHV12</stp>
        <stp>RCOM IN Equity</stp>
        <stp>INCOME_LOSS_FROM_AFFILIATES</stp>
        <stp>FY 2012</stp>
        <stp>FY 2012</stp>
        <stp>[FA1_ymffleas.xlsx]Income - GAAP!R49C5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49" s="10"/>
      </tp>
      <tp t="s">
        <v>—</v>
        <stp/>
        <stp>##V3_BDHV12</stp>
        <stp>RCOM IN Equity</stp>
        <stp>ARDR_OPTIONS_BEGINNING_OF_PERIOD</stp>
        <stp>FY 2010</stp>
        <stp>FY 2010</stp>
        <stp>[FA1_ymffleas.xlsx]Bal Sheet - As Reported!R212C4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12" s="17"/>
      </tp>
      <tp t="s">
        <v>—</v>
        <stp/>
        <stp>##V3_BDHV12</stp>
        <stp>RCOM IN Equity</stp>
        <stp>ARD_GAIN_LOSS_DISPOSAL_SUBSIDS</stp>
        <stp>FY 2015</stp>
        <stp>FY 2015</stp>
        <stp>[FA1_ymffleas.xlsx]Cash Flow - As Reported!R30C9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0" s="20"/>
      </tp>
      <tp t="s">
        <v>—</v>
        <stp/>
        <stp>##V3_BDHV12</stp>
        <stp>RCOM IN Equity</stp>
        <stp>ARD_GAIN_LOSS_DISPOSAL_SUBSIDS</stp>
        <stp>FY 2014</stp>
        <stp>FY 2014</stp>
        <stp>[FA1_ymffleas.xlsx]Cash Flow - As Reported!R30C8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0" s="20"/>
      </tp>
      <tp t="s">
        <v>—</v>
        <stp/>
        <stp>##V3_BDHV12</stp>
        <stp>RCOM IN Equity</stp>
        <stp>ARD_GAIN_LOSS_DISPOSAL_SUBSIDS</stp>
        <stp>FY 2009</stp>
        <stp>FY 2009</stp>
        <stp>[FA1_ymffleas.xlsx]Cash Flow - As Reported!R30C3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0" s="20"/>
      </tp>
      <tp t="s">
        <v>—</v>
        <stp/>
        <stp>##V3_BDHV12</stp>
        <stp>RCOM IN Equity</stp>
        <stp>ARD_GAIN_LOSS_DISPOSAL_SUBSIDS</stp>
        <stp>FY 2011</stp>
        <stp>FY 2011</stp>
        <stp>[FA1_ymffleas.xlsx]Cash Flow - As Reported!R30C5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0" s="20"/>
      </tp>
      <tp t="s">
        <v>—</v>
        <stp/>
        <stp>##V3_BDHV12</stp>
        <stp>RCOM IN Equity</stp>
        <stp>ARD_GAIN_LOSS_DISPOSAL_SUBSIDS</stp>
        <stp>FY 2010</stp>
        <stp>FY 2010</stp>
        <stp>[FA1_ymffleas.xlsx]Cash Flow - As Reported!R30C4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0" s="20"/>
      </tp>
      <tp t="s">
        <v>—</v>
        <stp/>
        <stp>##V3_BDHV12</stp>
        <stp>RCOM IN Equity</stp>
        <stp>ARD_GAIN_LOSS_DISPOSAL_SUBSIDS</stp>
        <stp>FY 2013</stp>
        <stp>FY 2013</stp>
        <stp>[FA1_ymffleas.xlsx]Cash Flow - As Reported!R30C7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0" s="20"/>
      </tp>
      <tp t="s">
        <v>—</v>
        <stp/>
        <stp>##V3_BDHV12</stp>
        <stp>RCOM IN Equity</stp>
        <stp>ARD_GAIN_LOSS_DISPOSAL_SUBSIDS</stp>
        <stp>FY 2012</stp>
        <stp>FY 2012</stp>
        <stp>[FA1_ymffleas.xlsx]Cash Flow - As Reported!R30C6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0" s="20"/>
      </tp>
      <tp>
        <v>0</v>
        <stp/>
        <stp>##V3_BDHV12</stp>
        <stp>RCOM IN Equity</stp>
        <stp>IS_STK_BASED_COMP_PER_BAS_SH</stp>
        <stp>FY 2017</stp>
        <stp>FY 2017</stp>
        <stp>[FA1_ymffleas.xlsx]SBC &amp; Amort!R17C11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7" s="13"/>
      </tp>
      <tp t="s">
        <v>—</v>
        <stp/>
        <stp>##V3_BDHV12</stp>
        <stp>RCOM IN Equity</stp>
        <stp>INCOME_LOSS_FROM_AFFILIATES</stp>
        <stp>FY 2011</stp>
        <stp>FY 2011</stp>
        <stp>[FA1_ymffleas.xlsx]Income - GAAP!R49C4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49" s="10"/>
      </tp>
      <tp t="s">
        <v>—</v>
        <stp/>
        <stp>##V3_BDHV12</stp>
        <stp>RCOM IN Equity</stp>
        <stp>ARDR_OPTIONS_BEGINNING_OF_PERIOD</stp>
        <stp>FY 2011</stp>
        <stp>FY 2011</stp>
        <stp>[FA1_ymffleas.xlsx]Bal Sheet - As Reported!R212C5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12" s="17"/>
      </tp>
      <tp>
        <v>2.5215999999999998</v>
        <stp/>
        <stp>##V3_BDHV12</stp>
        <stp>RCOM IN Equity</stp>
        <stp>EV_TO_T12M_SALES</stp>
        <stp>FY 2016</stp>
        <stp>FY 2016</stp>
        <stp>[FA1_ymffleas.xlsx]Multiples!R36C9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36" s="6"/>
      </tp>
      <tp>
        <v>2.5356999999999998</v>
        <stp/>
        <stp>##V3_BDHV12</stp>
        <stp>RCOM IN Equity</stp>
        <stp>AVERAGE_EV_TO_T12M_SALES</stp>
        <stp>FY 2016</stp>
        <stp>FY 2016</stp>
        <stp>[FA1_ymffleas.xlsx]Multiples!R37C9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37" s="6"/>
      </tp>
      <tp>
        <v>-0.37769999999999998</v>
        <stp/>
        <stp>##V3_BDHV12</stp>
        <stp>RCOM IN Equity</stp>
        <stp>EBITDA_LES_CAP_EXPEND_TO_INT_EXP</stp>
        <stp>FY 2010</stp>
        <stp>FY 2010</stp>
        <stp>[FA1_ymffleas.xlsx]Credit!R17C4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7" s="23"/>
      </tp>
      <tp>
        <v>14.7849</v>
        <stp/>
        <stp>##V3_BDHV12</stp>
        <stp>RCOM IN Equity</stp>
        <stp>LOW_EV_TO_T12M_EBIT</stp>
        <stp>FY 2016</stp>
        <stp>FY 2016</stp>
        <stp>[FA1_ymffleas.xlsx]Multiples!R49C9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49" s="6"/>
      </tp>
      <tp>
        <v>3.7688999999999999</v>
        <stp/>
        <stp>##V3_BDHV12</stp>
        <stp>RCOM IN Equity</stp>
        <stp>DVD_PAYOUT_RATIO</stp>
        <stp>FY 2010</stp>
        <stp>FY 2010</stp>
        <stp>[FA1_ymffleas.xlsx]DuPont Analysis!R22C4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2" s="27"/>
      </tp>
      <tp>
        <v>92031.142999999996</v>
        <stp/>
        <stp>##V3_BDHV12</stp>
        <stp>RCOM IN Equity</stp>
        <stp>BEST_EBITDA</stp>
        <stp>FY 2009</stp>
        <stp>FY 2009</stp>
        <stp>[FA1_ymffleas.xlsx]Earnings!R26C3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6" s="4"/>
      </tp>
      <tp>
        <v>66413.422999999995</v>
        <stp/>
        <stp>##V3_BDHV12</stp>
        <stp>RCOM IN Equity</stp>
        <stp>BEST_EBITDA</stp>
        <stp>FY 2013</stp>
        <stp>FY 2013</stp>
        <stp>[FA1_ymffleas.xlsx]Earnings!R26C7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6" s="4"/>
      </tp>
      <tp>
        <v>-38.032600000000002</v>
        <stp/>
        <stp>##V3_BDHV12</stp>
        <stp>RCOM IN Equity</stp>
        <stp>RETURN_ON_CAP</stp>
        <stp>FY 2018</stp>
        <stp>FY 2018</stp>
        <stp>[FA1_ymffleas.xlsx]Profitability!R9C12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9" s="21"/>
      </tp>
      <tp>
        <v>64479.7</v>
        <stp/>
        <stp>##V3_BDHV12</stp>
        <stp>RCOM IN Equity</stp>
        <stp>BEST_EBITDA</stp>
        <stp>FY 2012</stp>
        <stp>FY 2012</stp>
        <stp>[FA1_ymffleas.xlsx]Earnings!R26C6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6" s="4"/>
      </tp>
      <tp>
        <v>66376.885999999999</v>
        <stp/>
        <stp>##V3_BDHV12</stp>
        <stp>RCOM IN Equity</stp>
        <stp>BEST_EBITDA</stp>
        <stp>FY 2011</stp>
        <stp>FY 2011</stp>
        <stp>[FA1_ymffleas.xlsx]Earnings!R26C5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6" s="4"/>
      </tp>
      <tp>
        <v>81538.275999999998</v>
        <stp/>
        <stp>##V3_BDHV12</stp>
        <stp>RCOM IN Equity</stp>
        <stp>BEST_EBITDA</stp>
        <stp>FY 2010</stp>
        <stp>FY 2010</stp>
        <stp>[FA1_ymffleas.xlsx]Earnings!R26C4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6" s="4"/>
      </tp>
      <tp t="s">
        <v>—</v>
        <stp/>
        <stp>##V3_BDHV12</stp>
        <stp>RCOM IN Equity</stp>
        <stp>ARD_DEPRECIATION_AMORTIZATION</stp>
        <stp>FY 2010</stp>
        <stp>FY 2010</stp>
        <stp>[FA1_ymffleas.xlsx]Income - As Reported!R17C4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" s="11"/>
      </tp>
      <tp>
        <v>65040</v>
        <stp/>
        <stp>##V3_BDHV12</stp>
        <stp>RCOM IN Equity</stp>
        <stp>ARD_DEPRECIATION_AMORTIZATION</stp>
        <stp>FY 2011</stp>
        <stp>FY 2011</stp>
        <stp>[FA1_ymffleas.xlsx]Income - As Reported!R17C5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" s="11"/>
      </tp>
      <tp>
        <v>39780</v>
        <stp/>
        <stp>##V3_BDHV12</stp>
        <stp>RCOM IN Equity</stp>
        <stp>ARD_DEPRECIATION_AMORTIZATION</stp>
        <stp>FY 2012</stp>
        <stp>FY 2012</stp>
        <stp>[FA1_ymffleas.xlsx]Income - As Reported!R17C6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" s="11"/>
      </tp>
      <tp t="s">
        <v>—</v>
        <stp/>
        <stp>##V3_BDHV12</stp>
        <stp>RCOM IN Equity</stp>
        <stp>ARD_DEPRECIATION_AMORTIZATION</stp>
        <stp>FY 2013</stp>
        <stp>FY 2013</stp>
        <stp>[FA1_ymffleas.xlsx]Income - As Reported!R17C7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" s="11"/>
      </tp>
      <tp>
        <v>36077</v>
        <stp/>
        <stp>##V3_BDHV12</stp>
        <stp>RCOM IN Equity</stp>
        <stp>ARD_DEPRECIATION_AMORTIZATION</stp>
        <stp>FY 2009</stp>
        <stp>FY 2009</stp>
        <stp>[FA1_ymffleas.xlsx]Income - As Reported!R17C3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" s="11"/>
      </tp>
      <tp>
        <v>45350</v>
        <stp/>
        <stp>##V3_BDHV12</stp>
        <stp>RCOM IN Equity</stp>
        <stp>ARD_DEPRECIATION_AMORTIZATION</stp>
        <stp>FY 2014</stp>
        <stp>FY 2014</stp>
        <stp>[FA1_ymffleas.xlsx]Income - As Reported!R17C8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" s="11"/>
      </tp>
      <tp>
        <v>38170</v>
        <stp/>
        <stp>##V3_BDHV12</stp>
        <stp>RCOM IN Equity</stp>
        <stp>ARD_DEPRECIATION_AMORTIZATION</stp>
        <stp>FY 2015</stp>
        <stp>FY 2015</stp>
        <stp>[FA1_ymffleas.xlsx]Income - As Reported!R17C9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" s="11"/>
      </tp>
      <tp>
        <v>74249.842000000004</v>
        <stp/>
        <stp>##V3_BDHV12</stp>
        <stp>RCOM IN Equity</stp>
        <stp>BEST_EBITDA</stp>
        <stp>FY 2015</stp>
        <stp>FY 2015</stp>
        <stp>[FA1_ymffleas.xlsx]Earnings!R26C9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6" s="4"/>
      </tp>
      <tp>
        <v>76200.217000000004</v>
        <stp/>
        <stp>##V3_BDHV12</stp>
        <stp>RCOM IN Equity</stp>
        <stp>BEST_EBITDA</stp>
        <stp>FY 2014</stp>
        <stp>FY 2014</stp>
        <stp>[FA1_ymffleas.xlsx]Earnings!R26C8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6" s="4"/>
      </tp>
      <tp>
        <v>-101210</v>
        <stp/>
        <stp>##V3_BDHV12</stp>
        <stp>RCOM IN Equity</stp>
        <stp>CHG_IN_FXD_&amp;_INTANG_AST_DETAILED</stp>
        <stp>FY 2011</stp>
        <stp>FY 2011</stp>
        <stp>[FA1_ymffleas.xlsx]Cash Flow - Standardized!R19C4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" s="19"/>
      </tp>
      <tp>
        <v>-46340</v>
        <stp/>
        <stp>##V3_BDHV12</stp>
        <stp>RCOM IN Equity</stp>
        <stp>CHG_IN_FXD_&amp;_INTANG_AST_DETAILED</stp>
        <stp>FY 2012</stp>
        <stp>FY 2012</stp>
        <stp>[FA1_ymffleas.xlsx]Cash Flow - Standardized!R19C5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" s="19"/>
      </tp>
      <tp>
        <v>-21140</v>
        <stp/>
        <stp>##V3_BDHV12</stp>
        <stp>RCOM IN Equity</stp>
        <stp>CHG_IN_FXD_&amp;_INTANG_AST_DETAILED</stp>
        <stp>FY 2013</stp>
        <stp>FY 2013</stp>
        <stp>[FA1_ymffleas.xlsx]Cash Flow - Standardized!R19C6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" s="19"/>
      </tp>
      <tp>
        <v>-21650</v>
        <stp/>
        <stp>##V3_BDHV12</stp>
        <stp>RCOM IN Equity</stp>
        <stp>CHG_IN_FXD_&amp;_INTANG_AST_DETAILED</stp>
        <stp>FY 2014</stp>
        <stp>FY 2014</stp>
        <stp>[FA1_ymffleas.xlsx]Cash Flow - Standardized!R19C7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" s="19"/>
      </tp>
      <tp>
        <v>-74959</v>
        <stp/>
        <stp>##V3_BDHV12</stp>
        <stp>RCOM IN Equity</stp>
        <stp>CHG_IN_FXD_&amp;_INTANG_AST_DETAILED</stp>
        <stp>FY 2010</stp>
        <stp>FY 2010</stp>
        <stp>[FA1_ymffleas.xlsx]Cash Flow - Standardized!R19C3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" s="19"/>
      </tp>
      <tp>
        <v>-24960</v>
        <stp/>
        <stp>##V3_BDHV12</stp>
        <stp>RCOM IN Equity</stp>
        <stp>CHG_IN_FXD_&amp;_INTANG_AST_DETAILED</stp>
        <stp>FY 2015</stp>
        <stp>FY 2015</stp>
        <stp>[FA1_ymffleas.xlsx]Cash Flow - Standardized!R19C8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" s="19"/>
      </tp>
      <tp>
        <v>-153300</v>
        <stp/>
        <stp>##V3_BDHV12</stp>
        <stp>RCOM IN Equity</stp>
        <stp>CHG_IN_FXD_&amp;_INTANG_AST_DETAILED</stp>
        <stp>FY 2016</stp>
        <stp>FY 2016</stp>
        <stp>[FA1_ymffleas.xlsx]Cash Flow - Standardized!R19C9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" s="19"/>
      </tp>
      <tp t="s">
        <v>—</v>
        <stp/>
        <stp>##V3_BDHV12</stp>
        <stp>RCOM IN Equity</stp>
        <stp>ARD_TOTAL_FINANCIAL_LOSSES_GAINS</stp>
        <stp>FY 2017</stp>
        <stp>FY 2017</stp>
        <stp>[FA1_ymffleas.xlsx]Income - As Reported!R32C11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2" s="11"/>
      </tp>
      <tp t="s">
        <v>—</v>
        <stp/>
        <stp>##V3_BDHV12</stp>
        <stp>RCOM IN Equity</stp>
        <stp>ARD_TOTAL_FINANCIAL_LOSSES_GAINS</stp>
        <stp>FY 2016</stp>
        <stp>FY 2016</stp>
        <stp>[FA1_ymffleas.xlsx]Income - As Reported!R32C10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2" s="11"/>
      </tp>
      <tp t="s">
        <v>—</v>
        <stp/>
        <stp>##V3_BDHV12</stp>
        <stp>RCOM IN Equity</stp>
        <stp>ARD_TOTAL_FINANCIAL_LOSSES_GAINS</stp>
        <stp>FY 2018</stp>
        <stp>FY 2018</stp>
        <stp>[FA1_ymffleas.xlsx]Income - As Reported!R32C12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2" s="11"/>
      </tp>
      <tp>
        <v>2820</v>
        <stp/>
        <stp>##V3_BDHV12</stp>
        <stp>RCOM IN Equity</stp>
        <stp>MINORITY_NONCONTROLLING_INTEREST</stp>
        <stp>FY 2016</stp>
        <stp>FY 2016</stp>
        <stp>[FA1_ymffleas.xlsx]Enterprise Value!R9C9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" s="5"/>
      </tp>
      <tp>
        <v>5120</v>
        <stp/>
        <stp>##V3_BDHV12</stp>
        <stp>RCOM IN Equity</stp>
        <stp>MINORITY_NONCONTROLLING_INTEREST</stp>
        <stp>FY 2015</stp>
        <stp>FY 2015</stp>
        <stp>[FA1_ymffleas.xlsx]Enterprise Value!R9C8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" s="5"/>
      </tp>
      <tp>
        <v>6583.9</v>
        <stp/>
        <stp>##V3_BDHV12</stp>
        <stp>RCOM IN Equity</stp>
        <stp>MINORITY_NONCONTROLLING_INTEREST</stp>
        <stp>FY 2010</stp>
        <stp>FY 2010</stp>
        <stp>[FA1_ymffleas.xlsx]Enterprise Value!R9C3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" s="5"/>
      </tp>
      <tp>
        <v>8600</v>
        <stp/>
        <stp>##V3_BDHV12</stp>
        <stp>RCOM IN Equity</stp>
        <stp>MINORITY_NONCONTROLLING_INTEREST</stp>
        <stp>FY 2012</stp>
        <stp>FY 2012</stp>
        <stp>[FA1_ymffleas.xlsx]Enterprise Value!R9C5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" s="5"/>
      </tp>
      <tp>
        <v>8240</v>
        <stp/>
        <stp>##V3_BDHV12</stp>
        <stp>RCOM IN Equity</stp>
        <stp>MINORITY_NONCONTROLLING_INTEREST</stp>
        <stp>FY 2011</stp>
        <stp>FY 2011</stp>
        <stp>[FA1_ymffleas.xlsx]Enterprise Value!R9C4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" s="5"/>
      </tp>
      <tp>
        <v>7430</v>
        <stp/>
        <stp>##V3_BDHV12</stp>
        <stp>RCOM IN Equity</stp>
        <stp>MINORITY_NONCONTROLLING_INTEREST</stp>
        <stp>FY 2014</stp>
        <stp>FY 2014</stp>
        <stp>[FA1_ymffleas.xlsx]Enterprise Value!R9C7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" s="5"/>
      </tp>
      <tp>
        <v>7250</v>
        <stp/>
        <stp>##V3_BDHV12</stp>
        <stp>RCOM IN Equity</stp>
        <stp>MINORITY_NONCONTROLLING_INTEREST</stp>
        <stp>FY 2013</stp>
        <stp>FY 2013</stp>
        <stp>[FA1_ymffleas.xlsx]Enterprise Value!R9C6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" s="5"/>
      </tp>
      <tp>
        <v>80</v>
        <stp/>
        <stp>##V3_BDHV12</stp>
        <stp>RCOM IN Equity</stp>
        <stp>ARDR_SERVICE_COST_OPRB</stp>
        <stp>FY 2011</stp>
        <stp>FY 2011</stp>
        <stp>[FA1_ymffleas.xlsx]Bal Sheet - As Reported!R205C5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5" s="17"/>
      </tp>
      <tp>
        <v>91.1</v>
        <stp/>
        <stp>##V3_BDHV12</stp>
        <stp>RCOM IN Equity</stp>
        <stp>ARDR_SERVICE_COST_OPRB</stp>
        <stp>FY 2010</stp>
        <stp>FY 2010</stp>
        <stp>[FA1_ymffleas.xlsx]Bal Sheet - As Reported!R205C4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5" s="17"/>
      </tp>
      <tp>
        <v>80</v>
        <stp/>
        <stp>##V3_BDHV12</stp>
        <stp>RCOM IN Equity</stp>
        <stp>ARDR_SERVICE_COST_OPRB</stp>
        <stp>FY 2013</stp>
        <stp>FY 2013</stp>
        <stp>[FA1_ymffleas.xlsx]Bal Sheet - As Reported!R205C7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5" s="17"/>
      </tp>
      <tp>
        <v>70</v>
        <stp/>
        <stp>##V3_BDHV12</stp>
        <stp>RCOM IN Equity</stp>
        <stp>ARDR_SERVICE_COST_OPRB</stp>
        <stp>FY 2012</stp>
        <stp>FY 2012</stp>
        <stp>[FA1_ymffleas.xlsx]Bal Sheet - As Reported!R205C6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5" s="17"/>
      </tp>
      <tp>
        <v>96.9</v>
        <stp/>
        <stp>##V3_BDHV12</stp>
        <stp>RCOM IN Equity</stp>
        <stp>ARDR_SERVICE_COST_OPRB</stp>
        <stp>FY 2009</stp>
        <stp>FY 2009</stp>
        <stp>[FA1_ymffleas.xlsx]Bal Sheet - As Reported!R205C3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5" s="17"/>
      </tp>
      <tp>
        <v>50</v>
        <stp/>
        <stp>##V3_BDHV12</stp>
        <stp>RCOM IN Equity</stp>
        <stp>ARDR_SERVICE_COST_OPRB</stp>
        <stp>FY 2015</stp>
        <stp>FY 2015</stp>
        <stp>[FA1_ymffleas.xlsx]Bal Sheet - As Reported!R205C9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5" s="17"/>
      </tp>
      <tp>
        <v>60</v>
        <stp/>
        <stp>##V3_BDHV12</stp>
        <stp>RCOM IN Equity</stp>
        <stp>ARDR_SERVICE_COST_OPRB</stp>
        <stp>FY 2014</stp>
        <stp>FY 2014</stp>
        <stp>[FA1_ymffleas.xlsx]Bal Sheet - As Reported!R205C8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5" s="17"/>
      </tp>
      <tp>
        <v>-6979.2</v>
        <stp/>
        <stp>##V3_BDHV12</stp>
        <stp>RCOM IN Equity</stp>
        <stp>ARD_OTHER_NON_OPERATING_INC</stp>
        <stp>FY 2009</stp>
        <stp>FY 2009</stp>
        <stp>[FA1_ymffleas.xlsx]Income - As Reported!R25C3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5" s="11"/>
      </tp>
      <tp>
        <v>-6359</v>
        <stp/>
        <stp>##V3_BDHV12</stp>
        <stp>RCOM IN Equity</stp>
        <stp>ARD_OTHER_NON_OPERATING_INC</stp>
        <stp>FY 2010</stp>
        <stp>FY 2010</stp>
        <stp>[FA1_ymffleas.xlsx]Income - As Reported!R25C4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5" s="11"/>
      </tp>
      <tp>
        <v>-7380</v>
        <stp/>
        <stp>##V3_BDHV12</stp>
        <stp>RCOM IN Equity</stp>
        <stp>ARD_OTHER_NON_OPERATING_INC</stp>
        <stp>FY 2011</stp>
        <stp>FY 2011</stp>
        <stp>[FA1_ymffleas.xlsx]Income - As Reported!R25C5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5" s="11"/>
      </tp>
      <tp>
        <v>-7050</v>
        <stp/>
        <stp>##V3_BDHV12</stp>
        <stp>RCOM IN Equity</stp>
        <stp>ARD_OTHER_NON_OPERATING_INC</stp>
        <stp>FY 2012</stp>
        <stp>FY 2012</stp>
        <stp>[FA1_ymffleas.xlsx]Income - As Reported!R25C6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5" s="11"/>
      </tp>
      <tp>
        <v>-12170</v>
        <stp/>
        <stp>##V3_BDHV12</stp>
        <stp>RCOM IN Equity</stp>
        <stp>ARD_OTHER_NON_OPERATING_INC</stp>
        <stp>FY 2013</stp>
        <stp>FY 2013</stp>
        <stp>[FA1_ymffleas.xlsx]Income - As Reported!R25C7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5" s="11"/>
      </tp>
      <tp>
        <v>-10830</v>
        <stp/>
        <stp>##V3_BDHV12</stp>
        <stp>RCOM IN Equity</stp>
        <stp>ARD_OTHER_NON_OPERATING_INC</stp>
        <stp>FY 2014</stp>
        <stp>FY 2014</stp>
        <stp>[FA1_ymffleas.xlsx]Income - As Reported!R25C8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5" s="11"/>
      </tp>
      <tp>
        <v>-3280</v>
        <stp/>
        <stp>##V3_BDHV12</stp>
        <stp>RCOM IN Equity</stp>
        <stp>ARD_OTHER_NON_OPERATING_INC</stp>
        <stp>FY 2015</stp>
        <stp>FY 2015</stp>
        <stp>[FA1_ymffleas.xlsx]Income - As Reported!R25C9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5" s="11"/>
      </tp>
      <tp>
        <v>19.4694</v>
        <stp/>
        <stp>##V3_BDHV12</stp>
        <stp>RCOM IN Equity</stp>
        <stp>TOTAL_DEBT_TO_EBIT</stp>
        <stp>FY 2014</stp>
        <stp>FY 2014</stp>
        <stp>[FA1_ymffleas.xlsx]Credit!R13C8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3" s="23"/>
      </tp>
      <tp t="s">
        <v>—</v>
        <stp/>
        <stp>##V3_BDHV12</stp>
        <stp>RCOM IN Equity</stp>
        <stp>GEO_GROW_EBITDA</stp>
        <stp>FY 2010</stp>
        <stp>FY 2010</stp>
        <stp>[FA1_ymffleas.xlsx]Growth!R37C4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37" s="22"/>
      </tp>
      <tp>
        <v>794633.33330000006</v>
        <stp/>
        <stp>##V3_BDHV12</stp>
        <stp>RCOM IN Equity</stp>
        <stp>TAX_EFFICIENCY</stp>
        <stp>FY 2018</stp>
        <stp>FY 2018</stp>
        <stp>[FA1_ymffleas.xlsx]DuPont Analysis!R7C12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7" s="27"/>
      </tp>
      <tp>
        <v>2.4036</v>
        <stp/>
        <stp>##V3_BDHV12</stp>
        <stp>RCOM IN Equity</stp>
        <stp>EBITDA_TO_INTEREST_EXPN</stp>
        <stp>FY 2014</stp>
        <stp>FY 2014</stp>
        <stp>[FA1_ymffleas.xlsx]Credit!R16C8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6" s="23"/>
      </tp>
      <tp>
        <v>55170</v>
        <stp/>
        <stp>##V3_BDHV12</stp>
        <stp>RCOM IN Equity</stp>
        <stp>ARD_OTHER_CURRENT_ASSETS</stp>
        <stp>FY 2018</stp>
        <stp>FY 2018</stp>
        <stp>[FA1_ymffleas.xlsx]Bal Sheet - As Reported!R43C12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3" s="17"/>
      </tp>
      <tp>
        <v>74870</v>
        <stp/>
        <stp>##V3_BDHV12</stp>
        <stp>RCOM IN Equity</stp>
        <stp>ARD_OTHER_CURRENT_ASSETS</stp>
        <stp>FY 2017</stp>
        <stp>FY 2017</stp>
        <stp>[FA1_ymffleas.xlsx]Bal Sheet - As Reported!R43C11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3" s="17"/>
      </tp>
      <tp>
        <v>67650</v>
        <stp/>
        <stp>##V3_BDHV12</stp>
        <stp>RCOM IN Equity</stp>
        <stp>ARD_OTHER_CURRENT_ASSETS</stp>
        <stp>FY 2016</stp>
        <stp>FY 2016</stp>
        <stp>[FA1_ymffleas.xlsx]Bal Sheet - As Reported!R43C10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3" s="17"/>
      </tp>
      <tp>
        <v>10.23</v>
        <stp/>
        <stp>##V3_BDHV12</stp>
        <stp>RCOM IN Equity</stp>
        <stp>ARDR_%_OF_FOREIGN_SHAREHOLDERS</stp>
        <stp>FY 2009</stp>
        <stp>FY 2009</stp>
        <stp>[FA1_ymffleas.xlsx]Bal Sheet - As Reported!R133C3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33" s="17"/>
      </tp>
      <tp t="s">
        <v>—</v>
        <stp/>
        <stp>##V3_BDHV12</stp>
        <stp>RCOM IN Equity</stp>
        <stp>ARDR_%_OF_FOREIGN_SHAREHOLDERS</stp>
        <stp>FY 2011</stp>
        <stp>FY 2011</stp>
        <stp>[FA1_ymffleas.xlsx]Bal Sheet - As Reported!R133C5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33" s="17"/>
      </tp>
      <tp>
        <v>-122583.8</v>
        <stp/>
        <stp>##V3_BDHV12</stp>
        <stp>RCOM IN Equity</stp>
        <stp>TRAIL_12M_CAP_EXPEND</stp>
        <stp>FY 2009</stp>
        <stp>FY 2009</stp>
        <stp>[FA1_ymffleas.xlsx]Yield Analysis!R8C3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26"/>
      </tp>
      <tp>
        <v>-103270</v>
        <stp/>
        <stp>##V3_BDHV12</stp>
        <stp>RCOM IN Equity</stp>
        <stp>TRAIL_12M_CAP_EXPEND</stp>
        <stp>FY 2011</stp>
        <stp>FY 2011</stp>
        <stp>[FA1_ymffleas.xlsx]Yield Analysis!R8C5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26"/>
      </tp>
      <tp>
        <v>-74960.3</v>
        <stp/>
        <stp>##V3_BDHV12</stp>
        <stp>RCOM IN Equity</stp>
        <stp>TRAIL_12M_CAP_EXPEND</stp>
        <stp>FY 2010</stp>
        <stp>FY 2010</stp>
        <stp>[FA1_ymffleas.xlsx]Yield Analysis!R8C4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26"/>
      </tp>
      <tp>
        <v>-21140</v>
        <stp/>
        <stp>##V3_BDHV12</stp>
        <stp>RCOM IN Equity</stp>
        <stp>TRAIL_12M_CAP_EXPEND</stp>
        <stp>FY 2013</stp>
        <stp>FY 2013</stp>
        <stp>[FA1_ymffleas.xlsx]Yield Analysis!R8C7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26"/>
      </tp>
      <tp>
        <v>-48500</v>
        <stp/>
        <stp>##V3_BDHV12</stp>
        <stp>RCOM IN Equity</stp>
        <stp>TRAIL_12M_CAP_EXPEND</stp>
        <stp>FY 2012</stp>
        <stp>FY 2012</stp>
        <stp>[FA1_ymffleas.xlsx]Yield Analysis!R8C6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26"/>
      </tp>
      <tp>
        <v>-24960</v>
        <stp/>
        <stp>##V3_BDHV12</stp>
        <stp>RCOM IN Equity</stp>
        <stp>TRAIL_12M_CAP_EXPEND</stp>
        <stp>FY 2015</stp>
        <stp>FY 2015</stp>
        <stp>[FA1_ymffleas.xlsx]Yield Analysis!R8C9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26"/>
      </tp>
      <tp>
        <v>-21650</v>
        <stp/>
        <stp>##V3_BDHV12</stp>
        <stp>RCOM IN Equity</stp>
        <stp>TRAIL_12M_CAP_EXPEND</stp>
        <stp>FY 2014</stp>
        <stp>FY 2014</stp>
        <stp>[FA1_ymffleas.xlsx]Yield Analysis!R8C8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26"/>
      </tp>
      <tp>
        <v>8.2899999999999991</v>
        <stp/>
        <stp>##V3_BDHV12</stp>
        <stp>RCOM IN Equity</stp>
        <stp>ARDR_%_OF_FOREIGN_SHAREHOLDERS</stp>
        <stp>FY 2010</stp>
        <stp>FY 2010</stp>
        <stp>[FA1_ymffleas.xlsx]Bal Sheet - As Reported!R133C4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33" s="17"/>
      </tp>
      <tp t="s">
        <v>—</v>
        <stp/>
        <stp>##V3_BDHV12</stp>
        <stp>RCOM IN Equity</stp>
        <stp>ARDR_%_OF_FOREIGN_SHAREHOLDERS</stp>
        <stp>FY 2013</stp>
        <stp>FY 2013</stp>
        <stp>[FA1_ymffleas.xlsx]Bal Sheet - As Reported!R133C7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33" s="17"/>
      </tp>
      <tp t="s">
        <v>—</v>
        <stp/>
        <stp>##V3_BDHV12</stp>
        <stp>RCOM IN Equity</stp>
        <stp>ARDR_%_OF_FOREIGN_SHAREHOLDERS</stp>
        <stp>FY 2012</stp>
        <stp>FY 2012</stp>
        <stp>[FA1_ymffleas.xlsx]Bal Sheet - As Reported!R133C6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33" s="17"/>
      </tp>
      <tp t="s">
        <v>—</v>
        <stp/>
        <stp>##V3_BDHV12</stp>
        <stp>RCOM IN Equity</stp>
        <stp>ARDR_%_OF_FOREIGN_SHAREHOLDERS</stp>
        <stp>FY 2015</stp>
        <stp>FY 2015</stp>
        <stp>[FA1_ymffleas.xlsx]Bal Sheet - As Reported!R133C9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33" s="17"/>
      </tp>
      <tp t="s">
        <v>—</v>
        <stp/>
        <stp>##V3_BDHV12</stp>
        <stp>RCOM IN Equity</stp>
        <stp>ARDR_%_OF_FOREIGN_SHAREHOLDERS</stp>
        <stp>FY 2014</stp>
        <stp>FY 2014</stp>
        <stp>[FA1_ymffleas.xlsx]Bal Sheet - As Reported!R133C8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33" s="17"/>
      </tp>
      <tp>
        <v>40</v>
        <stp/>
        <stp>##V3_BDHV12</stp>
        <stp>RCOM IN Equity</stp>
        <stp>ARDR_INTEREST_COST_OPRB</stp>
        <stp>FY 2018</stp>
        <stp>FY 2018</stp>
        <stp>[FA1_ymffleas.xlsx]Income - As Reported!R129C12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9" s="11"/>
      </tp>
      <tp>
        <v>30</v>
        <stp/>
        <stp>##V3_BDHV12</stp>
        <stp>RCOM IN Equity</stp>
        <stp>ARDR_INTEREST_COST_OPRB</stp>
        <stp>FY 2016</stp>
        <stp>FY 2016</stp>
        <stp>[FA1_ymffleas.xlsx]Income - As Reported!R129C10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9" s="11"/>
      </tp>
      <tp>
        <v>40</v>
        <stp/>
        <stp>##V3_BDHV12</stp>
        <stp>RCOM IN Equity</stp>
        <stp>ARDR_INTEREST_COST_OPRB</stp>
        <stp>FY 2017</stp>
        <stp>FY 2017</stp>
        <stp>[FA1_ymffleas.xlsx]Income - As Reported!R129C11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9" s="11"/>
      </tp>
      <tp>
        <v>48.599400000000003</v>
        <stp/>
        <stp>##V3_BDHV12</stp>
        <stp>RCOM IN Equity</stp>
        <stp>TOT_DEBT_TO_TOT_CAP</stp>
        <stp>FY 2011</stp>
        <stp>FY 2011</stp>
        <stp>[FA1_ymffleas.xlsx]Liquidity!R17C5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7" s="24"/>
      </tp>
      <tp t="s">
        <v>—</v>
        <stp/>
        <stp>##V3_BDHV12</stp>
        <stp>RCOM IN Equity</stp>
        <stp>ENVIRON_DISCLOSURE_SCORE</stp>
        <stp>FY 2012</stp>
        <stp>FY 2012</stp>
        <stp>[FA1_ymffleas.xlsx]ESG - Overview!R9C6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" s="34"/>
      </tp>
      <tp>
        <v>40.300600000000003</v>
        <stp/>
        <stp>##V3_BDHV12</stp>
        <stp>RCOM IN Equity</stp>
        <stp>TOT_DEBT_TO_TOT_CAP</stp>
        <stp>FY 2010</stp>
        <stp>FY 2010</stp>
        <stp>[FA1_ymffleas.xlsx]Liquidity!R17C4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7" s="24"/>
      </tp>
      <tp t="s">
        <v>—</v>
        <stp/>
        <stp>##V3_BDHV12</stp>
        <stp>RCOM IN Equity</stp>
        <stp>ENVIRON_DISCLOSURE_SCORE</stp>
        <stp>FY 2013</stp>
        <stp>FY 2013</stp>
        <stp>[FA1_ymffleas.xlsx]ESG - Overview!R9C7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" s="34"/>
      </tp>
      <tp>
        <v>54.579500000000003</v>
        <stp/>
        <stp>##V3_BDHV12</stp>
        <stp>RCOM IN Equity</stp>
        <stp>TOT_DEBT_TO_TOT_CAP</stp>
        <stp>FY 2013</stp>
        <stp>FY 2013</stp>
        <stp>[FA1_ymffleas.xlsx]Liquidity!R17C7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7" s="24"/>
      </tp>
      <tp t="s">
        <v>—</v>
        <stp/>
        <stp>##V3_BDHV12</stp>
        <stp>RCOM IN Equity</stp>
        <stp>ENVIRON_DISCLOSURE_SCORE</stp>
        <stp>FY 2010</stp>
        <stp>FY 2010</stp>
        <stp>[FA1_ymffleas.xlsx]ESG - Overview!R9C4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" s="34"/>
      </tp>
      <tp>
        <v>50.76</v>
        <stp/>
        <stp>##V3_BDHV12</stp>
        <stp>RCOM IN Equity</stp>
        <stp>TOT_DEBT_TO_TOT_CAP</stp>
        <stp>FY 2012</stp>
        <stp>FY 2012</stp>
        <stp>[FA1_ymffleas.xlsx]Liquidity!R17C6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7" s="24"/>
      </tp>
      <tp t="s">
        <v>—</v>
        <stp/>
        <stp>##V3_BDHV12</stp>
        <stp>RCOM IN Equity</stp>
        <stp>ENVIRON_DISCLOSURE_SCORE</stp>
        <stp>FY 2011</stp>
        <stp>FY 2011</stp>
        <stp>[FA1_ymffleas.xlsx]ESG - Overview!R9C5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" s="34"/>
      </tp>
      <tp>
        <v>4.41</v>
        <stp/>
        <stp>##V3_BDHV12</stp>
        <stp>RCOM IN Equity</stp>
        <stp>IS_DILUTED_EPS</stp>
        <stp>FY 2012</stp>
        <stp>FY 2012</stp>
        <stp>[FA1_ymffleas.xlsx]Income - Adjusted!R115C5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15" s="9"/>
      </tp>
      <tp>
        <v>5</v>
        <stp/>
        <stp>##V3_BDHV12</stp>
        <stp>RCOM IN Equity</stp>
        <stp>ARDR_PAR_VALUE</stp>
        <stp>FY 2009</stp>
        <stp>FY 2009</stp>
        <stp>[FA1_ymffleas.xlsx]Bal Sheet - As Reported!R99C3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9" s="17"/>
      </tp>
      <tp>
        <v>5</v>
        <stp/>
        <stp>##V3_BDHV12</stp>
        <stp>RCOM IN Equity</stp>
        <stp>ARDR_PAR_VALUE</stp>
        <stp>FY 2010</stp>
        <stp>FY 2010</stp>
        <stp>[FA1_ymffleas.xlsx]Bal Sheet - As Reported!R99C4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9" s="17"/>
      </tp>
      <tp t="s">
        <v>—</v>
        <stp/>
        <stp>##V3_BDHV12</stp>
        <stp>RCOM IN Equity</stp>
        <stp>ENVIRON_DISCLOSURE_SCORE</stp>
        <stp>FY 2009</stp>
        <stp>FY 2009</stp>
        <stp>[FA1_ymffleas.xlsx]ESG - Overview!R9C3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" s="34"/>
      </tp>
      <tp>
        <v>5</v>
        <stp/>
        <stp>##V3_BDHV12</stp>
        <stp>RCOM IN Equity</stp>
        <stp>ARDR_PAR_VALUE</stp>
        <stp>FY 2011</stp>
        <stp>FY 2011</stp>
        <stp>[FA1_ymffleas.xlsx]Bal Sheet - As Reported!R99C5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9" s="17"/>
      </tp>
      <tp>
        <v>47.702100000000002</v>
        <stp/>
        <stp>##V3_BDHV12</stp>
        <stp>RCOM IN Equity</stp>
        <stp>TOT_DEBT_TO_TOT_CAP</stp>
        <stp>FY 2009</stp>
        <stp>FY 2009</stp>
        <stp>[FA1_ymffleas.xlsx]Liquidity!R17C3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7" s="24"/>
      </tp>
      <tp>
        <v>5</v>
        <stp/>
        <stp>##V3_BDHV12</stp>
        <stp>RCOM IN Equity</stp>
        <stp>ARDR_PAR_VALUE</stp>
        <stp>FY 2012</stp>
        <stp>FY 2012</stp>
        <stp>[FA1_ymffleas.xlsx]Bal Sheet - As Reported!R99C6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9" s="17"/>
      </tp>
      <tp>
        <v>5</v>
        <stp/>
        <stp>##V3_BDHV12</stp>
        <stp>RCOM IN Equity</stp>
        <stp>ARDR_PAR_VALUE</stp>
        <stp>FY 2013</stp>
        <stp>FY 2013</stp>
        <stp>[FA1_ymffleas.xlsx]Bal Sheet - As Reported!R99C7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9" s="17"/>
      </tp>
      <tp t="s">
        <v>—</v>
        <stp/>
        <stp>##V3_BDHV12</stp>
        <stp>RCOM IN Equity</stp>
        <stp>ARD_TOTAL_SHARE_CAPITAL</stp>
        <stp>FY 2009</stp>
        <stp>FY 2009</stp>
        <stp>[FA1_ymffleas.xlsx]Bal Sheet - As Reported!R11C3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" s="17"/>
      </tp>
      <tp t="s">
        <v>—</v>
        <stp/>
        <stp>##V3_BDHV12</stp>
        <stp>RCOM IN Equity</stp>
        <stp>ARD_TOTAL_SHARE_CAPITAL</stp>
        <stp>FY 2010</stp>
        <stp>FY 2010</stp>
        <stp>[FA1_ymffleas.xlsx]Bal Sheet - As Reported!R11C4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" s="17"/>
      </tp>
      <tp t="s">
        <v>—</v>
        <stp/>
        <stp>##V3_BDHV12</stp>
        <stp>RCOM IN Equity</stp>
        <stp>ARD_TOTAL_SHARE_CAPITAL</stp>
        <stp>FY 2011</stp>
        <stp>FY 2011</stp>
        <stp>[FA1_ymffleas.xlsx]Bal Sheet - As Reported!R11C5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" s="17"/>
      </tp>
      <tp t="s">
        <v>—</v>
        <stp/>
        <stp>##V3_BDHV12</stp>
        <stp>RCOM IN Equity</stp>
        <stp>ARD_TOTAL_SHARE_CAPITAL</stp>
        <stp>FY 2012</stp>
        <stp>FY 2012</stp>
        <stp>[FA1_ymffleas.xlsx]Bal Sheet - As Reported!R11C6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" s="17"/>
      </tp>
      <tp t="s">
        <v>—</v>
        <stp/>
        <stp>##V3_BDHV12</stp>
        <stp>RCOM IN Equity</stp>
        <stp>ARD_TOTAL_SHARE_CAPITAL</stp>
        <stp>FY 2013</stp>
        <stp>FY 2013</stp>
        <stp>[FA1_ymffleas.xlsx]Bal Sheet - As Reported!R11C7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" s="17"/>
      </tp>
      <tp>
        <v>10320</v>
        <stp/>
        <stp>##V3_BDHV12</stp>
        <stp>RCOM IN Equity</stp>
        <stp>ARD_TOTAL_SHARE_CAPITAL</stp>
        <stp>FY 2014</stp>
        <stp>FY 2014</stp>
        <stp>[FA1_ymffleas.xlsx]Bal Sheet - As Reported!R11C8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" s="17"/>
      </tp>
      <tp>
        <v>12440</v>
        <stp/>
        <stp>##V3_BDHV12</stp>
        <stp>RCOM IN Equity</stp>
        <stp>ARD_TOTAL_SHARE_CAPITAL</stp>
        <stp>FY 2015</stp>
        <stp>FY 2015</stp>
        <stp>[FA1_ymffleas.xlsx]Bal Sheet - As Reported!R11C9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" s="17"/>
      </tp>
      <tp>
        <v>5</v>
        <stp/>
        <stp>##V3_BDHV12</stp>
        <stp>RCOM IN Equity</stp>
        <stp>ARDR_PAR_VALUE</stp>
        <stp>FY 2014</stp>
        <stp>FY 2014</stp>
        <stp>[FA1_ymffleas.xlsx]Bal Sheet - As Reported!R99C8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9" s="17"/>
      </tp>
      <tp>
        <v>5</v>
        <stp/>
        <stp>##V3_BDHV12</stp>
        <stp>RCOM IN Equity</stp>
        <stp>ARDR_PAR_VALUE</stp>
        <stp>FY 2015</stp>
        <stp>FY 2015</stp>
        <stp>[FA1_ymffleas.xlsx]Bal Sheet - As Reported!R99C9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9" s="17"/>
      </tp>
      <tp>
        <v>50.966700000000003</v>
        <stp/>
        <stp>##V3_BDHV12</stp>
        <stp>RCOM IN Equity</stp>
        <stp>TOT_DEBT_TO_TOT_CAP</stp>
        <stp>FY 2015</stp>
        <stp>FY 2015</stp>
        <stp>[FA1_ymffleas.xlsx]Liquidity!R17C9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7" s="24"/>
      </tp>
      <tp>
        <v>55.757399999999997</v>
        <stp/>
        <stp>##V3_BDHV12</stp>
        <stp>RCOM IN Equity</stp>
        <stp>TOT_DEBT_TO_TOT_CAP</stp>
        <stp>FY 2014</stp>
        <stp>FY 2014</stp>
        <stp>[FA1_ymffleas.xlsx]Liquidity!R17C8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7" s="24"/>
      </tp>
      <tp t="s">
        <v>—</v>
        <stp/>
        <stp>##V3_BDHV12</stp>
        <stp>RCOM IN Equity</stp>
        <stp>ENVIRON_DISCLOSURE_SCORE</stp>
        <stp>FY 2014</stp>
        <stp>FY 2014</stp>
        <stp>[FA1_ymffleas.xlsx]ESG - Overview!R9C8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" s="34"/>
      </tp>
      <tp t="s">
        <v>—</v>
        <stp/>
        <stp>##V3_BDHV12</stp>
        <stp>RCOM IN Equity</stp>
        <stp>ENVIRON_DISCLOSURE_SCORE</stp>
        <stp>FY 2015</stp>
        <stp>FY 2015</stp>
        <stp>[FA1_ymffleas.xlsx]ESG - Overview!R9C9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" s="34"/>
      </tp>
      <tp>
        <v>3320</v>
        <stp/>
        <stp>##V3_BDHV12</stp>
        <stp>RCOM IN Equity</stp>
        <stp>PREFERRED_EQUITY_&amp;_MINORITY_INT</stp>
        <stp>FY 2018</stp>
        <stp>FY 2018</stp>
        <stp>[FA1_ymffleas.xlsx]Adj Highlights!R8C11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2"/>
      </tp>
      <tp>
        <v>4000</v>
        <stp/>
        <stp>##V3_BDHV12</stp>
        <stp>RCOM IN Equity</stp>
        <stp>PREFERRED_EQUITY_&amp;_MINORITY_INT</stp>
        <stp>FY 2017</stp>
        <stp>FY 2017</stp>
        <stp>[FA1_ymffleas.xlsx]Adj Highlights!R8C10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2"/>
      </tp>
      <tp>
        <v>2.4527000000000001</v>
        <stp/>
        <stp>##V3_BDHV12</stp>
        <stp>RCOM IN Equity</stp>
        <stp>EV_TO_T12M_SALES</stp>
        <stp>FY 2015</stp>
        <stp>FY 2015</stp>
        <stp>[FA1_ymffleas.xlsx]Multiples!R36C8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36" s="6"/>
      </tp>
      <tp t="s">
        <v>—</v>
        <stp/>
        <stp>##V3_BDHV12</stp>
        <stp>RCOM IN Equity</stp>
        <stp>ARD_DIV_INCOME</stp>
        <stp>FY 2015</stp>
        <stp>FY 2015</stp>
        <stp>[FA1_ymffleas.xlsx]Cash Flow - As Reported!R29C9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9" s="20"/>
      </tp>
      <tp t="s">
        <v>—</v>
        <stp/>
        <stp>##V3_BDHV12</stp>
        <stp>RCOM IN Equity</stp>
        <stp>ARD_DIV_INCOME</stp>
        <stp>FY 2014</stp>
        <stp>FY 2014</stp>
        <stp>[FA1_ymffleas.xlsx]Cash Flow - As Reported!R29C8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9" s="20"/>
      </tp>
      <tp>
        <v>0</v>
        <stp/>
        <stp>##V3_BDHV12</stp>
        <stp>RCOM IN Equity</stp>
        <stp>ARD_DIV_INCOME</stp>
        <stp>FY 2011</stp>
        <stp>FY 2011</stp>
        <stp>[FA1_ymffleas.xlsx]Cash Flow - As Reported!R29C5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9" s="20"/>
      </tp>
      <tp>
        <v>-0.6</v>
        <stp/>
        <stp>##V3_BDHV12</stp>
        <stp>RCOM IN Equity</stp>
        <stp>ARD_DIV_INCOME</stp>
        <stp>FY 2010</stp>
        <stp>FY 2010</stp>
        <stp>[FA1_ymffleas.xlsx]Cash Flow - As Reported!R29C4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9" s="20"/>
      </tp>
      <tp t="s">
        <v>—</v>
        <stp/>
        <stp>##V3_BDHV12</stp>
        <stp>RCOM IN Equity</stp>
        <stp>ARD_DIV_INCOME</stp>
        <stp>FY 2013</stp>
        <stp>FY 2013</stp>
        <stp>[FA1_ymffleas.xlsx]Cash Flow - As Reported!R29C7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9" s="20"/>
      </tp>
      <tp t="s">
        <v>—</v>
        <stp/>
        <stp>##V3_BDHV12</stp>
        <stp>RCOM IN Equity</stp>
        <stp>ARD_DIV_INCOME</stp>
        <stp>FY 2012</stp>
        <stp>FY 2012</stp>
        <stp>[FA1_ymffleas.xlsx]Cash Flow - As Reported!R29C6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9" s="20"/>
      </tp>
      <tp t="s">
        <v>—</v>
        <stp/>
        <stp>##V3_BDHV12</stp>
        <stp>RCOM IN Equity</stp>
        <stp>ARD_DIV_INCOME</stp>
        <stp>FY 2009</stp>
        <stp>FY 2009</stp>
        <stp>[FA1_ymffleas.xlsx]Cash Flow - As Reported!R29C3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9" s="20"/>
      </tp>
      <tp>
        <v>3.1772999999999998</v>
        <stp/>
        <stp>##V3_BDHV12</stp>
        <stp>RCOM IN Equity</stp>
        <stp>AVERAGE_EV_TO_T12M_SALES</stp>
        <stp>FY 2015</stp>
        <stp>FY 2015</stp>
        <stp>[FA1_ymffleas.xlsx]Multiples!R37C8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37" s="6"/>
      </tp>
      <tp>
        <v>-2.1629999999999998</v>
        <stp/>
        <stp>##V3_BDHV12</stp>
        <stp>RCOM IN Equity</stp>
        <stp>EBITDA_LES_CAP_EXPEND_TO_INT_EXP</stp>
        <stp>FY 2011</stp>
        <stp>FY 2011</stp>
        <stp>[FA1_ymffleas.xlsx]Credit!R17C5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7" s="23"/>
      </tp>
      <tp>
        <v>15.5046</v>
        <stp/>
        <stp>##V3_BDHV12</stp>
        <stp>RCOM IN Equity</stp>
        <stp>LOW_EV_TO_T12M_EBIT</stp>
        <stp>FY 2015</stp>
        <stp>FY 2015</stp>
        <stp>[FA1_ymffleas.xlsx]Multiples!R49C8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49" s="6"/>
      </tp>
      <tp>
        <v>51580</v>
        <stp/>
        <stp>##V3_BDHV12</stp>
        <stp>RCOM IN Equity</stp>
        <stp>T12M_CHG_ST_BORROWINGS</stp>
        <stp>FY 2017</stp>
        <stp>FY 2017</stp>
        <stp>[FA1_ymffleas.xlsx]Yield Analysis!R38C11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8" s="26"/>
      </tp>
      <tp>
        <v>12600</v>
        <stp/>
        <stp>##V3_BDHV12</stp>
        <stp>RCOM IN Equity</stp>
        <stp>T12M_CHG_ST_BORROWINGS</stp>
        <stp>FY 2018</stp>
        <stp>FY 2018</stp>
        <stp>[FA1_ymffleas.xlsx]Yield Analysis!R15C12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" s="26"/>
      </tp>
      <tp>
        <v>28010</v>
        <stp/>
        <stp>##V3_BDHV12</stp>
        <stp>RCOM IN Equity</stp>
        <stp>T12M_CHG_ST_BORROWINGS</stp>
        <stp>FY 2016</stp>
        <stp>FY 2016</stp>
        <stp>[FA1_ymffleas.xlsx]Yield Analysis!R38C10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8" s="26"/>
      </tp>
      <tp>
        <v>51580</v>
        <stp/>
        <stp>##V3_BDHV12</stp>
        <stp>RCOM IN Equity</stp>
        <stp>T12M_CHG_ST_BORROWINGS</stp>
        <stp>FY 2017</stp>
        <stp>FY 2017</stp>
        <stp>[FA1_ymffleas.xlsx]Yield Analysis!R15C11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" s="26"/>
      </tp>
      <tp>
        <v>28010</v>
        <stp/>
        <stp>##V3_BDHV12</stp>
        <stp>RCOM IN Equity</stp>
        <stp>T12M_CHG_ST_BORROWINGS</stp>
        <stp>FY 2016</stp>
        <stp>FY 2016</stp>
        <stp>[FA1_ymffleas.xlsx]Yield Analysis!R15C10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" s="26"/>
      </tp>
      <tp>
        <v>12600</v>
        <stp/>
        <stp>##V3_BDHV12</stp>
        <stp>RCOM IN Equity</stp>
        <stp>T12M_CHG_ST_BORROWINGS</stp>
        <stp>FY 2018</stp>
        <stp>FY 2018</stp>
        <stp>[FA1_ymffleas.xlsx]Yield Analysis!R38C12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8" s="26"/>
      </tp>
      <tp>
        <v>7.6580000000000004</v>
        <stp/>
        <stp>##V3_BDHV12</stp>
        <stp>RCOM IN Equity</stp>
        <stp>DVD_PAYOUT_RATIO</stp>
        <stp>FY 2011</stp>
        <stp>FY 2011</stp>
        <stp>[FA1_ymffleas.xlsx]DuPont Analysis!R22C5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2" s="27"/>
      </tp>
      <tp>
        <v>7770</v>
        <stp/>
        <stp>##V3_BDHV12</stp>
        <stp>RCOM IN Equity</stp>
        <stp>ARD_TOTAL_COMPREHENSIVE_INCOME</stp>
        <stp>FY 2016</stp>
        <stp>FY 2016</stp>
        <stp>[FA1_ymffleas.xlsx]Income - As Reported!R56C10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6" s="11"/>
      </tp>
      <tp>
        <v>-14400</v>
        <stp/>
        <stp>##V3_BDHV12</stp>
        <stp>RCOM IN Equity</stp>
        <stp>ARD_TOTAL_COMPREHENSIVE_INCOME</stp>
        <stp>FY 2017</stp>
        <stp>FY 2017</stp>
        <stp>[FA1_ymffleas.xlsx]Income - As Reported!R56C11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6" s="11"/>
      </tp>
      <tp>
        <v>238820</v>
        <stp/>
        <stp>##V3_BDHV12</stp>
        <stp>RCOM IN Equity</stp>
        <stp>ARD_TOTAL_COMPREHENSIVE_INCOME</stp>
        <stp>FY 2018</stp>
        <stp>FY 2018</stp>
        <stp>[FA1_ymffleas.xlsx]Income - As Reported!R56C12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6" s="11"/>
      </tp>
      <tp>
        <v>-1.4998</v>
        <stp/>
        <stp>##V3_BDHV12</stp>
        <stp>RCOM IN Equity</stp>
        <stp>RETURN_ON_CAP</stp>
        <stp>FY 2017</stp>
        <stp>FY 2017</stp>
        <stp>[FA1_ymffleas.xlsx]Profitability!R9C11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9" s="21"/>
      </tp>
      <tp>
        <v>2.0196999999999998</v>
        <stp/>
        <stp>##V3_BDHV12</stp>
        <stp>RCOM IN Equity</stp>
        <stp>IS_BASIC_EPS_CONT_OPS</stp>
        <stp>FY 2016</stp>
        <stp>FY 2016</stp>
        <stp>[FA1_ymffleas.xlsx]Income - GAAP!R90C9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0" s="10"/>
      </tp>
      <tp>
        <v>2510</v>
        <stp/>
        <stp>##V3_BDHV12</stp>
        <stp>RCOM IN Equity</stp>
        <stp>CF_NET_CHNG_CASH</stp>
        <stp>FY 2017</stp>
        <stp>FY 2017</stp>
        <stp>[FA1_ymffleas.xlsx]Addl - Overview!R37C10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7" s="29"/>
      </tp>
      <tp>
        <v>-2080</v>
        <stp/>
        <stp>##V3_BDHV12</stp>
        <stp>RCOM IN Equity</stp>
        <stp>CF_NET_CHNG_CASH</stp>
        <stp>FY 2018</stp>
        <stp>FY 2018</stp>
        <stp>[FA1_ymffleas.xlsx]Addl - Overview!R37C11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7" s="29"/>
      </tp>
      <tp>
        <v>2.9695999999999998</v>
        <stp/>
        <stp>##V3_BDHV12</stp>
        <stp>RCOM IN Equity</stp>
        <stp>IS_BASIC_EPS_CONT_OPS</stp>
        <stp>FY 2015</stp>
        <stp>FY 2015</stp>
        <stp>[FA1_ymffleas.xlsx]Income - GAAP!R90C8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0" s="10"/>
      </tp>
      <tp>
        <v>5.1078000000000001</v>
        <stp/>
        <stp>##V3_BDHV12</stp>
        <stp>RCOM IN Equity</stp>
        <stp>IS_BASIC_EPS_CONT_OPS</stp>
        <stp>FY 2014</stp>
        <stp>FY 2014</stp>
        <stp>[FA1_ymffleas.xlsx]Income - GAAP!R90C7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0" s="10"/>
      </tp>
      <tp t="s">
        <v>—</v>
        <stp/>
        <stp>##V3_BDHV12</stp>
        <stp>RCOM IN Equity</stp>
        <stp>ARD_PROFIT_AVAIL_APPROPRIATION</stp>
        <stp>FY 2017</stp>
        <stp>FY 2017</stp>
        <stp>[FA1_ymffleas.xlsx]Income - As Reported!R49C11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9" s="11"/>
      </tp>
      <tp t="s">
        <v>—</v>
        <stp/>
        <stp>##V3_BDHV12</stp>
        <stp>RCOM IN Equity</stp>
        <stp>ARD_PROFIT_AVAIL_APPROPRIATION</stp>
        <stp>FY 2016</stp>
        <stp>FY 2016</stp>
        <stp>[FA1_ymffleas.xlsx]Income - As Reported!R49C10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9" s="11"/>
      </tp>
      <tp t="s">
        <v>—</v>
        <stp/>
        <stp>##V3_BDHV12</stp>
        <stp>RCOM IN Equity</stp>
        <stp>ARD_PROFIT_AVAIL_APPROPRIATION</stp>
        <stp>FY 2018</stp>
        <stp>FY 2018</stp>
        <stp>[FA1_ymffleas.xlsx]Income - As Reported!R49C12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9" s="11"/>
      </tp>
      <tp>
        <v>3.2397999999999998</v>
        <stp/>
        <stp>##V3_BDHV12</stp>
        <stp>RCOM IN Equity</stp>
        <stp>IS_BASIC_EPS_CONT_OPS</stp>
        <stp>FY 2013</stp>
        <stp>FY 2013</stp>
        <stp>[FA1_ymffleas.xlsx]Income - GAAP!R90C6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0" s="10"/>
      </tp>
      <tp>
        <v>5.6088000000000005</v>
        <stp/>
        <stp>##V3_BDHV12</stp>
        <stp>RCOM IN Equity</stp>
        <stp>IS_BASIC_EPS_CONT_OPS</stp>
        <stp>FY 2012</stp>
        <stp>FY 2012</stp>
        <stp>[FA1_ymffleas.xlsx]Income - GAAP!R90C5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0" s="10"/>
      </tp>
      <tp>
        <v>5.2465999999999999</v>
        <stp/>
        <stp>##V3_BDHV12</stp>
        <stp>RCOM IN Equity</stp>
        <stp>IS_BASIC_EPS_CONT_OPS</stp>
        <stp>FY 2011</stp>
        <stp>FY 2011</stp>
        <stp>[FA1_ymffleas.xlsx]Income - GAAP!R90C4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0" s="10"/>
      </tp>
      <tp>
        <v>28.0488</v>
        <stp/>
        <stp>##V3_BDHV12</stp>
        <stp>RCOM IN Equity</stp>
        <stp>IS_DILUTED_EPS</stp>
        <stp>FY 2009</stp>
        <stp>FY 2009</stp>
        <stp>[FA1_ymffleas.xlsx]Earnings!R15C3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5" s="4"/>
      </tp>
      <tp>
        <v>22.863099999999999</v>
        <stp/>
        <stp>##V3_BDHV12</stp>
        <stp>RCOM IN Equity</stp>
        <stp>IS_BASIC_EPS_CONT_OPS</stp>
        <stp>FY 2010</stp>
        <stp>FY 2010</stp>
        <stp>[FA1_ymffleas.xlsx]Income - GAAP!R90C3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0" s="10"/>
      </tp>
      <tp>
        <v>0</v>
        <stp/>
        <stp>##V3_BDHV12</stp>
        <stp>RCOM IN Equity</stp>
        <stp>IS_SG&amp;A_ADJUSTMENTS</stp>
        <stp>FY 2017</stp>
        <stp>FY 2017</stp>
        <stp>[FA1_ymffleas.xlsx]Reconciliation!R11C10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" s="12"/>
      </tp>
      <tp>
        <v>0</v>
        <stp/>
        <stp>##V3_BDHV12</stp>
        <stp>RCOM IN Equity</stp>
        <stp>IS_SG&amp;A_ADJUSTMENTS</stp>
        <stp>FY 2018</stp>
        <stp>FY 2018</stp>
        <stp>[FA1_ymffleas.xlsx]Reconciliation!R11C11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" s="12"/>
      </tp>
      <tp t="s">
        <v>—</v>
        <stp/>
        <stp>##V3_BDHV12</stp>
        <stp>RCOM IN Equity</stp>
        <stp>EFF_TAX_RATE</stp>
        <stp>FY 2016</stp>
        <stp>FY 2016</stp>
        <stp>[FA1_ymffleas.xlsx]Profitability!R22C10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2" s="21"/>
      </tp>
      <tp>
        <v>163480</v>
        <stp/>
        <stp>##V3_BDHV12</stp>
        <stp>RCOM IN Equity</stp>
        <stp>ARDR_FOREIGN_LOANS_OTHER_LOANS</stp>
        <stp>FY 2015</stp>
        <stp>FY 2015</stp>
        <stp>[FA1_ymffleas.xlsx]Bal Sheet - As Reported!R185C9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5" s="17"/>
      </tp>
      <tp>
        <v>224010</v>
        <stp/>
        <stp>##V3_BDHV12</stp>
        <stp>RCOM IN Equity</stp>
        <stp>ARDR_FOREIGN_LOANS_OTHER_LOANS</stp>
        <stp>FY 2014</stp>
        <stp>FY 2014</stp>
        <stp>[FA1_ymffleas.xlsx]Bal Sheet - As Reported!R185C8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5" s="17"/>
      </tp>
      <tp t="s">
        <v>—</v>
        <stp/>
        <stp>##V3_BDHV12</stp>
        <stp>RCOM IN Equity</stp>
        <stp>ARDR_FOREIGN_LOANS_OTHER_LOANS</stp>
        <stp>FY 2009</stp>
        <stp>FY 2009</stp>
        <stp>[FA1_ymffleas.xlsx]Bal Sheet - As Reported!R185C3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5" s="17"/>
      </tp>
      <tp>
        <v>236580</v>
        <stp/>
        <stp>##V3_BDHV12</stp>
        <stp>RCOM IN Equity</stp>
        <stp>ARDR_FOREIGN_LOANS_OTHER_LOANS</stp>
        <stp>FY 2013</stp>
        <stp>FY 2013</stp>
        <stp>[FA1_ymffleas.xlsx]Bal Sheet - As Reported!R185C7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5" s="17"/>
      </tp>
      <tp>
        <v>246260</v>
        <stp/>
        <stp>##V3_BDHV12</stp>
        <stp>RCOM IN Equity</stp>
        <stp>ARDR_FOREIGN_LOANS_OTHER_LOANS</stp>
        <stp>FY 2012</stp>
        <stp>FY 2012</stp>
        <stp>[FA1_ymffleas.xlsx]Bal Sheet - As Reported!R185C6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5" s="17"/>
      </tp>
      <tp t="s">
        <v>—</v>
        <stp/>
        <stp>##V3_BDHV12</stp>
        <stp>RCOM IN Equity</stp>
        <stp>ARDR_FOREIGN_LOANS_OTHER_LOANS</stp>
        <stp>FY 2011</stp>
        <stp>FY 2011</stp>
        <stp>[FA1_ymffleas.xlsx]Bal Sheet - As Reported!R185C5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5" s="17"/>
      </tp>
      <tp t="s">
        <v>—</v>
        <stp/>
        <stp>##V3_BDHV12</stp>
        <stp>RCOM IN Equity</stp>
        <stp>ARDR_FOREIGN_LOANS_OTHER_LOANS</stp>
        <stp>FY 2010</stp>
        <stp>FY 2010</stp>
        <stp>[FA1_ymffleas.xlsx]Bal Sheet - As Reported!R185C4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5" s="17"/>
      </tp>
      <tp>
        <v>60150.343800000002</v>
        <stp/>
        <stp>##V3_BDHV12</stp>
        <stp>RCOM IN Equity</stp>
        <stp>HISTORICAL_MARKET_CAP</stp>
        <stp>FY 2018</stp>
        <stp>FY 2018</stp>
        <stp>[FA1_ymffleas.xlsx]Adj Highlights!R6C11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" s="2"/>
      </tp>
      <tp>
        <v>95327.924199999994</v>
        <stp/>
        <stp>##V3_BDHV12</stp>
        <stp>RCOM IN Equity</stp>
        <stp>HISTORICAL_MARKET_CAP</stp>
        <stp>FY 2017</stp>
        <stp>FY 2017</stp>
        <stp>[FA1_ymffleas.xlsx]Adj Highlights!R6C10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" s="2"/>
      </tp>
      <tp>
        <v>147990</v>
        <stp/>
        <stp>##V3_BDHV12</stp>
        <stp>RCOM IN Equity</stp>
        <stp>OTHER_NONCUR_LIABS_SUB_DETAILED</stp>
        <stp>FY 2016</stp>
        <stp>FY 2016</stp>
        <stp>[FA1_ymffleas.xlsx]Bal Sheet - Standardized!R109C10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9" s="16"/>
      </tp>
      <tp>
        <v>121780</v>
        <stp/>
        <stp>##V3_BDHV12</stp>
        <stp>RCOM IN Equity</stp>
        <stp>OTHER_NONCUR_LIABS_SUB_DETAILED</stp>
        <stp>FY 2017</stp>
        <stp>FY 2017</stp>
        <stp>[FA1_ymffleas.xlsx]Bal Sheet - Standardized!R109C11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9" s="16"/>
      </tp>
      <tp>
        <v>59150</v>
        <stp/>
        <stp>##V3_BDHV12</stp>
        <stp>RCOM IN Equity</stp>
        <stp>OTHER_NONCUR_LIABS_SUB_DETAILED</stp>
        <stp>FY 2018</stp>
        <stp>FY 2018</stp>
        <stp>[FA1_ymffleas.xlsx]Bal Sheet - Standardized!R109C12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9" s="16"/>
      </tp>
      <tp>
        <v>91470</v>
        <stp/>
        <stp>##V3_BDHV12</stp>
        <stp>RCOM IN Equity</stp>
        <stp>OTHER_NONCURRENT_ASSETS_DETAILED</stp>
        <stp>FY 2017</stp>
        <stp>FY 2017</stp>
        <stp>[FA1_ymffleas.xlsx]Bal Sheet - Standardized!R67C11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7" s="16"/>
      </tp>
      <tp>
        <v>100290</v>
        <stp/>
        <stp>##V3_BDHV12</stp>
        <stp>RCOM IN Equity</stp>
        <stp>OTHER_NONCURRENT_ASSETS_DETAILED</stp>
        <stp>FY 2016</stp>
        <stp>FY 2016</stp>
        <stp>[FA1_ymffleas.xlsx]Bal Sheet - Standardized!R67C10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7" s="16"/>
      </tp>
      <tp>
        <v>43060</v>
        <stp/>
        <stp>##V3_BDHV12</stp>
        <stp>RCOM IN Equity</stp>
        <stp>OTHER_NONCURRENT_ASSETS_DETAILED</stp>
        <stp>FY 2018</stp>
        <stp>FY 2018</stp>
        <stp>[FA1_ymffleas.xlsx]Bal Sheet - Standardized!R67C12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7" s="16"/>
      </tp>
      <tp>
        <v>142314.79999999999</v>
        <stp/>
        <stp>##V3_BDHV12</stp>
        <stp>RCOM IN Equity</stp>
        <stp>ARD_PROFIT_AVAIL_APPROPRIATION</stp>
        <stp>FY 2009</stp>
        <stp>FY 2009</stp>
        <stp>[FA1_ymffleas.xlsx]Income - As Reported!R49C3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9" s="11"/>
      </tp>
      <tp>
        <v>102863</v>
        <stp/>
        <stp>##V3_BDHV12</stp>
        <stp>RCOM IN Equity</stp>
        <stp>ARD_PROFIT_AVAIL_APPROPRIATION</stp>
        <stp>FY 2010</stp>
        <stp>FY 2010</stp>
        <stp>[FA1_ymffleas.xlsx]Income - As Reported!R49C4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9" s="11"/>
      </tp>
      <tp t="s">
        <v>—</v>
        <stp/>
        <stp>##V3_BDHV12</stp>
        <stp>RCOM IN Equity</stp>
        <stp>ARD_PROFIT_AVAIL_APPROPRIATION</stp>
        <stp>FY 2011</stp>
        <stp>FY 2011</stp>
        <stp>[FA1_ymffleas.xlsx]Income - As Reported!R49C5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9" s="11"/>
      </tp>
      <tp t="s">
        <v>—</v>
        <stp/>
        <stp>##V3_BDHV12</stp>
        <stp>RCOM IN Equity</stp>
        <stp>ARD_PROFIT_AVAIL_APPROPRIATION</stp>
        <stp>FY 2012</stp>
        <stp>FY 2012</stp>
        <stp>[FA1_ymffleas.xlsx]Income - As Reported!R49C6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9" s="11"/>
      </tp>
      <tp t="s">
        <v>—</v>
        <stp/>
        <stp>##V3_BDHV12</stp>
        <stp>RCOM IN Equity</stp>
        <stp>ARD_PROFIT_AVAIL_APPROPRIATION</stp>
        <stp>FY 2013</stp>
        <stp>FY 2013</stp>
        <stp>[FA1_ymffleas.xlsx]Income - As Reported!R49C7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9" s="11"/>
      </tp>
      <tp t="s">
        <v>—</v>
        <stp/>
        <stp>##V3_BDHV12</stp>
        <stp>RCOM IN Equity</stp>
        <stp>ARD_PROFIT_AVAIL_APPROPRIATION</stp>
        <stp>FY 2014</stp>
        <stp>FY 2014</stp>
        <stp>[FA1_ymffleas.xlsx]Income - As Reported!R49C8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9" s="11"/>
      </tp>
      <tp t="s">
        <v>—</v>
        <stp/>
        <stp>##V3_BDHV12</stp>
        <stp>RCOM IN Equity</stp>
        <stp>ARD_PROFIT_AVAIL_APPROPRIATION</stp>
        <stp>FY 2015</stp>
        <stp>FY 2015</stp>
        <stp>[FA1_ymffleas.xlsx]Income - As Reported!R49C9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9" s="11"/>
      </tp>
      <tp>
        <v>-2.762</v>
        <stp/>
        <stp>##V3_BDHV12</stp>
        <stp>RCOM IN Equity</stp>
        <stp>GEO_GROW_EBITDA</stp>
        <stp>FY 2013</stp>
        <stp>FY 2013</stp>
        <stp>[FA1_ymffleas.xlsx]Growth!R37C7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37" s="22"/>
      </tp>
      <tp>
        <v>-905.16129999999998</v>
        <stp/>
        <stp>##V3_BDHV12</stp>
        <stp>RCOM IN Equity</stp>
        <stp>TAX_EFFICIENCY</stp>
        <stp>FY 2017</stp>
        <stp>FY 2017</stp>
        <stp>[FA1_ymffleas.xlsx]DuPont Analysis!R7C11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7" s="27"/>
      </tp>
      <tp>
        <v>20.7959</v>
        <stp/>
        <stp>##V3_BDHV12</stp>
        <stp>RCOM IN Equity</stp>
        <stp>DILUTED_EPS_AFT_XO_ITEMS_GROWTH</stp>
        <stp>FY 2009</stp>
        <stp>FY 2009</stp>
        <stp>[FA1_ymffleas.xlsx]Growth!R11C3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1" s="22"/>
      </tp>
      <tp>
        <v>4.5</v>
        <stp/>
        <stp>##V3_BDHV12</stp>
        <stp>RCOM IN Equity</stp>
        <stp>ARDR_BASIC_EPS_BEF_XO_ITEMS</stp>
        <stp>FY 2012</stp>
        <stp>FY 2012</stp>
        <stp>[FA1_ymffleas.xlsx]Income - As Reported!R79C6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9" s="11"/>
      </tp>
      <tp>
        <v>3.26</v>
        <stp/>
        <stp>##V3_BDHV12</stp>
        <stp>RCOM IN Equity</stp>
        <stp>ARDR_BASIC_EPS_BEF_XO_ITEMS</stp>
        <stp>FY 2013</stp>
        <stp>FY 2013</stp>
        <stp>[FA1_ymffleas.xlsx]Income - As Reported!R79C7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9" s="11"/>
      </tp>
      <tp t="s">
        <v>—</v>
        <stp/>
        <stp>##V3_BDHV12</stp>
        <stp>RCOM IN Equity</stp>
        <stp>ARDR_BASIC_EPS_BEF_XO_ITEMS</stp>
        <stp>FY 2010</stp>
        <stp>FY 2010</stp>
        <stp>[FA1_ymffleas.xlsx]Income - As Reported!R79C4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9" s="11"/>
      </tp>
      <tp t="s">
        <v>—</v>
        <stp/>
        <stp>##V3_BDHV12</stp>
        <stp>RCOM IN Equity</stp>
        <stp>ARDR_BASIC_EPS_BEF_XO_ITEMS</stp>
        <stp>FY 2011</stp>
        <stp>FY 2011</stp>
        <stp>[FA1_ymffleas.xlsx]Income - As Reported!R79C5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9" s="11"/>
      </tp>
      <tp>
        <v>250</v>
        <stp/>
        <stp>##V3_BDHV12</stp>
        <stp>RCOM IN Equity</stp>
        <stp>ARDR_RENTAL_EXP</stp>
        <stp>FY 2017</stp>
        <stp>FY 2017</stp>
        <stp>[FA1_ymffleas.xlsx]Income - As Reported!R113C11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3" s="11"/>
      </tp>
      <tp>
        <v>800</v>
        <stp/>
        <stp>##V3_BDHV12</stp>
        <stp>RCOM IN Equity</stp>
        <stp>ARDR_RENTAL_EXP</stp>
        <stp>FY 2016</stp>
        <stp>FY 2016</stp>
        <stp>[FA1_ymffleas.xlsx]Income - As Reported!R113C10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3" s="11"/>
      </tp>
      <tp>
        <v>790</v>
        <stp/>
        <stp>##V3_BDHV12</stp>
        <stp>RCOM IN Equity</stp>
        <stp>ARDR_RENTAL_EXP</stp>
        <stp>FY 2018</stp>
        <stp>FY 2018</stp>
        <stp>[FA1_ymffleas.xlsx]Income - As Reported!R113C12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3" s="11"/>
      </tp>
      <tp t="s">
        <v>—</v>
        <stp/>
        <stp>##V3_BDHV12</stp>
        <stp>RCOM IN Equity</stp>
        <stp>ARDR_BASIC_EPS_BEF_XO_ITEMS</stp>
        <stp>FY 2009</stp>
        <stp>FY 2009</stp>
        <stp>[FA1_ymffleas.xlsx]Income - As Reported!R79C3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9" s="11"/>
      </tp>
      <tp>
        <v>15280</v>
        <stp/>
        <stp>##V3_BDHV12</stp>
        <stp>RCOM IN Equity</stp>
        <stp>IS_DISCONTINUED_OPERATIONS</stp>
        <stp>FY 2017</stp>
        <stp>FY 2017</stp>
        <stp>[FA1_ymffleas.xlsx]Income - GAAP!R69C10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9" s="10"/>
      </tp>
      <tp>
        <v>238880</v>
        <stp/>
        <stp>##V3_BDHV12</stp>
        <stp>RCOM IN Equity</stp>
        <stp>IS_DISCONTINUED_OPERATIONS</stp>
        <stp>FY 2018</stp>
        <stp>FY 2018</stp>
        <stp>[FA1_ymffleas.xlsx]Income - GAAP!R69C11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9" s="10"/>
      </tp>
      <tp t="s">
        <v>—</v>
        <stp/>
        <stp>##V3_BDHV12</stp>
        <stp>RCOM IN Equity</stp>
        <stp>ARDR_BASIC_EPS_BEF_XO_ITEMS</stp>
        <stp>FY 2014</stp>
        <stp>FY 2014</stp>
        <stp>[FA1_ymffleas.xlsx]Income - As Reported!R79C8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9" s="11"/>
      </tp>
      <tp t="s">
        <v>—</v>
        <stp/>
        <stp>##V3_BDHV12</stp>
        <stp>RCOM IN Equity</stp>
        <stp>ARDR_BASIC_EPS_BEF_XO_ITEMS</stp>
        <stp>FY 2015</stp>
        <stp>FY 2015</stp>
        <stp>[FA1_ymffleas.xlsx]Income - As Reported!R79C9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9" s="11"/>
      </tp>
      <tp>
        <v>5427.2</v>
        <stp/>
        <stp>##V3_BDHV12</stp>
        <stp>RCOM IN Equity</stp>
        <stp>BS_INVENTORIES</stp>
        <stp>FY 2009</stp>
        <stp>FY 2009</stp>
        <stp>[FA1_ymffleas.xlsx]Working Capital!R16C3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" s="25"/>
      </tp>
      <tp>
        <v>5170</v>
        <stp/>
        <stp>##V3_BDHV12</stp>
        <stp>RCOM IN Equity</stp>
        <stp>BS_INVENTORIES</stp>
        <stp>FY 2011</stp>
        <stp>FY 2011</stp>
        <stp>[FA1_ymffleas.xlsx]Working Capital!R16C5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" s="25"/>
      </tp>
      <tp>
        <v>5446.3</v>
        <stp/>
        <stp>##V3_BDHV12</stp>
        <stp>RCOM IN Equity</stp>
        <stp>BS_INVENTORIES</stp>
        <stp>FY 2010</stp>
        <stp>FY 2010</stp>
        <stp>[FA1_ymffleas.xlsx]Working Capital!R16C4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" s="25"/>
      </tp>
      <tp>
        <v>4970</v>
        <stp/>
        <stp>##V3_BDHV12</stp>
        <stp>RCOM IN Equity</stp>
        <stp>BS_INVENTORIES</stp>
        <stp>FY 2013</stp>
        <stp>FY 2013</stp>
        <stp>[FA1_ymffleas.xlsx]Working Capital!R16C7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" s="25"/>
      </tp>
      <tp>
        <v>5660</v>
        <stp/>
        <stp>##V3_BDHV12</stp>
        <stp>RCOM IN Equity</stp>
        <stp>BS_INVENTORIES</stp>
        <stp>FY 2012</stp>
        <stp>FY 2012</stp>
        <stp>[FA1_ymffleas.xlsx]Working Capital!R16C6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" s="25"/>
      </tp>
      <tp>
        <v>4010</v>
        <stp/>
        <stp>##V3_BDHV12</stp>
        <stp>RCOM IN Equity</stp>
        <stp>BS_INVENTORIES</stp>
        <stp>FY 2015</stp>
        <stp>FY 2015</stp>
        <stp>[FA1_ymffleas.xlsx]Working Capital!R16C9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" s="25"/>
      </tp>
      <tp>
        <v>4150</v>
        <stp/>
        <stp>##V3_BDHV12</stp>
        <stp>RCOM IN Equity</stp>
        <stp>BS_INVENTORIES</stp>
        <stp>FY 2014</stp>
        <stp>FY 2014</stp>
        <stp>[FA1_ymffleas.xlsx]Working Capital!R16C8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" s="25"/>
      </tp>
      <tp>
        <v>2153.1658000000002</v>
        <stp/>
        <stp>##V3_BDHV12</stp>
        <stp>RCOM IN Equity</stp>
        <stp>IS_SH_FOR_DILUTED_EPS</stp>
        <stp>FY 2010</stp>
        <stp>FY 2010</stp>
        <stp>[FA1_ymffleas.xlsx]GAAP Highlights!R12C4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2" s="3"/>
      </tp>
      <tp>
        <v>2153.1658000000002</v>
        <stp/>
        <stp>##V3_BDHV12</stp>
        <stp>RCOM IN Equity</stp>
        <stp>IS_SH_FOR_DILUTED_EPS</stp>
        <stp>FY 2011</stp>
        <stp>FY 2011</stp>
        <stp>[FA1_ymffleas.xlsx]GAAP Highlights!R12C5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2" s="3"/>
      </tp>
      <tp>
        <v>2104.0468999999998</v>
        <stp/>
        <stp>##V3_BDHV12</stp>
        <stp>RCOM IN Equity</stp>
        <stp>IS_SH_FOR_DILUTED_EPS</stp>
        <stp>FY 2012</stp>
        <stp>FY 2012</stp>
        <stp>[FA1_ymffleas.xlsx]GAAP Highlights!R12C6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2" s="3"/>
      </tp>
      <tp>
        <v>2064.0268999999998</v>
        <stp/>
        <stp>##V3_BDHV12</stp>
        <stp>RCOM IN Equity</stp>
        <stp>IS_SH_FOR_DILUTED_EPS</stp>
        <stp>FY 2013</stp>
        <stp>FY 2013</stp>
        <stp>[FA1_ymffleas.xlsx]GAAP Highlights!R12C7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2" s="3"/>
      </tp>
      <tp>
        <v>3.26</v>
        <stp/>
        <stp>##V3_BDHV12</stp>
        <stp>RCOM IN Equity</stp>
        <stp>IS_DILUTED_EPS</stp>
        <stp>FY 2013</stp>
        <stp>FY 2013</stp>
        <stp>[FA1_ymffleas.xlsx]Income - Adjusted!R115C6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15" s="9"/>
      </tp>
      <tp>
        <v>2155.1471000000001</v>
        <stp/>
        <stp>##V3_BDHV12</stp>
        <stp>RCOM IN Equity</stp>
        <stp>IS_SH_FOR_DILUTED_EPS</stp>
        <stp>FY 2009</stp>
        <stp>FY 2009</stp>
        <stp>[FA1_ymffleas.xlsx]GAAP Highlights!R12C3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2" s="3"/>
      </tp>
      <tp>
        <v>2.3066</v>
        <stp/>
        <stp>##V3_BDHV12</stp>
        <stp>RCOM IN Equity</stp>
        <stp>REVENUE_SEQUENTIAL_GROWTH</stp>
        <stp>FY 2015</stp>
        <stp>FY 2015</stp>
        <stp>[FA1_ymffleas.xlsx]Growth!R60C9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60" s="22"/>
      </tp>
      <tp>
        <v>2064.0268999999998</v>
        <stp/>
        <stp>##V3_BDHV12</stp>
        <stp>RCOM IN Equity</stp>
        <stp>IS_SH_FOR_DILUTED_EPS</stp>
        <stp>FY 2014</stp>
        <stp>FY 2014</stp>
        <stp>[FA1_ymffleas.xlsx]GAAP Highlights!R12C8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2" s="3"/>
      </tp>
      <tp>
        <v>2333.9049</v>
        <stp/>
        <stp>##V3_BDHV12</stp>
        <stp>RCOM IN Equity</stp>
        <stp>IS_SH_FOR_DILUTED_EPS</stp>
        <stp>FY 2015</stp>
        <stp>FY 2015</stp>
        <stp>[FA1_ymffleas.xlsx]GAAP Highlights!R12C9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2" s="3"/>
      </tp>
      <tp>
        <v>-29.5776</v>
        <stp/>
        <stp>##V3_BDHV12</stp>
        <stp>RCOM IN Equity</stp>
        <stp>NET_INCOME_TO_COMMON_5_YR_GROWTH</stp>
        <stp>FY 2014</stp>
        <stp>FY 2014</stp>
        <stp>[FA1_ymffleas.xlsx]Growth!R39C8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39" s="22"/>
      </tp>
      <tp>
        <v>29.287099999999999</v>
        <stp/>
        <stp>##V3_BDHV12</stp>
        <stp>RCOM IN Equity</stp>
        <stp>IS_EPS</stp>
        <stp>FY 2009</stp>
        <stp>FY 2009</stp>
        <stp>[FA1_ymffleas.xlsx]GAAP Highlights!R9C3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9" s="3"/>
      </tp>
      <tp>
        <v>0.63980000000000004</v>
        <stp/>
        <stp>##V3_BDHV12</stp>
        <stp>RCOM IN Equity</stp>
        <stp>EBITDA_LES_CAP_EXPEND_TO_INT_EXP</stp>
        <stp>FY 2012</stp>
        <stp>FY 2012</stp>
        <stp>[FA1_ymffleas.xlsx]Credit!R17C6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7" s="23"/>
      </tp>
      <tp>
        <v>5.6033999999999997</v>
        <stp/>
        <stp>##V3_BDHV12</stp>
        <stp>RCOM IN Equity</stp>
        <stp>DVD_PAYOUT_RATIO</stp>
        <stp>FY 2012</stp>
        <stp>FY 2012</stp>
        <stp>[FA1_ymffleas.xlsx]DuPont Analysis!R22C6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2" s="27"/>
      </tp>
      <tp>
        <v>2.8258999999999999</v>
        <stp/>
        <stp>##V3_BDHV12</stp>
        <stp>RCOM IN Equity</stp>
        <stp>RETURN_ON_CAP</stp>
        <stp>FY 2016</stp>
        <stp>FY 2016</stp>
        <stp>[FA1_ymffleas.xlsx]Profitability!R9C10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9" s="21"/>
      </tp>
      <tp>
        <v>54230</v>
        <stp/>
        <stp>##V3_BDHV12</stp>
        <stp>RCOM IN Equity</stp>
        <stp>ARDR_GOODWLL</stp>
        <stp>FY 2015</stp>
        <stp>FY 2015</stp>
        <stp>[FA1_ymffleas.xlsx]Bal Sheet - As Reported!R77C9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7" s="17"/>
      </tp>
      <tp>
        <v>53000</v>
        <stp/>
        <stp>##V3_BDHV12</stp>
        <stp>RCOM IN Equity</stp>
        <stp>ARDR_GOODWLL</stp>
        <stp>FY 2014</stp>
        <stp>FY 2014</stp>
        <stp>[FA1_ymffleas.xlsx]Bal Sheet - As Reported!R77C8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7" s="17"/>
      </tp>
      <tp t="s">
        <v>—</v>
        <stp/>
        <stp>##V3_BDHV12</stp>
        <stp>RCOM IN Equity</stp>
        <stp>ARDR_GOODWLL</stp>
        <stp>FY 2009</stp>
        <stp>FY 2009</stp>
        <stp>[FA1_ymffleas.xlsx]Bal Sheet - As Reported!R77C3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7" s="17"/>
      </tp>
      <tp>
        <v>51250</v>
        <stp/>
        <stp>##V3_BDHV12</stp>
        <stp>RCOM IN Equity</stp>
        <stp>ARDR_GOODWLL</stp>
        <stp>FY 2013</stp>
        <stp>FY 2013</stp>
        <stp>[FA1_ymffleas.xlsx]Bal Sheet - As Reported!R77C7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7" s="17"/>
      </tp>
      <tp>
        <v>50090</v>
        <stp/>
        <stp>##V3_BDHV12</stp>
        <stp>RCOM IN Equity</stp>
        <stp>ARDR_GOODWLL</stp>
        <stp>FY 2012</stp>
        <stp>FY 2012</stp>
        <stp>[FA1_ymffleas.xlsx]Bal Sheet - As Reported!R77C6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7" s="17"/>
      </tp>
      <tp>
        <v>47470</v>
        <stp/>
        <stp>##V3_BDHV12</stp>
        <stp>RCOM IN Equity</stp>
        <stp>ARDR_GOODWLL</stp>
        <stp>FY 2011</stp>
        <stp>FY 2011</stp>
        <stp>[FA1_ymffleas.xlsx]Bal Sheet - As Reported!R77C5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7" s="17"/>
      </tp>
      <tp t="s">
        <v>—</v>
        <stp/>
        <stp>##V3_BDHV12</stp>
        <stp>RCOM IN Equity</stp>
        <stp>ARDR_GOODWLL</stp>
        <stp>FY 2010</stp>
        <stp>FY 2010</stp>
        <stp>[FA1_ymffleas.xlsx]Bal Sheet - As Reported!R77C4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7" s="17"/>
      </tp>
      <tp>
        <v>60220</v>
        <stp/>
        <stp>##V3_BDHV12</stp>
        <stp>RCOM IN Equity</stp>
        <stp>ARDR_INTANGIBLE_ASSET_GROSS</stp>
        <stp>FY 2018</stp>
        <stp>FY 2018</stp>
        <stp>[FA1_ymffleas.xlsx]Bal Sheet - As Reported!R141C12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1" s="17"/>
      </tp>
      <tp>
        <v>330300</v>
        <stp/>
        <stp>##V3_BDHV12</stp>
        <stp>RCOM IN Equity</stp>
        <stp>ARDR_INTANGIBLE_ASSET_GROSS</stp>
        <stp>FY 2017</stp>
        <stp>FY 2017</stp>
        <stp>[FA1_ymffleas.xlsx]Bal Sheet - As Reported!R141C11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1" s="17"/>
      </tp>
      <tp>
        <v>370630</v>
        <stp/>
        <stp>##V3_BDHV12</stp>
        <stp>RCOM IN Equity</stp>
        <stp>ARDR_INTANGIBLE_ASSET_GROSS</stp>
        <stp>FY 2016</stp>
        <stp>FY 2016</stp>
        <stp>[FA1_ymffleas.xlsx]Bal Sheet - As Reported!R141C10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1" s="17"/>
      </tp>
      <tp>
        <v>49.232799999999997</v>
        <stp/>
        <stp>##V3_BDHV12</stp>
        <stp>RCOM IN Equity</stp>
        <stp>NET_DEBT_%_CAPITAL</stp>
        <stp>FY 2015</stp>
        <stp>FY 2015</stp>
        <stp>[FA1_ymffleas.xlsx]Credit!R37C9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7" s="23"/>
      </tp>
      <tp>
        <v>55.100499999999997</v>
        <stp/>
        <stp>##V3_BDHV12</stp>
        <stp>RCOM IN Equity</stp>
        <stp>NET_DEBT_%_CAPITAL</stp>
        <stp>FY 2014</stp>
        <stp>FY 2014</stp>
        <stp>[FA1_ymffleas.xlsx]Credit!R37C8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7" s="23"/>
      </tp>
      <tp t="s">
        <v>—</v>
        <stp/>
        <stp>##V3_BDHV12</stp>
        <stp>RCOM IN Equity</stp>
        <stp>EFF_TAX_RATE</stp>
        <stp>FY 2017</stp>
        <stp>FY 2017</stp>
        <stp>[FA1_ymffleas.xlsx]Profitability!R22C11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2" s="21"/>
      </tp>
      <tp>
        <v>39.6387</v>
        <stp/>
        <stp>##V3_BDHV12</stp>
        <stp>RCOM IN Equity</stp>
        <stp>NET_DEBT_%_CAPITAL</stp>
        <stp>FY 2009</stp>
        <stp>FY 2009</stp>
        <stp>[FA1_ymffleas.xlsx]Credit!R37C3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7" s="23"/>
      </tp>
      <tp>
        <v>44.958399999999997</v>
        <stp/>
        <stp>##V3_BDHV12</stp>
        <stp>RCOM IN Equity</stp>
        <stp>NET_DEBT_%_CAPITAL</stp>
        <stp>FY 2011</stp>
        <stp>FY 2011</stp>
        <stp>[FA1_ymffleas.xlsx]Credit!R37C5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7" s="23"/>
      </tp>
      <tp>
        <v>36.089399999999998</v>
        <stp/>
        <stp>##V3_BDHV12</stp>
        <stp>RCOM IN Equity</stp>
        <stp>NET_DEBT_%_CAPITAL</stp>
        <stp>FY 2010</stp>
        <stp>FY 2010</stp>
        <stp>[FA1_ymffleas.xlsx]Credit!R37C4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7" s="23"/>
      </tp>
      <tp>
        <v>53.801400000000001</v>
        <stp/>
        <stp>##V3_BDHV12</stp>
        <stp>RCOM IN Equity</stp>
        <stp>NET_DEBT_%_CAPITAL</stp>
        <stp>FY 2013</stp>
        <stp>FY 2013</stp>
        <stp>[FA1_ymffleas.xlsx]Credit!R37C7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7" s="23"/>
      </tp>
      <tp>
        <v>50.052399999999999</v>
        <stp/>
        <stp>##V3_BDHV12</stp>
        <stp>RCOM IN Equity</stp>
        <stp>NET_DEBT_%_CAPITAL</stp>
        <stp>FY 2012</stp>
        <stp>FY 2012</stp>
        <stp>[FA1_ymffleas.xlsx]Credit!R37C6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7" s="23"/>
      </tp>
      <tp>
        <v>-350</v>
        <stp/>
        <stp>##V3_BDHV12</stp>
        <stp>RCOM IN Equity</stp>
        <stp>IS_FOREIGN_EXCH_LOSS</stp>
        <stp>FY 2011</stp>
        <stp>FY 2011</stp>
        <stp>[FA1_ymffleas.xlsx]Income - GAAP!R47C4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47" s="10"/>
      </tp>
      <tp>
        <v>15830</v>
        <stp/>
        <stp>##V3_BDHV12</stp>
        <stp>RCOM IN Equity</stp>
        <stp>IS_FOREIGN_EXCH_LOSS</stp>
        <stp>FY 2012</stp>
        <stp>FY 2012</stp>
        <stp>[FA1_ymffleas.xlsx]Income - GAAP!R47C5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47" s="10"/>
      </tp>
      <tp>
        <v>8400</v>
        <stp/>
        <stp>##V3_BDHV12</stp>
        <stp>RCOM IN Equity</stp>
        <stp>IS_FOREIGN_EXCH_LOSS</stp>
        <stp>FY 2013</stp>
        <stp>FY 2013</stp>
        <stp>[FA1_ymffleas.xlsx]Income - GAAP!R47C6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47" s="10"/>
      </tp>
      <tp>
        <v>6580</v>
        <stp/>
        <stp>##V3_BDHV12</stp>
        <stp>RCOM IN Equity</stp>
        <stp>IS_FOREIGN_EXCH_LOSS</stp>
        <stp>FY 2014</stp>
        <stp>FY 2014</stp>
        <stp>[FA1_ymffleas.xlsx]Income - GAAP!R47C7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47" s="10"/>
      </tp>
      <tp>
        <v>-28405.7</v>
        <stp/>
        <stp>##V3_BDHV12</stp>
        <stp>RCOM IN Equity</stp>
        <stp>IS_FOREIGN_EXCH_LOSS</stp>
        <stp>FY 2010</stp>
        <stp>FY 2010</stp>
        <stp>[FA1_ymffleas.xlsx]Income - GAAP!R47C3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47" s="10"/>
      </tp>
      <tp>
        <v>5500</v>
        <stp/>
        <stp>##V3_BDHV12</stp>
        <stp>RCOM IN Equity</stp>
        <stp>IS_FOREIGN_EXCH_LOSS</stp>
        <stp>FY 2015</stp>
        <stp>FY 2015</stp>
        <stp>[FA1_ymffleas.xlsx]Income - GAAP!R47C8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47" s="10"/>
      </tp>
      <tp>
        <v>240</v>
        <stp/>
        <stp>##V3_BDHV12</stp>
        <stp>RCOM IN Equity</stp>
        <stp>IS_FOREIGN_EXCH_LOSS</stp>
        <stp>FY 2016</stp>
        <stp>FY 2016</stp>
        <stp>[FA1_ymffleas.xlsx]Income - GAAP!R47C9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47" s="10"/>
      </tp>
      <tp>
        <v>-100</v>
        <stp/>
        <stp>##V3_BDHV12</stp>
        <stp>RCOM IN Equity</stp>
        <stp>GEO_GROW_DVD_PER_SH</stp>
        <stp>FY 2015</stp>
        <stp>FY 2015</stp>
        <stp>[FA1_ymffleas.xlsx]Growth!R43C9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3" s="22"/>
      </tp>
      <tp>
        <v>-100</v>
        <stp/>
        <stp>##V3_BDHV12</stp>
        <stp>RCOM IN Equity</stp>
        <stp>GEO_GROW_DVD_PER_SH</stp>
        <stp>FY 2014</stp>
        <stp>FY 2014</stp>
        <stp>[FA1_ymffleas.xlsx]Growth!R43C8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3" s="22"/>
      </tp>
      <tp t="s">
        <v>—</v>
        <stp/>
        <stp>##V3_BDHV12</stp>
        <stp>RCOM IN Equity</stp>
        <stp>PX_TO_FREE_CASH_FLOW</stp>
        <stp>FY 2016</stp>
        <stp>FY 2016</stp>
        <stp>[FA1_ymffleas.xlsx]Multiples!R31C9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1" s="6"/>
      </tp>
      <tp t="s">
        <v>—</v>
        <stp/>
        <stp>##V3_BDHV12</stp>
        <stp>RCOM IN Equity</stp>
        <stp>PX_TO_FREE_CASH_FLOW</stp>
        <stp>FY 2015</stp>
        <stp>FY 2015</stp>
        <stp>[FA1_ymffleas.xlsx]Multiples!R31C8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1" s="6"/>
      </tp>
      <tp>
        <v>15.6043</v>
        <stp/>
        <stp>##V3_BDHV12</stp>
        <stp>RCOM IN Equity</stp>
        <stp>PX_TO_FREE_CASH_FLOW</stp>
        <stp>FY 2014</stp>
        <stp>FY 2014</stp>
        <stp>[FA1_ymffleas.xlsx]Multiples!R31C7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1" s="6"/>
      </tp>
      <tp t="s">
        <v>—</v>
        <stp/>
        <stp>##V3_BDHV12</stp>
        <stp>RCOM IN Equity</stp>
        <stp>GEO_GROW_DVD_PER_SH</stp>
        <stp>FY 2009</stp>
        <stp>FY 2009</stp>
        <stp>[FA1_ymffleas.xlsx]Growth!R43C3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3" s="22"/>
      </tp>
      <tp>
        <v>234730</v>
        <stp/>
        <stp>##V3_BDHV12</stp>
        <stp>RCOM IN Equity</stp>
        <stp>OTHER_INTANGIBLE_ASSETS_DETAILED</stp>
        <stp>FY 2016</stp>
        <stp>FY 2016</stp>
        <stp>[FA1_ymffleas.xlsx]Bal Sheet - Standardized!R59C10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9" s="16"/>
      </tp>
      <tp t="s">
        <v>—</v>
        <stp/>
        <stp>##V3_BDHV12</stp>
        <stp>RCOM IN Equity</stp>
        <stp>PX_TO_FREE_CASH_FLOW</stp>
        <stp>FY 2013</stp>
        <stp>FY 2013</stp>
        <stp>[FA1_ymffleas.xlsx]Multiples!R31C6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1" s="6"/>
      </tp>
      <tp>
        <v>184750</v>
        <stp/>
        <stp>##V3_BDHV12</stp>
        <stp>RCOM IN Equity</stp>
        <stp>OTHER_INTANGIBLE_ASSETS_DETAILED</stp>
        <stp>FY 2017</stp>
        <stp>FY 2017</stp>
        <stp>[FA1_ymffleas.xlsx]Bal Sheet - Standardized!R59C11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9" s="16"/>
      </tp>
      <tp>
        <v>7890</v>
        <stp/>
        <stp>##V3_BDHV12</stp>
        <stp>RCOM IN Equity</stp>
        <stp>OTHER_INTANGIBLE_ASSETS_DETAILED</stp>
        <stp>FY 2018</stp>
        <stp>FY 2018</stp>
        <stp>[FA1_ymffleas.xlsx]Bal Sheet - Standardized!R59C12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9" s="16"/>
      </tp>
      <tp t="s">
        <v>—</v>
        <stp/>
        <stp>##V3_BDHV12</stp>
        <stp>RCOM IN Equity</stp>
        <stp>PX_TO_FREE_CASH_FLOW</stp>
        <stp>FY 2012</stp>
        <stp>FY 2012</stp>
        <stp>[FA1_ymffleas.xlsx]Multiples!R31C5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1" s="6"/>
      </tp>
      <tp t="s">
        <v>—</v>
        <stp/>
        <stp>##V3_BDHV12</stp>
        <stp>RCOM IN Equity</stp>
        <stp>PX_TO_FREE_CASH_FLOW</stp>
        <stp>FY 2011</stp>
        <stp>FY 2011</stp>
        <stp>[FA1_ymffleas.xlsx]Multiples!R31C4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1" s="6"/>
      </tp>
      <tp>
        <v>51.615099999999998</v>
        <stp/>
        <stp>##V3_BDHV12</stp>
        <stp>RCOM IN Equity</stp>
        <stp>PX_TO_FREE_CASH_FLOW</stp>
        <stp>FY 2010</stp>
        <stp>FY 2010</stp>
        <stp>[FA1_ymffleas.xlsx]Multiples!R31C3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1" s="6"/>
      </tp>
      <tp>
        <v>-19.7258</v>
        <stp/>
        <stp>##V3_BDHV12</stp>
        <stp>RCOM IN Equity</stp>
        <stp>GEO_GROW_DVD_PER_SH</stp>
        <stp>FY 2013</stp>
        <stp>FY 2013</stp>
        <stp>[FA1_ymffleas.xlsx]Growth!R43C7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3" s="22"/>
      </tp>
      <tp t="s">
        <v>—</v>
        <stp/>
        <stp>##V3_BDHV12</stp>
        <stp>RCOM IN Equity</stp>
        <stp>GEO_GROW_DVD_PER_SH</stp>
        <stp>FY 2012</stp>
        <stp>FY 2012</stp>
        <stp>[FA1_ymffleas.xlsx]Growth!R43C6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3" s="22"/>
      </tp>
      <tp t="s">
        <v>—</v>
        <stp/>
        <stp>##V3_BDHV12</stp>
        <stp>RCOM IN Equity</stp>
        <stp>GEO_GROW_DVD_PER_SH</stp>
        <stp>FY 2011</stp>
        <stp>FY 2011</stp>
        <stp>[FA1_ymffleas.xlsx]Growth!R43C5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3" s="22"/>
      </tp>
      <tp t="s">
        <v>—</v>
        <stp/>
        <stp>##V3_BDHV12</stp>
        <stp>RCOM IN Equity</stp>
        <stp>GEO_GROW_DVD_PER_SH</stp>
        <stp>FY 2010</stp>
        <stp>FY 2010</stp>
        <stp>[FA1_ymffleas.xlsx]Growth!R43C4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3" s="22"/>
      </tp>
      <tp t="s">
        <v>—</v>
        <stp/>
        <stp>##V3_BDHV12</stp>
        <stp>RCOM IN Equity</stp>
        <stp>GEO_GROW_EBITDA</stp>
        <stp>FY 2012</stp>
        <stp>FY 2012</stp>
        <stp>[FA1_ymffleas.xlsx]Growth!R37C6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37" s="22"/>
      </tp>
      <tp>
        <v>275.43099999999998</v>
        <stp/>
        <stp>##V3_BDHV12</stp>
        <stp>RCOM IN Equity</stp>
        <stp>TAX_EFFICIENCY</stp>
        <stp>FY 2016</stp>
        <stp>FY 2016</stp>
        <stp>[FA1_ymffleas.xlsx]DuPont Analysis!R7C10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7" s="27"/>
      </tp>
      <tp>
        <v>1.2377</v>
        <stp/>
        <stp>##V3_BDHV12</stp>
        <stp>RCOM IN Equity</stp>
        <stp>TOTAL_CAPITAL_5_YEAR_GROWTH</stp>
        <stp>FY 2015</stp>
        <stp>FY 2015</stp>
        <stp>[FA1_ymffleas.xlsx]Growth!R54C9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54" s="22"/>
      </tp>
      <tp>
        <v>-1.5817000000000001</v>
        <stp/>
        <stp>##V3_BDHV12</stp>
        <stp>RCOM IN Equity</stp>
        <stp>TOTAL_CAPITAL_5_YEAR_GROWTH</stp>
        <stp>FY 2014</stp>
        <stp>FY 2014</stp>
        <stp>[FA1_ymffleas.xlsx]Growth!R54C8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54" s="22"/>
      </tp>
      <tp t="s">
        <v>—</v>
        <stp/>
        <stp>##V3_BDHV12</stp>
        <stp>RCOM IN Equity</stp>
        <stp>TOTAL_CAPITAL_5_YEAR_GROWTH</stp>
        <stp>FY 2011</stp>
        <stp>FY 2011</stp>
        <stp>[FA1_ymffleas.xlsx]Growth!R54C5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54" s="22"/>
      </tp>
      <tp t="s">
        <v>—</v>
        <stp/>
        <stp>##V3_BDHV12</stp>
        <stp>RCOM IN Equity</stp>
        <stp>TOTAL_CAPITAL_5_YEAR_GROWTH</stp>
        <stp>FY 2010</stp>
        <stp>FY 2010</stp>
        <stp>[FA1_ymffleas.xlsx]Growth!R54C4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54" s="22"/>
      </tp>
      <tp>
        <v>5.8529999999999998</v>
        <stp/>
        <stp>##V3_BDHV12</stp>
        <stp>RCOM IN Equity</stp>
        <stp>TOTAL_CAPITAL_5_YEAR_GROWTH</stp>
        <stp>FY 2013</stp>
        <stp>FY 2013</stp>
        <stp>[FA1_ymffleas.xlsx]Growth!R54C7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54" s="22"/>
      </tp>
      <tp t="s">
        <v>—</v>
        <stp/>
        <stp>##V3_BDHV12</stp>
        <stp>RCOM IN Equity</stp>
        <stp>TOTAL_CAPITAL_5_YEAR_GROWTH</stp>
        <stp>FY 2012</stp>
        <stp>FY 2012</stp>
        <stp>[FA1_ymffleas.xlsx]Growth!R54C6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54" s="22"/>
      </tp>
      <tp t="s">
        <v>—</v>
        <stp/>
        <stp>##V3_BDHV12</stp>
        <stp>RCOM IN Equity</stp>
        <stp>TOTAL_CAPITAL_5_YEAR_GROWTH</stp>
        <stp>FY 2009</stp>
        <stp>FY 2009</stp>
        <stp>[FA1_ymffleas.xlsx]Growth!R54C3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54" s="22"/>
      </tp>
      <tp>
        <v>-5990</v>
        <stp/>
        <stp>##V3_BDHV12</stp>
        <stp>RCOM IN Equity</stp>
        <stp>ARD_TAX_PAID</stp>
        <stp>FY 2011</stp>
        <stp>FY 2011</stp>
        <stp>[FA1_ymffleas.xlsx]Cash Flow - As Reported!R33C5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3" s="20"/>
      </tp>
      <tp>
        <v>-5169.6000000000004</v>
        <stp/>
        <stp>##V3_BDHV12</stp>
        <stp>RCOM IN Equity</stp>
        <stp>ARD_TAX_PAID</stp>
        <stp>FY 2010</stp>
        <stp>FY 2010</stp>
        <stp>[FA1_ymffleas.xlsx]Cash Flow - As Reported!R33C4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3" s="20"/>
      </tp>
      <tp>
        <v>-2730</v>
        <stp/>
        <stp>##V3_BDHV12</stp>
        <stp>RCOM IN Equity</stp>
        <stp>ARD_TAX_PAID</stp>
        <stp>FY 2013</stp>
        <stp>FY 2013</stp>
        <stp>[FA1_ymffleas.xlsx]Cash Flow - As Reported!R33C7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3" s="20"/>
      </tp>
      <tp>
        <v>-3890</v>
        <stp/>
        <stp>##V3_BDHV12</stp>
        <stp>RCOM IN Equity</stp>
        <stp>ARD_TAX_PAID</stp>
        <stp>FY 2012</stp>
        <stp>FY 2012</stp>
        <stp>[FA1_ymffleas.xlsx]Cash Flow - As Reported!R33C6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3" s="20"/>
      </tp>
      <tp>
        <v>-3925.7</v>
        <stp/>
        <stp>##V3_BDHV12</stp>
        <stp>RCOM IN Equity</stp>
        <stp>ARD_TAX_PAID</stp>
        <stp>FY 2009</stp>
        <stp>FY 2009</stp>
        <stp>[FA1_ymffleas.xlsx]Cash Flow - As Reported!R33C3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3" s="20"/>
      </tp>
      <tp>
        <v>-5650</v>
        <stp/>
        <stp>##V3_BDHV12</stp>
        <stp>RCOM IN Equity</stp>
        <stp>ARD_TAX_PAID</stp>
        <stp>FY 2015</stp>
        <stp>FY 2015</stp>
        <stp>[FA1_ymffleas.xlsx]Cash Flow - As Reported!R33C9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3" s="20"/>
      </tp>
      <tp>
        <v>-5210</v>
        <stp/>
        <stp>##V3_BDHV12</stp>
        <stp>RCOM IN Equity</stp>
        <stp>ARD_TAX_PAID</stp>
        <stp>FY 2014</stp>
        <stp>FY 2014</stp>
        <stp>[FA1_ymffleas.xlsx]Cash Flow - As Reported!R33C8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3" s="20"/>
      </tp>
      <tp>
        <v>5.07</v>
        <stp/>
        <stp>##V3_BDHV12</stp>
        <stp>RCOM IN Equity</stp>
        <stp>IS_DILUTED_EPS</stp>
        <stp>FY 2014</stp>
        <stp>FY 2014</stp>
        <stp>[FA1_ymffleas.xlsx]Income - Adjusted!R115C7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15" s="9"/>
      </tp>
      <tp t="s">
        <v>—</v>
        <stp/>
        <stp>##V3_BDHV12</stp>
        <stp>RCOM IN Equity</stp>
        <stp>ARD_ISSUANCE_OF_COMMON_STOCK</stp>
        <stp>FY 2018</stp>
        <stp>FY 2018</stp>
        <stp>[FA1_ymffleas.xlsx]Cash Flow - As Reported!R57C12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7" s="20"/>
      </tp>
      <tp t="s">
        <v>—</v>
        <stp/>
        <stp>##V3_BDHV12</stp>
        <stp>RCOM IN Equity</stp>
        <stp>ARD_ISSUANCE_OF_COMMON_STOCK</stp>
        <stp>FY 2017</stp>
        <stp>FY 2017</stp>
        <stp>[FA1_ymffleas.xlsx]Cash Flow - As Reported!R57C11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7" s="20"/>
      </tp>
      <tp t="s">
        <v>—</v>
        <stp/>
        <stp>##V3_BDHV12</stp>
        <stp>RCOM IN Equity</stp>
        <stp>ARD_ISSUANCE_OF_COMMON_STOCK</stp>
        <stp>FY 2016</stp>
        <stp>FY 2016</stp>
        <stp>[FA1_ymffleas.xlsx]Cash Flow - As Reported!R57C10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7" s="20"/>
      </tp>
      <tp>
        <v>56358.5</v>
        <stp/>
        <stp>##V3_BDHV12</stp>
        <stp>RCOM IN Equity</stp>
        <stp>OTHER_INVESTING_ACT_DETAILED</stp>
        <stp>FY 2010</stp>
        <stp>FY 2010</stp>
        <stp>[FA1_ymffleas.xlsx]Cash Flow - Standardized!R33C3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3" s="19"/>
      </tp>
      <tp>
        <v>230</v>
        <stp/>
        <stp>##V3_BDHV12</stp>
        <stp>RCOM IN Equity</stp>
        <stp>OTHER_INVESTING_ACT_DETAILED</stp>
        <stp>FY 2012</stp>
        <stp>FY 2012</stp>
        <stp>[FA1_ymffleas.xlsx]Cash Flow - Standardized!R33C5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3" s="19"/>
      </tp>
      <tp>
        <v>36630</v>
        <stp/>
        <stp>##V3_BDHV12</stp>
        <stp>RCOM IN Equity</stp>
        <stp>OTHER_INVESTING_ACT_DETAILED</stp>
        <stp>FY 2011</stp>
        <stp>FY 2011</stp>
        <stp>[FA1_ymffleas.xlsx]Cash Flow - Standardized!R33C4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3" s="19"/>
      </tp>
      <tp>
        <v>8.5311000000000003</v>
        <stp/>
        <stp>##V3_BDHV12</stp>
        <stp>RCOM IN Equity</stp>
        <stp>REVENUE_SEQUENTIAL_GROWTH</stp>
        <stp>FY 2014</stp>
        <stp>FY 2014</stp>
        <stp>[FA1_ymffleas.xlsx]Growth!R60C8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60" s="22"/>
      </tp>
      <tp>
        <v>160</v>
        <stp/>
        <stp>##V3_BDHV12</stp>
        <stp>RCOM IN Equity</stp>
        <stp>OTHER_INVESTING_ACT_DETAILED</stp>
        <stp>FY 2014</stp>
        <stp>FY 2014</stp>
        <stp>[FA1_ymffleas.xlsx]Cash Flow - Standardized!R33C7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3" s="19"/>
      </tp>
      <tp>
        <v>350</v>
        <stp/>
        <stp>##V3_BDHV12</stp>
        <stp>RCOM IN Equity</stp>
        <stp>OTHER_INVESTING_ACT_DETAILED</stp>
        <stp>FY 2013</stp>
        <stp>FY 2013</stp>
        <stp>[FA1_ymffleas.xlsx]Cash Flow - Standardized!R33C6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3" s="19"/>
      </tp>
      <tp>
        <v>2650</v>
        <stp/>
        <stp>##V3_BDHV12</stp>
        <stp>RCOM IN Equity</stp>
        <stp>OTHER_INVESTING_ACT_DETAILED</stp>
        <stp>FY 2016</stp>
        <stp>FY 2016</stp>
        <stp>[FA1_ymffleas.xlsx]Cash Flow - Standardized!R33C9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3" s="19"/>
      </tp>
      <tp>
        <v>-6600</v>
        <stp/>
        <stp>##V3_BDHV12</stp>
        <stp>RCOM IN Equity</stp>
        <stp>OTHER_INVESTING_ACT_DETAILED</stp>
        <stp>FY 2015</stp>
        <stp>FY 2015</stp>
        <stp>[FA1_ymffleas.xlsx]Cash Flow - Standardized!R33C8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3" s="19"/>
      </tp>
      <tp>
        <v>-31.2685</v>
        <stp/>
        <stp>##V3_BDHV12</stp>
        <stp>RCOM IN Equity</stp>
        <stp>NET_INCOME_TO_COMMON_5_YR_GROWTH</stp>
        <stp>FY 2015</stp>
        <stp>FY 2015</stp>
        <stp>[FA1_ymffleas.xlsx]Growth!R39C9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39" s="22"/>
      </tp>
      <tp>
        <v>-68.730199999999996</v>
        <stp/>
        <stp>##V3_BDHV12</stp>
        <stp>RCOM IN Equity</stp>
        <stp>ACCOUNTS_RECEIVABLE_GROWTH</stp>
        <stp>FY 2009</stp>
        <stp>FY 2009</stp>
        <stp>[FA1_ymffleas.xlsx]Growth!R16C3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" s="22"/>
      </tp>
      <tp>
        <v>35489.9</v>
        <stp/>
        <stp>##V3_BDHV12</stp>
        <stp>RCOM IN Equity</stp>
        <stp>IS_OPER_INC</stp>
        <stp>FY 2010</stp>
        <stp>FY 2010</stp>
        <stp>[FA1_ymffleas.xlsx]Reconciliation!R24C3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24" s="12"/>
      </tp>
      <tp>
        <v>35489.9</v>
        <stp/>
        <stp>##V3_BDHV12</stp>
        <stp>RCOM IN Equity</stp>
        <stp>IS_OPER_INC</stp>
        <stp>FY 2010</stp>
        <stp>FY 2010</stp>
        <stp>[FA1_ymffleas.xlsx]Reconciliation!R16C3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6" s="12"/>
      </tp>
      <tp>
        <v>18720.8</v>
        <stp/>
        <stp>##V3_BDHV12</stp>
        <stp>RCOM IN Equity</stp>
        <stp>IS_OPER_INC</stp>
        <stp>FY 2011</stp>
        <stp>FY 2011</stp>
        <stp>[FA1_ymffleas.xlsx]Reconciliation!R24C4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24" s="12"/>
      </tp>
      <tp>
        <v>18720.8</v>
        <stp/>
        <stp>##V3_BDHV12</stp>
        <stp>RCOM IN Equity</stp>
        <stp>IS_OPER_INC</stp>
        <stp>FY 2011</stp>
        <stp>FY 2011</stp>
        <stp>[FA1_ymffleas.xlsx]Reconciliation!R16C4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6" s="12"/>
      </tp>
      <tp>
        <v>-14.5494</v>
        <stp/>
        <stp>##V3_BDHV12</stp>
        <stp>RCOM IN Equity</stp>
        <stp>ACCOUNTS_RECEIVABLE_GROWTH</stp>
        <stp>FY 2013</stp>
        <stp>FY 2013</stp>
        <stp>[FA1_ymffleas.xlsx]Growth!R16C7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" s="22"/>
      </tp>
      <tp>
        <v>21870</v>
        <stp/>
        <stp>##V3_BDHV12</stp>
        <stp>RCOM IN Equity</stp>
        <stp>IS_OPER_INC</stp>
        <stp>FY 2012</stp>
        <stp>FY 2012</stp>
        <stp>[FA1_ymffleas.xlsx]Reconciliation!R24C5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24" s="12"/>
      </tp>
      <tp>
        <v>21870</v>
        <stp/>
        <stp>##V3_BDHV12</stp>
        <stp>RCOM IN Equity</stp>
        <stp>IS_OPER_INC</stp>
        <stp>FY 2012</stp>
        <stp>FY 2012</stp>
        <stp>[FA1_ymffleas.xlsx]Reconciliation!R16C5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6" s="12"/>
      </tp>
      <tp>
        <v>37.668199999999999</v>
        <stp/>
        <stp>##V3_BDHV12</stp>
        <stp>RCOM IN Equity</stp>
        <stp>ACCOUNTS_RECEIVABLE_GROWTH</stp>
        <stp>FY 2012</stp>
        <stp>FY 2012</stp>
        <stp>[FA1_ymffleas.xlsx]Growth!R16C6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" s="22"/>
      </tp>
      <tp>
        <v>21260</v>
        <stp/>
        <stp>##V3_BDHV12</stp>
        <stp>RCOM IN Equity</stp>
        <stp>IS_OPER_INC</stp>
        <stp>FY 2013</stp>
        <stp>FY 2013</stp>
        <stp>[FA1_ymffleas.xlsx]Reconciliation!R24C6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24" s="12"/>
      </tp>
      <tp>
        <v>21260</v>
        <stp/>
        <stp>##V3_BDHV12</stp>
        <stp>RCOM IN Equity</stp>
        <stp>IS_OPER_INC</stp>
        <stp>FY 2013</stp>
        <stp>FY 2013</stp>
        <stp>[FA1_ymffleas.xlsx]Reconciliation!R16C6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6" s="12"/>
      </tp>
      <tp>
        <v>35.091500000000003</v>
        <stp/>
        <stp>##V3_BDHV12</stp>
        <stp>RCOM IN Equity</stp>
        <stp>ACCOUNTS_RECEIVABLE_GROWTH</stp>
        <stp>FY 2011</stp>
        <stp>FY 2011</stp>
        <stp>[FA1_ymffleas.xlsx]Growth!R16C5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" s="22"/>
      </tp>
      <tp>
        <v>21910</v>
        <stp/>
        <stp>##V3_BDHV12</stp>
        <stp>RCOM IN Equity</stp>
        <stp>IS_OPER_INC</stp>
        <stp>FY 2014</stp>
        <stp>FY 2014</stp>
        <stp>[FA1_ymffleas.xlsx]Reconciliation!R24C7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24" s="12"/>
      </tp>
      <tp>
        <v>21910</v>
        <stp/>
        <stp>##V3_BDHV12</stp>
        <stp>RCOM IN Equity</stp>
        <stp>IS_OPER_INC</stp>
        <stp>FY 2014</stp>
        <stp>FY 2014</stp>
        <stp>[FA1_ymffleas.xlsx]Reconciliation!R16C7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6" s="12"/>
      </tp>
      <tp>
        <v>16.347100000000001</v>
        <stp/>
        <stp>##V3_BDHV12</stp>
        <stp>RCOM IN Equity</stp>
        <stp>ACCOUNTS_RECEIVABLE_GROWTH</stp>
        <stp>FY 2010</stp>
        <stp>FY 2010</stp>
        <stp>[FA1_ymffleas.xlsx]Growth!R16C4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" s="22"/>
      </tp>
      <tp>
        <v>33930</v>
        <stp/>
        <stp>##V3_BDHV12</stp>
        <stp>RCOM IN Equity</stp>
        <stp>IS_OPER_INC</stp>
        <stp>FY 2015</stp>
        <stp>FY 2015</stp>
        <stp>[FA1_ymffleas.xlsx]Reconciliation!R24C8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24" s="12"/>
      </tp>
      <tp>
        <v>33930</v>
        <stp/>
        <stp>##V3_BDHV12</stp>
        <stp>RCOM IN Equity</stp>
        <stp>IS_OPER_INC</stp>
        <stp>FY 2015</stp>
        <stp>FY 2015</stp>
        <stp>[FA1_ymffleas.xlsx]Reconciliation!R16C8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6" s="12"/>
      </tp>
      <tp>
        <v>1.6896</v>
        <stp/>
        <stp>##V3_BDHV12</stp>
        <stp>RCOM IN Equity</stp>
        <stp>EBITDA_LES_CAP_EXPEND_TO_INT_EXP</stp>
        <stp>FY 2013</stp>
        <stp>FY 2013</stp>
        <stp>[FA1_ymffleas.xlsx]Credit!R17C7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7" s="23"/>
      </tp>
      <tp>
        <v>27920</v>
        <stp/>
        <stp>##V3_BDHV12</stp>
        <stp>RCOM IN Equity</stp>
        <stp>IS_OPER_INC</stp>
        <stp>FY 2016</stp>
        <stp>FY 2016</stp>
        <stp>[FA1_ymffleas.xlsx]Reconciliation!R24C9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24" s="12"/>
      </tp>
      <tp>
        <v>27920</v>
        <stp/>
        <stp>##V3_BDHV12</stp>
        <stp>RCOM IN Equity</stp>
        <stp>IS_OPER_INC</stp>
        <stp>FY 2016</stp>
        <stp>FY 2016</stp>
        <stp>[FA1_ymffleas.xlsx]Reconciliation!R16C9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6" s="12"/>
      </tp>
      <tp>
        <v>5.9450000000000003</v>
        <stp/>
        <stp>##V3_BDHV12</stp>
        <stp>RCOM IN Equity</stp>
        <stp>ACCOUNTS_RECEIVABLE_GROWTH</stp>
        <stp>FY 2015</stp>
        <stp>FY 2015</stp>
        <stp>[FA1_ymffleas.xlsx]Growth!R16C9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" s="22"/>
      </tp>
      <tp>
        <v>-28.399000000000001</v>
        <stp/>
        <stp>##V3_BDHV12</stp>
        <stp>RCOM IN Equity</stp>
        <stp>ACCOUNTS_RECEIVABLE_GROWTH</stp>
        <stp>FY 2014</stp>
        <stp>FY 2014</stp>
        <stp>[FA1_ymffleas.xlsx]Growth!R16C8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" s="22"/>
      </tp>
      <tp t="s">
        <v>—</v>
        <stp/>
        <stp>##V3_BDHV12</stp>
        <stp>RCOM IN Equity</stp>
        <stp>ARDR_COMMERCIAL_PAPER_CURRENT</stp>
        <stp>FY 2015</stp>
        <stp>FY 2015</stp>
        <stp>[FA1_ymffleas.xlsx]Bal Sheet - As Reported!R190C9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0" s="17"/>
      </tp>
      <tp t="s">
        <v>—</v>
        <stp/>
        <stp>##V3_BDHV12</stp>
        <stp>RCOM IN Equity</stp>
        <stp>ARDR_COMMERCIAL_PAPER_CURRENT</stp>
        <stp>FY 2014</stp>
        <stp>FY 2014</stp>
        <stp>[FA1_ymffleas.xlsx]Bal Sheet - As Reported!R190C8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0" s="17"/>
      </tp>
      <tp>
        <v>1000</v>
        <stp/>
        <stp>##V3_BDHV12</stp>
        <stp>RCOM IN Equity</stp>
        <stp>ARDR_COMMERCIAL_PAPER_CURRENT</stp>
        <stp>FY 2013</stp>
        <stp>FY 2013</stp>
        <stp>[FA1_ymffleas.xlsx]Bal Sheet - As Reported!R190C7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0" s="17"/>
      </tp>
      <tp>
        <v>9450</v>
        <stp/>
        <stp>##V3_BDHV12</stp>
        <stp>RCOM IN Equity</stp>
        <stp>ARDR_COMMERCIAL_PAPER_CURRENT</stp>
        <stp>FY 2012</stp>
        <stp>FY 2012</stp>
        <stp>[FA1_ymffleas.xlsx]Bal Sheet - As Reported!R190C6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0" s="17"/>
      </tp>
      <tp>
        <v>1460</v>
        <stp/>
        <stp>##V3_BDHV12</stp>
        <stp>RCOM IN Equity</stp>
        <stp>ARDR_COMMERCIAL_PAPER_CURRENT</stp>
        <stp>FY 2011</stp>
        <stp>FY 2011</stp>
        <stp>[FA1_ymffleas.xlsx]Bal Sheet - As Reported!R190C5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0" s="17"/>
      </tp>
      <tp>
        <v>12953.1</v>
        <stp/>
        <stp>##V3_BDHV12</stp>
        <stp>RCOM IN Equity</stp>
        <stp>ARDR_COMMERCIAL_PAPER_CURRENT</stp>
        <stp>FY 2010</stp>
        <stp>FY 2010</stp>
        <stp>[FA1_ymffleas.xlsx]Bal Sheet - As Reported!R190C4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0" s="17"/>
      </tp>
      <tp>
        <v>9547.4</v>
        <stp/>
        <stp>##V3_BDHV12</stp>
        <stp>RCOM IN Equity</stp>
        <stp>ARDR_COMMERCIAL_PAPER_CURRENT</stp>
        <stp>FY 2009</stp>
        <stp>FY 2009</stp>
        <stp>[FA1_ymffleas.xlsx]Bal Sheet - As Reported!R190C3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0" s="17"/>
      </tp>
      <tp>
        <v>7.7381000000000002</v>
        <stp/>
        <stp>##V3_BDHV12</stp>
        <stp>RCOM IN Equity</stp>
        <stp>DVD_PAYOUT_RATIO</stp>
        <stp>FY 2013</stp>
        <stp>FY 2013</stp>
        <stp>[FA1_ymffleas.xlsx]DuPont Analysis!R22C7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2" s="27"/>
      </tp>
      <tp>
        <v>39780</v>
        <stp/>
        <stp>##V3_BDHV12</stp>
        <stp>RCOM IN Equity</stp>
        <stp>ARD_DEPRECIATION_AND_AMORT_CF</stp>
        <stp>FY 2012</stp>
        <stp>FY 2012</stp>
        <stp>[FA1_ymffleas.xlsx]Cash Flow - As Reported!R8C6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20"/>
      </tp>
      <tp>
        <v>38450</v>
        <stp/>
        <stp>##V3_BDHV12</stp>
        <stp>RCOM IN Equity</stp>
        <stp>ARD_DEPRECIATION_AND_AMORT_CF</stp>
        <stp>FY 2013</stp>
        <stp>FY 2013</stp>
        <stp>[FA1_ymffleas.xlsx]Cash Flow - As Reported!R8C7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20"/>
      </tp>
      <tp>
        <v>37465.1</v>
        <stp/>
        <stp>##V3_BDHV12</stp>
        <stp>RCOM IN Equity</stp>
        <stp>ARD_DEPRECIATION_AND_AMORT_CF</stp>
        <stp>FY 2010</stp>
        <stp>FY 2010</stp>
        <stp>[FA1_ymffleas.xlsx]Cash Flow - As Reported!R8C4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20"/>
      </tp>
      <tp>
        <v>65040</v>
        <stp/>
        <stp>##V3_BDHV12</stp>
        <stp>RCOM IN Equity</stp>
        <stp>ARD_DEPRECIATION_AND_AMORT_CF</stp>
        <stp>FY 2011</stp>
        <stp>FY 2011</stp>
        <stp>[FA1_ymffleas.xlsx]Cash Flow - As Reported!R8C5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20"/>
      </tp>
      <tp>
        <v>36077</v>
        <stp/>
        <stp>##V3_BDHV12</stp>
        <stp>RCOM IN Equity</stp>
        <stp>ARD_DEPRECIATION_AND_AMORT_CF</stp>
        <stp>FY 2009</stp>
        <stp>FY 2009</stp>
        <stp>[FA1_ymffleas.xlsx]Cash Flow - As Reported!R8C3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20"/>
      </tp>
      <tp>
        <v>45350</v>
        <stp/>
        <stp>##V3_BDHV12</stp>
        <stp>RCOM IN Equity</stp>
        <stp>ARD_DEPRECIATION_AND_AMORT_CF</stp>
        <stp>FY 2014</stp>
        <stp>FY 2014</stp>
        <stp>[FA1_ymffleas.xlsx]Cash Flow - As Reported!R8C8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20"/>
      </tp>
      <tp>
        <v>38170</v>
        <stp/>
        <stp>##V3_BDHV12</stp>
        <stp>RCOM IN Equity</stp>
        <stp>ARD_DEPRECIATION_AND_AMORT_CF</stp>
        <stp>FY 2015</stp>
        <stp>FY 2015</stp>
        <stp>[FA1_ymffleas.xlsx]Cash Flow - As Reported!R8C9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20"/>
      </tp>
      <tp>
        <v>-2.0741000000000001</v>
        <stp/>
        <stp>##V3_BDHV12</stp>
        <stp>RCOM IN Equity</stp>
        <stp>ACCOUNTS_PAYABLE_SEQ_GROWTH</stp>
        <stp>FY 2011</stp>
        <stp>FY 2011</stp>
        <stp>[FA1_ymffleas.xlsx]Growth!R75C5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5" s="22"/>
      </tp>
      <tp>
        <v>304.79500000000002</v>
        <stp/>
        <stp>##V3_BDHV12</stp>
        <stp>RCOM IN Equity</stp>
        <stp>ACCOUNTS_PAYABLE_SEQ_GROWTH</stp>
        <stp>FY 2010</stp>
        <stp>FY 2010</stp>
        <stp>[FA1_ymffleas.xlsx]Growth!R75C4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5" s="22"/>
      </tp>
      <tp>
        <v>1.9845000000000002</v>
        <stp/>
        <stp>##V3_BDHV12</stp>
        <stp>RCOM IN Equity</stp>
        <stp>ACCOUNTS_PAYABLE_SEQ_GROWTH</stp>
        <stp>FY 2013</stp>
        <stp>FY 2013</stp>
        <stp>[FA1_ymffleas.xlsx]Growth!R75C7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5" s="22"/>
      </tp>
      <tp>
        <v>22.7104</v>
        <stp/>
        <stp>##V3_BDHV12</stp>
        <stp>RCOM IN Equity</stp>
        <stp>ACCOUNTS_PAYABLE_SEQ_GROWTH</stp>
        <stp>FY 2012</stp>
        <stp>FY 2012</stp>
        <stp>[FA1_ymffleas.xlsx]Growth!R75C6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5" s="22"/>
      </tp>
      <tp t="s">
        <v>—</v>
        <stp/>
        <stp>##V3_BDHV12</stp>
        <stp>RCOM IN Equity</stp>
        <stp>ARD_TOTAL_FIXED_ASSETS</stp>
        <stp>FY 2014</stp>
        <stp>FY 2014</stp>
        <stp>[FA1_ymffleas.xlsx]Bal Sheet - As Reported!R37C8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7" s="17"/>
      </tp>
      <tp t="s">
        <v>—</v>
        <stp/>
        <stp>##V3_BDHV12</stp>
        <stp>RCOM IN Equity</stp>
        <stp>ARD_TOTAL_FIXED_ASSETS</stp>
        <stp>FY 2015</stp>
        <stp>FY 2015</stp>
        <stp>[FA1_ymffleas.xlsx]Bal Sheet - As Reported!R37C9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7" s="17"/>
      </tp>
      <tp>
        <v>712538.9</v>
        <stp/>
        <stp>##V3_BDHV12</stp>
        <stp>RCOM IN Equity</stp>
        <stp>ARD_TOTAL_FIXED_ASSETS</stp>
        <stp>FY 2010</stp>
        <stp>FY 2010</stp>
        <stp>[FA1_ymffleas.xlsx]Bal Sheet - As Reported!R37C4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7" s="17"/>
      </tp>
      <tp>
        <v>558870</v>
        <stp/>
        <stp>##V3_BDHV12</stp>
        <stp>RCOM IN Equity</stp>
        <stp>ARD_TOTAL_FIXED_ASSETS</stp>
        <stp>FY 2011</stp>
        <stp>FY 2011</stp>
        <stp>[FA1_ymffleas.xlsx]Bal Sheet - As Reported!R37C5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7" s="17"/>
      </tp>
      <tp>
        <v>485770</v>
        <stp/>
        <stp>##V3_BDHV12</stp>
        <stp>RCOM IN Equity</stp>
        <stp>ARD_TOTAL_FIXED_ASSETS</stp>
        <stp>FY 2012</stp>
        <stp>FY 2012</stp>
        <stp>[FA1_ymffleas.xlsx]Bal Sheet - As Reported!R37C6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7" s="17"/>
      </tp>
      <tp>
        <v>482030</v>
        <stp/>
        <stp>##V3_BDHV12</stp>
        <stp>RCOM IN Equity</stp>
        <stp>ARD_TOTAL_FIXED_ASSETS</stp>
        <stp>FY 2013</stp>
        <stp>FY 2013</stp>
        <stp>[FA1_ymffleas.xlsx]Bal Sheet - As Reported!R37C7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7" s="17"/>
      </tp>
      <tp>
        <v>727052.9</v>
        <stp/>
        <stp>##V3_BDHV12</stp>
        <stp>RCOM IN Equity</stp>
        <stp>ARD_TOTAL_FIXED_ASSETS</stp>
        <stp>FY 2009</stp>
        <stp>FY 2009</stp>
        <stp>[FA1_ymffleas.xlsx]Bal Sheet - As Reported!R37C3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7" s="17"/>
      </tp>
      <tp>
        <v>-94.519300000000001</v>
        <stp/>
        <stp>##V3_BDHV12</stp>
        <stp>RCOM IN Equity</stp>
        <stp>ACCOUNTS_PAYABLE_SEQ_GROWTH</stp>
        <stp>FY 2009</stp>
        <stp>FY 2009</stp>
        <stp>[FA1_ymffleas.xlsx]Growth!R75C3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5" s="22"/>
      </tp>
      <tp t="s">
        <v>—</v>
        <stp/>
        <stp>##V3_BDHV12</stp>
        <stp>RCOM IN Equity</stp>
        <stp>ARD_CHNG_TRADE_PAY_OTH_CUR_LIAB</stp>
        <stp>FY 2009</stp>
        <stp>FY 2009</stp>
        <stp>[FA1_ymffleas.xlsx]Cash Flow - As Reported!R23C3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3" s="20"/>
      </tp>
      <tp t="s">
        <v>—</v>
        <stp/>
        <stp>##V3_BDHV12</stp>
        <stp>RCOM IN Equity</stp>
        <stp>ARD_CHNG_TRADE_PAY_OTH_CUR_LIAB</stp>
        <stp>FY 2010</stp>
        <stp>FY 2010</stp>
        <stp>[FA1_ymffleas.xlsx]Cash Flow - As Reported!R23C4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3" s="20"/>
      </tp>
      <tp>
        <v>-50250</v>
        <stp/>
        <stp>##V3_BDHV12</stp>
        <stp>RCOM IN Equity</stp>
        <stp>ARD_CHNG_TRADE_PAY_OTH_CUR_LIAB</stp>
        <stp>FY 2011</stp>
        <stp>FY 2011</stp>
        <stp>[FA1_ymffleas.xlsx]Cash Flow - As Reported!R23C5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3" s="20"/>
      </tp>
      <tp>
        <v>17980</v>
        <stp/>
        <stp>##V3_BDHV12</stp>
        <stp>RCOM IN Equity</stp>
        <stp>ARD_CHNG_TRADE_PAY_OTH_CUR_LIAB</stp>
        <stp>FY 2012</stp>
        <stp>FY 2012</stp>
        <stp>[FA1_ymffleas.xlsx]Cash Flow - As Reported!R23C6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3" s="20"/>
      </tp>
      <tp>
        <v>-23910</v>
        <stp/>
        <stp>##V3_BDHV12</stp>
        <stp>RCOM IN Equity</stp>
        <stp>ARD_CHNG_TRADE_PAY_OTH_CUR_LIAB</stp>
        <stp>FY 2013</stp>
        <stp>FY 2013</stp>
        <stp>[FA1_ymffleas.xlsx]Cash Flow - As Reported!R23C7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3" s="20"/>
      </tp>
      <tp>
        <v>5590</v>
        <stp/>
        <stp>##V3_BDHV12</stp>
        <stp>RCOM IN Equity</stp>
        <stp>ARD_CHNG_TRADE_PAY_OTH_CUR_LIAB</stp>
        <stp>FY 2014</stp>
        <stp>FY 2014</stp>
        <stp>[FA1_ymffleas.xlsx]Cash Flow - As Reported!R23C8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3" s="20"/>
      </tp>
      <tp>
        <v>-4110</v>
        <stp/>
        <stp>##V3_BDHV12</stp>
        <stp>RCOM IN Equity</stp>
        <stp>ARD_CHNG_TRADE_PAY_OTH_CUR_LIAB</stp>
        <stp>FY 2015</stp>
        <stp>FY 2015</stp>
        <stp>[FA1_ymffleas.xlsx]Cash Flow - As Reported!R23C9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3" s="20"/>
      </tp>
      <tp>
        <v>76.507400000000004</v>
        <stp/>
        <stp>##V3_BDHV12</stp>
        <stp>RCOM IN Equity</stp>
        <stp>ACCOUNTS_PAYABLE_SEQ_GROWTH</stp>
        <stp>FY 2015</stp>
        <stp>FY 2015</stp>
        <stp>[FA1_ymffleas.xlsx]Growth!R75C9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5" s="22"/>
      </tp>
      <tp>
        <v>48.731000000000002</v>
        <stp/>
        <stp>##V3_BDHV12</stp>
        <stp>RCOM IN Equity</stp>
        <stp>ACCOUNTS_PAYABLE_SEQ_GROWTH</stp>
        <stp>FY 2014</stp>
        <stp>FY 2014</stp>
        <stp>[FA1_ymffleas.xlsx]Growth!R75C8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5" s="22"/>
      </tp>
      <tp t="s">
        <v>—</v>
        <stp/>
        <stp>##V3_BDHV12</stp>
        <stp>RCOM IN Equity</stp>
        <stp>ARDR_SHORT_TERM_LOAN_UNSECURED</stp>
        <stp>FY 2009</stp>
        <stp>FY 2009</stp>
        <stp>[FA1_ymffleas.xlsx]Bal Sheet - As Reported!R194C3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4" s="17"/>
      </tp>
      <tp t="s">
        <v>—</v>
        <stp/>
        <stp>##V3_BDHV12</stp>
        <stp>RCOM IN Equity</stp>
        <stp>ARDR_SHORT_TERM_LOAN_UNSECURED</stp>
        <stp>FY 2011</stp>
        <stp>FY 2011</stp>
        <stp>[FA1_ymffleas.xlsx]Bal Sheet - As Reported!R194C5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4" s="17"/>
      </tp>
      <tp t="s">
        <v>—</v>
        <stp/>
        <stp>##V3_BDHV12</stp>
        <stp>RCOM IN Equity</stp>
        <stp>ARDR_SHORT_TERM_LOAN_UNSECURED</stp>
        <stp>FY 2010</stp>
        <stp>FY 2010</stp>
        <stp>[FA1_ymffleas.xlsx]Bal Sheet - As Reported!R194C4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4" s="17"/>
      </tp>
      <tp>
        <v>19070</v>
        <stp/>
        <stp>##V3_BDHV12</stp>
        <stp>RCOM IN Equity</stp>
        <stp>ARDR_SHORT_TERM_LOAN_UNSECURED</stp>
        <stp>FY 2013</stp>
        <stp>FY 2013</stp>
        <stp>[FA1_ymffleas.xlsx]Bal Sheet - As Reported!R194C7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4" s="17"/>
      </tp>
      <tp>
        <v>13940</v>
        <stp/>
        <stp>##V3_BDHV12</stp>
        <stp>RCOM IN Equity</stp>
        <stp>ARDR_SHORT_TERM_LOAN_UNSECURED</stp>
        <stp>FY 2012</stp>
        <stp>FY 2012</stp>
        <stp>[FA1_ymffleas.xlsx]Bal Sheet - As Reported!R194C6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4" s="17"/>
      </tp>
      <tp>
        <v>15870</v>
        <stp/>
        <stp>##V3_BDHV12</stp>
        <stp>RCOM IN Equity</stp>
        <stp>ARDR_SHORT_TERM_LOAN_UNSECURED</stp>
        <stp>FY 2015</stp>
        <stp>FY 2015</stp>
        <stp>[FA1_ymffleas.xlsx]Bal Sheet - As Reported!R194C9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4" s="17"/>
      </tp>
      <tp>
        <v>24290</v>
        <stp/>
        <stp>##V3_BDHV12</stp>
        <stp>RCOM IN Equity</stp>
        <stp>ARDR_SHORT_TERM_LOAN_UNSECURED</stp>
        <stp>FY 2014</stp>
        <stp>FY 2014</stp>
        <stp>[FA1_ymffleas.xlsx]Bal Sheet - As Reported!R194C8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4" s="17"/>
      </tp>
      <tp>
        <v>43380</v>
        <stp/>
        <stp>##V3_BDHV12</stp>
        <stp>RCOM IN Equity</stp>
        <stp>BS_DISCLOSED_INTANGIBLES</stp>
        <stp>FY 2018</stp>
        <stp>FY 2018</stp>
        <stp>[FA1_ymffleas.xlsx]Bal Sheet - Standardized!R55C12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5" s="16"/>
      </tp>
      <tp>
        <v>220230</v>
        <stp/>
        <stp>##V3_BDHV12</stp>
        <stp>RCOM IN Equity</stp>
        <stp>BS_DISCLOSED_INTANGIBLES</stp>
        <stp>FY 2017</stp>
        <stp>FY 2017</stp>
        <stp>[FA1_ymffleas.xlsx]Bal Sheet - Standardized!R55C11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5" s="16"/>
      </tp>
      <tp>
        <v>270240</v>
        <stp/>
        <stp>##V3_BDHV12</stp>
        <stp>RCOM IN Equity</stp>
        <stp>BS_DISCLOSED_INTANGIBLES</stp>
        <stp>FY 2016</stp>
        <stp>FY 2016</stp>
        <stp>[FA1_ymffleas.xlsx]Bal Sheet - Standardized!R55C10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5" s="16"/>
      </tp>
      <tp>
        <v>20.871300000000002</v>
        <stp/>
        <stp>##V3_BDHV12</stp>
        <stp>RCOM IN Equity</stp>
        <stp>TOTAL_DEBT_TO_EBIT</stp>
        <stp>FY 2011</stp>
        <stp>FY 2011</stp>
        <stp>[FA1_ymffleas.xlsx]Credit!R13C5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3" s="23"/>
      </tp>
      <tp>
        <v>-66.363900000000001</v>
        <stp/>
        <stp>##V3_BDHV12</stp>
        <stp>RCOM IN Equity</stp>
        <stp>CASH_FLOW_GROWTH</stp>
        <stp>FY 2013</stp>
        <stp>FY 2013</stp>
        <stp>[FA1_ymffleas.xlsx]Growth!R30C7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0" s="22"/>
      </tp>
      <tp>
        <v>279.94400000000002</v>
        <stp/>
        <stp>##V3_BDHV12</stp>
        <stp>RCOM IN Equity</stp>
        <stp>CASH_FLOW_GROWTH</stp>
        <stp>FY 2012</stp>
        <stp>FY 2012</stp>
        <stp>[FA1_ymffleas.xlsx]Growth!R30C6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0" s="22"/>
      </tp>
      <tp>
        <v>-86.887900000000002</v>
        <stp/>
        <stp>##V3_BDHV12</stp>
        <stp>RCOM IN Equity</stp>
        <stp>CASH_FLOW_GROWTH</stp>
        <stp>FY 2011</stp>
        <stp>FY 2011</stp>
        <stp>[FA1_ymffleas.xlsx]Growth!R30C5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0" s="22"/>
      </tp>
      <tp>
        <v>0.61329999999999996</v>
        <stp/>
        <stp>##V3_BDHV12</stp>
        <stp>RCOM IN Equity</stp>
        <stp>GEO_GROW_EBITDA</stp>
        <stp>FY 2015</stp>
        <stp>FY 2015</stp>
        <stp>[FA1_ymffleas.xlsx]Growth!R37C9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37" s="22"/>
      </tp>
      <tp>
        <v>59.366399999999999</v>
        <stp/>
        <stp>##V3_BDHV12</stp>
        <stp>RCOM IN Equity</stp>
        <stp>CASH_FLOW_GROWTH</stp>
        <stp>FY 2010</stp>
        <stp>FY 2010</stp>
        <stp>[FA1_ymffleas.xlsx]Growth!R30C4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0" s="22"/>
      </tp>
      <tp>
        <v>22.139800000000001</v>
        <stp/>
        <stp>##V3_BDHV12</stp>
        <stp>RCOM IN Equity</stp>
        <stp>CASH_FLOW_GROWTH</stp>
        <stp>FY 2009</stp>
        <stp>FY 2009</stp>
        <stp>[FA1_ymffleas.xlsx]Growth!R30C3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0" s="22"/>
      </tp>
      <tp>
        <v>-2.5611000000000002</v>
        <stp/>
        <stp>##V3_BDHV12</stp>
        <stp>RCOM IN Equity</stp>
        <stp>EBITDA_AFT_CAPEX_TO_CASH_INT_PD</stp>
        <stp>FY 2009</stp>
        <stp>FY 2009</stp>
        <stp>[FA1_ymffleas.xlsx]Credit!R21C3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1" s="23"/>
      </tp>
      <tp>
        <v>-87.441900000000004</v>
        <stp/>
        <stp>##V3_BDHV12</stp>
        <stp>RCOM IN Equity</stp>
        <stp>CASH_FLOW_GROWTH</stp>
        <stp>FY 2015</stp>
        <stp>FY 2015</stp>
        <stp>[FA1_ymffleas.xlsx]Growth!R30C9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0" s="22"/>
      </tp>
      <tp>
        <v>9.2859999999999996</v>
        <stp/>
        <stp>##V3_BDHV12</stp>
        <stp>RCOM IN Equity</stp>
        <stp>EBITDA_TO_INTEREST_EXPN</stp>
        <stp>FY 2011</stp>
        <stp>FY 2011</stp>
        <stp>[FA1_ymffleas.xlsx]Credit!R16C5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6" s="23"/>
      </tp>
      <tp>
        <v>182.48179999999999</v>
        <stp/>
        <stp>##V3_BDHV12</stp>
        <stp>RCOM IN Equity</stp>
        <stp>CASH_FLOW_GROWTH</stp>
        <stp>FY 2014</stp>
        <stp>FY 2014</stp>
        <stp>[FA1_ymffleas.xlsx]Growth!R30C8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0" s="22"/>
      </tp>
      <tp>
        <v>-20</v>
        <stp/>
        <stp>##V3_BDHV12</stp>
        <stp>RCOM IN Equity</stp>
        <stp>CF_DVD_PAID</stp>
        <stp>FY 2017</stp>
        <stp>FY 2017</stp>
        <stp>[FA1_ymffleas.xlsx]Cash Flow - Standardized!R38C10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8" s="19"/>
      </tp>
      <tp>
        <v>0</v>
        <stp/>
        <stp>##V3_BDHV12</stp>
        <stp>RCOM IN Equity</stp>
        <stp>CF_DVD_PAID</stp>
        <stp>FY 2018</stp>
        <stp>FY 2018</stp>
        <stp>[FA1_ymffleas.xlsx]Cash Flow - Standardized!R38C11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8" s="19"/>
      </tp>
      <tp>
        <v>0</v>
        <stp/>
        <stp>##V3_BDHV12</stp>
        <stp>RCOM IN Equity</stp>
        <stp>T12M_NET_CAPITAL_STOCK</stp>
        <stp>FY 2014</stp>
        <stp>FY 2014</stp>
        <stp>[FA1_ymffleas.xlsx]Yield Analysis!R37C8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7" s="26"/>
      </tp>
      <tp>
        <v>60710</v>
        <stp/>
        <stp>##V3_BDHV12</stp>
        <stp>RCOM IN Equity</stp>
        <stp>T12M_NET_CAPITAL_STOCK</stp>
        <stp>FY 2015</stp>
        <stp>FY 2015</stp>
        <stp>[FA1_ymffleas.xlsx]Yield Analysis!R37C9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7" s="26"/>
      </tp>
      <tp>
        <v>0</v>
        <stp/>
        <stp>##V3_BDHV12</stp>
        <stp>RCOM IN Equity</stp>
        <stp>T12M_NET_CAPITAL_STOCK</stp>
        <stp>FY 2010</stp>
        <stp>FY 2010</stp>
        <stp>[FA1_ymffleas.xlsx]Yield Analysis!R37C4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7" s="26"/>
      </tp>
      <tp>
        <v>0</v>
        <stp/>
        <stp>##V3_BDHV12</stp>
        <stp>RCOM IN Equity</stp>
        <stp>T12M_NET_CAPITAL_STOCK</stp>
        <stp>FY 2011</stp>
        <stp>FY 2011</stp>
        <stp>[FA1_ymffleas.xlsx]Yield Analysis!R37C5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7" s="26"/>
      </tp>
      <tp>
        <v>0</v>
        <stp/>
        <stp>##V3_BDHV12</stp>
        <stp>RCOM IN Equity</stp>
        <stp>T12M_NET_CAPITAL_STOCK</stp>
        <stp>FY 2012</stp>
        <stp>FY 2012</stp>
        <stp>[FA1_ymffleas.xlsx]Yield Analysis!R37C6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7" s="26"/>
      </tp>
      <tp>
        <v>0</v>
        <stp/>
        <stp>##V3_BDHV12</stp>
        <stp>RCOM IN Equity</stp>
        <stp>T12M_NET_CAPITAL_STOCK</stp>
        <stp>FY 2013</stp>
        <stp>FY 2013</stp>
        <stp>[FA1_ymffleas.xlsx]Yield Analysis!R37C7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7" s="26"/>
      </tp>
      <tp>
        <v>0</v>
        <stp/>
        <stp>##V3_BDHV12</stp>
        <stp>RCOM IN Equity</stp>
        <stp>T12M_NET_CAPITAL_STOCK</stp>
        <stp>FY 2009</stp>
        <stp>FY 2009</stp>
        <stp>[FA1_ymffleas.xlsx]Yield Analysis!R37C3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7" s="26"/>
      </tp>
      <tp>
        <v>3.05</v>
        <stp/>
        <stp>##V3_BDHV12</stp>
        <stp>RCOM IN Equity</stp>
        <stp>IS_DILUTED_EPS</stp>
        <stp>FY 2015</stp>
        <stp>FY 2015</stp>
        <stp>[FA1_ymffleas.xlsx]Income - Adjusted!R115C8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15" s="9"/>
      </tp>
      <tp>
        <v>3.0882999999999998</v>
        <stp/>
        <stp>##V3_BDHV12</stp>
        <stp>RCOM IN Equity</stp>
        <stp>REVENUE_SEQUENTIAL_GROWTH</stp>
        <stp>FY 2013</stp>
        <stp>FY 2013</stp>
        <stp>[FA1_ymffleas.xlsx]Growth!R60C7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60" s="22"/>
      </tp>
      <tp>
        <v>23350</v>
        <stp/>
        <stp>##V3_BDHV12</stp>
        <stp>RCOM IN Equity</stp>
        <stp>NON_CASH_ITEMS_DETAILED</stp>
        <stp>FY 2017</stp>
        <stp>FY 2017</stp>
        <stp>[FA1_ymffleas.xlsx]Cash Flow - Standardized!R9C10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" s="19"/>
      </tp>
      <tp>
        <v>456840</v>
        <stp/>
        <stp>##V3_BDHV12</stp>
        <stp>RCOM IN Equity</stp>
        <stp>NON_CASH_ITEMS_DETAILED</stp>
        <stp>FY 2018</stp>
        <stp>FY 2018</stp>
        <stp>[FA1_ymffleas.xlsx]Cash Flow - Standardized!R9C11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" s="19"/>
      </tp>
      <tp t="s">
        <v>—</v>
        <stp/>
        <stp>##V3_BDHV12</stp>
        <stp>RCOM IN Equity</stp>
        <stp>NET_INCOME_TO_COMMON_5_YR_GROWTH</stp>
        <stp>FY 2012</stp>
        <stp>FY 2012</stp>
        <stp>[FA1_ymffleas.xlsx]Growth!R39C6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39" s="22"/>
      </tp>
      <tp>
        <v>2.9622999999999999</v>
        <stp/>
        <stp>##V3_BDHV12</stp>
        <stp>RCOM IN Equity</stp>
        <stp>EV_TO_T12M_SALES</stp>
        <stp>FY 2012</stp>
        <stp>FY 2012</stp>
        <stp>[FA1_ymffleas.xlsx]Multiples!R36C5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36" s="6"/>
      </tp>
      <tp t="s">
        <v>—</v>
        <stp/>
        <stp>##V3_BDHV12</stp>
        <stp>RCOM IN Equity</stp>
        <stp>ARD_DVD_PAID_INCLUDING_DIV_TAX</stp>
        <stp>FY 2015</stp>
        <stp>FY 2015</stp>
        <stp>[FA1_ymffleas.xlsx]Cash Flow - As Reported!R65C9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5" s="20"/>
      </tp>
      <tp>
        <v>-610</v>
        <stp/>
        <stp>##V3_BDHV12</stp>
        <stp>RCOM IN Equity</stp>
        <stp>ARD_DVD_PAID_INCLUDING_DIV_TAX</stp>
        <stp>FY 2014</stp>
        <stp>FY 2014</stp>
        <stp>[FA1_ymffleas.xlsx]Cash Flow - As Reported!R65C8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5" s="20"/>
      </tp>
      <tp>
        <v>-600</v>
        <stp/>
        <stp>##V3_BDHV12</stp>
        <stp>RCOM IN Equity</stp>
        <stp>ARD_DVD_PAID_INCLUDING_DIV_TAX</stp>
        <stp>FY 2013</stp>
        <stp>FY 2013</stp>
        <stp>[FA1_ymffleas.xlsx]Cash Flow - As Reported!R65C7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5" s="20"/>
      </tp>
      <tp>
        <v>-1190</v>
        <stp/>
        <stp>##V3_BDHV12</stp>
        <stp>RCOM IN Equity</stp>
        <stp>ARD_DVD_PAID_INCLUDING_DIV_TAX</stp>
        <stp>FY 2012</stp>
        <stp>FY 2012</stp>
        <stp>[FA1_ymffleas.xlsx]Cash Flow - As Reported!R65C6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5" s="20"/>
      </tp>
      <tp>
        <v>-2020</v>
        <stp/>
        <stp>##V3_BDHV12</stp>
        <stp>RCOM IN Equity</stp>
        <stp>ARD_DVD_PAID_INCLUDING_DIV_TAX</stp>
        <stp>FY 2011</stp>
        <stp>FY 2011</stp>
        <stp>[FA1_ymffleas.xlsx]Cash Flow - As Reported!R65C5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5" s="20"/>
      </tp>
      <tp>
        <v>-1910.6</v>
        <stp/>
        <stp>##V3_BDHV12</stp>
        <stp>RCOM IN Equity</stp>
        <stp>ARD_DVD_PAID_INCLUDING_DIV_TAX</stp>
        <stp>FY 2010</stp>
        <stp>FY 2010</stp>
        <stp>[FA1_ymffleas.xlsx]Cash Flow - As Reported!R65C4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5" s="20"/>
      </tp>
      <tp>
        <v>-1792.3</v>
        <stp/>
        <stp>##V3_BDHV12</stp>
        <stp>RCOM IN Equity</stp>
        <stp>ARD_DVD_PAID_INCLUDING_DIV_TAX</stp>
        <stp>FY 2009</stp>
        <stp>FY 2009</stp>
        <stp>[FA1_ymffleas.xlsx]Cash Flow - As Reported!R65C3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5" s="20"/>
      </tp>
      <tp>
        <v>2.3841000000000001</v>
        <stp/>
        <stp>##V3_BDHV12</stp>
        <stp>RCOM IN Equity</stp>
        <stp>AVERAGE_EV_TO_T12M_SALES</stp>
        <stp>FY 2012</stp>
        <stp>FY 2012</stp>
        <stp>[FA1_ymffleas.xlsx]Multiples!R37C5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37" s="6"/>
      </tp>
      <tp>
        <v>1.6276000000000002</v>
        <stp/>
        <stp>##V3_BDHV12</stp>
        <stp>RCOM IN Equity</stp>
        <stp>EBITDA_LES_CAP_EXPEND_TO_INT_EXP</stp>
        <stp>FY 2014</stp>
        <stp>FY 2014</stp>
        <stp>[FA1_ymffleas.xlsx]Credit!R17C8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7" s="23"/>
      </tp>
      <tp>
        <v>25.317599999999999</v>
        <stp/>
        <stp>##V3_BDHV12</stp>
        <stp>RCOM IN Equity</stp>
        <stp>LOW_EV_TO_T12M_EBIT</stp>
        <stp>FY 2012</stp>
        <stp>FY 2012</stp>
        <stp>[FA1_ymffleas.xlsx]Multiples!R49C5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49" s="6"/>
      </tp>
      <tp>
        <v>0</v>
        <stp/>
        <stp>##V3_BDHV12</stp>
        <stp>RCOM IN Equity</stp>
        <stp>DVD_PAYOUT_RATIO</stp>
        <stp>FY 2014</stp>
        <stp>FY 2014</stp>
        <stp>[FA1_ymffleas.xlsx]DuPont Analysis!R22C8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2" s="27"/>
      </tp>
      <tp>
        <v>21.916599999999999</v>
        <stp/>
        <stp>##V3_BDHV12</stp>
        <stp>RCOM IN Equity</stp>
        <stp>IS_DILUTED_EPS</stp>
        <stp>FY 2010</stp>
        <stp>FY 2010</stp>
        <stp>[FA1_ymffleas.xlsx]Reconciliation!R51C3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C51" s="12"/>
      </tp>
      <tp>
        <v>187900</v>
        <stp/>
        <stp>##V3_BDHV12</stp>
        <stp>RCOM IN Equity</stp>
        <stp>ARD_TOTAL_CUR_ASSETS</stp>
        <stp>FY 2015</stp>
        <stp>FY 2015</stp>
        <stp>[FA1_ymffleas.xlsx]Bal Sheet - As Reported!R48C9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8" s="17"/>
      </tp>
      <tp>
        <v>133770</v>
        <stp/>
        <stp>##V3_BDHV12</stp>
        <stp>RCOM IN Equity</stp>
        <stp>ARD_TOTAL_CUR_ASSETS</stp>
        <stp>FY 2014</stp>
        <stp>FY 2014</stp>
        <stp>[FA1_ymffleas.xlsx]Bal Sheet - As Reported!R48C8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8" s="17"/>
      </tp>
      <tp t="s">
        <v>—</v>
        <stp/>
        <stp>##V3_BDHV12</stp>
        <stp>RCOM IN Equity</stp>
        <stp>ARD_TOTAL_CUR_ASSETS</stp>
        <stp>FY 2009</stp>
        <stp>FY 2009</stp>
        <stp>[FA1_ymffleas.xlsx]Bal Sheet - As Reported!R48C3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8" s="17"/>
      </tp>
      <tp>
        <v>164480</v>
        <stp/>
        <stp>##V3_BDHV12</stp>
        <stp>RCOM IN Equity</stp>
        <stp>ARD_TOTAL_CUR_ASSETS</stp>
        <stp>FY 2011</stp>
        <stp>FY 2011</stp>
        <stp>[FA1_ymffleas.xlsx]Bal Sheet - As Reported!R48C5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8" s="17"/>
      </tp>
      <tp t="s">
        <v>—</v>
        <stp/>
        <stp>##V3_BDHV12</stp>
        <stp>RCOM IN Equity</stp>
        <stp>ARD_TOTAL_CUR_ASSETS</stp>
        <stp>FY 2010</stp>
        <stp>FY 2010</stp>
        <stp>[FA1_ymffleas.xlsx]Bal Sheet - As Reported!R48C4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8" s="17"/>
      </tp>
      <tp>
        <v>122610</v>
        <stp/>
        <stp>##V3_BDHV12</stp>
        <stp>RCOM IN Equity</stp>
        <stp>ARD_TOTAL_CUR_ASSETS</stp>
        <stp>FY 2013</stp>
        <stp>FY 2013</stp>
        <stp>[FA1_ymffleas.xlsx]Bal Sheet - As Reported!R48C7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8" s="17"/>
      </tp>
      <tp>
        <v>125450</v>
        <stp/>
        <stp>##V3_BDHV12</stp>
        <stp>RCOM IN Equity</stp>
        <stp>ARD_TOTAL_CUR_ASSETS</stp>
        <stp>FY 2012</stp>
        <stp>FY 2012</stp>
        <stp>[FA1_ymffleas.xlsx]Bal Sheet - As Reported!R48C6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8" s="17"/>
      </tp>
      <tp t="s">
        <v>—</v>
        <stp/>
        <stp>##V3_BDHV12</stp>
        <stp>RCOM IN Equity</stp>
        <stp>EMPL_GROWTH</stp>
        <stp>FY 2014</stp>
        <stp>FY 2014</stp>
        <stp>[FA1_ymffleas.xlsx]Growth!R22C8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2" s="22"/>
      </tp>
      <tp t="s">
        <v>—</v>
        <stp/>
        <stp>##V3_BDHV12</stp>
        <stp>RCOM IN Equity</stp>
        <stp>EMPL_GROWTH</stp>
        <stp>FY 2015</stp>
        <stp>FY 2015</stp>
        <stp>[FA1_ymffleas.xlsx]Growth!R22C9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2" s="22"/>
      </tp>
      <tp>
        <v>1.3643000000000001</v>
        <stp/>
        <stp>##V3_BDHV12</stp>
        <stp>RCOM IN Equity</stp>
        <stp>EMPL_GROWTH</stp>
        <stp>FY 2009</stp>
        <stp>FY 2009</stp>
        <stp>[FA1_ymffleas.xlsx]Growth!R22C3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2" s="22"/>
      </tp>
      <tp>
        <v>-12.8452</v>
        <stp/>
        <stp>##V3_BDHV12</stp>
        <stp>RCOM IN Equity</stp>
        <stp>EMPL_GROWTH</stp>
        <stp>FY 2012</stp>
        <stp>FY 2012</stp>
        <stp>[FA1_ymffleas.xlsx]Growth!R22C6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2" s="22"/>
      </tp>
      <tp>
        <v>-23.7408</v>
        <stp/>
        <stp>##V3_BDHV12</stp>
        <stp>RCOM IN Equity</stp>
        <stp>EMPL_GROWTH</stp>
        <stp>FY 2013</stp>
        <stp>FY 2013</stp>
        <stp>[FA1_ymffleas.xlsx]Growth!R22C7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2" s="22"/>
      </tp>
      <tp>
        <v>-16.624500000000001</v>
        <stp/>
        <stp>##V3_BDHV12</stp>
        <stp>RCOM IN Equity</stp>
        <stp>EMPL_GROWTH</stp>
        <stp>FY 2010</stp>
        <stp>FY 2010</stp>
        <stp>[FA1_ymffleas.xlsx]Growth!R22C4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2" s="22"/>
      </tp>
      <tp>
        <v>-9.3917000000000002</v>
        <stp/>
        <stp>##V3_BDHV12</stp>
        <stp>RCOM IN Equity</stp>
        <stp>EMPL_GROWTH</stp>
        <stp>FY 2011</stp>
        <stp>FY 2011</stp>
        <stp>[FA1_ymffleas.xlsx]Growth!R22C5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2" s="22"/>
      </tp>
      <tp>
        <v>13422</v>
        <stp/>
        <stp>##V3_BDHV12</stp>
        <stp>RCOM IN Equity</stp>
        <stp>IS_INT_EXPENSE</stp>
        <stp>FY 2010</stp>
        <stp>FY 2010</stp>
        <stp>[FA1_ymffleas.xlsx]Credit!R25C4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25" s="23"/>
      </tp>
      <tp>
        <v>9020</v>
        <stp/>
        <stp>##V3_BDHV12</stp>
        <stp>RCOM IN Equity</stp>
        <stp>IS_INT_EXPENSE</stp>
        <stp>FY 2011</stp>
        <stp>FY 2011</stp>
        <stp>[FA1_ymffleas.xlsx]Credit!R25C5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25" s="23"/>
      </tp>
      <tp>
        <v>14770</v>
        <stp/>
        <stp>##V3_BDHV12</stp>
        <stp>RCOM IN Equity</stp>
        <stp>IS_INT_EXPENSE</stp>
        <stp>FY 2012</stp>
        <stp>FY 2012</stp>
        <stp>[FA1_ymffleas.xlsx]Credit!R25C6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25" s="23"/>
      </tp>
      <tp>
        <v>22650</v>
        <stp/>
        <stp>##V3_BDHV12</stp>
        <stp>RCOM IN Equity</stp>
        <stp>IS_INT_EXPENSE</stp>
        <stp>FY 2013</stp>
        <stp>FY 2013</stp>
        <stp>[FA1_ymffleas.xlsx]Credit!R25C7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25" s="23"/>
      </tp>
      <tp>
        <v>12118.4</v>
        <stp/>
        <stp>##V3_BDHV12</stp>
        <stp>RCOM IN Equity</stp>
        <stp>IS_INT_EXPENSE</stp>
        <stp>FY 2009</stp>
        <stp>FY 2009</stp>
        <stp>[FA1_ymffleas.xlsx]Credit!R25C3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25" s="23"/>
      </tp>
      <tp>
        <v>9.1643000000000008</v>
        <stp/>
        <stp>##V3_BDHV12</stp>
        <stp>RCOM IN Equity</stp>
        <stp>TOTAL_DEBT_TO_EBIT</stp>
        <stp>FY 2010</stp>
        <stp>FY 2010</stp>
        <stp>[FA1_ymffleas.xlsx]Credit!R13C4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3" s="23"/>
      </tp>
      <tp>
        <v>27900</v>
        <stp/>
        <stp>##V3_BDHV12</stp>
        <stp>RCOM IN Equity</stp>
        <stp>IS_INT_EXPENSE</stp>
        <stp>FY 2014</stp>
        <stp>FY 2014</stp>
        <stp>[FA1_ymffleas.xlsx]Credit!R25C8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25" s="23"/>
      </tp>
      <tp>
        <v>30</v>
        <stp/>
        <stp>##V3_BDHV12</stp>
        <stp>RCOM IN Equity</stp>
        <stp>ARDR_EMPLOYER_CONTRIB_POST_RETIR</stp>
        <stp>FY 2018</stp>
        <stp>FY 2018</stp>
        <stp>[FA1_ymffleas.xlsx]Income - As Reported!R98C12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8" s="11"/>
      </tp>
      <tp>
        <v>50</v>
        <stp/>
        <stp>##V3_BDHV12</stp>
        <stp>RCOM IN Equity</stp>
        <stp>ARDR_EMPLOYER_CONTRIB_POST_RETIR</stp>
        <stp>FY 2016</stp>
        <stp>FY 2016</stp>
        <stp>[FA1_ymffleas.xlsx]Income - As Reported!R98C10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8" s="11"/>
      </tp>
      <tp>
        <v>0</v>
        <stp/>
        <stp>##V3_BDHV12</stp>
        <stp>RCOM IN Equity</stp>
        <stp>ARDR_EMPLOYER_CONTRIB_POST_RETIR</stp>
        <stp>FY 2017</stp>
        <stp>FY 2017</stp>
        <stp>[FA1_ymffleas.xlsx]Income - As Reported!R98C11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8" s="11"/>
      </tp>
      <tp>
        <v>24620</v>
        <stp/>
        <stp>##V3_BDHV12</stp>
        <stp>RCOM IN Equity</stp>
        <stp>IS_INT_EXPENSE</stp>
        <stp>FY 2015</stp>
        <stp>FY 2015</stp>
        <stp>[FA1_ymffleas.xlsx]Credit!R25C9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25" s="23"/>
      </tp>
      <tp>
        <v>-52110</v>
        <stp/>
        <stp>##V3_BDHV12</stp>
        <stp>RCOM IN Equity</stp>
        <stp>T12M_CHG_ST_BORROWINGS</stp>
        <stp>FY 2012</stp>
        <stp>FY 2012</stp>
        <stp>[FA1_ymffleas.xlsx]Yield Analysis!R15C6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" s="26"/>
      </tp>
      <tp>
        <v>32680</v>
        <stp/>
        <stp>##V3_BDHV12</stp>
        <stp>RCOM IN Equity</stp>
        <stp>T12M_CHG_ST_BORROWINGS</stp>
        <stp>FY 2013</stp>
        <stp>FY 2013</stp>
        <stp>[FA1_ymffleas.xlsx]Yield Analysis!R15C7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" s="26"/>
      </tp>
      <tp>
        <v>-32632.400000000001</v>
        <stp/>
        <stp>##V3_BDHV12</stp>
        <stp>RCOM IN Equity</stp>
        <stp>T12M_CHG_ST_BORROWINGS</stp>
        <stp>FY 2010</stp>
        <stp>FY 2010</stp>
        <stp>[FA1_ymffleas.xlsx]Yield Analysis!R15C4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" s="26"/>
      </tp>
      <tp>
        <v>26840</v>
        <stp/>
        <stp>##V3_BDHV12</stp>
        <stp>RCOM IN Equity</stp>
        <stp>T12M_CHG_ST_BORROWINGS</stp>
        <stp>FY 2011</stp>
        <stp>FY 2011</stp>
        <stp>[FA1_ymffleas.xlsx]Yield Analysis!R15C5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" s="26"/>
      </tp>
      <tp>
        <v>-14207.7</v>
        <stp/>
        <stp>##V3_BDHV12</stp>
        <stp>RCOM IN Equity</stp>
        <stp>T12M_CHG_ST_BORROWINGS</stp>
        <stp>FY 2009</stp>
        <stp>FY 2009</stp>
        <stp>[FA1_ymffleas.xlsx]Yield Analysis!R15C3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" s="26"/>
      </tp>
      <tp>
        <v>1320</v>
        <stp/>
        <stp>##V3_BDHV12</stp>
        <stp>RCOM IN Equity</stp>
        <stp>T12M_CHG_ST_BORROWINGS</stp>
        <stp>FY 2014</stp>
        <stp>FY 2014</stp>
        <stp>[FA1_ymffleas.xlsx]Yield Analysis!R15C8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" s="26"/>
      </tp>
      <tp>
        <v>-35150</v>
        <stp/>
        <stp>##V3_BDHV12</stp>
        <stp>RCOM IN Equity</stp>
        <stp>T12M_CHG_ST_BORROWINGS</stp>
        <stp>FY 2015</stp>
        <stp>FY 2015</stp>
        <stp>[FA1_ymffleas.xlsx]Yield Analysis!R15C9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" s="26"/>
      </tp>
      <tp>
        <v>-5.14</v>
        <stp/>
        <stp>##V3_BDHV12</stp>
        <stp>RCOM IN Equity</stp>
        <stp>GEO_GROW_EBITDA</stp>
        <stp>FY 2014</stp>
        <stp>FY 2014</stp>
        <stp>[FA1_ymffleas.xlsx]Growth!R37C8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37" s="22"/>
      </tp>
      <tp>
        <v>5.2072000000000003</v>
        <stp/>
        <stp>##V3_BDHV12</stp>
        <stp>RCOM IN Equity</stp>
        <stp>EBITDA_TO_INTEREST_EXPN</stp>
        <stp>FY 2010</stp>
        <stp>FY 2010</stp>
        <stp>[FA1_ymffleas.xlsx]Credit!R16C4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6" s="23"/>
      </tp>
      <tp>
        <v>20</v>
        <stp/>
        <stp>##V3_BDHV12</stp>
        <stp>RCOM IN Equity</stp>
        <stp>ARDR_DVD_ACCRUED_PAYABLE</stp>
        <stp>FY 2018</stp>
        <stp>FY 2018</stp>
        <stp>[FA1_ymffleas.xlsx]Bal Sheet - As Reported!R86C12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6" s="17"/>
      </tp>
      <tp>
        <v>70</v>
        <stp/>
        <stp>##V3_BDHV12</stp>
        <stp>RCOM IN Equity</stp>
        <stp>ARDR_DVD_ACCRUED_PAYABLE</stp>
        <stp>FY 2016</stp>
        <stp>FY 2016</stp>
        <stp>[FA1_ymffleas.xlsx]Bal Sheet - As Reported!R86C10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6" s="17"/>
      </tp>
      <tp>
        <v>50</v>
        <stp/>
        <stp>##V3_BDHV12</stp>
        <stp>RCOM IN Equity</stp>
        <stp>ARDR_DVD_ACCRUED_PAYABLE</stp>
        <stp>FY 2017</stp>
        <stp>FY 2017</stp>
        <stp>[FA1_ymffleas.xlsx]Bal Sheet - As Reported!R86C11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6" s="17"/>
      </tp>
      <tp t="s">
        <v>—</v>
        <stp/>
        <stp>##V3_BDHV12</stp>
        <stp>RCOM IN Equity</stp>
        <stp>ARDR_LONG_TERM_LOAN_SECURED</stp>
        <stp>FY 2011</stp>
        <stp>FY 2011</stp>
        <stp>[FA1_ymffleas.xlsx]Bal Sheet - As Reported!R195C5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5" s="17"/>
      </tp>
      <tp t="s">
        <v>—</v>
        <stp/>
        <stp>##V3_BDHV12</stp>
        <stp>RCOM IN Equity</stp>
        <stp>ARDR_LONG_TERM_LOAN_SECURED</stp>
        <stp>FY 2010</stp>
        <stp>FY 2010</stp>
        <stp>[FA1_ymffleas.xlsx]Bal Sheet - As Reported!R195C4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5" s="17"/>
      </tp>
      <tp>
        <v>286780</v>
        <stp/>
        <stp>##V3_BDHV12</stp>
        <stp>RCOM IN Equity</stp>
        <stp>ARDR_LONG_TERM_LOAN_SECURED</stp>
        <stp>FY 2013</stp>
        <stp>FY 2013</stp>
        <stp>[FA1_ymffleas.xlsx]Bal Sheet - As Reported!R195C7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5" s="17"/>
      </tp>
      <tp>
        <v>296460</v>
        <stp/>
        <stp>##V3_BDHV12</stp>
        <stp>RCOM IN Equity</stp>
        <stp>ARDR_LONG_TERM_LOAN_SECURED</stp>
        <stp>FY 2012</stp>
        <stp>FY 2012</stp>
        <stp>[FA1_ymffleas.xlsx]Bal Sheet - As Reported!R195C6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5" s="17"/>
      </tp>
      <tp t="s">
        <v>—</v>
        <stp/>
        <stp>##V3_BDHV12</stp>
        <stp>RCOM IN Equity</stp>
        <stp>ARDR_LONG_TERM_LOAN_SECURED</stp>
        <stp>FY 2009</stp>
        <stp>FY 2009</stp>
        <stp>[FA1_ymffleas.xlsx]Bal Sheet - As Reported!R195C3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5" s="17"/>
      </tp>
      <tp>
        <v>303140</v>
        <stp/>
        <stp>##V3_BDHV12</stp>
        <stp>RCOM IN Equity</stp>
        <stp>ARDR_LONG_TERM_LOAN_SECURED</stp>
        <stp>FY 2015</stp>
        <stp>FY 2015</stp>
        <stp>[FA1_ymffleas.xlsx]Bal Sheet - As Reported!R195C9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5" s="17"/>
      </tp>
      <tp>
        <v>275650</v>
        <stp/>
        <stp>##V3_BDHV12</stp>
        <stp>RCOM IN Equity</stp>
        <stp>ARDR_LONG_TERM_LOAN_SECURED</stp>
        <stp>FY 2014</stp>
        <stp>FY 2014</stp>
        <stp>[FA1_ymffleas.xlsx]Bal Sheet - As Reported!R195C8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5" s="17"/>
      </tp>
      <tp>
        <v>2.59</v>
        <stp/>
        <stp>##V3_BDHV12</stp>
        <stp>RCOM IN Equity</stp>
        <stp>IS_DILUTED_EPS</stp>
        <stp>FY 2016</stp>
        <stp>FY 2016</stp>
        <stp>[FA1_ymffleas.xlsx]Income - Adjusted!R115C9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15" s="9"/>
      </tp>
      <tp>
        <v>-15.27</v>
        <stp/>
        <stp>##V3_BDHV12</stp>
        <stp>RCOM IN Equity</stp>
        <stp>REVENUE_SEQUENTIAL_GROWTH</stp>
        <stp>FY 2012</stp>
        <stp>FY 2012</stp>
        <stp>[FA1_ymffleas.xlsx]Growth!R60C6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60" s="22"/>
      </tp>
      <tp>
        <v>170240</v>
        <stp/>
        <stp>##V3_BDHV12</stp>
        <stp>RCOM IN Equity</stp>
        <stp>ARD_INTANG_ASSETS_EXCL_GOODWILL</stp>
        <stp>FY 2015</stp>
        <stp>FY 2015</stp>
        <stp>[FA1_ymffleas.xlsx]Bal Sheet - As Reported!R35C9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5" s="17"/>
      </tp>
      <tp>
        <v>193190</v>
        <stp/>
        <stp>##V3_BDHV12</stp>
        <stp>RCOM IN Equity</stp>
        <stp>ARD_INTANG_ASSETS_EXCL_GOODWILL</stp>
        <stp>FY 2014</stp>
        <stp>FY 2014</stp>
        <stp>[FA1_ymffleas.xlsx]Bal Sheet - As Reported!R35C8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5" s="17"/>
      </tp>
      <tp t="s">
        <v>—</v>
        <stp/>
        <stp>##V3_BDHV12</stp>
        <stp>RCOM IN Equity</stp>
        <stp>ARD_INTANG_ASSETS_EXCL_GOODWILL</stp>
        <stp>FY 2009</stp>
        <stp>FY 2009</stp>
        <stp>[FA1_ymffleas.xlsx]Bal Sheet - As Reported!R35C3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5" s="17"/>
      </tp>
      <tp>
        <v>210490</v>
        <stp/>
        <stp>##V3_BDHV12</stp>
        <stp>RCOM IN Equity</stp>
        <stp>ARD_INTANG_ASSETS_EXCL_GOODWILL</stp>
        <stp>FY 2013</stp>
        <stp>FY 2013</stp>
        <stp>[FA1_ymffleas.xlsx]Bal Sheet - As Reported!R35C7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5" s="17"/>
      </tp>
      <tp>
        <v>229010</v>
        <stp/>
        <stp>##V3_BDHV12</stp>
        <stp>RCOM IN Equity</stp>
        <stp>ARD_INTANG_ASSETS_EXCL_GOODWILL</stp>
        <stp>FY 2012</stp>
        <stp>FY 2012</stp>
        <stp>[FA1_ymffleas.xlsx]Bal Sheet - As Reported!R35C6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5" s="17"/>
      </tp>
      <tp>
        <v>154640</v>
        <stp/>
        <stp>##V3_BDHV12</stp>
        <stp>RCOM IN Equity</stp>
        <stp>ARD_INTANG_ASSETS_EXCL_GOODWILL</stp>
        <stp>FY 2011</stp>
        <stp>FY 2011</stp>
        <stp>[FA1_ymffleas.xlsx]Bal Sheet - As Reported!R35C5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5" s="17"/>
      </tp>
      <tp t="s">
        <v>—</v>
        <stp/>
        <stp>##V3_BDHV12</stp>
        <stp>RCOM IN Equity</stp>
        <stp>ARD_INTANG_ASSETS_EXCL_GOODWILL</stp>
        <stp>FY 2010</stp>
        <stp>FY 2010</stp>
        <stp>[FA1_ymffleas.xlsx]Bal Sheet - As Reported!R35C4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5" s="17"/>
      </tp>
      <tp>
        <v>-34.086100000000002</v>
        <stp/>
        <stp>##V3_BDHV12</stp>
        <stp>RCOM IN Equity</stp>
        <stp>NET_INCOME_TO_COMMON_5_YR_GROWTH</stp>
        <stp>FY 2013</stp>
        <stp>FY 2013</stp>
        <stp>[FA1_ymffleas.xlsx]Growth!R39C7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39" s="22"/>
      </tp>
      <tp>
        <v>31060</v>
        <stp/>
        <stp>##V3_BDHV12</stp>
        <stp>RCOM IN Equity</stp>
        <stp>BS_PREPAY</stp>
        <stp>FY 2018</stp>
        <stp>FY 2018</stp>
        <stp>[FA1_ymffleas.xlsx]Bal Sheet - Standardized!R33C12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3" s="16"/>
      </tp>
      <tp>
        <v>42720</v>
        <stp/>
        <stp>##V3_BDHV12</stp>
        <stp>RCOM IN Equity</stp>
        <stp>BS_PREPAY</stp>
        <stp>FY 2016</stp>
        <stp>FY 2016</stp>
        <stp>[FA1_ymffleas.xlsx]Bal Sheet - Standardized!R33C10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3" s="16"/>
      </tp>
      <tp>
        <v>50300</v>
        <stp/>
        <stp>##V3_BDHV12</stp>
        <stp>RCOM IN Equity</stp>
        <stp>BS_PREPAY</stp>
        <stp>FY 2017</stp>
        <stp>FY 2017</stp>
        <stp>[FA1_ymffleas.xlsx]Bal Sheet - Standardized!R33C11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3" s="16"/>
      </tp>
      <tp t="s">
        <v>—</v>
        <stp/>
        <stp>##V3_BDHV12</stp>
        <stp>RCOM IN Equity</stp>
        <stp>ARDR_WTD_AVG_NUM_POTEN_DIL_SH</stp>
        <stp>FY 2017</stp>
        <stp>FY 2017</stp>
        <stp>[FA1_ymffleas.xlsx]Income - As Reported!R111C11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1" s="11"/>
      </tp>
      <tp t="s">
        <v>—</v>
        <stp/>
        <stp>##V3_BDHV12</stp>
        <stp>RCOM IN Equity</stp>
        <stp>ARDR_WTD_AVG_NUM_POTEN_DIL_SH</stp>
        <stp>FY 2016</stp>
        <stp>FY 2016</stp>
        <stp>[FA1_ymffleas.xlsx]Income - As Reported!R111C10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1" s="11"/>
      </tp>
      <tp t="s">
        <v>—</v>
        <stp/>
        <stp>##V3_BDHV12</stp>
        <stp>RCOM IN Equity</stp>
        <stp>ARDR_WTD_AVG_NUM_POTEN_DIL_SH</stp>
        <stp>FY 2018</stp>
        <stp>FY 2018</stp>
        <stp>[FA1_ymffleas.xlsx]Income - As Reported!R111C12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1" s="11"/>
      </tp>
      <tp>
        <v>51.615099999999998</v>
        <stp/>
        <stp>##V3_BDHV12</stp>
        <stp>RCOM IN Equity</stp>
        <stp>LOW_PRICE_TO_FREE_CASH_FLOW</stp>
        <stp>FY 2010</stp>
        <stp>FY 2010</stp>
        <stp>[FA1_ymffleas.xlsx]Multiples!R34C3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4" s="6"/>
      </tp>
      <tp>
        <v>2.5712000000000002</v>
        <stp/>
        <stp>##V3_BDHV12</stp>
        <stp>RCOM IN Equity</stp>
        <stp>EV_TO_T12M_SALES</stp>
        <stp>FY 2011</stp>
        <stp>FY 2011</stp>
        <stp>[FA1_ymffleas.xlsx]Multiples!R36C4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36" s="6"/>
      </tp>
      <tp t="s">
        <v>—</v>
        <stp/>
        <stp>##V3_BDHV12</stp>
        <stp>RCOM IN Equity</stp>
        <stp>ARDR_LONG_TERM_LOAN_UNSECURED</stp>
        <stp>FY 2009</stp>
        <stp>FY 2009</stp>
        <stp>[FA1_ymffleas.xlsx]Bal Sheet - As Reported!R196C3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6" s="17"/>
      </tp>
      <tp t="s">
        <v>—</v>
        <stp/>
        <stp>##V3_BDHV12</stp>
        <stp>RCOM IN Equity</stp>
        <stp>ARDR_LONG_TERM_LOAN_UNSECURED</stp>
        <stp>FY 2013</stp>
        <stp>FY 2013</stp>
        <stp>[FA1_ymffleas.xlsx]Bal Sheet - As Reported!R196C7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6" s="17"/>
      </tp>
      <tp t="s">
        <v>—</v>
        <stp/>
        <stp>##V3_BDHV12</stp>
        <stp>RCOM IN Equity</stp>
        <stp>ARDR_LONG_TERM_LOAN_UNSECURED</stp>
        <stp>FY 2012</stp>
        <stp>FY 2012</stp>
        <stp>[FA1_ymffleas.xlsx]Bal Sheet - As Reported!R196C6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6" s="17"/>
      </tp>
      <tp t="s">
        <v>—</v>
        <stp/>
        <stp>##V3_BDHV12</stp>
        <stp>RCOM IN Equity</stp>
        <stp>ARDR_LONG_TERM_LOAN_UNSECURED</stp>
        <stp>FY 2011</stp>
        <stp>FY 2011</stp>
        <stp>[FA1_ymffleas.xlsx]Bal Sheet - As Reported!R196C5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6" s="17"/>
      </tp>
      <tp t="s">
        <v>—</v>
        <stp/>
        <stp>##V3_BDHV12</stp>
        <stp>RCOM IN Equity</stp>
        <stp>ARDR_LONG_TERM_LOAN_UNSECURED</stp>
        <stp>FY 2010</stp>
        <stp>FY 2010</stp>
        <stp>[FA1_ymffleas.xlsx]Bal Sheet - As Reported!R196C4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6" s="17"/>
      </tp>
      <tp>
        <v>420</v>
        <stp/>
        <stp>##V3_BDHV12</stp>
        <stp>RCOM IN Equity</stp>
        <stp>ARDR_LONG_TERM_LOAN_UNSECURED</stp>
        <stp>FY 2015</stp>
        <stp>FY 2015</stp>
        <stp>[FA1_ymffleas.xlsx]Bal Sheet - As Reported!R196C9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6" s="17"/>
      </tp>
      <tp>
        <v>3480</v>
        <stp/>
        <stp>##V3_BDHV12</stp>
        <stp>RCOM IN Equity</stp>
        <stp>ARDR_LONG_TERM_LOAN_UNSECURED</stp>
        <stp>FY 2014</stp>
        <stp>FY 2014</stp>
        <stp>[FA1_ymffleas.xlsx]Bal Sheet - As Reported!R196C8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6" s="17"/>
      </tp>
      <tp>
        <v>40</v>
        <stp/>
        <stp>##V3_BDHV12</stp>
        <stp>RCOM IN Equity</stp>
        <stp>IS_CURRENT_INCOME_TAX_BENEFIT</stp>
        <stp>FY 2018</stp>
        <stp>FY 2018</stp>
        <stp>[FA1_ymffleas.xlsx]Income - Adjusted!R79C11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9" s="9"/>
      </tp>
      <tp>
        <v>20</v>
        <stp/>
        <stp>##V3_BDHV12</stp>
        <stp>RCOM IN Equity</stp>
        <stp>IS_CURRENT_INCOME_TAX_BENEFIT</stp>
        <stp>FY 2017</stp>
        <stp>FY 2017</stp>
        <stp>[FA1_ymffleas.xlsx]Income - Adjusted!R79C10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9" s="9"/>
      </tp>
      <tp t="s">
        <v>—</v>
        <stp/>
        <stp>##V3_BDHV12</stp>
        <stp>RCOM IN Equity</stp>
        <stp>LOW_PRICE_TO_FREE_CASH_FLOW</stp>
        <stp>FY 2012</stp>
        <stp>FY 2012</stp>
        <stp>[FA1_ymffleas.xlsx]Multiples!R34C5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4" s="6"/>
      </tp>
      <tp>
        <v>26.042899999999999</v>
        <stp/>
        <stp>##V3_BDHV12</stp>
        <stp>RCOM IN Equity</stp>
        <stp>LOW_PRICE_TO_FREE_CASH_FLOW</stp>
        <stp>FY 2011</stp>
        <stp>FY 2011</stp>
        <stp>[FA1_ymffleas.xlsx]Multiples!R34C4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4" s="6"/>
      </tp>
      <tp>
        <v>15.6043</v>
        <stp/>
        <stp>##V3_BDHV12</stp>
        <stp>RCOM IN Equity</stp>
        <stp>LOW_PRICE_TO_FREE_CASH_FLOW</stp>
        <stp>FY 2014</stp>
        <stp>FY 2014</stp>
        <stp>[FA1_ymffleas.xlsx]Multiples!R34C7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4" s="6"/>
      </tp>
      <tp t="s">
        <v>—</v>
        <stp/>
        <stp>##V3_BDHV12</stp>
        <stp>RCOM IN Equity</stp>
        <stp>LOW_PRICE_TO_FREE_CASH_FLOW</stp>
        <stp>FY 2013</stp>
        <stp>FY 2013</stp>
        <stp>[FA1_ymffleas.xlsx]Multiples!R34C6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4" s="6"/>
      </tp>
      <tp>
        <v>2.7582</v>
        <stp/>
        <stp>##V3_BDHV12</stp>
        <stp>RCOM IN Equity</stp>
        <stp>AVERAGE_EV_TO_T12M_SALES</stp>
        <stp>FY 2011</stp>
        <stp>FY 2011</stp>
        <stp>[FA1_ymffleas.xlsx]Multiples!R37C4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37" s="6"/>
      </tp>
      <tp t="s">
        <v>—</v>
        <stp/>
        <stp>##V3_BDHV12</stp>
        <stp>RCOM IN Equity</stp>
        <stp>LOW_PRICE_TO_FREE_CASH_FLOW</stp>
        <stp>FY 2016</stp>
        <stp>FY 2016</stp>
        <stp>[FA1_ymffleas.xlsx]Multiples!R34C9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4" s="6"/>
      </tp>
      <tp>
        <v>1.9131</v>
        <stp/>
        <stp>##V3_BDHV12</stp>
        <stp>RCOM IN Equity</stp>
        <stp>EBITDA_LES_CAP_EXPEND_TO_INT_EXP</stp>
        <stp>FY 2015</stp>
        <stp>FY 2015</stp>
        <stp>[FA1_ymffleas.xlsx]Credit!R17C9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7" s="23"/>
      </tp>
      <tp>
        <v>7.0636999999999999</v>
        <stp/>
        <stp>##V3_BDHV12</stp>
        <stp>RCOM IN Equity</stp>
        <stp>LOW_PRICE_TO_FREE_CASH_FLOW</stp>
        <stp>FY 2015</stp>
        <stp>FY 2015</stp>
        <stp>[FA1_ymffleas.xlsx]Multiples!R34C8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4" s="6"/>
      </tp>
      <tp>
        <v>13.327400000000001</v>
        <stp/>
        <stp>##V3_BDHV12</stp>
        <stp>RCOM IN Equity</stp>
        <stp>LOW_EV_TO_T12M_EBIT</stp>
        <stp>FY 2011</stp>
        <stp>FY 2011</stp>
        <stp>[FA1_ymffleas.xlsx]Multiples!R49C4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49" s="6"/>
      </tp>
      <tp>
        <v>0</v>
        <stp/>
        <stp>##V3_BDHV12</stp>
        <stp>RCOM IN Equity</stp>
        <stp>DVD_PAYOUT_RATIO</stp>
        <stp>FY 2015</stp>
        <stp>FY 2015</stp>
        <stp>[FA1_ymffleas.xlsx]DuPont Analysis!R22C9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2" s="27"/>
      </tp>
      <tp>
        <v>4400</v>
        <stp/>
        <stp>##V3_BDHV12</stp>
        <stp>RCOM IN Equity</stp>
        <stp>EBIT</stp>
        <stp>FY 2017</stp>
        <stp>FY 2017</stp>
        <stp>[FA1_ymffleas.xlsx]Earnings!R23C11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23" s="4"/>
      </tp>
      <tp>
        <v>27920</v>
        <stp/>
        <stp>##V3_BDHV12</stp>
        <stp>RCOM IN Equity</stp>
        <stp>EBIT</stp>
        <stp>FY 2016</stp>
        <stp>FY 2016</stp>
        <stp>[FA1_ymffleas.xlsx]Earnings!R23C10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23" s="4"/>
      </tp>
      <tp>
        <v>50.966700000000003</v>
        <stp/>
        <stp>##V3_BDHV12</stp>
        <stp>RCOM IN Equity</stp>
        <stp>TOT_DEBT_TO_TOT_CAP</stp>
        <stp>FY 2015</stp>
        <stp>FY 2015</stp>
        <stp>[FA1_ymffleas.xlsx]Enterprise Value!R14C8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4" s="5"/>
      </tp>
      <tp>
        <v>2430</v>
        <stp/>
        <stp>##V3_BDHV12</stp>
        <stp>RCOM IN Equity</stp>
        <stp>EBIT</stp>
        <stp>FY 2018</stp>
        <stp>FY 2018</stp>
        <stp>[FA1_ymffleas.xlsx]Earnings!R23C12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L23" s="4"/>
      </tp>
      <tp>
        <v>57.784599999999998</v>
        <stp/>
        <stp>##V3_BDHV12</stp>
        <stp>RCOM IN Equity</stp>
        <stp>TOT_DEBT_TO_TOT_CAP</stp>
        <stp>FY 2016</stp>
        <stp>FY 2016</stp>
        <stp>[FA1_ymffleas.xlsx]Enterprise Value!R14C9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4" s="5"/>
      </tp>
      <tp>
        <v>40.300600000000003</v>
        <stp/>
        <stp>##V3_BDHV12</stp>
        <stp>RCOM IN Equity</stp>
        <stp>TOT_DEBT_TO_TOT_CAP</stp>
        <stp>FY 2010</stp>
        <stp>FY 2010</stp>
        <stp>[FA1_ymffleas.xlsx]Enterprise Value!R14C3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4" s="5"/>
      </tp>
      <tp>
        <v>26.559100000000001</v>
        <stp/>
        <stp>##V3_BDHV12</stp>
        <stp>RCOM IN Equity</stp>
        <stp>REVENUE_PER_SH</stp>
        <stp>FY 2017</stp>
        <stp>FY 2017</stp>
        <stp>[FA1_ymffleas.xlsx]Per Share!R11C10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1" s="7"/>
      </tp>
      <tp>
        <v>54.579500000000003</v>
        <stp/>
        <stp>##V3_BDHV12</stp>
        <stp>RCOM IN Equity</stp>
        <stp>TOT_DEBT_TO_TOT_CAP</stp>
        <stp>FY 2013</stp>
        <stp>FY 2013</stp>
        <stp>[FA1_ymffleas.xlsx]Enterprise Value!R14C6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4" s="5"/>
      </tp>
      <tp>
        <v>55.757399999999997</v>
        <stp/>
        <stp>##V3_BDHV12</stp>
        <stp>RCOM IN Equity</stp>
        <stp>TOT_DEBT_TO_TOT_CAP</stp>
        <stp>FY 2014</stp>
        <stp>FY 2014</stp>
        <stp>[FA1_ymffleas.xlsx]Enterprise Value!R14C7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4" s="5"/>
      </tp>
      <tp>
        <v>48.599400000000003</v>
        <stp/>
        <stp>##V3_BDHV12</stp>
        <stp>RCOM IN Equity</stp>
        <stp>TOT_DEBT_TO_TOT_CAP</stp>
        <stp>FY 2011</stp>
        <stp>FY 2011</stp>
        <stp>[FA1_ymffleas.xlsx]Enterprise Value!R14C4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4" s="5"/>
      </tp>
      <tp>
        <v>50.76</v>
        <stp/>
        <stp>##V3_BDHV12</stp>
        <stp>RCOM IN Equity</stp>
        <stp>TOT_DEBT_TO_TOT_CAP</stp>
        <stp>FY 2012</stp>
        <stp>FY 2012</stp>
        <stp>[FA1_ymffleas.xlsx]Enterprise Value!R14C5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4" s="5"/>
      </tp>
      <tp>
        <v>0</v>
        <stp/>
        <stp>##V3_BDHV12</stp>
        <stp>RCOM IN Equity</stp>
        <stp>ARDR_ACTUARIAL_LOSSES_GAINS_OPEB</stp>
        <stp>FY 2018</stp>
        <stp>FY 2018</stp>
        <stp>[FA1_ymffleas.xlsx]Income - As Reported!R132C12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2" s="11"/>
      </tp>
      <tp>
        <v>40</v>
        <stp/>
        <stp>##V3_BDHV12</stp>
        <stp>RCOM IN Equity</stp>
        <stp>ARDR_ACTUARIAL_LOSSES_GAINS_OPEB</stp>
        <stp>FY 2016</stp>
        <stp>FY 2016</stp>
        <stp>[FA1_ymffleas.xlsx]Income - As Reported!R132C10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2" s="11"/>
      </tp>
      <tp t="s">
        <v>—</v>
        <stp/>
        <stp>##V3_BDHV12</stp>
        <stp>RCOM IN Equity</stp>
        <stp>ARDR_ACTUARIAL_LOSSES_GAINS_OPEB</stp>
        <stp>FY 2017</stp>
        <stp>FY 2017</stp>
        <stp>[FA1_ymffleas.xlsx]Income - As Reported!R132C11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2" s="11"/>
      </tp>
      <tp t="s">
        <v>—</v>
        <stp/>
        <stp>##V3_BDHV12</stp>
        <stp>RCOM IN Equity</stp>
        <stp>ARDR_OTHER_OPERATING_EXPENSES</stp>
        <stp>FY 2009</stp>
        <stp>FY 2009</stp>
        <stp>[FA1_ymffleas.xlsx]Income - As Reported!R68C3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8" s="11"/>
      </tp>
      <tp t="s">
        <v>—</v>
        <stp/>
        <stp>##V3_BDHV12</stp>
        <stp>RCOM IN Equity</stp>
        <stp>ARDR_OTHER_OPERATING_EXPENSES</stp>
        <stp>FY 2013</stp>
        <stp>FY 2013</stp>
        <stp>[FA1_ymffleas.xlsx]Income - As Reported!R68C7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8" s="11"/>
      </tp>
      <tp t="s">
        <v>—</v>
        <stp/>
        <stp>##V3_BDHV12</stp>
        <stp>RCOM IN Equity</stp>
        <stp>ARDR_OTHER_OPERATING_EXPENSES</stp>
        <stp>FY 2012</stp>
        <stp>FY 2012</stp>
        <stp>[FA1_ymffleas.xlsx]Income - As Reported!R68C6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8" s="11"/>
      </tp>
      <tp t="s">
        <v>—</v>
        <stp/>
        <stp>##V3_BDHV12</stp>
        <stp>RCOM IN Equity</stp>
        <stp>ARDR_OTHER_OPERATING_EXPENSES</stp>
        <stp>FY 2011</stp>
        <stp>FY 2011</stp>
        <stp>[FA1_ymffleas.xlsx]Income - As Reported!R68C5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8" s="11"/>
      </tp>
      <tp t="s">
        <v>—</v>
        <stp/>
        <stp>##V3_BDHV12</stp>
        <stp>RCOM IN Equity</stp>
        <stp>ARDR_OTHER_OPERATING_EXPENSES</stp>
        <stp>FY 2010</stp>
        <stp>FY 2010</stp>
        <stp>[FA1_ymffleas.xlsx]Income - As Reported!R68C4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8" s="11"/>
      </tp>
      <tp t="s">
        <v>—</v>
        <stp/>
        <stp>##V3_BDHV12</stp>
        <stp>RCOM IN Equity</stp>
        <stp>ARDR_OTHER_OPERATING_EXPENSES</stp>
        <stp>FY 2015</stp>
        <stp>FY 2015</stp>
        <stp>[FA1_ymffleas.xlsx]Income - As Reported!R68C9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8" s="11"/>
      </tp>
      <tp t="s">
        <v>—</v>
        <stp/>
        <stp>##V3_BDHV12</stp>
        <stp>RCOM IN Equity</stp>
        <stp>ARDR_OTHER_OPERATING_EXPENSES</stp>
        <stp>FY 2014</stp>
        <stp>FY 2014</stp>
        <stp>[FA1_ymffleas.xlsx]Income - As Reported!R68C8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8" s="11"/>
      </tp>
      <tp t="s">
        <v>—</v>
        <stp/>
        <stp>##V3_BDHV12</stp>
        <stp>RCOM IN Equity</stp>
        <stp>DIVIDEND_PER_SHARE_1_YEAR_GROWTH</stp>
        <stp>FY 2017</stp>
        <stp>FY 2017</stp>
        <stp>[FA1_ymffleas.xlsx]Growth!R14C11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4" s="22"/>
      </tp>
      <tp t="s">
        <v>—</v>
        <stp/>
        <stp>##V3_BDHV12</stp>
        <stp>RCOM IN Equity</stp>
        <stp>DIVIDEND_PER_SHARE_1_YEAR_GROWTH</stp>
        <stp>FY 2016</stp>
        <stp>FY 2016</stp>
        <stp>[FA1_ymffleas.xlsx]Growth!R14C10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4" s="22"/>
      </tp>
      <tp t="s">
        <v>—</v>
        <stp/>
        <stp>##V3_BDHV12</stp>
        <stp>RCOM IN Equity</stp>
        <stp>DIVIDEND_PER_SHARE_1_YEAR_GROWTH</stp>
        <stp>FY 2018</stp>
        <stp>FY 2018</stp>
        <stp>[FA1_ymffleas.xlsx]Growth!R14C12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4" s="22"/>
      </tp>
      <tp>
        <v>1313518</v>
        <stp/>
        <stp>##V3_BDHV12</stp>
        <stp>RCOM IN Equity</stp>
        <stp>BS_NUM_OF_SHAREHOLDERS</stp>
        <stp>FY 2018</stp>
        <stp>FY 2018</stp>
        <stp>[FA1_ymffleas.xlsx]Bal Sheet - Standardized!R164C12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4" s="16"/>
      </tp>
      <tp>
        <v>1626664</v>
        <stp/>
        <stp>##V3_BDHV12</stp>
        <stp>RCOM IN Equity</stp>
        <stp>BS_NUM_OF_SHAREHOLDERS</stp>
        <stp>FY 2017</stp>
        <stp>FY 2017</stp>
        <stp>[FA1_ymffleas.xlsx]Bal Sheet - Standardized!R164C11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4" s="16"/>
      </tp>
      <tp>
        <v>1626555</v>
        <stp/>
        <stp>##V3_BDHV12</stp>
        <stp>RCOM IN Equity</stp>
        <stp>BS_NUM_OF_SHAREHOLDERS</stp>
        <stp>FY 2016</stp>
        <stp>FY 2016</stp>
        <stp>[FA1_ymffleas.xlsx]Bal Sheet - Standardized!R164C10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4" s="16"/>
      </tp>
      <tp>
        <v>19.821999999999999</v>
        <stp/>
        <stp>##V3_BDHV12</stp>
        <stp>RCOM IN Equity</stp>
        <stp>TOTAL_DEBT_TO_EBIT</stp>
        <stp>FY 2013</stp>
        <stp>FY 2013</stp>
        <stp>[FA1_ymffleas.xlsx]Credit!R13C7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3" s="23"/>
      </tp>
      <tp>
        <v>16.491599999999998</v>
        <stp/>
        <stp>##V3_BDHV12</stp>
        <stp>RCOM IN Equity</stp>
        <stp>SUSTAIN_GROWTH_RT</stp>
        <stp>FY 2009</stp>
        <stp>FY 2009</stp>
        <stp>[FA1_ymffleas.xlsx]DuPont Analysis!R23C3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3" s="27"/>
      </tp>
      <tp>
        <v>1123.558</v>
        <stp/>
        <stp>##V3_BDHV12</stp>
        <stp>RCOM IN Equity</stp>
        <stp>EQY_FLOAT</stp>
        <stp>FY 2018</stp>
        <stp>FY 2018</stp>
        <stp>[FA1_ymffleas.xlsx]Stock Value!R14C11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4" s="8"/>
      </tp>
      <tp>
        <v>819.077</v>
        <stp/>
        <stp>##V3_BDHV12</stp>
        <stp>RCOM IN Equity</stp>
        <stp>EQY_FLOAT</stp>
        <stp>FY 2017</stp>
        <stp>FY 2017</stp>
        <stp>[FA1_ymffleas.xlsx]Stock Value!R14C10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4" s="8"/>
      </tp>
      <tp>
        <v>2.6230000000000002</v>
        <stp/>
        <stp>##V3_BDHV12</stp>
        <stp>RCOM IN Equity</stp>
        <stp>EBITDA_TO_INTEREST_EXPN</stp>
        <stp>FY 2013</stp>
        <stp>FY 2013</stp>
        <stp>[FA1_ymffleas.xlsx]Credit!R16C7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6" s="23"/>
      </tp>
      <tp>
        <v>16765.5</v>
        <stp/>
        <stp>##V3_BDHV12</stp>
        <stp>RCOM IN Equity</stp>
        <stp>ARD_SALARIES_WAGE_EMPLOYEE_BEN</stp>
        <stp>FY 2009</stp>
        <stp>FY 2009</stp>
        <stp>[FA1_ymffleas.xlsx]Income - As Reported!R14C3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" s="11"/>
      </tp>
      <tp>
        <v>11890</v>
        <stp/>
        <stp>##V3_BDHV12</stp>
        <stp>RCOM IN Equity</stp>
        <stp>ARD_SALARIES_WAGE_EMPLOYEE_BEN</stp>
        <stp>FY 2013</stp>
        <stp>FY 2013</stp>
        <stp>[FA1_ymffleas.xlsx]Income - As Reported!R14C7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" s="11"/>
      </tp>
      <tp>
        <v>12830</v>
        <stp/>
        <stp>##V3_BDHV12</stp>
        <stp>RCOM IN Equity</stp>
        <stp>ARD_SALARIES_WAGE_EMPLOYEE_BEN</stp>
        <stp>FY 2012</stp>
        <stp>FY 2012</stp>
        <stp>[FA1_ymffleas.xlsx]Income - As Reported!R14C6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" s="11"/>
      </tp>
      <tp>
        <v>14690</v>
        <stp/>
        <stp>##V3_BDHV12</stp>
        <stp>RCOM IN Equity</stp>
        <stp>ARD_SALARIES_WAGE_EMPLOYEE_BEN</stp>
        <stp>FY 2011</stp>
        <stp>FY 2011</stp>
        <stp>[FA1_ymffleas.xlsx]Income - As Reported!R14C5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" s="11"/>
      </tp>
      <tp>
        <v>15000.7</v>
        <stp/>
        <stp>##V3_BDHV12</stp>
        <stp>RCOM IN Equity</stp>
        <stp>ARD_SALARIES_WAGE_EMPLOYEE_BEN</stp>
        <stp>FY 2010</stp>
        <stp>FY 2010</stp>
        <stp>[FA1_ymffleas.xlsx]Income - As Reported!R14C4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" s="11"/>
      </tp>
      <tp>
        <v>9980</v>
        <stp/>
        <stp>##V3_BDHV12</stp>
        <stp>RCOM IN Equity</stp>
        <stp>ARD_SALARIES_WAGE_EMPLOYEE_BEN</stp>
        <stp>FY 2015</stp>
        <stp>FY 2015</stp>
        <stp>[FA1_ymffleas.xlsx]Income - As Reported!R14C9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" s="11"/>
      </tp>
      <tp>
        <v>10250</v>
        <stp/>
        <stp>##V3_BDHV12</stp>
        <stp>RCOM IN Equity</stp>
        <stp>ARD_SALARIES_WAGE_EMPLOYEE_BEN</stp>
        <stp>FY 2014</stp>
        <stp>FY 2014</stp>
        <stp>[FA1_ymffleas.xlsx]Income - As Reported!R14C8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" s="11"/>
      </tp>
      <tp t="s">
        <v>—</v>
        <stp/>
        <stp>##V3_BDHV12</stp>
        <stp>RCOM IN Equity</stp>
        <stp>ARDR_DEFERRED_TAX_ASSETS_LT</stp>
        <stp>FY 2015</stp>
        <stp>FY 2015</stp>
        <stp>[FA1_ymffleas.xlsx]Bal Sheet - As Reported!R109C9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9" s="17"/>
      </tp>
      <tp t="s">
        <v>—</v>
        <stp/>
        <stp>##V3_BDHV12</stp>
        <stp>RCOM IN Equity</stp>
        <stp>ARDR_DEFERRED_TAX_ASSETS_LT</stp>
        <stp>FY 2014</stp>
        <stp>FY 2014</stp>
        <stp>[FA1_ymffleas.xlsx]Bal Sheet - As Reported!R109C8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9" s="17"/>
      </tp>
      <tp t="s">
        <v>—</v>
        <stp/>
        <stp>##V3_BDHV12</stp>
        <stp>RCOM IN Equity</stp>
        <stp>ARDR_DEFERRED_TAX_ASSETS_LT</stp>
        <stp>FY 2009</stp>
        <stp>FY 2009</stp>
        <stp>[FA1_ymffleas.xlsx]Bal Sheet - As Reported!R109C3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9" s="17"/>
      </tp>
      <tp t="s">
        <v>—</v>
        <stp/>
        <stp>##V3_BDHV12</stp>
        <stp>RCOM IN Equity</stp>
        <stp>ARDR_DEFERRED_TAX_ASSETS_LT</stp>
        <stp>FY 2013</stp>
        <stp>FY 2013</stp>
        <stp>[FA1_ymffleas.xlsx]Bal Sheet - As Reported!R109C7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9" s="17"/>
      </tp>
      <tp t="s">
        <v>—</v>
        <stp/>
        <stp>##V3_BDHV12</stp>
        <stp>RCOM IN Equity</stp>
        <stp>ARDR_DEFERRED_TAX_ASSETS_LT</stp>
        <stp>FY 2012</stp>
        <stp>FY 2012</stp>
        <stp>[FA1_ymffleas.xlsx]Bal Sheet - As Reported!R109C6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9" s="17"/>
      </tp>
      <tp t="s">
        <v>—</v>
        <stp/>
        <stp>##V3_BDHV12</stp>
        <stp>RCOM IN Equity</stp>
        <stp>ARDR_DEFERRED_TAX_ASSETS_LT</stp>
        <stp>FY 2011</stp>
        <stp>FY 2011</stp>
        <stp>[FA1_ymffleas.xlsx]Bal Sheet - As Reported!R109C5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9" s="17"/>
      </tp>
      <tp t="s">
        <v>—</v>
        <stp/>
        <stp>##V3_BDHV12</stp>
        <stp>RCOM IN Equity</stp>
        <stp>ARDR_DEFERRED_TAX_ASSETS_LT</stp>
        <stp>FY 2010</stp>
        <stp>FY 2010</stp>
        <stp>[FA1_ymffleas.xlsx]Bal Sheet - As Reported!R109C4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9" s="17"/>
      </tp>
      <tp>
        <v>6686.9949999999999</v>
        <stp/>
        <stp>##V3_BDHV12</stp>
        <stp>RCOM IN Equity</stp>
        <stp>EARN_FOR_COMMON</stp>
        <stp>FY 2013</stp>
        <stp>FY 2013</stp>
        <stp>[FA1_ymffleas.xlsx]Income - Adjusted!R105C6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05" s="9"/>
      </tp>
      <tp t="s">
        <v>—</v>
        <stp/>
        <stp>##V3_BDHV12</stp>
        <stp>RCOM IN Equity</stp>
        <stp>ARDR_DEFERRED_TAX_NET</stp>
        <stp>FY 2011</stp>
        <stp>FY 2011</stp>
        <stp>[FA1_ymffleas.xlsx]Bal Sheet - As Reported!R140C5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0" s="17"/>
      </tp>
      <tp t="s">
        <v>—</v>
        <stp/>
        <stp>##V3_BDHV12</stp>
        <stp>RCOM IN Equity</stp>
        <stp>ARDR_DEFERRED_TAX_NET</stp>
        <stp>FY 2010</stp>
        <stp>FY 2010</stp>
        <stp>[FA1_ymffleas.xlsx]Bal Sheet - As Reported!R140C4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0" s="17"/>
      </tp>
      <tp t="s">
        <v>—</v>
        <stp/>
        <stp>##V3_BDHV12</stp>
        <stp>RCOM IN Equity</stp>
        <stp>ARDR_DEFERRED_TAX_NET</stp>
        <stp>FY 2013</stp>
        <stp>FY 2013</stp>
        <stp>[FA1_ymffleas.xlsx]Bal Sheet - As Reported!R140C7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0" s="17"/>
      </tp>
      <tp t="s">
        <v>—</v>
        <stp/>
        <stp>##V3_BDHV12</stp>
        <stp>RCOM IN Equity</stp>
        <stp>ARDR_DEFERRED_TAX_NET</stp>
        <stp>FY 2012</stp>
        <stp>FY 2012</stp>
        <stp>[FA1_ymffleas.xlsx]Bal Sheet - As Reported!R140C6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0" s="17"/>
      </tp>
      <tp t="s">
        <v>—</v>
        <stp/>
        <stp>##V3_BDHV12</stp>
        <stp>RCOM IN Equity</stp>
        <stp>ARDR_DEFERRED_TAX_NET</stp>
        <stp>FY 2009</stp>
        <stp>FY 2009</stp>
        <stp>[FA1_ymffleas.xlsx]Bal Sheet - As Reported!R140C3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0" s="17"/>
      </tp>
      <tp t="s">
        <v>—</v>
        <stp/>
        <stp>##V3_BDHV12</stp>
        <stp>RCOM IN Equity</stp>
        <stp>ARDR_DEFERRED_TAX_NET</stp>
        <stp>FY 2015</stp>
        <stp>FY 2015</stp>
        <stp>[FA1_ymffleas.xlsx]Bal Sheet - As Reported!R140C9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0" s="17"/>
      </tp>
      <tp t="s">
        <v>—</v>
        <stp/>
        <stp>##V3_BDHV12</stp>
        <stp>RCOM IN Equity</stp>
        <stp>ARDR_DEFERRED_TAX_NET</stp>
        <stp>FY 2014</stp>
        <stp>FY 2014</stp>
        <stp>[FA1_ymffleas.xlsx]Bal Sheet - As Reported!R140C8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0" s="17"/>
      </tp>
      <tp>
        <v>10542.611000000001</v>
        <stp/>
        <stp>##V3_BDHV12</stp>
        <stp>RCOM IN Equity</stp>
        <stp>EARN_FOR_COMMON</stp>
        <stp>FY 2014</stp>
        <stp>FY 2014</stp>
        <stp>[FA1_ymffleas.xlsx]Income - Adjusted!R105C7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05" s="9"/>
      </tp>
      <tp>
        <v>10829.2125</v>
        <stp/>
        <stp>##V3_BDHV12</stp>
        <stp>RCOM IN Equity</stp>
        <stp>EARN_FOR_COMMON</stp>
        <stp>FY 2011</stp>
        <stp>FY 2011</stp>
        <stp>[FA1_ymffleas.xlsx]Income - Adjusted!R105C4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05" s="9"/>
      </tp>
      <tp>
        <v>11576.7</v>
        <stp/>
        <stp>##V3_BDHV12</stp>
        <stp>RCOM IN Equity</stp>
        <stp>EARN_FOR_COMMON</stp>
        <stp>FY 2012</stp>
        <stp>FY 2012</stp>
        <stp>[FA1_ymffleas.xlsx]Income - Adjusted!R105C5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05" s="9"/>
      </tp>
      <tp>
        <v>47190.099000000002</v>
        <stp/>
        <stp>##V3_BDHV12</stp>
        <stp>RCOM IN Equity</stp>
        <stp>EARN_FOR_COMMON</stp>
        <stp>FY 2010</stp>
        <stp>FY 2010</stp>
        <stp>[FA1_ymffleas.xlsx]Income - Adjusted!R105C3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05" s="9"/>
      </tp>
      <tp>
        <v>6.7873000000000001</v>
        <stp/>
        <stp>##V3_BDHV12</stp>
        <stp>RCOM IN Equity</stp>
        <stp>REVENUE_SEQUENTIAL_GROWTH</stp>
        <stp>FY 2011</stp>
        <stp>FY 2011</stp>
        <stp>[FA1_ymffleas.xlsx]Growth!R60C5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60" s="22"/>
      </tp>
      <tp>
        <v>6930.7520000000004</v>
        <stp/>
        <stp>##V3_BDHV12</stp>
        <stp>RCOM IN Equity</stp>
        <stp>EARN_FOR_COMMON</stp>
        <stp>FY 2015</stp>
        <stp>FY 2015</stp>
        <stp>[FA1_ymffleas.xlsx]Income - Adjusted!R105C8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05" s="9"/>
      </tp>
      <tp>
        <v>10320</v>
        <stp/>
        <stp>##V3_BDHV12</stp>
        <stp>RCOM IN Equity</stp>
        <stp>ARD_COMMON_STOCK_SUBSCRIBED_STK</stp>
        <stp>FY 2012</stp>
        <stp>FY 2012</stp>
        <stp>[FA1_ymffleas.xlsx]Bal Sheet - As Reported!R13C6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" s="17"/>
      </tp>
      <tp>
        <v>10320</v>
        <stp/>
        <stp>##V3_BDHV12</stp>
        <stp>RCOM IN Equity</stp>
        <stp>ARD_COMMON_STOCK_SUBSCRIBED_STK</stp>
        <stp>FY 2013</stp>
        <stp>FY 2013</stp>
        <stp>[FA1_ymffleas.xlsx]Bal Sheet - As Reported!R13C7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" s="17"/>
      </tp>
      <tp>
        <v>10320.1</v>
        <stp/>
        <stp>##V3_BDHV12</stp>
        <stp>RCOM IN Equity</stp>
        <stp>ARD_COMMON_STOCK_SUBSCRIBED_STK</stp>
        <stp>FY 2010</stp>
        <stp>FY 2010</stp>
        <stp>[FA1_ymffleas.xlsx]Bal Sheet - As Reported!R13C4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" s="17"/>
      </tp>
      <tp>
        <v>10320</v>
        <stp/>
        <stp>##V3_BDHV12</stp>
        <stp>RCOM IN Equity</stp>
        <stp>ARD_COMMON_STOCK_SUBSCRIBED_STK</stp>
        <stp>FY 2011</stp>
        <stp>FY 2011</stp>
        <stp>[FA1_ymffleas.xlsx]Bal Sheet - As Reported!R13C5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" s="17"/>
      </tp>
      <tp>
        <v>10320.1</v>
        <stp/>
        <stp>##V3_BDHV12</stp>
        <stp>RCOM IN Equity</stp>
        <stp>ARD_COMMON_STOCK_SUBSCRIBED_STK</stp>
        <stp>FY 2009</stp>
        <stp>FY 2009</stp>
        <stp>[FA1_ymffleas.xlsx]Bal Sheet - As Reported!R13C3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" s="17"/>
      </tp>
      <tp t="s">
        <v>—</v>
        <stp/>
        <stp>##V3_BDHV12</stp>
        <stp>RCOM IN Equity</stp>
        <stp>ARD_COMMON_STOCK_SUBSCRIBED_STK</stp>
        <stp>FY 2014</stp>
        <stp>FY 2014</stp>
        <stp>[FA1_ymffleas.xlsx]Bal Sheet - As Reported!R13C8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" s="17"/>
      </tp>
      <tp t="s">
        <v>—</v>
        <stp/>
        <stp>##V3_BDHV12</stp>
        <stp>RCOM IN Equity</stp>
        <stp>ARD_COMMON_STOCK_SUBSCRIBED_STK</stp>
        <stp>FY 2015</stp>
        <stp>FY 2015</stp>
        <stp>[FA1_ymffleas.xlsx]Bal Sheet - As Reported!R13C9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" s="17"/>
      </tp>
      <tp>
        <v>4984.1149999999998</v>
        <stp/>
        <stp>##V3_BDHV12</stp>
        <stp>RCOM IN Equity</stp>
        <stp>EARN_FOR_COMMON</stp>
        <stp>FY 2016</stp>
        <stp>FY 2016</stp>
        <stp>[FA1_ymffleas.xlsx]Income - Adjusted!R105C9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05" s="9"/>
      </tp>
      <tp t="s">
        <v>—</v>
        <stp/>
        <stp>##V3_BDHV12</stp>
        <stp>RCOM IN Equity</stp>
        <stp>NET_INCOME_TO_COMMON_5_YR_GROWTH</stp>
        <stp>FY 2010</stp>
        <stp>FY 2010</stp>
        <stp>[FA1_ymffleas.xlsx]Growth!R39C4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39" s="22"/>
      </tp>
      <tp>
        <v>3.2715999999999998</v>
        <stp/>
        <stp>##V3_BDHV12</stp>
        <stp>RCOM IN Equity</stp>
        <stp>EV_TO_T12M_SALES</stp>
        <stp>FY 2014</stp>
        <stp>FY 2014</stp>
        <stp>[FA1_ymffleas.xlsx]Multiples!R36C7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36" s="6"/>
      </tp>
      <tp>
        <v>0.18970000000000001</v>
        <stp/>
        <stp>##V3_BDHV12</stp>
        <stp>RCOM IN Equity</stp>
        <stp>IS_BASIC_EPS_CONT_OPS</stp>
        <stp>FY 2018</stp>
        <stp>FY 2018</stp>
        <stp>[FA1_ymffleas.xlsx]Per Share!R16C11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" s="7"/>
      </tp>
      <tp>
        <v>0.50649999999999995</v>
        <stp/>
        <stp>##V3_BDHV12</stp>
        <stp>RCOM IN Equity</stp>
        <stp>IS_BASIC_EPS_CONT_OPS</stp>
        <stp>FY 2017</stp>
        <stp>FY 2017</stp>
        <stp>[FA1_ymffleas.xlsx]Per Share!R16C10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" s="7"/>
      </tp>
      <tp>
        <v>3.4594</v>
        <stp/>
        <stp>##V3_BDHV12</stp>
        <stp>RCOM IN Equity</stp>
        <stp>AVERAGE_EV_TO_T12M_SALES</stp>
        <stp>FY 2014</stp>
        <stp>FY 2014</stp>
        <stp>[FA1_ymffleas.xlsx]Multiples!R37C7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37" s="6"/>
      </tp>
      <tp>
        <v>-20</v>
        <stp/>
        <stp>##V3_BDHV12</stp>
        <stp>RCOM IN Equity</stp>
        <stp>T12M_DVDS_PAID</stp>
        <stp>FY 2017</stp>
        <stp>FY 2017</stp>
        <stp>[FA1_ymffleas.xlsx]Yield Analysis!R22C11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2" s="26"/>
      </tp>
      <tp>
        <v>0</v>
        <stp/>
        <stp>##V3_BDHV12</stp>
        <stp>RCOM IN Equity</stp>
        <stp>T12M_DVDS_PAID</stp>
        <stp>FY 2018</stp>
        <stp>FY 2018</stp>
        <stp>[FA1_ymffleas.xlsx]Yield Analysis!R13C12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" s="26"/>
      </tp>
      <tp>
        <v>-20</v>
        <stp/>
        <stp>##V3_BDHV12</stp>
        <stp>RCOM IN Equity</stp>
        <stp>T12M_DVDS_PAID</stp>
        <stp>FY 2016</stp>
        <stp>FY 2016</stp>
        <stp>[FA1_ymffleas.xlsx]Yield Analysis!R36C10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6" s="26"/>
      </tp>
      <tp>
        <v>-20</v>
        <stp/>
        <stp>##V3_BDHV12</stp>
        <stp>RCOM IN Equity</stp>
        <stp>T12M_DVDS_PAID</stp>
        <stp>FY 2016</stp>
        <stp>FY 2016</stp>
        <stp>[FA1_ymffleas.xlsx]Yield Analysis!R22C10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2" s="26"/>
      </tp>
      <tp>
        <v>-20</v>
        <stp/>
        <stp>##V3_BDHV12</stp>
        <stp>RCOM IN Equity</stp>
        <stp>T12M_DVDS_PAID</stp>
        <stp>FY 2017</stp>
        <stp>FY 2017</stp>
        <stp>[FA1_ymffleas.xlsx]Yield Analysis!R36C11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6" s="26"/>
      </tp>
      <tp>
        <v>-20</v>
        <stp/>
        <stp>##V3_BDHV12</stp>
        <stp>RCOM IN Equity</stp>
        <stp>T12M_DVDS_PAID</stp>
        <stp>FY 2016</stp>
        <stp>FY 2016</stp>
        <stp>[FA1_ymffleas.xlsx]Yield Analysis!R13C10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" s="26"/>
      </tp>
      <tp>
        <v>0</v>
        <stp/>
        <stp>##V3_BDHV12</stp>
        <stp>RCOM IN Equity</stp>
        <stp>T12M_DVDS_PAID</stp>
        <stp>FY 2018</stp>
        <stp>FY 2018</stp>
        <stp>[FA1_ymffleas.xlsx]Yield Analysis!R36C12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6" s="26"/>
      </tp>
      <tp>
        <v>0</v>
        <stp/>
        <stp>##V3_BDHV12</stp>
        <stp>RCOM IN Equity</stp>
        <stp>T12M_DVDS_PAID</stp>
        <stp>FY 2018</stp>
        <stp>FY 2018</stp>
        <stp>[FA1_ymffleas.xlsx]Yield Analysis!R22C12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2" s="26"/>
      </tp>
      <tp>
        <v>-20</v>
        <stp/>
        <stp>##V3_BDHV12</stp>
        <stp>RCOM IN Equity</stp>
        <stp>T12M_DVDS_PAID</stp>
        <stp>FY 2017</stp>
        <stp>FY 2017</stp>
        <stp>[FA1_ymffleas.xlsx]Yield Analysis!R13C11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" s="26"/>
      </tp>
      <tp>
        <v>25.174299999999999</v>
        <stp/>
        <stp>##V3_BDHV12</stp>
        <stp>RCOM IN Equity</stp>
        <stp>LOW_EV_TO_T12M_EBIT</stp>
        <stp>FY 2014</stp>
        <stp>FY 2014</stp>
        <stp>[FA1_ymffleas.xlsx]Multiples!R49C7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49" s="6"/>
      </tp>
      <tp>
        <v>384480</v>
        <stp/>
        <stp>##V3_BDHV12</stp>
        <stp>RCOM IN Equity</stp>
        <stp>ARD_TOTAL_SHAREHOLDERS_EQUITY</stp>
        <stp>FY 2015</stp>
        <stp>FY 2015</stp>
        <stp>[FA1_ymffleas.xlsx]As Reported Summary!R21C9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1" s="30"/>
      </tp>
      <tp>
        <v>335390</v>
        <stp/>
        <stp>##V3_BDHV12</stp>
        <stp>RCOM IN Equity</stp>
        <stp>ARD_TOTAL_SHAREHOLDERS_EQUITY</stp>
        <stp>FY 2014</stp>
        <stp>FY 2014</stp>
        <stp>[FA1_ymffleas.xlsx]As Reported Summary!R21C8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1" s="30"/>
      </tp>
      <tp>
        <v>345750</v>
        <stp/>
        <stp>##V3_BDHV12</stp>
        <stp>RCOM IN Equity</stp>
        <stp>ARD_TOTAL_SHAREHOLDERS_EQUITY</stp>
        <stp>FY 2013</stp>
        <stp>FY 2013</stp>
        <stp>[FA1_ymffleas.xlsx]As Reported Summary!R21C7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1" s="30"/>
      </tp>
      <tp>
        <v>371560</v>
        <stp/>
        <stp>##V3_BDHV12</stp>
        <stp>RCOM IN Equity</stp>
        <stp>ARD_TOTAL_SHAREHOLDERS_EQUITY</stp>
        <stp>FY 2012</stp>
        <stp>FY 2012</stp>
        <stp>[FA1_ymffleas.xlsx]As Reported Summary!R21C6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1" s="30"/>
      </tp>
      <tp>
        <v>413230</v>
        <stp/>
        <stp>##V3_BDHV12</stp>
        <stp>RCOM IN Equity</stp>
        <stp>ARD_TOTAL_SHAREHOLDERS_EQUITY</stp>
        <stp>FY 2011</stp>
        <stp>FY 2011</stp>
        <stp>[FA1_ymffleas.xlsx]As Reported Summary!R21C5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1" s="30"/>
      </tp>
      <tp>
        <v>440190.3</v>
        <stp/>
        <stp>##V3_BDHV12</stp>
        <stp>RCOM IN Equity</stp>
        <stp>ARD_TOTAL_SHAREHOLDERS_EQUITY</stp>
        <stp>FY 2010</stp>
        <stp>FY 2010</stp>
        <stp>[FA1_ymffleas.xlsx]As Reported Summary!R21C4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1" s="30"/>
      </tp>
      <tp>
        <v>429352.4</v>
        <stp/>
        <stp>##V3_BDHV12</stp>
        <stp>RCOM IN Equity</stp>
        <stp>ARD_TOTAL_SHAREHOLDERS_EQUITY</stp>
        <stp>FY 2009</stp>
        <stp>FY 2009</stp>
        <stp>[FA1_ymffleas.xlsx]As Reported Summary!R21C3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1" s="30"/>
      </tp>
      <tp>
        <v>17.782599999999999</v>
        <stp/>
        <stp>##V3_BDHV12</stp>
        <stp>RCOM IN Equity</stp>
        <stp>REVENUE_PER_SH</stp>
        <stp>FY 2018</stp>
        <stp>FY 2018</stp>
        <stp>[FA1_ymffleas.xlsx]Per Share!R11C11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1" s="7"/>
      </tp>
      <tp>
        <v>-240</v>
        <stp/>
        <stp>##V3_BDHV12</stp>
        <stp>RCOM IN Equity</stp>
        <stp>ARDR_OTH_OPER_INC_INT_INC_NON_OP</stp>
        <stp>FY 2017</stp>
        <stp>FY 2017</stp>
        <stp>[FA1_ymffleas.xlsx]Income - As Reported!R102C11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2" s="11"/>
      </tp>
      <tp t="s">
        <v>—</v>
        <stp/>
        <stp>##V3_BDHV12</stp>
        <stp>RCOM IN Equity</stp>
        <stp>ARDR_OTH_OPER_INC_INT_INC_NON_OP</stp>
        <stp>FY 2016</stp>
        <stp>FY 2016</stp>
        <stp>[FA1_ymffleas.xlsx]Income - As Reported!R102C10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2" s="11"/>
      </tp>
      <tp>
        <v>-120</v>
        <stp/>
        <stp>##V3_BDHV12</stp>
        <stp>RCOM IN Equity</stp>
        <stp>ARDR_OTH_OPER_INC_INT_INC_NON_OP</stp>
        <stp>FY 2018</stp>
        <stp>FY 2018</stp>
        <stp>[FA1_ymffleas.xlsx]Income - As Reported!R102C12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2" s="11"/>
      </tp>
      <tp>
        <v>807.23500000000001</v>
        <stp/>
        <stp>##V3_BDHV12</stp>
        <stp>RCOM IN Equity</stp>
        <stp>EQY_FLOAT</stp>
        <stp>FY 2016</stp>
        <stp>FY 2016</stp>
        <stp>[FA1_ymffleas.xlsx]Stock Value!R14C9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4" s="8"/>
      </tp>
      <tp>
        <v>0</v>
        <stp/>
        <stp>##V3_BDHV12</stp>
        <stp>RCOM IN Equity</stp>
        <stp>LT_DEFERRED_REVENUE</stp>
        <stp>FY 2009</stp>
        <stp>FY 2009</stp>
        <stp>[FA1_ymffleas.xlsx]Bal Sheet - Standardized!R121C3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1" s="16"/>
      </tp>
      <tp>
        <v>8520</v>
        <stp/>
        <stp>##V3_BDHV12</stp>
        <stp>RCOM IN Equity</stp>
        <stp>LT_DEFERRED_REVENUE</stp>
        <stp>FY 2012</stp>
        <stp>FY 2012</stp>
        <stp>[FA1_ymffleas.xlsx]Bal Sheet - Standardized!R121C6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1" s="16"/>
      </tp>
      <tp>
        <v>7460</v>
        <stp/>
        <stp>##V3_BDHV12</stp>
        <stp>RCOM IN Equity</stp>
        <stp>LT_DEFERRED_REVENUE</stp>
        <stp>FY 2013</stp>
        <stp>FY 2013</stp>
        <stp>[FA1_ymffleas.xlsx]Bal Sheet - Standardized!R121C7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1" s="16"/>
      </tp>
      <tp>
        <v>0</v>
        <stp/>
        <stp>##V3_BDHV12</stp>
        <stp>RCOM IN Equity</stp>
        <stp>LT_DEFERRED_REVENUE</stp>
        <stp>FY 2010</stp>
        <stp>FY 2010</stp>
        <stp>[FA1_ymffleas.xlsx]Bal Sheet - Standardized!R121C4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1" s="16"/>
      </tp>
      <tp>
        <v>9240</v>
        <stp/>
        <stp>##V3_BDHV12</stp>
        <stp>RCOM IN Equity</stp>
        <stp>LT_DEFERRED_REVENUE</stp>
        <stp>FY 2011</stp>
        <stp>FY 2011</stp>
        <stp>[FA1_ymffleas.xlsx]Bal Sheet - Standardized!R121C5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1" s="16"/>
      </tp>
      <tp>
        <v>3970</v>
        <stp/>
        <stp>##V3_BDHV12</stp>
        <stp>RCOM IN Equity</stp>
        <stp>LT_DEFERRED_REVENUE</stp>
        <stp>FY 2014</stp>
        <stp>FY 2014</stp>
        <stp>[FA1_ymffleas.xlsx]Bal Sheet - Standardized!R121C8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1" s="16"/>
      </tp>
      <tp>
        <v>3490</v>
        <stp/>
        <stp>##V3_BDHV12</stp>
        <stp>RCOM IN Equity</stp>
        <stp>LT_DEFERRED_REVENUE</stp>
        <stp>FY 2015</stp>
        <stp>FY 2015</stp>
        <stp>[FA1_ymffleas.xlsx]Bal Sheet - Standardized!R121C9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1" s="16"/>
      </tp>
      <tp>
        <v>868.00300000000004</v>
        <stp/>
        <stp>##V3_BDHV12</stp>
        <stp>RCOM IN Equity</stp>
        <stp>EQY_FLOAT</stp>
        <stp>FY 2015</stp>
        <stp>FY 2015</stp>
        <stp>[FA1_ymffleas.xlsx]Stock Value!R14C8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4" s="8"/>
      </tp>
      <tp>
        <v>508.43799999999999</v>
        <stp/>
        <stp>##V3_BDHV12</stp>
        <stp>RCOM IN Equity</stp>
        <stp>EQY_FLOAT</stp>
        <stp>FY 2014</stp>
        <stp>FY 2014</stp>
        <stp>[FA1_ymffleas.xlsx]Stock Value!R14C7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4" s="8"/>
      </tp>
      <tp>
        <v>395.173</v>
        <stp/>
        <stp>##V3_BDHV12</stp>
        <stp>RCOM IN Equity</stp>
        <stp>EQY_FLOAT</stp>
        <stp>FY 2013</stp>
        <stp>FY 2013</stp>
        <stp>[FA1_ymffleas.xlsx]Stock Value!R14C6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4" s="8"/>
      </tp>
      <tp>
        <v>544.77700000000004</v>
        <stp/>
        <stp>##V3_BDHV12</stp>
        <stp>RCOM IN Equity</stp>
        <stp>EQY_FLOAT</stp>
        <stp>FY 2012</stp>
        <stp>FY 2012</stp>
        <stp>[FA1_ymffleas.xlsx]Stock Value!R14C5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4" s="8"/>
      </tp>
      <tp>
        <v>547.60699999999997</v>
        <stp/>
        <stp>##V3_BDHV12</stp>
        <stp>RCOM IN Equity</stp>
        <stp>EQY_FLOAT</stp>
        <stp>FY 2011</stp>
        <stp>FY 2011</stp>
        <stp>[FA1_ymffleas.xlsx]Stock Value!R14C4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4" s="8"/>
      </tp>
      <tp>
        <v>300.79000000000002</v>
        <stp/>
        <stp>##V3_BDHV12</stp>
        <stp>RCOM IN Equity</stp>
        <stp>EQY_FLOAT</stp>
        <stp>FY 2010</stp>
        <stp>FY 2010</stp>
        <stp>[FA1_ymffleas.xlsx]Stock Value!R14C3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4" s="8"/>
      </tp>
      <tp t="s">
        <v>—</v>
        <stp/>
        <stp>##V3_BDHV12</stp>
        <stp>RCOM IN Equity</stp>
        <stp>ARDR_OTH_OPER_INC_DIV_INC_NON_OP</stp>
        <stp>FY 2018</stp>
        <stp>FY 2018</stp>
        <stp>[FA1_ymffleas.xlsx]Income - As Reported!R103C12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3" s="11"/>
      </tp>
      <tp t="s">
        <v>—</v>
        <stp/>
        <stp>##V3_BDHV12</stp>
        <stp>RCOM IN Equity</stp>
        <stp>ARDR_OTH_OPER_INC_DIV_INC_NON_OP</stp>
        <stp>FY 2016</stp>
        <stp>FY 2016</stp>
        <stp>[FA1_ymffleas.xlsx]Income - As Reported!R103C10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3" s="11"/>
      </tp>
      <tp t="s">
        <v>—</v>
        <stp/>
        <stp>##V3_BDHV12</stp>
        <stp>RCOM IN Equity</stp>
        <stp>ARDR_OTH_OPER_INC_DIV_INC_NON_OP</stp>
        <stp>FY 2017</stp>
        <stp>FY 2017</stp>
        <stp>[FA1_ymffleas.xlsx]Income - As Reported!R103C11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3" s="11"/>
      </tp>
      <tp t="s">
        <v>—</v>
        <stp/>
        <stp>##V3_BDHV12</stp>
        <stp>RCOM IN Equity</stp>
        <stp>GEO_GROW_NET_SALES</stp>
        <stp>FY 2009</stp>
        <stp>FY 2009</stp>
        <stp>[FA1_ymffleas.xlsx]Growth!R36C3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36" s="22"/>
      </tp>
      <tp t="s">
        <v>—</v>
        <stp/>
        <stp>##V3_BDHV12</stp>
        <stp>RCOM IN Equity</stp>
        <stp>ARD_COMPREHENSIVE_INCOME_NET_INC</stp>
        <stp>FY 2018</stp>
        <stp>FY 2018</stp>
        <stp>[FA1_ymffleas.xlsx]Income - As Reported!R59C12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9" s="11"/>
      </tp>
      <tp>
        <v>6600</v>
        <stp/>
        <stp>##V3_BDHV12</stp>
        <stp>RCOM IN Equity</stp>
        <stp>ARD_COMPREHENSIVE_INCOME_NET_INC</stp>
        <stp>FY 2016</stp>
        <stp>FY 2016</stp>
        <stp>[FA1_ymffleas.xlsx]Income - As Reported!R59C10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9" s="11"/>
      </tp>
      <tp t="s">
        <v>—</v>
        <stp/>
        <stp>##V3_BDHV12</stp>
        <stp>RCOM IN Equity</stp>
        <stp>ARD_COMPREHENSIVE_INCOME_NET_INC</stp>
        <stp>FY 2017</stp>
        <stp>FY 2017</stp>
        <stp>[FA1_ymffleas.xlsx]Income - As Reported!R59C11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9" s="11"/>
      </tp>
      <tp>
        <v>0</v>
        <stp/>
        <stp>##V3_BDHV12</stp>
        <stp>RCOM IN Equity</stp>
        <stp>ARD_CURRENT_TAXATION_ADJ</stp>
        <stp>FY 2018</stp>
        <stp>FY 2018</stp>
        <stp>[FA1_ymffleas.xlsx]Income - As Reported!R36C12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6" s="11"/>
      </tp>
      <tp>
        <v>-730</v>
        <stp/>
        <stp>##V3_BDHV12</stp>
        <stp>RCOM IN Equity</stp>
        <stp>ARD_CURRENT_TAXATION_ADJ</stp>
        <stp>FY 2016</stp>
        <stp>FY 2016</stp>
        <stp>[FA1_ymffleas.xlsx]Income - As Reported!R36C10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6" s="11"/>
      </tp>
      <tp>
        <v>-220</v>
        <stp/>
        <stp>##V3_BDHV12</stp>
        <stp>RCOM IN Equity</stp>
        <stp>ARD_CURRENT_TAXATION_ADJ</stp>
        <stp>FY 2017</stp>
        <stp>FY 2017</stp>
        <stp>[FA1_ymffleas.xlsx]Income - As Reported!R36C11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6" s="11"/>
      </tp>
      <tp>
        <v>21.080400000000001</v>
        <stp/>
        <stp>##V3_BDHV12</stp>
        <stp>RCOM IN Equity</stp>
        <stp>TOTAL_DEBT_TO_EBIT</stp>
        <stp>FY 2012</stp>
        <stp>FY 2012</stp>
        <stp>[FA1_ymffleas.xlsx]Credit!R13C6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3" s="23"/>
      </tp>
      <tp>
        <v>15870</v>
        <stp/>
        <stp>##V3_BDHV12</stp>
        <stp>RCOM IN Equity</stp>
        <stp>ARDR_ST_BORROW</stp>
        <stp>FY 2015</stp>
        <stp>FY 2015</stp>
        <stp>[FA1_ymffleas.xlsx]Bal Sheet - As Reported!R83C9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3" s="17"/>
      </tp>
      <tp>
        <v>89090</v>
        <stp/>
        <stp>##V3_BDHV12</stp>
        <stp>RCOM IN Equity</stp>
        <stp>ARDR_ST_BORROW</stp>
        <stp>FY 2014</stp>
        <stp>FY 2014</stp>
        <stp>[FA1_ymffleas.xlsx]Bal Sheet - As Reported!R83C8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3" s="17"/>
      </tp>
      <tp>
        <v>88000</v>
        <stp/>
        <stp>##V3_BDHV12</stp>
        <stp>RCOM IN Equity</stp>
        <stp>ARDR_ST_BORROW</stp>
        <stp>FY 2013</stp>
        <stp>FY 2013</stp>
        <stp>[FA1_ymffleas.xlsx]Bal Sheet - As Reported!R83C7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3" s="17"/>
      </tp>
      <tp>
        <v>55390</v>
        <stp/>
        <stp>##V3_BDHV12</stp>
        <stp>RCOM IN Equity</stp>
        <stp>ARDR_ST_BORROW</stp>
        <stp>FY 2012</stp>
        <stp>FY 2012</stp>
        <stp>[FA1_ymffleas.xlsx]Bal Sheet - As Reported!R83C6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3" s="17"/>
      </tp>
      <tp>
        <v>106820</v>
        <stp/>
        <stp>##V3_BDHV12</stp>
        <stp>RCOM IN Equity</stp>
        <stp>ARDR_ST_BORROW</stp>
        <stp>FY 2011</stp>
        <stp>FY 2011</stp>
        <stp>[FA1_ymffleas.xlsx]Bal Sheet - As Reported!R83C5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3" s="17"/>
      </tp>
      <tp t="s">
        <v>—</v>
        <stp/>
        <stp>##V3_BDHV12</stp>
        <stp>RCOM IN Equity</stp>
        <stp>ARDR_ST_BORROW</stp>
        <stp>FY 2010</stp>
        <stp>FY 2010</stp>
        <stp>[FA1_ymffleas.xlsx]Bal Sheet - As Reported!R83C4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3" s="17"/>
      </tp>
      <tp t="s">
        <v>—</v>
        <stp/>
        <stp>##V3_BDHV12</stp>
        <stp>RCOM IN Equity</stp>
        <stp>ARDR_ST_BORROW</stp>
        <stp>FY 2009</stp>
        <stp>FY 2009</stp>
        <stp>[FA1_ymffleas.xlsx]Bal Sheet - As Reported!R83C3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3" s="17"/>
      </tp>
      <tp t="s">
        <v>—</v>
        <stp/>
        <stp>##V3_BDHV12</stp>
        <stp>RCOM IN Equity</stp>
        <stp>ARDR_TOTAL_SHAREHOLDERS_EQUITY</stp>
        <stp>FY 2014</stp>
        <stp>FY 2014</stp>
        <stp>[FA1_ymffleas.xlsx]Bal Sheet - As Reported!R113C8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3" s="17"/>
      </tp>
      <tp>
        <v>384480</v>
        <stp/>
        <stp>##V3_BDHV12</stp>
        <stp>RCOM IN Equity</stp>
        <stp>ARDR_TOTAL_SHAREHOLDERS_EQUITY</stp>
        <stp>FY 2015</stp>
        <stp>FY 2015</stp>
        <stp>[FA1_ymffleas.xlsx]Bal Sheet - As Reported!R113C9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3" s="17"/>
      </tp>
      <tp>
        <v>429352.4</v>
        <stp/>
        <stp>##V3_BDHV12</stp>
        <stp>RCOM IN Equity</stp>
        <stp>ARDR_TOTAL_SHAREHOLDERS_EQUITY</stp>
        <stp>FY 2009</stp>
        <stp>FY 2009</stp>
        <stp>[FA1_ymffleas.xlsx]Bal Sheet - As Reported!R113C3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3" s="17"/>
      </tp>
      <tp t="s">
        <v>—</v>
        <stp/>
        <stp>##V3_BDHV12</stp>
        <stp>RCOM IN Equity</stp>
        <stp>ARDR_TOTAL_SHAREHOLDERS_EQUITY</stp>
        <stp>FY 2012</stp>
        <stp>FY 2012</stp>
        <stp>[FA1_ymffleas.xlsx]Bal Sheet - As Reported!R113C6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3" s="17"/>
      </tp>
      <tp t="s">
        <v>—</v>
        <stp/>
        <stp>##V3_BDHV12</stp>
        <stp>RCOM IN Equity</stp>
        <stp>ARDR_TOTAL_SHAREHOLDERS_EQUITY</stp>
        <stp>FY 2013</stp>
        <stp>FY 2013</stp>
        <stp>[FA1_ymffleas.xlsx]Bal Sheet - As Reported!R113C7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3" s="17"/>
      </tp>
      <tp t="s">
        <v>—</v>
        <stp/>
        <stp>##V3_BDHV12</stp>
        <stp>RCOM IN Equity</stp>
        <stp>ARDR_TOTAL_SHAREHOLDERS_EQUITY</stp>
        <stp>FY 2010</stp>
        <stp>FY 2010</stp>
        <stp>[FA1_ymffleas.xlsx]Bal Sheet - As Reported!R113C4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3" s="17"/>
      </tp>
      <tp t="s">
        <v>—</v>
        <stp/>
        <stp>##V3_BDHV12</stp>
        <stp>RCOM IN Equity</stp>
        <stp>ARDR_TOTAL_SHAREHOLDERS_EQUITY</stp>
        <stp>FY 2011</stp>
        <stp>FY 2011</stp>
        <stp>[FA1_ymffleas.xlsx]Bal Sheet - As Reported!R113C5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3" s="17"/>
      </tp>
      <tp t="s">
        <v>—</v>
        <stp/>
        <stp>##V3_BDHV12</stp>
        <stp>RCOM IN Equity</stp>
        <stp>ARDR_OTHER_LT_LOANS_BORROWINGS</stp>
        <stp>FY 2009</stp>
        <stp>FY 2009</stp>
        <stp>[FA1_ymffleas.xlsx]Bal Sheet - As Reported!R148C3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8" s="17"/>
      </tp>
      <tp t="s">
        <v>—</v>
        <stp/>
        <stp>##V3_BDHV12</stp>
        <stp>RCOM IN Equity</stp>
        <stp>ARDR_OTHER_LT_LOANS_BORROWINGS</stp>
        <stp>FY 2012</stp>
        <stp>FY 2012</stp>
        <stp>[FA1_ymffleas.xlsx]Bal Sheet - As Reported!R148C6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8" s="17"/>
      </tp>
      <tp t="s">
        <v>—</v>
        <stp/>
        <stp>##V3_BDHV12</stp>
        <stp>RCOM IN Equity</stp>
        <stp>ARDR_OTHER_LT_LOANS_BORROWINGS</stp>
        <stp>FY 2013</stp>
        <stp>FY 2013</stp>
        <stp>[FA1_ymffleas.xlsx]Bal Sheet - As Reported!R148C7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8" s="17"/>
      </tp>
      <tp t="s">
        <v>—</v>
        <stp/>
        <stp>##V3_BDHV12</stp>
        <stp>RCOM IN Equity</stp>
        <stp>ARDR_OTHER_LT_LOANS_BORROWINGS</stp>
        <stp>FY 2010</stp>
        <stp>FY 2010</stp>
        <stp>[FA1_ymffleas.xlsx]Bal Sheet - As Reported!R148C4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8" s="17"/>
      </tp>
      <tp t="s">
        <v>—</v>
        <stp/>
        <stp>##V3_BDHV12</stp>
        <stp>RCOM IN Equity</stp>
        <stp>ARDR_OTHER_LT_LOANS_BORROWINGS</stp>
        <stp>FY 2011</stp>
        <stp>FY 2011</stp>
        <stp>[FA1_ymffleas.xlsx]Bal Sheet - As Reported!R148C5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8" s="17"/>
      </tp>
      <tp t="s">
        <v>—</v>
        <stp/>
        <stp>##V3_BDHV12</stp>
        <stp>RCOM IN Equity</stp>
        <stp>ARDR_OTHER_LT_LOANS_BORROWINGS</stp>
        <stp>FY 2014</stp>
        <stp>FY 2014</stp>
        <stp>[FA1_ymffleas.xlsx]Bal Sheet - As Reported!R148C8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8" s="17"/>
      </tp>
      <tp>
        <v>3170</v>
        <stp/>
        <stp>##V3_BDHV12</stp>
        <stp>RCOM IN Equity</stp>
        <stp>ARDR_OTHER_LT_LOANS_BORROWINGS</stp>
        <stp>FY 2015</stp>
        <stp>FY 2015</stp>
        <stp>[FA1_ymffleas.xlsx]Bal Sheet - As Reported!R148C9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8" s="17"/>
      </tp>
      <tp t="s">
        <v>—</v>
        <stp/>
        <stp>##V3_BDHV12</stp>
        <stp>RCOM IN Equity</stp>
        <stp>ARDR_INTANGIBLE_ASSET_GROSS</stp>
        <stp>FY 2013</stp>
        <stp>FY 2013</stp>
        <stp>[FA1_ymffleas.xlsx]Bal Sheet - As Reported!R141C7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1" s="17"/>
      </tp>
      <tp t="s">
        <v>—</v>
        <stp/>
        <stp>##V3_BDHV12</stp>
        <stp>RCOM IN Equity</stp>
        <stp>ARDR_INTANGIBLE_ASSET_GROSS</stp>
        <stp>FY 2012</stp>
        <stp>FY 2012</stp>
        <stp>[FA1_ymffleas.xlsx]Bal Sheet - As Reported!R141C6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1" s="17"/>
      </tp>
      <tp t="s">
        <v>—</v>
        <stp/>
        <stp>##V3_BDHV12</stp>
        <stp>RCOM IN Equity</stp>
        <stp>ARDR_INTANGIBLE_ASSET_GROSS</stp>
        <stp>FY 2011</stp>
        <stp>FY 2011</stp>
        <stp>[FA1_ymffleas.xlsx]Bal Sheet - As Reported!R141C5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1" s="17"/>
      </tp>
      <tp t="s">
        <v>—</v>
        <stp/>
        <stp>##V3_BDHV12</stp>
        <stp>RCOM IN Equity</stp>
        <stp>ARDR_INTANGIBLE_ASSET_GROSS</stp>
        <stp>FY 2010</stp>
        <stp>FY 2010</stp>
        <stp>[FA1_ymffleas.xlsx]Bal Sheet - As Reported!R141C4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1" s="17"/>
      </tp>
      <tp t="s">
        <v>—</v>
        <stp/>
        <stp>##V3_BDHV12</stp>
        <stp>RCOM IN Equity</stp>
        <stp>ARDR_INTANGIBLE_ASSET_GROSS</stp>
        <stp>FY 2009</stp>
        <stp>FY 2009</stp>
        <stp>[FA1_ymffleas.xlsx]Bal Sheet - As Reported!R141C3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1" s="17"/>
      </tp>
      <tp t="s">
        <v>—</v>
        <stp/>
        <stp>##V3_BDHV12</stp>
        <stp>RCOM IN Equity</stp>
        <stp>ARDR_INTANGIBLE_ASSET_GROSS</stp>
        <stp>FY 2015</stp>
        <stp>FY 2015</stp>
        <stp>[FA1_ymffleas.xlsx]Bal Sheet - As Reported!R141C9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1" s="17"/>
      </tp>
      <tp t="s">
        <v>—</v>
        <stp/>
        <stp>##V3_BDHV12</stp>
        <stp>RCOM IN Equity</stp>
        <stp>ARDR_INTANGIBLE_ASSET_GROSS</stp>
        <stp>FY 2014</stp>
        <stp>FY 2014</stp>
        <stp>[FA1_ymffleas.xlsx]Bal Sheet - As Reported!R141C8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1" s="17"/>
      </tp>
      <tp>
        <v>6.4</v>
        <stp/>
        <stp>##V3_BDHV12</stp>
        <stp>RCOM IN Equity</stp>
        <stp>ARDR_OTHER_TAX</stp>
        <stp>FY 2009</stp>
        <stp>FY 2009</stp>
        <stp>[FA1_ymffleas.xlsx]Income - As Reported!R77C3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7" s="11"/>
      </tp>
      <tp>
        <v>0</v>
        <stp/>
        <stp>##V3_BDHV12</stp>
        <stp>RCOM IN Equity</stp>
        <stp>ARDR_OTHER_TAX</stp>
        <stp>FY 2011</stp>
        <stp>FY 2011</stp>
        <stp>[FA1_ymffleas.xlsx]Income - As Reported!R77C5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7" s="11"/>
      </tp>
      <tp>
        <v>4.5999999999999996</v>
        <stp/>
        <stp>##V3_BDHV12</stp>
        <stp>RCOM IN Equity</stp>
        <stp>ARDR_OTHER_TAX</stp>
        <stp>FY 2010</stp>
        <stp>FY 2010</stp>
        <stp>[FA1_ymffleas.xlsx]Income - As Reported!R77C4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7" s="11"/>
      </tp>
      <tp>
        <v>0</v>
        <stp/>
        <stp>##V3_BDHV12</stp>
        <stp>RCOM IN Equity</stp>
        <stp>ARDR_OTHER_TAX</stp>
        <stp>FY 2013</stp>
        <stp>FY 2013</stp>
        <stp>[FA1_ymffleas.xlsx]Income - As Reported!R77C7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7" s="11"/>
      </tp>
      <tp>
        <v>10</v>
        <stp/>
        <stp>##V3_BDHV12</stp>
        <stp>RCOM IN Equity</stp>
        <stp>ARDR_OTHER_TAX</stp>
        <stp>FY 2012</stp>
        <stp>FY 2012</stp>
        <stp>[FA1_ymffleas.xlsx]Income - As Reported!R77C6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7" s="11"/>
      </tp>
      <tp>
        <v>0</v>
        <stp/>
        <stp>##V3_BDHV12</stp>
        <stp>RCOM IN Equity</stp>
        <stp>ARDR_OTHER_TAX</stp>
        <stp>FY 2015</stp>
        <stp>FY 2015</stp>
        <stp>[FA1_ymffleas.xlsx]Income - As Reported!R77C9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7" s="11"/>
      </tp>
      <tp>
        <v>0</v>
        <stp/>
        <stp>##V3_BDHV12</stp>
        <stp>RCOM IN Equity</stp>
        <stp>ARDR_OTHER_TAX</stp>
        <stp>FY 2014</stp>
        <stp>FY 2014</stp>
        <stp>[FA1_ymffleas.xlsx]Income - As Reported!R77C8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7" s="11"/>
      </tp>
      <tp t="s">
        <v>—</v>
        <stp/>
        <stp>##V3_BDHV12</stp>
        <stp>RCOM IN Equity</stp>
        <stp>ARD_DISC_OPS_PER_SH_BASIC_DIL</stp>
        <stp>FY 2016</stp>
        <stp>FY 2016</stp>
        <stp>[FA1_ymffleas.xlsx]Income - As Reported!R46C10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6" s="11"/>
      </tp>
      <tp>
        <v>-6.68</v>
        <stp/>
        <stp>##V3_BDHV12</stp>
        <stp>RCOM IN Equity</stp>
        <stp>ARD_DISC_OPS_PER_SH_BASIC_DIL</stp>
        <stp>FY 2017</stp>
        <stp>FY 2017</stp>
        <stp>[FA1_ymffleas.xlsx]Income - As Reported!R46C11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6" s="11"/>
      </tp>
      <tp>
        <v>-92.22</v>
        <stp/>
        <stp>##V3_BDHV12</stp>
        <stp>RCOM IN Equity</stp>
        <stp>ARD_DISC_OPS_PER_SH_BASIC_DIL</stp>
        <stp>FY 2018</stp>
        <stp>FY 2018</stp>
        <stp>[FA1_ymffleas.xlsx]Income - As Reported!R46C12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6" s="11"/>
      </tp>
      <tp>
        <v>3.9234999999999998</v>
        <stp/>
        <stp>##V3_BDHV12</stp>
        <stp>RCOM IN Equity</stp>
        <stp>EBITDA_TO_INTEREST_EXPN</stp>
        <stp>FY 2012</stp>
        <stp>FY 2012</stp>
        <stp>[FA1_ymffleas.xlsx]Credit!R16C6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6" s="23"/>
      </tp>
      <tp>
        <v>-28960</v>
        <stp/>
        <stp>##V3_BDHV12</stp>
        <stp>RCOM IN Equity</stp>
        <stp>NET_CHANGE_TOTAL_EQUITY</stp>
        <stp>FY 2017</stp>
        <stp>FY 2017</stp>
        <stp>[FA1_ymffleas.xlsx]Sources of Capital!R14C11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" s="32"/>
      </tp>
      <tp>
        <v>-65830</v>
        <stp/>
        <stp>##V3_BDHV12</stp>
        <stp>RCOM IN Equity</stp>
        <stp>NET_CHANGE_TOTAL_EQUITY</stp>
        <stp>FY 2016</stp>
        <stp>FY 2016</stp>
        <stp>[FA1_ymffleas.xlsx]Sources of Capital!R14C10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" s="32"/>
      </tp>
      <tp>
        <v>-258540</v>
        <stp/>
        <stp>##V3_BDHV12</stp>
        <stp>RCOM IN Equity</stp>
        <stp>NET_CHANGE_TOTAL_EQUITY</stp>
        <stp>FY 2018</stp>
        <stp>FY 2018</stp>
        <stp>[FA1_ymffleas.xlsx]Sources of Capital!R14C12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" s="32"/>
      </tp>
      <tp>
        <v>-8.9880999999999993</v>
        <stp/>
        <stp>##V3_BDHV12</stp>
        <stp>RCOM IN Equity</stp>
        <stp>FREE_CASH_FLOW_YIELD</stp>
        <stp>FY 2016</stp>
        <stp>FY 2016</stp>
        <stp>[FA1_ymffleas.xlsx]Yield Analysis!R11C10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1" s="26"/>
      </tp>
      <tp>
        <v>-79.142600000000002</v>
        <stp/>
        <stp>##V3_BDHV12</stp>
        <stp>RCOM IN Equity</stp>
        <stp>FREE_CASH_FLOW_YIELD</stp>
        <stp>FY 2017</stp>
        <stp>FY 2017</stp>
        <stp>[FA1_ymffleas.xlsx]Yield Analysis!R11C11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1" s="26"/>
      </tp>
      <tp>
        <v>-17.7652</v>
        <stp/>
        <stp>##V3_BDHV12</stp>
        <stp>RCOM IN Equity</stp>
        <stp>FREE_CASH_FLOW_YIELD</stp>
        <stp>FY 2018</stp>
        <stp>FY 2018</stp>
        <stp>[FA1_ymffleas.xlsx]Yield Analysis!R11C12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1" s="26"/>
      </tp>
      <tp>
        <v>4.8513000000000002</v>
        <stp/>
        <stp>##V3_BDHV12</stp>
        <stp>RCOM IN Equity</stp>
        <stp>TOTAL_DEBT_SEQUENTIAL_GROWTH</stp>
        <stp>FY 2017</stp>
        <stp>FY 2017</stp>
        <stp>[FA1_ymffleas.xlsx]Growth!R77C11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7" s="22"/>
      </tp>
      <tp>
        <v>9.1407000000000007</v>
        <stp/>
        <stp>##V3_BDHV12</stp>
        <stp>RCOM IN Equity</stp>
        <stp>TOTAL_DEBT_SEQUENTIAL_GROWTH</stp>
        <stp>FY 2016</stp>
        <stp>FY 2016</stp>
        <stp>[FA1_ymffleas.xlsx]Growth!R77C10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7" s="22"/>
      </tp>
      <tp>
        <v>3.3891999999999998</v>
        <stp/>
        <stp>##V3_BDHV12</stp>
        <stp>RCOM IN Equity</stp>
        <stp>TOTAL_DEBT_SEQUENTIAL_GROWTH</stp>
        <stp>FY 2018</stp>
        <stp>FY 2018</stp>
        <stp>[FA1_ymffleas.xlsx]Growth!R77C12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7" s="22"/>
      </tp>
      <tp>
        <v>0</v>
        <stp/>
        <stp>##V3_BDHV12</stp>
        <stp>RCOM IN Equity</stp>
        <stp>T12M_NET_CAPITAL_STOCK</stp>
        <stp>FY 2014</stp>
        <stp>FY 2014</stp>
        <stp>[FA1_ymffleas.xlsx]Yield Analysis!R14C8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" s="26"/>
      </tp>
      <tp>
        <v>60710</v>
        <stp/>
        <stp>##V3_BDHV12</stp>
        <stp>RCOM IN Equity</stp>
        <stp>T12M_NET_CAPITAL_STOCK</stp>
        <stp>FY 2015</stp>
        <stp>FY 2015</stp>
        <stp>[FA1_ymffleas.xlsx]Yield Analysis!R14C9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" s="26"/>
      </tp>
      <tp>
        <v>0</v>
        <stp/>
        <stp>##V3_BDHV12</stp>
        <stp>RCOM IN Equity</stp>
        <stp>T12M_NET_CAPITAL_STOCK</stp>
        <stp>FY 2010</stp>
        <stp>FY 2010</stp>
        <stp>[FA1_ymffleas.xlsx]Yield Analysis!R14C4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" s="26"/>
      </tp>
      <tp>
        <v>0</v>
        <stp/>
        <stp>##V3_BDHV12</stp>
        <stp>RCOM IN Equity</stp>
        <stp>T12M_NET_CAPITAL_STOCK</stp>
        <stp>FY 2011</stp>
        <stp>FY 2011</stp>
        <stp>[FA1_ymffleas.xlsx]Yield Analysis!R14C5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" s="26"/>
      </tp>
      <tp>
        <v>0</v>
        <stp/>
        <stp>##V3_BDHV12</stp>
        <stp>RCOM IN Equity</stp>
        <stp>T12M_NET_CAPITAL_STOCK</stp>
        <stp>FY 2012</stp>
        <stp>FY 2012</stp>
        <stp>[FA1_ymffleas.xlsx]Yield Analysis!R14C6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" s="26"/>
      </tp>
      <tp>
        <v>0</v>
        <stp/>
        <stp>##V3_BDHV12</stp>
        <stp>RCOM IN Equity</stp>
        <stp>T12M_NET_CAPITAL_STOCK</stp>
        <stp>FY 2013</stp>
        <stp>FY 2013</stp>
        <stp>[FA1_ymffleas.xlsx]Yield Analysis!R14C7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" s="26"/>
      </tp>
      <tp>
        <v>0</v>
        <stp/>
        <stp>##V3_BDHV12</stp>
        <stp>RCOM IN Equity</stp>
        <stp>T12M_NET_CAPITAL_STOCK</stp>
        <stp>FY 2009</stp>
        <stp>FY 2009</stp>
        <stp>[FA1_ymffleas.xlsx]Yield Analysis!R14C3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" s="26"/>
      </tp>
      <tp>
        <v>-0.27889999999999998</v>
        <stp/>
        <stp>##V3_BDHV12</stp>
        <stp>RCOM IN Equity</stp>
        <stp>REVENUE_SEQUENTIAL_GROWTH</stp>
        <stp>FY 2010</stp>
        <stp>FY 2010</stp>
        <stp>[FA1_ymffleas.xlsx]Growth!R60C4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60" s="22"/>
      </tp>
      <tp>
        <v>22.553000000000001</v>
        <stp/>
        <stp>##V3_BDHV12</stp>
        <stp>RCOM IN Equity</stp>
        <stp>IS_EPS</stp>
        <stp>FY 2010</stp>
        <stp>FY 2010</stp>
        <stp>[FA1_ymffleas.xlsx]Income - Adjusted!R110C3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10" s="9"/>
      </tp>
      <tp>
        <v>0</v>
        <stp/>
        <stp>##V3_BDHV12</stp>
        <stp>RCOM IN Equity</stp>
        <stp>ARDR_SHARE_BASED_COMPENSATION</stp>
        <stp>FY 2016</stp>
        <stp>FY 2016</stp>
        <stp>[FA1_ymffleas.xlsx]Income - As Reported!R109C10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9" s="11"/>
      </tp>
      <tp t="s">
        <v>—</v>
        <stp/>
        <stp>##V3_BDHV12</stp>
        <stp>RCOM IN Equity</stp>
        <stp>ARDR_SHARE_BASED_COMPENSATION</stp>
        <stp>FY 2017</stp>
        <stp>FY 2017</stp>
        <stp>[FA1_ymffleas.xlsx]Income - As Reported!R109C11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9" s="11"/>
      </tp>
      <tp t="s">
        <v>—</v>
        <stp/>
        <stp>##V3_BDHV12</stp>
        <stp>RCOM IN Equity</stp>
        <stp>ARDR_SHARE_BASED_COMPENSATION</stp>
        <stp>FY 2018</stp>
        <stp>FY 2018</stp>
        <stp>[FA1_ymffleas.xlsx]Income - As Reported!R109C12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9" s="11"/>
      </tp>
      <tp t="s">
        <v>—</v>
        <stp/>
        <stp>##V3_BDHV12</stp>
        <stp>RCOM IN Equity</stp>
        <stp>NET_INCOME_TO_COMMON_5_YR_GROWTH</stp>
        <stp>FY 2011</stp>
        <stp>FY 2011</stp>
        <stp>[FA1_ymffleas.xlsx]Growth!R39C5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39" s="22"/>
      </tp>
      <tp>
        <v>2.7161</v>
        <stp/>
        <stp>##V3_BDHV12</stp>
        <stp>RCOM IN Equity</stp>
        <stp>EV_TO_T12M_SALES</stp>
        <stp>FY 2013</stp>
        <stp>FY 2013</stp>
        <stp>[FA1_ymffleas.xlsx]Multiples!R36C6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36" s="6"/>
      </tp>
      <tp t="s">
        <v>—</v>
        <stp/>
        <stp>##V3_BDHV12</stp>
        <stp>RCOM IN Equity</stp>
        <stp>ARDR_FINANCIAL_INCOME</stp>
        <stp>FY 2017</stp>
        <stp>FY 2017</stp>
        <stp>[FA1_ymffleas.xlsx]Income - As Reported!R112C11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2" s="11"/>
      </tp>
      <tp t="s">
        <v>—</v>
        <stp/>
        <stp>##V3_BDHV12</stp>
        <stp>RCOM IN Equity</stp>
        <stp>ARDR_FINANCIAL_INCOME</stp>
        <stp>FY 2016</stp>
        <stp>FY 2016</stp>
        <stp>[FA1_ymffleas.xlsx]Income - As Reported!R112C10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2" s="11"/>
      </tp>
      <tp t="s">
        <v>—</v>
        <stp/>
        <stp>##V3_BDHV12</stp>
        <stp>RCOM IN Equity</stp>
        <stp>ARDR_FINANCIAL_INCOME</stp>
        <stp>FY 2018</stp>
        <stp>FY 2018</stp>
        <stp>[FA1_ymffleas.xlsx]Income - As Reported!R112C12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2" s="11"/>
      </tp>
      <tp>
        <v>2.7723</v>
        <stp/>
        <stp>##V3_BDHV12</stp>
        <stp>RCOM IN Equity</stp>
        <stp>AVERAGE_EV_TO_T12M_SALES</stp>
        <stp>FY 2013</stp>
        <stp>FY 2013</stp>
        <stp>[FA1_ymffleas.xlsx]Multiples!R37C6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37" s="6"/>
      </tp>
      <tp>
        <v>25.001899999999999</v>
        <stp/>
        <stp>##V3_BDHV12</stp>
        <stp>RCOM IN Equity</stp>
        <stp>LOW_EV_TO_T12M_EBIT</stp>
        <stp>FY 2013</stp>
        <stp>FY 2013</stp>
        <stp>[FA1_ymffleas.xlsx]Multiples!R49C6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49" s="6"/>
      </tp>
      <tp>
        <v>2153.1658000000002</v>
        <stp/>
        <stp>##V3_BDHV12</stp>
        <stp>RCOM IN Equity</stp>
        <stp>IS_SH_FOR_DILUTED_EPS</stp>
        <stp>FY 2010</stp>
        <stp>FY 2010</stp>
        <stp>[FA1_ymffleas.xlsx]Income - GAAP!R92C3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2" s="10"/>
      </tp>
      <tp>
        <v>3.2397999999999998</v>
        <stp/>
        <stp>##V3_BDHV12</stp>
        <stp>RCOM IN Equity</stp>
        <stp>IS_DILUTED_EPS</stp>
        <stp>FY 2013</stp>
        <stp>FY 2013</stp>
        <stp>[FA1_ymffleas.xlsx]Reconciliation!R51C6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F51" s="12"/>
      </tp>
      <tp>
        <v>255380</v>
        <stp/>
        <stp>##V3_BDHV12</stp>
        <stp>RCOM IN Equity</stp>
        <stp>ARD_TOTAL_CURRENT_LIABILITIES</stp>
        <stp>FY 2014</stp>
        <stp>FY 2014</stp>
        <stp>[FA1_ymffleas.xlsx]As Reported Summary!R19C8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" s="30"/>
      </tp>
      <tp>
        <v>209230</v>
        <stp/>
        <stp>##V3_BDHV12</stp>
        <stp>RCOM IN Equity</stp>
        <stp>ARD_TOTAL_CURRENT_LIABILITIES</stp>
        <stp>FY 2015</stp>
        <stp>FY 2015</stp>
        <stp>[FA1_ymffleas.xlsx]As Reported Summary!R19C9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" s="30"/>
      </tp>
      <tp t="s">
        <v>—</v>
        <stp/>
        <stp>##V3_BDHV12</stp>
        <stp>RCOM IN Equity</stp>
        <stp>ARD_TOTAL_CURRENT_LIABILITIES</stp>
        <stp>FY 2010</stp>
        <stp>FY 2010</stp>
        <stp>[FA1_ymffleas.xlsx]As Reported Summary!R19C4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" s="30"/>
      </tp>
      <tp>
        <v>323020</v>
        <stp/>
        <stp>##V3_BDHV12</stp>
        <stp>RCOM IN Equity</stp>
        <stp>ARD_TOTAL_CURRENT_LIABILITIES</stp>
        <stp>FY 2011</stp>
        <stp>FY 2011</stp>
        <stp>[FA1_ymffleas.xlsx]As Reported Summary!R19C5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" s="30"/>
      </tp>
      <tp>
        <v>224040</v>
        <stp/>
        <stp>##V3_BDHV12</stp>
        <stp>RCOM IN Equity</stp>
        <stp>ARD_TOTAL_CURRENT_LIABILITIES</stp>
        <stp>FY 2012</stp>
        <stp>FY 2012</stp>
        <stp>[FA1_ymffleas.xlsx]As Reported Summary!R19C6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" s="30"/>
      </tp>
      <tp>
        <v>234390</v>
        <stp/>
        <stp>##V3_BDHV12</stp>
        <stp>RCOM IN Equity</stp>
        <stp>ARD_TOTAL_CURRENT_LIABILITIES</stp>
        <stp>FY 2013</stp>
        <stp>FY 2013</stp>
        <stp>[FA1_ymffleas.xlsx]As Reported Summary!R19C7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" s="30"/>
      </tp>
      <tp t="s">
        <v>—</v>
        <stp/>
        <stp>##V3_BDHV12</stp>
        <stp>RCOM IN Equity</stp>
        <stp>ARD_TOTAL_CURRENT_LIABILITIES</stp>
        <stp>FY 2009</stp>
        <stp>FY 2009</stp>
        <stp>[FA1_ymffleas.xlsx]As Reported Summary!R19C3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" s="30"/>
      </tp>
      <tp>
        <v>2064.0268999999998</v>
        <stp/>
        <stp>##V3_BDHV12</stp>
        <stp>RCOM IN Equity</stp>
        <stp>IS_SH_FOR_DILUTED_EPS</stp>
        <stp>FY 2014</stp>
        <stp>FY 2014</stp>
        <stp>[FA1_ymffleas.xlsx]Income - GAAP!R92C7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2" s="10"/>
      </tp>
      <tp>
        <v>2064.0268999999998</v>
        <stp/>
        <stp>##V3_BDHV12</stp>
        <stp>RCOM IN Equity</stp>
        <stp>IS_SH_FOR_DILUTED_EPS</stp>
        <stp>FY 2013</stp>
        <stp>FY 2013</stp>
        <stp>[FA1_ymffleas.xlsx]Income - GAAP!R92C6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2" s="10"/>
      </tp>
      <tp>
        <v>2104.0468999999998</v>
        <stp/>
        <stp>##V3_BDHV12</stp>
        <stp>RCOM IN Equity</stp>
        <stp>IS_SH_FOR_DILUTED_EPS</stp>
        <stp>FY 2012</stp>
        <stp>FY 2012</stp>
        <stp>[FA1_ymffleas.xlsx]Income - GAAP!R92C5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2" s="10"/>
      </tp>
      <tp>
        <v>2153.1658000000002</v>
        <stp/>
        <stp>##V3_BDHV12</stp>
        <stp>RCOM IN Equity</stp>
        <stp>IS_SH_FOR_DILUTED_EPS</stp>
        <stp>FY 2011</stp>
        <stp>FY 2011</stp>
        <stp>[FA1_ymffleas.xlsx]Income - GAAP!R92C4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2" s="10"/>
      </tp>
      <tp>
        <v>2467.7006999999999</v>
        <stp/>
        <stp>##V3_BDHV12</stp>
        <stp>RCOM IN Equity</stp>
        <stp>IS_SH_FOR_DILUTED_EPS</stp>
        <stp>FY 2016</stp>
        <stp>FY 2016</stp>
        <stp>[FA1_ymffleas.xlsx]Income - GAAP!R92C9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2" s="10"/>
      </tp>
      <tp>
        <v>2333.9049</v>
        <stp/>
        <stp>##V3_BDHV12</stp>
        <stp>RCOM IN Equity</stp>
        <stp>IS_SH_FOR_DILUTED_EPS</stp>
        <stp>FY 2015</stp>
        <stp>FY 2015</stp>
        <stp>[FA1_ymffleas.xlsx]Income - GAAP!R92C8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2" s="10"/>
      </tp>
      <tp>
        <v>3.05</v>
        <stp/>
        <stp>##V3_BDHV12</stp>
        <stp>RCOM IN Equity</stp>
        <stp>IS_DILUTED_EPS</stp>
        <stp>FY 2015</stp>
        <stp>FY 2015</stp>
        <stp>[FA1_ymffleas.xlsx]Earnings!R15C9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5" s="4"/>
      </tp>
      <tp>
        <v>238880</v>
        <stp/>
        <stp>##V3_BDHV12</stp>
        <stp>RCOM IN Equity</stp>
        <stp>XO_GL_NET_OF_TAX</stp>
        <stp>FY 2018</stp>
        <stp>FY 2018</stp>
        <stp>[FA1_ymffleas.xlsx]Income - Adjusted!R89C11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9" s="9"/>
      </tp>
      <tp>
        <v>15280</v>
        <stp/>
        <stp>##V3_BDHV12</stp>
        <stp>RCOM IN Equity</stp>
        <stp>XO_GL_NET_OF_TAX</stp>
        <stp>FY 2017</stp>
        <stp>FY 2017</stp>
        <stp>[FA1_ymffleas.xlsx]Income - Adjusted!R89C10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9" s="9"/>
      </tp>
      <tp>
        <v>2820</v>
        <stp/>
        <stp>##V3_BDHV12</stp>
        <stp>RCOM IN Equity</stp>
        <stp>ARD_MIN_NONCONTROL_INT_SE</stp>
        <stp>FY 2016</stp>
        <stp>FY 2016</stp>
        <stp>[FA1_ymffleas.xlsx]Bal Sheet - As Reported!R8C10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17"/>
      </tp>
      <tp>
        <v>4000</v>
        <stp/>
        <stp>##V3_BDHV12</stp>
        <stp>RCOM IN Equity</stp>
        <stp>ARD_MIN_NONCONTROL_INT_SE</stp>
        <stp>FY 2017</stp>
        <stp>FY 2017</stp>
        <stp>[FA1_ymffleas.xlsx]Bal Sheet - As Reported!R8C11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17"/>
      </tp>
      <tp>
        <v>3320</v>
        <stp/>
        <stp>##V3_BDHV12</stp>
        <stp>RCOM IN Equity</stp>
        <stp>ARD_MIN_NONCONTROL_INT_SE</stp>
        <stp>FY 2018</stp>
        <stp>FY 2018</stp>
        <stp>[FA1_ymffleas.xlsx]Bal Sheet - As Reported!R8C12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" s="17"/>
      </tp>
      <tp>
        <v>0</v>
        <stp/>
        <stp>##V3_BDHV12</stp>
        <stp>RCOM IN Equity</stp>
        <stp>BS_DERIVATIVE_&amp;_HEDGING_LIABS_LT</stp>
        <stp>FY 2018</stp>
        <stp>FY 2018</stp>
        <stp>[FA1_ymffleas.xlsx]Bal Sheet - Standardized!R125C12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5" s="16"/>
      </tp>
      <tp t="s">
        <v>—</v>
        <stp/>
        <stp>##V3_BDHV12</stp>
        <stp>RCOM IN Equity</stp>
        <stp>BS_DERIVATIVE_&amp;_HEDGING_LIABS_LT</stp>
        <stp>FY 2016</stp>
        <stp>FY 2016</stp>
        <stp>[FA1_ymffleas.xlsx]Bal Sheet - Standardized!R125C10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5" s="16"/>
      </tp>
      <tp>
        <v>0</v>
        <stp/>
        <stp>##V3_BDHV12</stp>
        <stp>RCOM IN Equity</stp>
        <stp>BS_DERIVATIVE_&amp;_HEDGING_LIABS_LT</stp>
        <stp>FY 2017</stp>
        <stp>FY 2017</stp>
        <stp>[FA1_ymffleas.xlsx]Bal Sheet - Standardized!R125C11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5" s="16"/>
      </tp>
      <tp>
        <v>31.0594</v>
        <stp/>
        <stp>##V3_BDHV12</stp>
        <stp>RCOM IN Equity</stp>
        <stp>LT_DEBT_TO_TOT_ASSET</stp>
        <stp>FY 2014</stp>
        <stp>FY 2014</stp>
        <stp>[FA1_ymffleas.xlsx]Liquidity!R14C8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4" s="24"/>
      </tp>
      <tp>
        <v>32.767499999999998</v>
        <stp/>
        <stp>##V3_BDHV12</stp>
        <stp>RCOM IN Equity</stp>
        <stp>LT_DEBT_TO_TOT_ASSET</stp>
        <stp>FY 2015</stp>
        <stp>FY 2015</stp>
        <stp>[FA1_ymffleas.xlsx]Liquidity!R14C9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4" s="24"/>
      </tp>
      <tp t="s">
        <v>—</v>
        <stp/>
        <stp>##V3_BDHV12</stp>
        <stp>RCOM IN Equity</stp>
        <stp>GEO_GROW_NET_SALES</stp>
        <stp>FY 2010</stp>
        <stp>FY 2010</stp>
        <stp>[FA1_ymffleas.xlsx]Growth!R36C4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36" s="22"/>
      </tp>
      <tp>
        <v>-18.087900000000001</v>
        <stp/>
        <stp>##V3_BDHV12</stp>
        <stp>RCOM IN Equity</stp>
        <stp>OPERATING_INCOME_SEQ_GROWTH</stp>
        <stp>FY 2016</stp>
        <stp>FY 2016</stp>
        <stp>[FA1_ymffleas.xlsx]Growth!R62C10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62" s="22"/>
      </tp>
      <tp>
        <v>26.7013</v>
        <stp/>
        <stp>##V3_BDHV12</stp>
        <stp>RCOM IN Equity</stp>
        <stp>LT_DEBT_TO_TOT_ASSET</stp>
        <stp>FY 2009</stp>
        <stp>FY 2009</stp>
        <stp>[FA1_ymffleas.xlsx]Liquidity!R14C3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4" s="24"/>
      </tp>
      <tp>
        <v>20.7973</v>
        <stp/>
        <stp>##V3_BDHV12</stp>
        <stp>RCOM IN Equity</stp>
        <stp>LT_DEBT_TO_TOT_ASSET</stp>
        <stp>FY 2010</stp>
        <stp>FY 2010</stp>
        <stp>[FA1_ymffleas.xlsx]Liquidity!R14C4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4" s="24"/>
      </tp>
      <tp>
        <v>20.3889</v>
        <stp/>
        <stp>##V3_BDHV12</stp>
        <stp>RCOM IN Equity</stp>
        <stp>LT_DEBT_TO_TOT_ASSET</stp>
        <stp>FY 2011</stp>
        <stp>FY 2011</stp>
        <stp>[FA1_ymffleas.xlsx]Liquidity!R14C5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4" s="24"/>
      </tp>
      <tp>
        <v>32.131399999999999</v>
        <stp/>
        <stp>##V3_BDHV12</stp>
        <stp>RCOM IN Equity</stp>
        <stp>LT_DEBT_TO_TOT_ASSET</stp>
        <stp>FY 2012</stp>
        <stp>FY 2012</stp>
        <stp>[FA1_ymffleas.xlsx]Liquidity!R14C6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4" s="24"/>
      </tp>
      <tp>
        <v>31.8001</v>
        <stp/>
        <stp>##V3_BDHV12</stp>
        <stp>RCOM IN Equity</stp>
        <stp>LT_DEBT_TO_TOT_ASSET</stp>
        <stp>FY 2013</stp>
        <stp>FY 2013</stp>
        <stp>[FA1_ymffleas.xlsx]Liquidity!R14C7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4" s="24"/>
      </tp>
      <tp>
        <v>2.9621</v>
        <stp/>
        <stp>##V3_BDHV12</stp>
        <stp>RCOM IN Equity</stp>
        <stp>SUSTAIN_GROWTH_RT</stp>
        <stp>FY 2011</stp>
        <stp>FY 2011</stp>
        <stp>[FA1_ymffleas.xlsx]DuPont Analysis!R23C5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3" s="27"/>
      </tp>
      <tp>
        <v>1.5525</v>
        <stp/>
        <stp>##V3_BDHV12</stp>
        <stp>RCOM IN Equity</stp>
        <stp>EBITDA_AFT_CAPEX_TO_CASH_INT_PD</stp>
        <stp>FY 2013</stp>
        <stp>FY 2013</stp>
        <stp>[FA1_ymffleas.xlsx]Credit!R21C7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1" s="23"/>
      </tp>
      <tp>
        <v>-39.842199999999998</v>
        <stp/>
        <stp>##V3_BDHV12</stp>
        <stp>RCOM IN Equity</stp>
        <stp>DILUTED_EPS_AFT_XO_ITEMS_GROWTH</stp>
        <stp>FY 2015</stp>
        <stp>FY 2015</stp>
        <stp>[FA1_ymffleas.xlsx]Growth!R11C9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1" s="22"/>
      </tp>
      <tp>
        <v>183810</v>
        <stp/>
        <stp>##V3_BDHV12</stp>
        <stp>RCOM IN Equity</stp>
        <stp>IS_OPERATING_EXPN</stp>
        <stp>FY 2015</stp>
        <stp>FY 2015</stp>
        <stp>[FA1_ymffleas.xlsx]Income - GAAP!R19C8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19" s="10"/>
      </tp>
      <tp>
        <v>191780</v>
        <stp/>
        <stp>##V3_BDHV12</stp>
        <stp>RCOM IN Equity</stp>
        <stp>IS_OPERATING_EXPN</stp>
        <stp>FY 2016</stp>
        <stp>FY 2016</stp>
        <stp>[FA1_ymffleas.xlsx]Income - GAAP!R19C9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19" s="10"/>
      </tp>
      <tp t="s">
        <v>—</v>
        <stp/>
        <stp>##V3_BDHV12</stp>
        <stp>RCOM IN Equity</stp>
        <stp>CAPEX_TO_DEPR_EXPN_RATIO</stp>
        <stp>FY 2015</stp>
        <stp>FY 2015</stp>
        <stp>[FA1_ymffleas.xlsx]CAPEX &amp; Depreciation!R14C9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4" s="28"/>
      </tp>
      <tp t="s">
        <v>—</v>
        <stp/>
        <stp>##V3_BDHV12</stp>
        <stp>RCOM IN Equity</stp>
        <stp>CAPEX_TO_DEPR_EXPN_RATIO</stp>
        <stp>FY 2014</stp>
        <stp>FY 2014</stp>
        <stp>[FA1_ymffleas.xlsx]CAPEX &amp; Depreciation!R14C8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4" s="28"/>
      </tp>
      <tp>
        <v>3.7444999999999999</v>
        <stp/>
        <stp>##V3_BDHV12</stp>
        <stp>RCOM IN Equity</stp>
        <stp>CAPEX_TO_DEPR_EXPN_RATIO</stp>
        <stp>FY 2009</stp>
        <stp>FY 2009</stp>
        <stp>[FA1_ymffleas.xlsx]CAPEX &amp; Depreciation!R14C3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4" s="28"/>
      </tp>
      <tp>
        <v>182538.5</v>
        <stp/>
        <stp>##V3_BDHV12</stp>
        <stp>RCOM IN Equity</stp>
        <stp>IS_OPERATING_EXPN</stp>
        <stp>FY 2010</stp>
        <stp>FY 2010</stp>
        <stp>[FA1_ymffleas.xlsx]Income - GAAP!R19C3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19" s="10"/>
      </tp>
      <tp>
        <v>1.1080000000000001</v>
        <stp/>
        <stp>##V3_BDHV12</stp>
        <stp>RCOM IN Equity</stp>
        <stp>CAPEX_TO_DEPR_EXPN_RATIO</stp>
        <stp>FY 2013</stp>
        <stp>FY 2013</stp>
        <stp>[FA1_ymffleas.xlsx]CAPEX &amp; Depreciation!R14C7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4" s="28"/>
      </tp>
      <tp>
        <v>205590</v>
        <stp/>
        <stp>##V3_BDHV12</stp>
        <stp>RCOM IN Equity</stp>
        <stp>IS_OPERATING_EXPN</stp>
        <stp>FY 2011</stp>
        <stp>FY 2011</stp>
        <stp>[FA1_ymffleas.xlsx]Income - GAAP!R19C4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19" s="10"/>
      </tp>
      <tp>
        <v>2.9626999999999999</v>
        <stp/>
        <stp>##V3_BDHV12</stp>
        <stp>RCOM IN Equity</stp>
        <stp>CAPEX_TO_DEPR_EXPN_RATIO</stp>
        <stp>FY 2012</stp>
        <stp>FY 2012</stp>
        <stp>[FA1_ymffleas.xlsx]CAPEX &amp; Depreciation!R14C6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4" s="28"/>
      </tp>
      <tp>
        <v>178600</v>
        <stp/>
        <stp>##V3_BDHV12</stp>
        <stp>RCOM IN Equity</stp>
        <stp>IS_OPERATING_EXPN</stp>
        <stp>FY 2012</stp>
        <stp>FY 2012</stp>
        <stp>[FA1_ymffleas.xlsx]Income - GAAP!R19C5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19" s="10"/>
      </tp>
      <tp>
        <v>0</v>
        <stp/>
        <stp>##V3_BDHV12</stp>
        <stp>RCOM IN Equity</stp>
        <stp>T12M_NET_CAPITAL_STOCK</stp>
        <stp>FY 2014</stp>
        <stp>FY 2014</stp>
        <stp>[FA1_ymffleas.xlsx]Yield Analysis!R23C8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3" s="26"/>
      </tp>
      <tp>
        <v>60710</v>
        <stp/>
        <stp>##V3_BDHV12</stp>
        <stp>RCOM IN Equity</stp>
        <stp>T12M_NET_CAPITAL_STOCK</stp>
        <stp>FY 2015</stp>
        <stp>FY 2015</stp>
        <stp>[FA1_ymffleas.xlsx]Yield Analysis!R23C9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3" s="26"/>
      </tp>
      <tp>
        <v>0</v>
        <stp/>
        <stp>##V3_BDHV12</stp>
        <stp>RCOM IN Equity</stp>
        <stp>T12M_NET_CAPITAL_STOCK</stp>
        <stp>FY 2010</stp>
        <stp>FY 2010</stp>
        <stp>[FA1_ymffleas.xlsx]Yield Analysis!R23C4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3" s="26"/>
      </tp>
      <tp>
        <v>0</v>
        <stp/>
        <stp>##V3_BDHV12</stp>
        <stp>RCOM IN Equity</stp>
        <stp>T12M_NET_CAPITAL_STOCK</stp>
        <stp>FY 2011</stp>
        <stp>FY 2011</stp>
        <stp>[FA1_ymffleas.xlsx]Yield Analysis!R23C5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3" s="26"/>
      </tp>
      <tp>
        <v>0</v>
        <stp/>
        <stp>##V3_BDHV12</stp>
        <stp>RCOM IN Equity</stp>
        <stp>T12M_NET_CAPITAL_STOCK</stp>
        <stp>FY 2012</stp>
        <stp>FY 2012</stp>
        <stp>[FA1_ymffleas.xlsx]Yield Analysis!R23C6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3" s="26"/>
      </tp>
      <tp>
        <v>2.7583000000000002</v>
        <stp/>
        <stp>##V3_BDHV12</stp>
        <stp>RCOM IN Equity</stp>
        <stp>CAPEX_TO_DEPR_EXPN_RATIO</stp>
        <stp>FY 2011</stp>
        <stp>FY 2011</stp>
        <stp>[FA1_ymffleas.xlsx]CAPEX &amp; Depreciation!R14C5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4" s="28"/>
      </tp>
      <tp>
        <v>0</v>
        <stp/>
        <stp>##V3_BDHV12</stp>
        <stp>RCOM IN Equity</stp>
        <stp>T12M_NET_CAPITAL_STOCK</stp>
        <stp>FY 2013</stp>
        <stp>FY 2013</stp>
        <stp>[FA1_ymffleas.xlsx]Yield Analysis!R23C7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3" s="26"/>
      </tp>
      <tp>
        <v>0</v>
        <stp/>
        <stp>##V3_BDHV12</stp>
        <stp>RCOM IN Equity</stp>
        <stp>T12M_NET_CAPITAL_STOCK</stp>
        <stp>FY 2009</stp>
        <stp>FY 2009</stp>
        <stp>[FA1_ymffleas.xlsx]Yield Analysis!R23C3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3" s="26"/>
      </tp>
      <tp>
        <v>184650</v>
        <stp/>
        <stp>##V3_BDHV12</stp>
        <stp>RCOM IN Equity</stp>
        <stp>IS_OPERATING_EXPN</stp>
        <stp>FY 2013</stp>
        <stp>FY 2013</stp>
        <stp>[FA1_ymffleas.xlsx]Income - GAAP!R19C6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19" s="10"/>
      </tp>
      <tp>
        <v>2.6168</v>
        <stp/>
        <stp>##V3_BDHV12</stp>
        <stp>RCOM IN Equity</stp>
        <stp>CAPEX_TO_DEPR_EXPN_RATIO</stp>
        <stp>FY 2010</stp>
        <stp>FY 2010</stp>
        <stp>[FA1_ymffleas.xlsx]CAPEX &amp; Depreciation!R14C4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4" s="28"/>
      </tp>
      <tp>
        <v>190670</v>
        <stp/>
        <stp>##V3_BDHV12</stp>
        <stp>RCOM IN Equity</stp>
        <stp>IS_OPERATING_EXPN</stp>
        <stp>FY 2014</stp>
        <stp>FY 2014</stp>
        <stp>[FA1_ymffleas.xlsx]Income - GAAP!R19C7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19" s="10"/>
      </tp>
      <tp>
        <v>-460</v>
        <stp/>
        <stp>##V3_BDHV12</stp>
        <stp>RCOM IN Equity</stp>
        <stp>ARD_FOREIGN_EXCHANGE_GAIN_LOSS</stp>
        <stp>FY 2015</stp>
        <stp>FY 2015</stp>
        <stp>[FA1_ymffleas.xlsx]Cash Flow - As Reported!R19C9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" s="20"/>
      </tp>
      <tp>
        <v>-380</v>
        <stp/>
        <stp>##V3_BDHV12</stp>
        <stp>RCOM IN Equity</stp>
        <stp>ARD_FOREIGN_EXCHANGE_GAIN_LOSS</stp>
        <stp>FY 2014</stp>
        <stp>FY 2014</stp>
        <stp>[FA1_ymffleas.xlsx]Cash Flow - As Reported!R19C8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" s="20"/>
      </tp>
      <tp>
        <v>-1630</v>
        <stp/>
        <stp>##V3_BDHV12</stp>
        <stp>RCOM IN Equity</stp>
        <stp>ARD_FOREIGN_EXCHANGE_GAIN_LOSS</stp>
        <stp>FY 2011</stp>
        <stp>FY 2011</stp>
        <stp>[FA1_ymffleas.xlsx]Cash Flow - As Reported!R19C5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" s="20"/>
      </tp>
      <tp>
        <v>-32494.1</v>
        <stp/>
        <stp>##V3_BDHV12</stp>
        <stp>RCOM IN Equity</stp>
        <stp>ARD_FOREIGN_EXCHANGE_GAIN_LOSS</stp>
        <stp>FY 2010</stp>
        <stp>FY 2010</stp>
        <stp>[FA1_ymffleas.xlsx]Cash Flow - As Reported!R19C4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" s="20"/>
      </tp>
      <tp>
        <v>-120</v>
        <stp/>
        <stp>##V3_BDHV12</stp>
        <stp>RCOM IN Equity</stp>
        <stp>ARD_FOREIGN_EXCHANGE_GAIN_LOSS</stp>
        <stp>FY 2013</stp>
        <stp>FY 2013</stp>
        <stp>[FA1_ymffleas.xlsx]Cash Flow - As Reported!R19C7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" s="20"/>
      </tp>
      <tp>
        <v>-1360</v>
        <stp/>
        <stp>##V3_BDHV12</stp>
        <stp>RCOM IN Equity</stp>
        <stp>ARD_FOREIGN_EXCHANGE_GAIN_LOSS</stp>
        <stp>FY 2012</stp>
        <stp>FY 2012</stp>
        <stp>[FA1_ymffleas.xlsx]Cash Flow - As Reported!R19C6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" s="20"/>
      </tp>
      <tp>
        <v>-2797.2</v>
        <stp/>
        <stp>##V3_BDHV12</stp>
        <stp>RCOM IN Equity</stp>
        <stp>ARD_FOREIGN_EXCHANGE_GAIN_LOSS</stp>
        <stp>FY 2009</stp>
        <stp>FY 2009</stp>
        <stp>[FA1_ymffleas.xlsx]Cash Flow - As Reported!R19C3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" s="20"/>
      </tp>
      <tp>
        <v>20.960599999999999</v>
        <stp/>
        <stp>##V3_BDHV12</stp>
        <stp>RCOM IN Equity</stp>
        <stp>REVENUE_SEQUENTIAL_GROWTH</stp>
        <stp>FY 2009</stp>
        <stp>FY 2009</stp>
        <stp>[FA1_ymffleas.xlsx]Growth!R60C3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60" s="22"/>
      </tp>
      <tp>
        <v>6.5164</v>
        <stp/>
        <stp>##V3_BDHV12</stp>
        <stp>RCOM IN Equity</stp>
        <stp>IS_EPS</stp>
        <stp>FY 2011</stp>
        <stp>FY 2011</stp>
        <stp>[FA1_ymffleas.xlsx]Income - Adjusted!R110C4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10" s="9"/>
      </tp>
      <tp>
        <v>1060</v>
        <stp/>
        <stp>##V3_BDHV12</stp>
        <stp>RCOM IN Equity</stp>
        <stp>IS_INT_INC</stp>
        <stp>FY 2016</stp>
        <stp>FY 2016</stp>
        <stp>[FA1_ymffleas.xlsx]Income - Adjusted!R43C9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43" s="9"/>
      </tp>
      <tp>
        <v>470</v>
        <stp/>
        <stp>##V3_BDHV12</stp>
        <stp>RCOM IN Equity</stp>
        <stp>IS_INT_INC</stp>
        <stp>FY 2015</stp>
        <stp>FY 2015</stp>
        <stp>[FA1_ymffleas.xlsx]Income - Adjusted!R43C8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43" s="9"/>
      </tp>
      <tp>
        <v>3.05</v>
        <stp/>
        <stp>##V3_BDHV12</stp>
        <stp>RCOM IN Equity</stp>
        <stp>IS_EPS</stp>
        <stp>FY 2015</stp>
        <stp>FY 2015</stp>
        <stp>[FA1_ymffleas.xlsx]GAAP Highlights!R9C9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9" s="3"/>
      </tp>
      <tp t="s">
        <v>—</v>
        <stp/>
        <stp>##V3_BDHV12</stp>
        <stp>RCOM IN Equity</stp>
        <stp>IS_INT_INC</stp>
        <stp>FY 2010</stp>
        <stp>FY 2010</stp>
        <stp>[FA1_ymffleas.xlsx]Income - Adjusted!R43C3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43" s="9"/>
      </tp>
      <tp t="s">
        <v>—</v>
        <stp/>
        <stp>##V3_BDHV12</stp>
        <stp>RCOM IN Equity</stp>
        <stp>ARD_INTEREST_INCOME_CF</stp>
        <stp>FY 2010</stp>
        <stp>FY 2010</stp>
        <stp>[FA1_ymffleas.xlsx]Cash Flow - As Reported!R28C4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8" s="20"/>
      </tp>
      <tp t="s">
        <v>—</v>
        <stp/>
        <stp>##V3_BDHV12</stp>
        <stp>RCOM IN Equity</stp>
        <stp>ARD_INTEREST_INCOME_CF</stp>
        <stp>FY 2011</stp>
        <stp>FY 2011</stp>
        <stp>[FA1_ymffleas.xlsx]Cash Flow - As Reported!R28C5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8" s="20"/>
      </tp>
      <tp>
        <v>-400</v>
        <stp/>
        <stp>##V3_BDHV12</stp>
        <stp>RCOM IN Equity</stp>
        <stp>ARD_INTEREST_INCOME_CF</stp>
        <stp>FY 2012</stp>
        <stp>FY 2012</stp>
        <stp>[FA1_ymffleas.xlsx]Cash Flow - As Reported!R28C6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8" s="20"/>
      </tp>
      <tp>
        <v>-110</v>
        <stp/>
        <stp>##V3_BDHV12</stp>
        <stp>RCOM IN Equity</stp>
        <stp>ARD_INTEREST_INCOME_CF</stp>
        <stp>FY 2013</stp>
        <stp>FY 2013</stp>
        <stp>[FA1_ymffleas.xlsx]Cash Flow - As Reported!R28C7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8" s="20"/>
      </tp>
      <tp t="s">
        <v>—</v>
        <stp/>
        <stp>##V3_BDHV12</stp>
        <stp>RCOM IN Equity</stp>
        <stp>ARD_INTEREST_INCOME_CF</stp>
        <stp>FY 2009</stp>
        <stp>FY 2009</stp>
        <stp>[FA1_ymffleas.xlsx]Cash Flow - As Reported!R28C3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8" s="20"/>
      </tp>
      <tp>
        <v>-470</v>
        <stp/>
        <stp>##V3_BDHV12</stp>
        <stp>RCOM IN Equity</stp>
        <stp>ARD_INTEREST_INCOME_CF</stp>
        <stp>FY 2014</stp>
        <stp>FY 2014</stp>
        <stp>[FA1_ymffleas.xlsx]Cash Flow - As Reported!R28C8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8" s="20"/>
      </tp>
      <tp>
        <v>-470</v>
        <stp/>
        <stp>##V3_BDHV12</stp>
        <stp>RCOM IN Equity</stp>
        <stp>ARD_INTEREST_INCOME_CF</stp>
        <stp>FY 2015</stp>
        <stp>FY 2015</stp>
        <stp>[FA1_ymffleas.xlsx]Cash Flow - As Reported!R28C9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8" s="20"/>
      </tp>
      <tp>
        <v>470</v>
        <stp/>
        <stp>##V3_BDHV12</stp>
        <stp>RCOM IN Equity</stp>
        <stp>IS_INT_INC</stp>
        <stp>FY 2014</stp>
        <stp>FY 2014</stp>
        <stp>[FA1_ymffleas.xlsx]Income - Adjusted!R43C7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43" s="9"/>
      </tp>
      <tp>
        <v>1650</v>
        <stp/>
        <stp>##V3_BDHV12</stp>
        <stp>RCOM IN Equity</stp>
        <stp>IS_INT_INC</stp>
        <stp>FY 2013</stp>
        <stp>FY 2013</stp>
        <stp>[FA1_ymffleas.xlsx]Income - Adjusted!R43C6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43" s="9"/>
      </tp>
      <tp>
        <v>400</v>
        <stp/>
        <stp>##V3_BDHV12</stp>
        <stp>RCOM IN Equity</stp>
        <stp>IS_INT_INC</stp>
        <stp>FY 2012</stp>
        <stp>FY 2012</stp>
        <stp>[FA1_ymffleas.xlsx]Income - Adjusted!R43C5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43" s="9"/>
      </tp>
      <tp>
        <v>610</v>
        <stp/>
        <stp>##V3_BDHV12</stp>
        <stp>RCOM IN Equity</stp>
        <stp>IS_INT_INC</stp>
        <stp>FY 2011</stp>
        <stp>FY 2011</stp>
        <stp>[FA1_ymffleas.xlsx]Income - Adjusted!R43C4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43" s="9"/>
      </tp>
      <tp>
        <v>5.1078000000000001</v>
        <stp/>
        <stp>##V3_BDHV12</stp>
        <stp>RCOM IN Equity</stp>
        <stp>IS_DILUTED_EPS</stp>
        <stp>FY 2014</stp>
        <stp>FY 2014</stp>
        <stp>[FA1_ymffleas.xlsx]Reconciliation!R51C7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G51" s="12"/>
      </tp>
      <tp>
        <v>5.07</v>
        <stp/>
        <stp>##V3_BDHV12</stp>
        <stp>RCOM IN Equity</stp>
        <stp>IS_DILUTED_EPS</stp>
        <stp>FY 2014</stp>
        <stp>FY 2014</stp>
        <stp>[FA1_ymffleas.xlsx]Earnings!R15C8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5" s="4"/>
      </tp>
      <tp t="s">
        <v>—</v>
        <stp/>
        <stp>##V3_BDHV12</stp>
        <stp>RCOM IN Equity</stp>
        <stp>ARD_DEPR_AMORT_AND_WRITE_DOWNS</stp>
        <stp>FY 2018</stp>
        <stp>FY 2018</stp>
        <stp>[FA1_ymffleas.xlsx]Income - As Reported!R20C12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" s="11"/>
      </tp>
      <tp t="s">
        <v>—</v>
        <stp/>
        <stp>##V3_BDHV12</stp>
        <stp>RCOM IN Equity</stp>
        <stp>ARD_DEPR_AMORT_AND_WRITE_DOWNS</stp>
        <stp>FY 2017</stp>
        <stp>FY 2017</stp>
        <stp>[FA1_ymffleas.xlsx]Income - As Reported!R20C11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" s="11"/>
      </tp>
      <tp t="s">
        <v>—</v>
        <stp/>
        <stp>##V3_BDHV12</stp>
        <stp>RCOM IN Equity</stp>
        <stp>ARD_DEPR_AMORT_AND_WRITE_DOWNS</stp>
        <stp>FY 2016</stp>
        <stp>FY 2016</stp>
        <stp>[FA1_ymffleas.xlsx]Income - As Reported!R20C10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" s="11"/>
      </tp>
      <tp>
        <v>-2094.9</v>
        <stp/>
        <stp>##V3_BDHV12</stp>
        <stp>RCOM IN Equity</stp>
        <stp>IS_GAIN_LOSS_ON_INVESTMENTS</stp>
        <stp>FY 2010</stp>
        <stp>FY 2010</stp>
        <stp>[FA1_ymffleas.xlsx]Income - Adjusted!R70C3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0" s="9"/>
      </tp>
      <tp>
        <v>-90</v>
        <stp/>
        <stp>##V3_BDHV12</stp>
        <stp>RCOM IN Equity</stp>
        <stp>IS_GAIN_LOSS_ON_INVESTMENTS</stp>
        <stp>FY 2014</stp>
        <stp>FY 2014</stp>
        <stp>[FA1_ymffleas.xlsx]Income - Adjusted!R70C7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0" s="9"/>
      </tp>
      <tp>
        <v>-350</v>
        <stp/>
        <stp>##V3_BDHV12</stp>
        <stp>RCOM IN Equity</stp>
        <stp>IS_GAIN_LOSS_ON_INVESTMENTS</stp>
        <stp>FY 2013</stp>
        <stp>FY 2013</stp>
        <stp>[FA1_ymffleas.xlsx]Income - Adjusted!R70C6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0" s="9"/>
      </tp>
      <tp>
        <v>-230</v>
        <stp/>
        <stp>##V3_BDHV12</stp>
        <stp>RCOM IN Equity</stp>
        <stp>IS_GAIN_LOSS_ON_INVESTMENTS</stp>
        <stp>FY 2012</stp>
        <stp>FY 2012</stp>
        <stp>[FA1_ymffleas.xlsx]Income - Adjusted!R70C5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0" s="9"/>
      </tp>
      <tp>
        <v>-570</v>
        <stp/>
        <stp>##V3_BDHV12</stp>
        <stp>RCOM IN Equity</stp>
        <stp>IS_GAIN_LOSS_ON_INVESTMENTS</stp>
        <stp>FY 2011</stp>
        <stp>FY 2011</stp>
        <stp>[FA1_ymffleas.xlsx]Income - Adjusted!R70C4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0" s="9"/>
      </tp>
      <tp>
        <v>-30</v>
        <stp/>
        <stp>##V3_BDHV12</stp>
        <stp>RCOM IN Equity</stp>
        <stp>IS_GAIN_LOSS_ON_INVESTMENTS</stp>
        <stp>FY 2016</stp>
        <stp>FY 2016</stp>
        <stp>[FA1_ymffleas.xlsx]Income - Adjusted!R70C9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0" s="9"/>
      </tp>
      <tp>
        <v>-300</v>
        <stp/>
        <stp>##V3_BDHV12</stp>
        <stp>RCOM IN Equity</stp>
        <stp>IS_GAIN_LOSS_ON_INVESTMENTS</stp>
        <stp>FY 2015</stp>
        <stp>FY 2015</stp>
        <stp>[FA1_ymffleas.xlsx]Income - Adjusted!R70C8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0" s="9"/>
      </tp>
      <tp t="s">
        <v>—</v>
        <stp/>
        <stp>##V3_BDHV12</stp>
        <stp>RCOM IN Equity</stp>
        <stp>ARDR_INT_EXP_NET</stp>
        <stp>FY 2016</stp>
        <stp>FY 2016</stp>
        <stp>[FA1_ymffleas.xlsx]Income - As Reported!R74C10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4" s="11"/>
      </tp>
      <tp t="s">
        <v>—</v>
        <stp/>
        <stp>##V3_BDHV12</stp>
        <stp>RCOM IN Equity</stp>
        <stp>ARDR_INT_EXP_NET</stp>
        <stp>FY 2017</stp>
        <stp>FY 2017</stp>
        <stp>[FA1_ymffleas.xlsx]Income - As Reported!R74C11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4" s="11"/>
      </tp>
      <tp t="s">
        <v>—</v>
        <stp/>
        <stp>##V3_BDHV12</stp>
        <stp>RCOM IN Equity</stp>
        <stp>ARDR_INT_EXP_NET</stp>
        <stp>FY 2018</stp>
        <stp>FY 2018</stp>
        <stp>[FA1_ymffleas.xlsx]Income - As Reported!R74C12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4" s="11"/>
      </tp>
      <tp>
        <v>517100</v>
        <stp/>
        <stp>##V3_BDHV12</stp>
        <stp>RCOM IN Equity</stp>
        <stp>BS_NET_FIX_ASSET</stp>
        <stp>FY 2017</stp>
        <stp>FY 2017</stp>
        <stp>[FA1_ymffleas.xlsx]Bal Sheet - Standardized!R43C11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3" s="16"/>
      </tp>
      <tp>
        <v>525280</v>
        <stp/>
        <stp>##V3_BDHV12</stp>
        <stp>RCOM IN Equity</stp>
        <stp>BS_NET_FIX_ASSET</stp>
        <stp>FY 2016</stp>
        <stp>FY 2016</stp>
        <stp>[FA1_ymffleas.xlsx]Bal Sheet - Standardized!R43C10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3" s="16"/>
      </tp>
      <tp>
        <v>167660</v>
        <stp/>
        <stp>##V3_BDHV12</stp>
        <stp>RCOM IN Equity</stp>
        <stp>BS_NET_FIX_ASSET</stp>
        <stp>FY 2018</stp>
        <stp>FY 2018</stp>
        <stp>[FA1_ymffleas.xlsx]Bal Sheet - Standardized!R43C12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3" s="16"/>
      </tp>
      <tp t="s">
        <v>—</v>
        <stp/>
        <stp>##V3_BDHV12</stp>
        <stp>RCOM IN Equity</stp>
        <stp>GEO_GROW_NET_SALES</stp>
        <stp>FY 2011</stp>
        <stp>FY 2011</stp>
        <stp>[FA1_ymffleas.xlsx]Growth!R36C5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36" s="22"/>
      </tp>
      <tp>
        <v>55.757399999999997</v>
        <stp/>
        <stp>##V3_BDHV12</stp>
        <stp>RCOM IN Equity</stp>
        <stp>TOT_DEBT_TO_TOT_CAP</stp>
        <stp>FY 2014</stp>
        <stp>FY 2014</stp>
        <stp>[FA1_ymffleas.xlsx]Credit!R33C8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3" s="23"/>
      </tp>
      <tp>
        <v>50.966700000000003</v>
        <stp/>
        <stp>##V3_BDHV12</stp>
        <stp>RCOM IN Equity</stp>
        <stp>TOT_DEBT_TO_TOT_CAP</stp>
        <stp>FY 2015</stp>
        <stp>FY 2015</stp>
        <stp>[FA1_ymffleas.xlsx]Credit!R33C9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3" s="23"/>
      </tp>
      <tp>
        <v>-84.149900000000002</v>
        <stp/>
        <stp>##V3_BDHV12</stp>
        <stp>RCOM IN Equity</stp>
        <stp>OPERATING_INCOME_SEQ_GROWTH</stp>
        <stp>FY 2017</stp>
        <stp>FY 2017</stp>
        <stp>[FA1_ymffleas.xlsx]Growth!R62C11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62" s="22"/>
      </tp>
      <tp>
        <v>50.76</v>
        <stp/>
        <stp>##V3_BDHV12</stp>
        <stp>RCOM IN Equity</stp>
        <stp>TOT_DEBT_TO_TOT_CAP</stp>
        <stp>FY 2012</stp>
        <stp>FY 2012</stp>
        <stp>[FA1_ymffleas.xlsx]Credit!R33C6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3" s="23"/>
      </tp>
      <tp>
        <v>54.579500000000003</v>
        <stp/>
        <stp>##V3_BDHV12</stp>
        <stp>RCOM IN Equity</stp>
        <stp>TOT_DEBT_TO_TOT_CAP</stp>
        <stp>FY 2013</stp>
        <stp>FY 2013</stp>
        <stp>[FA1_ymffleas.xlsx]Credit!R33C7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3" s="23"/>
      </tp>
      <tp>
        <v>40.300600000000003</v>
        <stp/>
        <stp>##V3_BDHV12</stp>
        <stp>RCOM IN Equity</stp>
        <stp>TOT_DEBT_TO_TOT_CAP</stp>
        <stp>FY 2010</stp>
        <stp>FY 2010</stp>
        <stp>[FA1_ymffleas.xlsx]Credit!R33C4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3" s="23"/>
      </tp>
      <tp>
        <v>48.599400000000003</v>
        <stp/>
        <stp>##V3_BDHV12</stp>
        <stp>RCOM IN Equity</stp>
        <stp>TOT_DEBT_TO_TOT_CAP</stp>
        <stp>FY 2011</stp>
        <stp>FY 2011</stp>
        <stp>[FA1_ymffleas.xlsx]Credit!R33C5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3" s="23"/>
      </tp>
      <tp>
        <v>47.702100000000002</v>
        <stp/>
        <stp>##V3_BDHV12</stp>
        <stp>RCOM IN Equity</stp>
        <stp>TOT_DEBT_TO_TOT_CAP</stp>
        <stp>FY 2009</stp>
        <stp>FY 2009</stp>
        <stp>[FA1_ymffleas.xlsx]Credit!R33C3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3" s="23"/>
      </tp>
      <tp>
        <v>8172.9</v>
        <stp/>
        <stp>##V3_BDHV12</stp>
        <stp>RCOM IN Equity</stp>
        <stp>ARDR_ST_INVEST</stp>
        <stp>FY 2009</stp>
        <stp>FY 2009</stp>
        <stp>[FA1_ymffleas.xlsx]Bal Sheet - As Reported!R120C3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0" s="17"/>
      </tp>
      <tp>
        <v>1427</v>
        <stp/>
        <stp>##V3_BDHV12</stp>
        <stp>RCOM IN Equity</stp>
        <stp>ARDR_ST_INVEST</stp>
        <stp>FY 2010</stp>
        <stp>FY 2010</stp>
        <stp>[FA1_ymffleas.xlsx]Bal Sheet - As Reported!R120C4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0" s="17"/>
      </tp>
      <tp t="s">
        <v>—</v>
        <stp/>
        <stp>##V3_BDHV12</stp>
        <stp>RCOM IN Equity</stp>
        <stp>ARDR_ST_INVEST</stp>
        <stp>FY 2011</stp>
        <stp>FY 2011</stp>
        <stp>[FA1_ymffleas.xlsx]Bal Sheet - As Reported!R120C5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0" s="17"/>
      </tp>
      <tp t="s">
        <v>—</v>
        <stp/>
        <stp>##V3_BDHV12</stp>
        <stp>RCOM IN Equity</stp>
        <stp>ARDR_ST_INVEST</stp>
        <stp>FY 2012</stp>
        <stp>FY 2012</stp>
        <stp>[FA1_ymffleas.xlsx]Bal Sheet - As Reported!R120C6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0" s="17"/>
      </tp>
      <tp t="s">
        <v>—</v>
        <stp/>
        <stp>##V3_BDHV12</stp>
        <stp>RCOM IN Equity</stp>
        <stp>ARDR_ST_INVEST</stp>
        <stp>FY 2013</stp>
        <stp>FY 2013</stp>
        <stp>[FA1_ymffleas.xlsx]Bal Sheet - As Reported!R120C7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0" s="17"/>
      </tp>
      <tp t="s">
        <v>—</v>
        <stp/>
        <stp>##V3_BDHV12</stp>
        <stp>RCOM IN Equity</stp>
        <stp>ARDR_ST_INVEST</stp>
        <stp>FY 2014</stp>
        <stp>FY 2014</stp>
        <stp>[FA1_ymffleas.xlsx]Bal Sheet - As Reported!R120C8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0" s="17"/>
      </tp>
      <tp t="s">
        <v>—</v>
        <stp/>
        <stp>##V3_BDHV12</stp>
        <stp>RCOM IN Equity</stp>
        <stp>ARDR_ST_INVEST</stp>
        <stp>FY 2015</stp>
        <stp>FY 2015</stp>
        <stp>[FA1_ymffleas.xlsx]Bal Sheet - As Reported!R120C9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0" s="17"/>
      </tp>
      <tp>
        <v>0</v>
        <stp/>
        <stp>##V3_BDHV12</stp>
        <stp>RCOM IN Equity</stp>
        <stp>IS_OPERATING_EXPENSES_R&amp;D</stp>
        <stp>FY 2010</stp>
        <stp>FY 2010</stp>
        <stp>[FA1_ymffleas.xlsx]Income - GAAP!R27C3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27" s="10"/>
      </tp>
      <tp>
        <v>130</v>
        <stp/>
        <stp>##V3_BDHV12</stp>
        <stp>RCOM IN Equity</stp>
        <stp>BS_TAXES_PAYABLE</stp>
        <stp>FY 2018</stp>
        <stp>FY 2018</stp>
        <stp>[FA1_ymffleas.xlsx]Bal Sheet - Standardized!R79C12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9" s="16"/>
      </tp>
      <tp>
        <v>120</v>
        <stp/>
        <stp>##V3_BDHV12</stp>
        <stp>RCOM IN Equity</stp>
        <stp>BS_TAXES_PAYABLE</stp>
        <stp>FY 2017</stp>
        <stp>FY 2017</stp>
        <stp>[FA1_ymffleas.xlsx]Bal Sheet - Standardized!R79C11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9" s="16"/>
      </tp>
      <tp>
        <v>250</v>
        <stp/>
        <stp>##V3_BDHV12</stp>
        <stp>RCOM IN Equity</stp>
        <stp>BS_TAXES_PAYABLE</stp>
        <stp>FY 2016</stp>
        <stp>FY 2016</stp>
        <stp>[FA1_ymffleas.xlsx]Bal Sheet - Standardized!R79C10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9" s="16"/>
      </tp>
      <tp>
        <v>0</v>
        <stp/>
        <stp>##V3_BDHV12</stp>
        <stp>RCOM IN Equity</stp>
        <stp>IS_OPERATING_EXPENSES_R&amp;D</stp>
        <stp>FY 2014</stp>
        <stp>FY 2014</stp>
        <stp>[FA1_ymffleas.xlsx]Income - GAAP!R27C7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27" s="10"/>
      </tp>
      <tp>
        <v>0</v>
        <stp/>
        <stp>##V3_BDHV12</stp>
        <stp>RCOM IN Equity</stp>
        <stp>IS_OPERATING_EXPENSES_R&amp;D</stp>
        <stp>FY 2013</stp>
        <stp>FY 2013</stp>
        <stp>[FA1_ymffleas.xlsx]Income - GAAP!R27C6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27" s="10"/>
      </tp>
      <tp>
        <v>0</v>
        <stp/>
        <stp>##V3_BDHV12</stp>
        <stp>RCOM IN Equity</stp>
        <stp>IS_OPERATING_EXPENSES_R&amp;D</stp>
        <stp>FY 2012</stp>
        <stp>FY 2012</stp>
        <stp>[FA1_ymffleas.xlsx]Income - GAAP!R27C5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27" s="10"/>
      </tp>
      <tp>
        <v>10.4613</v>
        <stp/>
        <stp>##V3_BDHV12</stp>
        <stp>RCOM IN Equity</stp>
        <stp>SUSTAIN_GROWTH_RT</stp>
        <stp>FY 2010</stp>
        <stp>FY 2010</stp>
        <stp>[FA1_ymffleas.xlsx]DuPont Analysis!R23C4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3" s="27"/>
      </tp>
      <tp>
        <v>0</v>
        <stp/>
        <stp>##V3_BDHV12</stp>
        <stp>RCOM IN Equity</stp>
        <stp>IS_OPERATING_EXPENSES_R&amp;D</stp>
        <stp>FY 2011</stp>
        <stp>FY 2011</stp>
        <stp>[FA1_ymffleas.xlsx]Income - GAAP!R27C4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27" s="10"/>
      </tp>
      <tp>
        <v>0</v>
        <stp/>
        <stp>##V3_BDHV12</stp>
        <stp>RCOM IN Equity</stp>
        <stp>BS_DERIVATIVE_&amp;_HEDGING_LIABS_ST</stp>
        <stp>FY 2018</stp>
        <stp>FY 2018</stp>
        <stp>[FA1_ymffleas.xlsx]Bal Sheet - Standardized!R97C12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7" s="16"/>
      </tp>
      <tp t="s">
        <v>—</v>
        <stp/>
        <stp>##V3_BDHV12</stp>
        <stp>RCOM IN Equity</stp>
        <stp>BS_DERIVATIVE_&amp;_HEDGING_LIABS_ST</stp>
        <stp>FY 2016</stp>
        <stp>FY 2016</stp>
        <stp>[FA1_ymffleas.xlsx]Bal Sheet - Standardized!R97C10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7" s="16"/>
      </tp>
      <tp>
        <v>0</v>
        <stp/>
        <stp>##V3_BDHV12</stp>
        <stp>RCOM IN Equity</stp>
        <stp>BS_DERIVATIVE_&amp;_HEDGING_LIABS_ST</stp>
        <stp>FY 2017</stp>
        <stp>FY 2017</stp>
        <stp>[FA1_ymffleas.xlsx]Bal Sheet - Standardized!R97C11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7" s="16"/>
      </tp>
      <tp>
        <v>0</v>
        <stp/>
        <stp>##V3_BDHV12</stp>
        <stp>RCOM IN Equity</stp>
        <stp>IS_OPERATING_EXPENSES_R&amp;D</stp>
        <stp>FY 2016</stp>
        <stp>FY 2016</stp>
        <stp>[FA1_ymffleas.xlsx]Income - GAAP!R27C9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27" s="10"/>
      </tp>
      <tp>
        <v>0</v>
        <stp/>
        <stp>##V3_BDHV12</stp>
        <stp>RCOM IN Equity</stp>
        <stp>IS_OPERATING_EXPENSES_R&amp;D</stp>
        <stp>FY 2015</stp>
        <stp>FY 2015</stp>
        <stp>[FA1_ymffleas.xlsx]Income - GAAP!R27C8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27" s="10"/>
      </tp>
      <tp>
        <v>233000</v>
        <stp/>
        <stp>##V3_BDHV12</stp>
        <stp>RCOM IN Equity</stp>
        <stp>SHORT_TERM_DEBT_DETAILED</stp>
        <stp>FY 2018</stp>
        <stp>FY 2018</stp>
        <stp>[FA1_ymffleas.xlsx]Bal Sheet - Standardized!R87C12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7" s="16"/>
      </tp>
      <tp>
        <v>43640</v>
        <stp/>
        <stp>##V3_BDHV12</stp>
        <stp>RCOM IN Equity</stp>
        <stp>SHORT_TERM_DEBT_DETAILED</stp>
        <stp>FY 2016</stp>
        <stp>FY 2016</stp>
        <stp>[FA1_ymffleas.xlsx]Bal Sheet - Standardized!R87C10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7" s="16"/>
      </tp>
      <tp>
        <v>94970</v>
        <stp/>
        <stp>##V3_BDHV12</stp>
        <stp>RCOM IN Equity</stp>
        <stp>SHORT_TERM_DEBT_DETAILED</stp>
        <stp>FY 2017</stp>
        <stp>FY 2017</stp>
        <stp>[FA1_ymffleas.xlsx]Bal Sheet - Standardized!R87C11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7" s="16"/>
      </tp>
      <tp>
        <v>0.55010000000000003</v>
        <stp/>
        <stp>##V3_BDHV12</stp>
        <stp>RCOM IN Equity</stp>
        <stp>EBITDA_AFT_CAPEX_TO_CASH_INT_PD</stp>
        <stp>FY 2012</stp>
        <stp>FY 2012</stp>
        <stp>[FA1_ymffleas.xlsx]Credit!R21C6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1" s="23"/>
      </tp>
      <tp>
        <v>-2800</v>
        <stp/>
        <stp>##V3_BDHV12</stp>
        <stp>RCOM IN Equity</stp>
        <stp>ARD_CUR_INCOME_TAX_EXP_BENEFIT</stp>
        <stp>FY 2011</stp>
        <stp>FY 2011</stp>
        <stp>[FA1_ymffleas.xlsx]Income - As Reported!R28C5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8" s="11"/>
      </tp>
      <tp>
        <v>3725</v>
        <stp/>
        <stp>##V3_BDHV12</stp>
        <stp>RCOM IN Equity</stp>
        <stp>ARD_CUR_INCOME_TAX_EXP_BENEFIT</stp>
        <stp>FY 2010</stp>
        <stp>FY 2010</stp>
        <stp>[FA1_ymffleas.xlsx]Income - As Reported!R28C4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8" s="11"/>
      </tp>
      <tp>
        <v>710</v>
        <stp/>
        <stp>##V3_BDHV12</stp>
        <stp>RCOM IN Equity</stp>
        <stp>ARD_CUR_INCOME_TAX_EXP_BENEFIT</stp>
        <stp>FY 2013</stp>
        <stp>FY 2013</stp>
        <stp>[FA1_ymffleas.xlsx]Income - As Reported!R28C7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8" s="11"/>
      </tp>
      <tp>
        <v>-1060</v>
        <stp/>
        <stp>##V3_BDHV12</stp>
        <stp>RCOM IN Equity</stp>
        <stp>ARD_CUR_INCOME_TAX_EXP_BENEFIT</stp>
        <stp>FY 2012</stp>
        <stp>FY 2012</stp>
        <stp>[FA1_ymffleas.xlsx]Income - As Reported!R28C6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8" s="11"/>
      </tp>
      <tp>
        <v>489.9</v>
        <stp/>
        <stp>##V3_BDHV12</stp>
        <stp>RCOM IN Equity</stp>
        <stp>ARD_CUR_INCOME_TAX_EXP_BENEFIT</stp>
        <stp>FY 2009</stp>
        <stp>FY 2009</stp>
        <stp>[FA1_ymffleas.xlsx]Income - As Reported!R28C3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8" s="11"/>
      </tp>
      <tp>
        <v>1080</v>
        <stp/>
        <stp>##V3_BDHV12</stp>
        <stp>RCOM IN Equity</stp>
        <stp>ARD_CUR_INCOME_TAX_EXP_BENEFIT</stp>
        <stp>FY 2015</stp>
        <stp>FY 2015</stp>
        <stp>[FA1_ymffleas.xlsx]Income - As Reported!R28C9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8" s="11"/>
      </tp>
      <tp>
        <v>360</v>
        <stp/>
        <stp>##V3_BDHV12</stp>
        <stp>RCOM IN Equity</stp>
        <stp>ARD_CUR_INCOME_TAX_EXP_BENEFIT</stp>
        <stp>FY 2014</stp>
        <stp>FY 2014</stp>
        <stp>[FA1_ymffleas.xlsx]Income - As Reported!R28C8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8" s="11"/>
      </tp>
      <tp>
        <v>93.727599999999995</v>
        <stp/>
        <stp>##V3_BDHV12</stp>
        <stp>RCOM IN Equity</stp>
        <stp>NET_DEBT_%_CAPITAL</stp>
        <stp>FY 2018</stp>
        <stp>FY 2018</stp>
        <stp>[FA1_ymffleas.xlsx]Credit!R37C12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37" s="23"/>
      </tp>
      <tp>
        <v>56.918799999999997</v>
        <stp/>
        <stp>##V3_BDHV12</stp>
        <stp>RCOM IN Equity</stp>
        <stp>NET_DEBT_%_CAPITAL</stp>
        <stp>FY 2016</stp>
        <stp>FY 2016</stp>
        <stp>[FA1_ymffleas.xlsx]Credit!R37C10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7" s="23"/>
      </tp>
      <tp>
        <v>60.526200000000003</v>
        <stp/>
        <stp>##V3_BDHV12</stp>
        <stp>RCOM IN Equity</stp>
        <stp>NET_DEBT_%_CAPITAL</stp>
        <stp>FY 2017</stp>
        <stp>FY 2017</stp>
        <stp>[FA1_ymffleas.xlsx]Credit!R37C11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7" s="23"/>
      </tp>
      <tp>
        <v>55.521500000000003</v>
        <stp/>
        <stp>##V3_BDHV12</stp>
        <stp>RCOM IN Equity</stp>
        <stp>DILUTED_EPS_AFT_XO_ITEMS_GROWTH</stp>
        <stp>FY 2014</stp>
        <stp>FY 2014</stp>
        <stp>[FA1_ymffleas.xlsx]Growth!R11C8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1" s="22"/>
      </tp>
      <tp t="s">
        <v>—</v>
        <stp/>
        <stp>##V3_BDHV12</stp>
        <stp>RCOM IN Equity</stp>
        <stp>ARDR_FIXED_DEPOSITS</stp>
        <stp>FY 2013</stp>
        <stp>FY 2013</stp>
        <stp>[FA1_ymffleas.xlsx]Bal Sheet - As Reported!R156C7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6" s="17"/>
      </tp>
      <tp t="s">
        <v>—</v>
        <stp/>
        <stp>##V3_BDHV12</stp>
        <stp>RCOM IN Equity</stp>
        <stp>ARDR_FIXED_DEPOSITS</stp>
        <stp>FY 2012</stp>
        <stp>FY 2012</stp>
        <stp>[FA1_ymffleas.xlsx]Bal Sheet - As Reported!R156C6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6" s="17"/>
      </tp>
      <tp t="s">
        <v>—</v>
        <stp/>
        <stp>##V3_BDHV12</stp>
        <stp>RCOM IN Equity</stp>
        <stp>ARDR_FIXED_DEPOSITS</stp>
        <stp>FY 2011</stp>
        <stp>FY 2011</stp>
        <stp>[FA1_ymffleas.xlsx]Bal Sheet - As Reported!R156C5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6" s="17"/>
      </tp>
      <tp>
        <v>2605.1</v>
        <stp/>
        <stp>##V3_BDHV12</stp>
        <stp>RCOM IN Equity</stp>
        <stp>ARDR_FIXED_DEPOSITS</stp>
        <stp>FY 2010</stp>
        <stp>FY 2010</stp>
        <stp>[FA1_ymffleas.xlsx]Bal Sheet - As Reported!R156C4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6" s="17"/>
      </tp>
      <tp>
        <v>6305.1</v>
        <stp/>
        <stp>##V3_BDHV12</stp>
        <stp>RCOM IN Equity</stp>
        <stp>ARDR_FIXED_DEPOSITS</stp>
        <stp>FY 2009</stp>
        <stp>FY 2009</stp>
        <stp>[FA1_ymffleas.xlsx]Bal Sheet - As Reported!R156C3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6" s="17"/>
      </tp>
      <tp t="s">
        <v>—</v>
        <stp/>
        <stp>##V3_BDHV12</stp>
        <stp>RCOM IN Equity</stp>
        <stp>ARDR_FIXED_DEPOSITS</stp>
        <stp>FY 2015</stp>
        <stp>FY 2015</stp>
        <stp>[FA1_ymffleas.xlsx]Bal Sheet - As Reported!R156C9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6" s="17"/>
      </tp>
      <tp t="s">
        <v>—</v>
        <stp/>
        <stp>##V3_BDHV12</stp>
        <stp>RCOM IN Equity</stp>
        <stp>ARDR_FIXED_DEPOSITS</stp>
        <stp>FY 2014</stp>
        <stp>FY 2014</stp>
        <stp>[FA1_ymffleas.xlsx]Bal Sheet - As Reported!R156C8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6" s="17"/>
      </tp>
      <tp t="s">
        <v>—</v>
        <stp/>
        <stp>##V3_BDHV12</stp>
        <stp>RCOM IN Equity</stp>
        <stp>ARDR_LOSS_GAIN_DISPOS_LT_INVEST</stp>
        <stp>FY 2016</stp>
        <stp>FY 2016</stp>
        <stp>[FA1_ymffleas.xlsx]Income - As Reported!R108C10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8" s="11"/>
      </tp>
      <tp t="s">
        <v>—</v>
        <stp/>
        <stp>##V3_BDHV12</stp>
        <stp>RCOM IN Equity</stp>
        <stp>ARDR_LOSS_GAIN_DISPOS_LT_INVEST</stp>
        <stp>FY 2017</stp>
        <stp>FY 2017</stp>
        <stp>[FA1_ymffleas.xlsx]Income - As Reported!R108C11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8" s="11"/>
      </tp>
      <tp t="s">
        <v>—</v>
        <stp/>
        <stp>##V3_BDHV12</stp>
        <stp>RCOM IN Equity</stp>
        <stp>ARDR_LOSS_GAIN_DISPOS_LT_INVEST</stp>
        <stp>FY 2018</stp>
        <stp>FY 2018</stp>
        <stp>[FA1_ymffleas.xlsx]Income - As Reported!R108C12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8" s="11"/>
      </tp>
      <tp>
        <v>-25.220800000000001</v>
        <stp/>
        <stp>##V3_BDHV12</stp>
        <stp>RCOM IN Equity</stp>
        <stp>ASSET_GROWTH</stp>
        <stp>FY 2018</stp>
        <stp>FY 2018</stp>
        <stp>[FA1_ymffleas.xlsx]Growth!R19C12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9" s="22"/>
      </tp>
      <tp>
        <v>-3.5987</v>
        <stp/>
        <stp>##V3_BDHV12</stp>
        <stp>RCOM IN Equity</stp>
        <stp>ASSET_GROWTH</stp>
        <stp>FY 2017</stp>
        <stp>FY 2017</stp>
        <stp>[FA1_ymffleas.xlsx]Growth!R19C11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9" s="22"/>
      </tp>
      <tp>
        <v>11.214600000000001</v>
        <stp/>
        <stp>##V3_BDHV12</stp>
        <stp>RCOM IN Equity</stp>
        <stp>ASSET_GROWTH</stp>
        <stp>FY 2016</stp>
        <stp>FY 2016</stp>
        <stp>[FA1_ymffleas.xlsx]Growth!R19C10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9" s="22"/>
      </tp>
      <tp>
        <v>2064.0268999999998</v>
        <stp/>
        <stp>##V3_BDHV12</stp>
        <stp>RCOM IN Equity</stp>
        <stp>IS_AVG_NUM_SH_FOR_EPS</stp>
        <stp>FY 2010</stp>
        <stp>FY 2010</stp>
        <stp>[FA1_ymffleas.xlsx]GAAP Highlights!R11C4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1" s="3"/>
      </tp>
      <tp>
        <v>10542.611000000001</v>
        <stp/>
        <stp>##V3_BDHV12</stp>
        <stp>RCOM IN Equity</stp>
        <stp>EARN_FOR_COMMON</stp>
        <stp>FY 2014</stp>
        <stp>FY 2014</stp>
        <stp>[FA1_ymffleas.xlsx]Income - GAAP!R83C7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83" s="10"/>
      </tp>
      <tp>
        <v>2064.0268999999998</v>
        <stp/>
        <stp>##V3_BDHV12</stp>
        <stp>RCOM IN Equity</stp>
        <stp>IS_AVG_NUM_SH_FOR_EPS</stp>
        <stp>FY 2011</stp>
        <stp>FY 2011</stp>
        <stp>[FA1_ymffleas.xlsx]GAAP Highlights!R11C5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1" s="3"/>
      </tp>
      <tp>
        <v>6686.9949999999999</v>
        <stp/>
        <stp>##V3_BDHV12</stp>
        <stp>RCOM IN Equity</stp>
        <stp>EARN_FOR_COMMON</stp>
        <stp>FY 2013</stp>
        <stp>FY 2013</stp>
        <stp>[FA1_ymffleas.xlsx]Income - GAAP!R83C6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83" s="10"/>
      </tp>
      <tp>
        <v>2064.0268999999998</v>
        <stp/>
        <stp>##V3_BDHV12</stp>
        <stp>RCOM IN Equity</stp>
        <stp>IS_AVG_NUM_SH_FOR_EPS</stp>
        <stp>FY 2012</stp>
        <stp>FY 2012</stp>
        <stp>[FA1_ymffleas.xlsx]GAAP Highlights!R11C6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1" s="3"/>
      </tp>
      <tp>
        <v>11576.7</v>
        <stp/>
        <stp>##V3_BDHV12</stp>
        <stp>RCOM IN Equity</stp>
        <stp>EARN_FOR_COMMON</stp>
        <stp>FY 2012</stp>
        <stp>FY 2012</stp>
        <stp>[FA1_ymffleas.xlsx]Income - GAAP!R83C5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83" s="10"/>
      </tp>
      <tp>
        <v>2064.0268999999998</v>
        <stp/>
        <stp>##V3_BDHV12</stp>
        <stp>RCOM IN Equity</stp>
        <stp>IS_AVG_NUM_SH_FOR_EPS</stp>
        <stp>FY 2013</stp>
        <stp>FY 2013</stp>
        <stp>[FA1_ymffleas.xlsx]GAAP Highlights!R11C7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1" s="3"/>
      </tp>
      <tp>
        <v>10829.2125</v>
        <stp/>
        <stp>##V3_BDHV12</stp>
        <stp>RCOM IN Equity</stp>
        <stp>EARN_FOR_COMMON</stp>
        <stp>FY 2011</stp>
        <stp>FY 2011</stp>
        <stp>[FA1_ymffleas.xlsx]Income - GAAP!R83C4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83" s="10"/>
      </tp>
      <tp>
        <v>47190.099000000002</v>
        <stp/>
        <stp>##V3_BDHV12</stp>
        <stp>RCOM IN Equity</stp>
        <stp>EARN_FOR_COMMON</stp>
        <stp>FY 2010</stp>
        <stp>FY 2010</stp>
        <stp>[FA1_ymffleas.xlsx]Income - GAAP!R83C3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83" s="10"/>
      </tp>
      <tp>
        <v>2.9695999999999998</v>
        <stp/>
        <stp>##V3_BDHV12</stp>
        <stp>RCOM IN Equity</stp>
        <stp>IS_DIL_EPS_CONT_OPS</stp>
        <stp>FY 2015</stp>
        <stp>FY 2015</stp>
        <stp>[FA1_ymffleas.xlsx]Per Share!R19C8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9" s="7"/>
      </tp>
      <tp>
        <v>2.0196999999999998</v>
        <stp/>
        <stp>##V3_BDHV12</stp>
        <stp>RCOM IN Equity</stp>
        <stp>IS_DIL_EPS_CONT_OPS</stp>
        <stp>FY 2016</stp>
        <stp>FY 2016</stp>
        <stp>[FA1_ymffleas.xlsx]Per Share!R19C9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9" s="7"/>
      </tp>
      <tp>
        <v>2064.0268999999998</v>
        <stp/>
        <stp>##V3_BDHV12</stp>
        <stp>RCOM IN Equity</stp>
        <stp>IS_AVG_NUM_SH_FOR_EPS</stp>
        <stp>FY 2009</stp>
        <stp>FY 2009</stp>
        <stp>[FA1_ymffleas.xlsx]GAAP Highlights!R11C3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1" s="3"/>
      </tp>
      <tp>
        <v>5.0293999999999999</v>
        <stp/>
        <stp>##V3_BDHV12</stp>
        <stp>RCOM IN Equity</stp>
        <stp>IS_DIL_EPS_CONT_OPS</stp>
        <stp>FY 2011</stp>
        <stp>FY 2011</stp>
        <stp>[FA1_ymffleas.xlsx]Per Share!R19C4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9" s="7"/>
      </tp>
      <tp>
        <v>5.5015999999999998</v>
        <stp/>
        <stp>##V3_BDHV12</stp>
        <stp>RCOM IN Equity</stp>
        <stp>IS_DIL_EPS_CONT_OPS</stp>
        <stp>FY 2012</stp>
        <stp>FY 2012</stp>
        <stp>[FA1_ymffleas.xlsx]Per Share!R19C5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9" s="7"/>
      </tp>
      <tp>
        <v>4.5</v>
        <stp/>
        <stp>##V3_BDHV12</stp>
        <stp>RCOM IN Equity</stp>
        <stp>IS_EPS</stp>
        <stp>FY 2012</stp>
        <stp>FY 2012</stp>
        <stp>[FA1_ymffleas.xlsx]Income - Adjusted!R110C5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10" s="9"/>
      </tp>
      <tp>
        <v>3.2397999999999998</v>
        <stp/>
        <stp>##V3_BDHV12</stp>
        <stp>RCOM IN Equity</stp>
        <stp>IS_DIL_EPS_CONT_OPS</stp>
        <stp>FY 2013</stp>
        <stp>FY 2013</stp>
        <stp>[FA1_ymffleas.xlsx]Per Share!R19C6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9" s="7"/>
      </tp>
      <tp>
        <v>5.1078000000000001</v>
        <stp/>
        <stp>##V3_BDHV12</stp>
        <stp>RCOM IN Equity</stp>
        <stp>IS_DIL_EPS_CONT_OPS</stp>
        <stp>FY 2014</stp>
        <stp>FY 2014</stp>
        <stp>[FA1_ymffleas.xlsx]Per Share!R19C7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9" s="7"/>
      </tp>
      <tp>
        <v>2064.0268999999998</v>
        <stp/>
        <stp>##V3_BDHV12</stp>
        <stp>RCOM IN Equity</stp>
        <stp>IS_AVG_NUM_SH_FOR_EPS</stp>
        <stp>FY 2014</stp>
        <stp>FY 2014</stp>
        <stp>[FA1_ymffleas.xlsx]GAAP Highlights!R11C8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1" s="3"/>
      </tp>
      <tp>
        <v>2333.9049</v>
        <stp/>
        <stp>##V3_BDHV12</stp>
        <stp>RCOM IN Equity</stp>
        <stp>IS_AVG_NUM_SH_FOR_EPS</stp>
        <stp>FY 2015</stp>
        <stp>FY 2015</stp>
        <stp>[FA1_ymffleas.xlsx]GAAP Highlights!R11C9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1" s="3"/>
      </tp>
      <tp>
        <v>4984.1149999999998</v>
        <stp/>
        <stp>##V3_BDHV12</stp>
        <stp>RCOM IN Equity</stp>
        <stp>EARN_FOR_COMMON</stp>
        <stp>FY 2016</stp>
        <stp>FY 2016</stp>
        <stp>[FA1_ymffleas.xlsx]Income - GAAP!R83C9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83" s="10"/>
      </tp>
      <tp>
        <v>6930.7520000000004</v>
        <stp/>
        <stp>##V3_BDHV12</stp>
        <stp>RCOM IN Equity</stp>
        <stp>EARN_FOR_COMMON</stp>
        <stp>FY 2015</stp>
        <stp>FY 2015</stp>
        <stp>[FA1_ymffleas.xlsx]Income - GAAP!R83C8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83" s="10"/>
      </tp>
      <tp>
        <v>21.916599999999999</v>
        <stp/>
        <stp>##V3_BDHV12</stp>
        <stp>RCOM IN Equity</stp>
        <stp>IS_DIL_EPS_CONT_OPS</stp>
        <stp>FY 2010</stp>
        <stp>FY 2010</stp>
        <stp>[FA1_ymffleas.xlsx]Per Share!R19C3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9" s="7"/>
      </tp>
      <tp t="s">
        <v>—</v>
        <stp/>
        <stp>##V3_BDHV12</stp>
        <stp>RCOM IN Equity</stp>
        <stp>NET_INCOME_TO_COMMON_5_YR_GROWTH</stp>
        <stp>FY 2009</stp>
        <stp>FY 2009</stp>
        <stp>[FA1_ymffleas.xlsx]Growth!R39C3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39" s="22"/>
      </tp>
      <tp>
        <v>3.26</v>
        <stp/>
        <stp>##V3_BDHV12</stp>
        <stp>RCOM IN Equity</stp>
        <stp>TRAIL_12M_EPS</stp>
        <stp>FY 2013</stp>
        <stp>FY 2013</stp>
        <stp>[FA1_ymffleas.xlsx]Addl - Overview!R17C6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7" s="29"/>
      </tp>
      <tp>
        <v>2064.0268999999998</v>
        <stp/>
        <stp>##V3_BDHV12</stp>
        <stp>RCOM IN Equity</stp>
        <stp>BS_SH_OUT</stp>
        <stp>FY 2014</stp>
        <stp>FY 2014</stp>
        <stp>[FA1_ymffleas.xlsx]Per Share!R6C7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" s="7"/>
      </tp>
      <tp>
        <v>5.07</v>
        <stp/>
        <stp>##V3_BDHV12</stp>
        <stp>RCOM IN Equity</stp>
        <stp>TRAIL_12M_EPS</stp>
        <stp>FY 2014</stp>
        <stp>FY 2014</stp>
        <stp>[FA1_ymffleas.xlsx]Addl - Overview!R17C7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7" s="29"/>
      </tp>
      <tp>
        <v>2064.0268999999998</v>
        <stp/>
        <stp>##V3_BDHV12</stp>
        <stp>RCOM IN Equity</stp>
        <stp>BS_SH_OUT</stp>
        <stp>FY 2013</stp>
        <stp>FY 2013</stp>
        <stp>[FA1_ymffleas.xlsx]Per Share!R6C6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" s="7"/>
      </tp>
      <tp>
        <v>6.5164</v>
        <stp/>
        <stp>##V3_BDHV12</stp>
        <stp>RCOM IN Equity</stp>
        <stp>TRAIL_12M_EPS</stp>
        <stp>FY 2011</stp>
        <stp>FY 2011</stp>
        <stp>[FA1_ymffleas.xlsx]Addl - Overview!R17C4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7" s="29"/>
      </tp>
      <tp>
        <v>6340</v>
        <stp/>
        <stp>##V3_BDHV12</stp>
        <stp>RCOM IN Equity</stp>
        <stp>IS_SG&amp;A_EXPENSE</stp>
        <stp>FY 2017</stp>
        <stp>FY 2017</stp>
        <stp>[FA1_ymffleas.xlsx]Income - Adjusted!R21C10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21" s="9"/>
      </tp>
      <tp>
        <v>2064.0268999999998</v>
        <stp/>
        <stp>##V3_BDHV12</stp>
        <stp>RCOM IN Equity</stp>
        <stp>BS_SH_OUT</stp>
        <stp>FY 2012</stp>
        <stp>FY 2012</stp>
        <stp>[FA1_ymffleas.xlsx]Per Share!R6C5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" s="7"/>
      </tp>
      <tp>
        <v>4.5</v>
        <stp/>
        <stp>##V3_BDHV12</stp>
        <stp>RCOM IN Equity</stp>
        <stp>TRAIL_12M_EPS</stp>
        <stp>FY 2012</stp>
        <stp>FY 2012</stp>
        <stp>[FA1_ymffleas.xlsx]Addl - Overview!R17C5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7" s="29"/>
      </tp>
      <tp>
        <v>5310</v>
        <stp/>
        <stp>##V3_BDHV12</stp>
        <stp>RCOM IN Equity</stp>
        <stp>IS_SG&amp;A_EXPENSE</stp>
        <stp>FY 2018</stp>
        <stp>FY 2018</stp>
        <stp>[FA1_ymffleas.xlsx]Income - Adjusted!R21C11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21" s="9"/>
      </tp>
      <tp>
        <v>2064.0268999999998</v>
        <stp/>
        <stp>##V3_BDHV12</stp>
        <stp>RCOM IN Equity</stp>
        <stp>BS_SH_OUT</stp>
        <stp>FY 2011</stp>
        <stp>FY 2011</stp>
        <stp>[FA1_ymffleas.xlsx]Per Share!R6C4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" s="7"/>
      </tp>
      <tp>
        <v>1580</v>
        <stp/>
        <stp>##V3_BDHV12</stp>
        <stp>RCOM IN Equity</stp>
        <stp>IS_OTHER_OPER_INC</stp>
        <stp>FY 2018</stp>
        <stp>FY 2018</stp>
        <stp>[FA1_ymffleas.xlsx]Income - Adjusted!R17C11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7" s="9"/>
      </tp>
      <tp>
        <v>2064.0268999999998</v>
        <stp/>
        <stp>##V3_BDHV12</stp>
        <stp>RCOM IN Equity</stp>
        <stp>BS_SH_OUT</stp>
        <stp>FY 2010</stp>
        <stp>FY 2010</stp>
        <stp>[FA1_ymffleas.xlsx]Per Share!R6C3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" s="7"/>
      </tp>
      <tp>
        <v>5.07</v>
        <stp/>
        <stp>##V3_BDHV12</stp>
        <stp>RCOM IN Equity</stp>
        <stp>IS_EPS</stp>
        <stp>FY 2014</stp>
        <stp>FY 2014</stp>
        <stp>[FA1_ymffleas.xlsx]GAAP Highlights!R9C8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9" s="3"/>
      </tp>
      <tp>
        <v>22.553000000000001</v>
        <stp/>
        <stp>##V3_BDHV12</stp>
        <stp>RCOM IN Equity</stp>
        <stp>TRAIL_12M_EPS</stp>
        <stp>FY 2010</stp>
        <stp>FY 2010</stp>
        <stp>[FA1_ymffleas.xlsx]Addl - Overview!R17C3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7" s="29"/>
      </tp>
      <tp>
        <v>1180</v>
        <stp/>
        <stp>##V3_BDHV12</stp>
        <stp>RCOM IN Equity</stp>
        <stp>IS_OTHER_OPER_INC</stp>
        <stp>FY 2017</stp>
        <stp>FY 2017</stp>
        <stp>[FA1_ymffleas.xlsx]Income - Adjusted!R17C10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7" s="9"/>
      </tp>
      <tp t="s">
        <v>—</v>
        <stp/>
        <stp>##V3_BDHV12</stp>
        <stp>RCOM IN Equity</stp>
        <stp>ARD_NET_CHG_IN_WORKING_CAPITAL</stp>
        <stp>FY 2015</stp>
        <stp>FY 2015</stp>
        <stp>[FA1_ymffleas.xlsx]Cash Flow - As Reported!R14C9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" s="20"/>
      </tp>
      <tp t="s">
        <v>—</v>
        <stp/>
        <stp>##V3_BDHV12</stp>
        <stp>RCOM IN Equity</stp>
        <stp>ARD_NET_CHG_IN_WORKING_CAPITAL</stp>
        <stp>FY 2014</stp>
        <stp>FY 2014</stp>
        <stp>[FA1_ymffleas.xlsx]Cash Flow - As Reported!R14C8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" s="20"/>
      </tp>
      <tp t="s">
        <v>—</v>
        <stp/>
        <stp>##V3_BDHV12</stp>
        <stp>RCOM IN Equity</stp>
        <stp>ARD_NET_CHG_IN_WORKING_CAPITAL</stp>
        <stp>FY 2009</stp>
        <stp>FY 2009</stp>
        <stp>[FA1_ymffleas.xlsx]Cash Flow - As Reported!R14C3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" s="20"/>
      </tp>
      <tp t="s">
        <v>—</v>
        <stp/>
        <stp>##V3_BDHV12</stp>
        <stp>RCOM IN Equity</stp>
        <stp>ARD_NET_CHG_IN_WORKING_CAPITAL</stp>
        <stp>FY 2011</stp>
        <stp>FY 2011</stp>
        <stp>[FA1_ymffleas.xlsx]Cash Flow - As Reported!R14C5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" s="20"/>
      </tp>
      <tp t="s">
        <v>—</v>
        <stp/>
        <stp>##V3_BDHV12</stp>
        <stp>RCOM IN Equity</stp>
        <stp>ARD_NET_CHG_IN_WORKING_CAPITAL</stp>
        <stp>FY 2010</stp>
        <stp>FY 2010</stp>
        <stp>[FA1_ymffleas.xlsx]Cash Flow - As Reported!R14C4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" s="20"/>
      </tp>
      <tp t="s">
        <v>—</v>
        <stp/>
        <stp>##V3_BDHV12</stp>
        <stp>RCOM IN Equity</stp>
        <stp>ARD_NET_CHG_IN_WORKING_CAPITAL</stp>
        <stp>FY 2013</stp>
        <stp>FY 2013</stp>
        <stp>[FA1_ymffleas.xlsx]Cash Flow - As Reported!R14C7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" s="20"/>
      </tp>
      <tp t="s">
        <v>—</v>
        <stp/>
        <stp>##V3_BDHV12</stp>
        <stp>RCOM IN Equity</stp>
        <stp>ARD_NET_CHG_IN_WORKING_CAPITAL</stp>
        <stp>FY 2012</stp>
        <stp>FY 2012</stp>
        <stp>[FA1_ymffleas.xlsx]Cash Flow - As Reported!R14C6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" s="20"/>
      </tp>
      <tp>
        <v>3.05</v>
        <stp/>
        <stp>##V3_BDHV12</stp>
        <stp>RCOM IN Equity</stp>
        <stp>TRAIL_12M_EPS</stp>
        <stp>FY 2015</stp>
        <stp>FY 2015</stp>
        <stp>[FA1_ymffleas.xlsx]Addl - Overview!R17C8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7" s="29"/>
      </tp>
      <tp>
        <v>2488.9796999999999</v>
        <stp/>
        <stp>##V3_BDHV12</stp>
        <stp>RCOM IN Equity</stp>
        <stp>BS_SH_OUT</stp>
        <stp>FY 2016</stp>
        <stp>FY 2016</stp>
        <stp>[FA1_ymffleas.xlsx]Per Share!R6C9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" s="7"/>
      </tp>
      <tp>
        <v>2.59</v>
        <stp/>
        <stp>##V3_BDHV12</stp>
        <stp>RCOM IN Equity</stp>
        <stp>TRAIL_12M_EPS</stp>
        <stp>FY 2016</stp>
        <stp>FY 2016</stp>
        <stp>[FA1_ymffleas.xlsx]Addl - Overview!R17C9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7" s="29"/>
      </tp>
      <tp>
        <v>2488.9796999999999</v>
        <stp/>
        <stp>##V3_BDHV12</stp>
        <stp>RCOM IN Equity</stp>
        <stp>BS_SH_OUT</stp>
        <stp>FY 2015</stp>
        <stp>FY 2015</stp>
        <stp>[FA1_ymffleas.xlsx]Per Share!R6C8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" s="7"/>
      </tp>
      <tp>
        <v>5.0293999999999999</v>
        <stp/>
        <stp>##V3_BDHV12</stp>
        <stp>RCOM IN Equity</stp>
        <stp>IS_DILUTED_EPS</stp>
        <stp>FY 2011</stp>
        <stp>FY 2011</stp>
        <stp>[FA1_ymffleas.xlsx]Reconciliation!R51C4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D51" s="12"/>
      </tp>
      <tp>
        <v>0.50649999999999995</v>
        <stp/>
        <stp>##V3_BDHV12</stp>
        <stp>RCOM IN Equity</stp>
        <stp>IS_DIL_EPS_CONT_OPS</stp>
        <stp>FY 2017</stp>
        <stp>FY 2017</stp>
        <stp>[FA1_ymffleas.xlsx]Earnings!R16C11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" s="4"/>
      </tp>
      <tp>
        <v>2.0196999999999998</v>
        <stp/>
        <stp>##V3_BDHV12</stp>
        <stp>RCOM IN Equity</stp>
        <stp>IS_DIL_EPS_CONT_OPS</stp>
        <stp>FY 2016</stp>
        <stp>FY 2016</stp>
        <stp>[FA1_ymffleas.xlsx]Earnings!R16C10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" s="4"/>
      </tp>
      <tp>
        <v>0.18970000000000001</v>
        <stp/>
        <stp>##V3_BDHV12</stp>
        <stp>RCOM IN Equity</stp>
        <stp>IS_DIL_EPS_CONT_OPS</stp>
        <stp>FY 2018</stp>
        <stp>FY 2018</stp>
        <stp>[FA1_ymffleas.xlsx]Earnings!R16C12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" s="4"/>
      </tp>
      <tp>
        <v>0</v>
        <stp/>
        <stp>##V3_BDHV12</stp>
        <stp>RCOM IN Equity</stp>
        <stp>BS_AMT_OF_TSY_STOCK</stp>
        <stp>FY 2009</stp>
        <stp>FY 2009</stp>
        <stp>[FA1_ymffleas.xlsx]Bal Sheet - Standardized!R141C3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1" s="16"/>
      </tp>
      <tp>
        <v>0</v>
        <stp/>
        <stp>##V3_BDHV12</stp>
        <stp>RCOM IN Equity</stp>
        <stp>BS_AMT_OF_TSY_STOCK</stp>
        <stp>FY 2011</stp>
        <stp>FY 2011</stp>
        <stp>[FA1_ymffleas.xlsx]Bal Sheet - Standardized!R141C5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1" s="16"/>
      </tp>
      <tp>
        <v>0</v>
        <stp/>
        <stp>##V3_BDHV12</stp>
        <stp>RCOM IN Equity</stp>
        <stp>BS_AMT_OF_TSY_STOCK</stp>
        <stp>FY 2010</stp>
        <stp>FY 2010</stp>
        <stp>[FA1_ymffleas.xlsx]Bal Sheet - Standardized!R141C4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1" s="16"/>
      </tp>
      <tp>
        <v>0</v>
        <stp/>
        <stp>##V3_BDHV12</stp>
        <stp>RCOM IN Equity</stp>
        <stp>BS_AMT_OF_TSY_STOCK</stp>
        <stp>FY 2013</stp>
        <stp>FY 2013</stp>
        <stp>[FA1_ymffleas.xlsx]Bal Sheet - Standardized!R141C7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1" s="16"/>
      </tp>
      <tp>
        <v>0</v>
        <stp/>
        <stp>##V3_BDHV12</stp>
        <stp>RCOM IN Equity</stp>
        <stp>BS_AMT_OF_TSY_STOCK</stp>
        <stp>FY 2012</stp>
        <stp>FY 2012</stp>
        <stp>[FA1_ymffleas.xlsx]Bal Sheet - Standardized!R141C6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1" s="16"/>
      </tp>
      <tp>
        <v>0</v>
        <stp/>
        <stp>##V3_BDHV12</stp>
        <stp>RCOM IN Equity</stp>
        <stp>BS_AMT_OF_TSY_STOCK</stp>
        <stp>FY 2015</stp>
        <stp>FY 2015</stp>
        <stp>[FA1_ymffleas.xlsx]Bal Sheet - Standardized!R141C9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1" s="16"/>
      </tp>
      <tp>
        <v>0</v>
        <stp/>
        <stp>##V3_BDHV12</stp>
        <stp>RCOM IN Equity</stp>
        <stp>BS_AMT_OF_TSY_STOCK</stp>
        <stp>FY 2014</stp>
        <stp>FY 2014</stp>
        <stp>[FA1_ymffleas.xlsx]Bal Sheet - Standardized!R141C8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1" s="16"/>
      </tp>
      <tp>
        <v>2.4140000000000001</v>
        <stp/>
        <stp>##V3_BDHV12</stp>
        <stp>RCOM IN Equity</stp>
        <stp>AVERAGE_PRICE_TO_TANGIBLE_BPS</stp>
        <stp>FY 2017</stp>
        <stp>FY 2017</stp>
        <stp>[FA1_ymffleas.xlsx]Multiples!R17C10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7" s="6"/>
      </tp>
      <tp t="s">
        <v>—</v>
        <stp/>
        <stp>##V3_BDHV12</stp>
        <stp>RCOM IN Equity</stp>
        <stp>GEO_GROW_NET_SALES</stp>
        <stp>FY 2012</stp>
        <stp>FY 2012</stp>
        <stp>[FA1_ymffleas.xlsx]Growth!R36C6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36" s="22"/>
      </tp>
      <tp>
        <v>0.89270000000000005</v>
        <stp/>
        <stp>##V3_BDHV12</stp>
        <stp>RCOM IN Equity</stp>
        <stp>AVERAGE_PRICE_TO_TANGIBLE_BPS</stp>
        <stp>FY 2018</stp>
        <stp>FY 2018</stp>
        <stp>[FA1_ymffleas.xlsx]Multiples!R17C11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7" s="6"/>
      </tp>
      <tp>
        <v>-44.7727</v>
        <stp/>
        <stp>##V3_BDHV12</stp>
        <stp>RCOM IN Equity</stp>
        <stp>OPERATING_INCOME_SEQ_GROWTH</stp>
        <stp>FY 2018</stp>
        <stp>FY 2018</stp>
        <stp>[FA1_ymffleas.xlsx]Growth!R62C12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62" s="22"/>
      </tp>
      <tp>
        <v>0</v>
        <stp/>
        <stp>##V3_BDHV12</stp>
        <stp>RCOM IN Equity</stp>
        <stp>ARD_TOTAL_EXCEPTIONAL_INC_CHARGE</stp>
        <stp>FY 2017</stp>
        <stp>FY 2017</stp>
        <stp>[FA1_ymffleas.xlsx]Income - As Reported!R31C11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1" s="11"/>
      </tp>
      <tp>
        <v>0</v>
        <stp/>
        <stp>##V3_BDHV12</stp>
        <stp>RCOM IN Equity</stp>
        <stp>ARD_TOTAL_EXCEPTIONAL_INC_CHARGE</stp>
        <stp>FY 2016</stp>
        <stp>FY 2016</stp>
        <stp>[FA1_ymffleas.xlsx]Income - As Reported!R31C10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1" s="11"/>
      </tp>
      <tp>
        <v>0</v>
        <stp/>
        <stp>##V3_BDHV12</stp>
        <stp>RCOM IN Equity</stp>
        <stp>ARD_TOTAL_EXCEPTIONAL_INC_CHARGE</stp>
        <stp>FY 2018</stp>
        <stp>FY 2018</stp>
        <stp>[FA1_ymffleas.xlsx]Income - As Reported!R31C12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1" s="11"/>
      </tp>
      <tp>
        <v>18.316700000000001</v>
        <stp/>
        <stp>##V3_BDHV12</stp>
        <stp>RCOM IN Equity</stp>
        <stp>TANG_BOOK_VAL_PER_SH</stp>
        <stp>FY 2016</stp>
        <stp>FY 2016</stp>
        <stp>[FA1_ymffleas.xlsx]Per Share!R27C9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7" s="7"/>
      </tp>
      <tp>
        <v>62.2303</v>
        <stp/>
        <stp>##V3_BDHV12</stp>
        <stp>RCOM IN Equity</stp>
        <stp>TANG_BOOK_VAL_PER_SH</stp>
        <stp>FY 2015</stp>
        <stp>FY 2015</stp>
        <stp>[FA1_ymffleas.xlsx]Per Share!R27C8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7" s="7"/>
      </tp>
      <tp>
        <v>7.6444000000000001</v>
        <stp/>
        <stp>##V3_BDHV12</stp>
        <stp>RCOM IN Equity</stp>
        <stp>TOTAL_DEBT_TO_EBIT</stp>
        <stp>FY 2009</stp>
        <stp>FY 2009</stp>
        <stp>[FA1_ymffleas.xlsx]Credit!R13C3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3" s="23"/>
      </tp>
      <tp>
        <v>1.7677</v>
        <stp/>
        <stp>##V3_BDHV12</stp>
        <stp>RCOM IN Equity</stp>
        <stp>SUSTAIN_GROWTH_RT</stp>
        <stp>FY 2013</stp>
        <stp>FY 2013</stp>
        <stp>[FA1_ymffleas.xlsx]DuPont Analysis!R23C7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3" s="27"/>
      </tp>
      <tp>
        <v>99.432199999999995</v>
        <stp/>
        <stp>##V3_BDHV12</stp>
        <stp>RCOM IN Equity</stp>
        <stp>TANG_BOOK_VAL_PER_SH</stp>
        <stp>FY 2010</stp>
        <stp>FY 2010</stp>
        <stp>[FA1_ymffleas.xlsx]Per Share!R27C3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7" s="7"/>
      </tp>
      <tp>
        <v>40.629300000000001</v>
        <stp/>
        <stp>##V3_BDHV12</stp>
        <stp>RCOM IN Equity</stp>
        <stp>TANG_BOOK_VAL_PER_SH</stp>
        <stp>FY 2012</stp>
        <stp>FY 2012</stp>
        <stp>[FA1_ymffleas.xlsx]Per Share!R27C5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7" s="7"/>
      </tp>
      <tp>
        <v>98.293300000000002</v>
        <stp/>
        <stp>##V3_BDHV12</stp>
        <stp>RCOM IN Equity</stp>
        <stp>TANG_BOOK_VAL_PER_SH</stp>
        <stp>FY 2011</stp>
        <stp>FY 2011</stp>
        <stp>[FA1_ymffleas.xlsx]Per Share!R27C4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7" s="7"/>
      </tp>
      <tp>
        <v>39.616700000000002</v>
        <stp/>
        <stp>##V3_BDHV12</stp>
        <stp>RCOM IN Equity</stp>
        <stp>TANG_BOOK_VAL_PER_SH</stp>
        <stp>FY 2014</stp>
        <stp>FY 2014</stp>
        <stp>[FA1_ymffleas.xlsx]Per Share!R27C7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7" s="7"/>
      </tp>
      <tp>
        <v>37.189399999999999</v>
        <stp/>
        <stp>##V3_BDHV12</stp>
        <stp>RCOM IN Equity</stp>
        <stp>TANG_BOOK_VAL_PER_SH</stp>
        <stp>FY 2013</stp>
        <stp>FY 2013</stp>
        <stp>[FA1_ymffleas.xlsx]Per Share!R27C6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7" s="7"/>
      </tp>
      <tp>
        <v>-1.4325000000000001</v>
        <stp/>
        <stp>##V3_BDHV12</stp>
        <stp>RCOM IN Equity</stp>
        <stp>EBITDA_AFT_CAPEX_TO_CASH_INT_PD</stp>
        <stp>FY 2011</stp>
        <stp>FY 2011</stp>
        <stp>[FA1_ymffleas.xlsx]Credit!R21C5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1" s="23"/>
      </tp>
      <tp>
        <v>2450</v>
        <stp/>
        <stp>##V3_BDHV12</stp>
        <stp>RCOM IN Equity</stp>
        <stp>IS_INC_BEF_XO_ITEM</stp>
        <stp>FY 2017</stp>
        <stp>FY 2017</stp>
        <stp>[FA1_ymffleas.xlsx]Income - GAAP!R65C10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5" s="10"/>
      </tp>
      <tp>
        <v>-190</v>
        <stp/>
        <stp>##V3_BDHV12</stp>
        <stp>RCOM IN Equity</stp>
        <stp>IS_INC_BEF_XO_ITEM</stp>
        <stp>FY 2018</stp>
        <stp>FY 2018</stp>
        <stp>[FA1_ymffleas.xlsx]Income - GAAP!R65C11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5" s="10"/>
      </tp>
      <tp>
        <v>452780</v>
        <stp/>
        <stp>##V3_BDHV12</stp>
        <stp>RCOM IN Equity</stp>
        <stp>BS_NET_FIX_ASSET</stp>
        <stp>FY 2015</stp>
        <stp>FY 2015</stp>
        <stp>[FA1_ymffleas.xlsx]Bal Sheet - Standardized!R43C9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3" s="16"/>
      </tp>
      <tp>
        <v>471240</v>
        <stp/>
        <stp>##V3_BDHV12</stp>
        <stp>RCOM IN Equity</stp>
        <stp>BS_NET_FIX_ASSET</stp>
        <stp>FY 2014</stp>
        <stp>FY 2014</stp>
        <stp>[FA1_ymffleas.xlsx]Bal Sheet - Standardized!R43C8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3" s="16"/>
      </tp>
      <tp>
        <v>531168</v>
        <stp/>
        <stp>##V3_BDHV12</stp>
        <stp>RCOM IN Equity</stp>
        <stp>BS_NET_FIX_ASSET</stp>
        <stp>FY 2009</stp>
        <stp>FY 2009</stp>
        <stp>[FA1_ymffleas.xlsx]Bal Sheet - Standardized!R43C3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3" s="16"/>
      </tp>
      <tp>
        <v>558870</v>
        <stp/>
        <stp>##V3_BDHV12</stp>
        <stp>RCOM IN Equity</stp>
        <stp>BS_NET_FIX_ASSET</stp>
        <stp>FY 2011</stp>
        <stp>FY 2011</stp>
        <stp>[FA1_ymffleas.xlsx]Bal Sheet - Standardized!R43C5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3" s="16"/>
      </tp>
      <tp>
        <v>534138.9</v>
        <stp/>
        <stp>##V3_BDHV12</stp>
        <stp>RCOM IN Equity</stp>
        <stp>BS_NET_FIX_ASSET</stp>
        <stp>FY 2010</stp>
        <stp>FY 2010</stp>
        <stp>[FA1_ymffleas.xlsx]Bal Sheet - Standardized!R43C4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3" s="16"/>
      </tp>
      <tp>
        <v>482030</v>
        <stp/>
        <stp>##V3_BDHV12</stp>
        <stp>RCOM IN Equity</stp>
        <stp>BS_NET_FIX_ASSET</stp>
        <stp>FY 2013</stp>
        <stp>FY 2013</stp>
        <stp>[FA1_ymffleas.xlsx]Bal Sheet - Standardized!R43C7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3" s="16"/>
      </tp>
      <tp>
        <v>485770</v>
        <stp/>
        <stp>##V3_BDHV12</stp>
        <stp>RCOM IN Equity</stp>
        <stp>BS_NET_FIX_ASSET</stp>
        <stp>FY 2012</stp>
        <stp>FY 2012</stp>
        <stp>[FA1_ymffleas.xlsx]Bal Sheet - Standardized!R43C6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3" s="16"/>
      </tp>
      <tp>
        <v>7.2045000000000003</v>
        <stp/>
        <stp>##V3_BDHV12</stp>
        <stp>RCOM IN Equity</stp>
        <stp>EBITDA_TO_INTEREST_EXPN</stp>
        <stp>FY 2009</stp>
        <stp>FY 2009</stp>
        <stp>[FA1_ymffleas.xlsx]Credit!R16C3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6" s="23"/>
      </tp>
      <tp>
        <v>-12.190799999999999</v>
        <stp/>
        <stp>##V3_BDHV12</stp>
        <stp>RCOM IN Equity</stp>
        <stp>INVENTORY_GROWTH</stp>
        <stp>FY 2013</stp>
        <stp>FY 2013</stp>
        <stp>[FA1_ymffleas.xlsx]Growth!R17C7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7" s="22"/>
      </tp>
      <tp>
        <v>9.4778000000000002</v>
        <stp/>
        <stp>##V3_BDHV12</stp>
        <stp>RCOM IN Equity</stp>
        <stp>INVENTORY_GROWTH</stp>
        <stp>FY 2012</stp>
        <stp>FY 2012</stp>
        <stp>[FA1_ymffleas.xlsx]Growth!R17C6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7" s="22"/>
      </tp>
      <tp>
        <v>-5.0731999999999999</v>
        <stp/>
        <stp>##V3_BDHV12</stp>
        <stp>RCOM IN Equity</stp>
        <stp>INVENTORY_GROWTH</stp>
        <stp>FY 2011</stp>
        <stp>FY 2011</stp>
        <stp>[FA1_ymffleas.xlsx]Growth!R17C5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7" s="22"/>
      </tp>
      <tp>
        <v>0.35189999999999999</v>
        <stp/>
        <stp>##V3_BDHV12</stp>
        <stp>RCOM IN Equity</stp>
        <stp>INVENTORY_GROWTH</stp>
        <stp>FY 2010</stp>
        <stp>FY 2010</stp>
        <stp>[FA1_ymffleas.xlsx]Growth!R17C4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7" s="22"/>
      </tp>
      <tp>
        <v>33.714399999999998</v>
        <stp/>
        <stp>##V3_BDHV12</stp>
        <stp>RCOM IN Equity</stp>
        <stp>INVENTORY_GROWTH</stp>
        <stp>FY 2009</stp>
        <stp>FY 2009</stp>
        <stp>[FA1_ymffleas.xlsx]Growth!R17C3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7" s="22"/>
      </tp>
      <tp>
        <v>-3.3734999999999999</v>
        <stp/>
        <stp>##V3_BDHV12</stp>
        <stp>RCOM IN Equity</stp>
        <stp>INVENTORY_GROWTH</stp>
        <stp>FY 2015</stp>
        <stp>FY 2015</stp>
        <stp>[FA1_ymffleas.xlsx]Growth!R17C9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7" s="22"/>
      </tp>
      <tp>
        <v>-16.498999999999999</v>
        <stp/>
        <stp>##V3_BDHV12</stp>
        <stp>RCOM IN Equity</stp>
        <stp>INVENTORY_GROWTH</stp>
        <stp>FY 2014</stp>
        <stp>FY 2014</stp>
        <stp>[FA1_ymffleas.xlsx]Growth!R17C8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7" s="22"/>
      </tp>
      <tp>
        <v>3.26</v>
        <stp/>
        <stp>##V3_BDHV12</stp>
        <stp>RCOM IN Equity</stp>
        <stp>IS_EPS</stp>
        <stp>FY 2013</stp>
        <stp>FY 2013</stp>
        <stp>[FA1_ymffleas.xlsx]Income - Adjusted!R110C6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10" s="9"/>
      </tp>
      <tp>
        <v>2.9293</v>
        <stp/>
        <stp>##V3_BDHV12</stp>
        <stp>RCOM IN Equity</stp>
        <stp>EV_TO_T12M_SALES</stp>
        <stp>FY 2010</stp>
        <stp>FY 2010</stp>
        <stp>[FA1_ymffleas.xlsx]Multiples!R36C3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36" s="6"/>
      </tp>
      <tp>
        <v>36700</v>
        <stp/>
        <stp>##V3_BDHV12</stp>
        <stp>RCOM IN Equity</stp>
        <stp>BS_DEFERRED_TAX_ASSETS_LT</stp>
        <stp>FY 2017</stp>
        <stp>FY 2017</stp>
        <stp>[FA1_ymffleas.xlsx]Bal Sheet - Standardized!R63C11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3" s="16"/>
      </tp>
      <tp>
        <v>19280</v>
        <stp/>
        <stp>##V3_BDHV12</stp>
        <stp>RCOM IN Equity</stp>
        <stp>BS_DEFERRED_TAX_ASSETS_LT</stp>
        <stp>FY 2016</stp>
        <stp>FY 2016</stp>
        <stp>[FA1_ymffleas.xlsx]Bal Sheet - Standardized!R63C10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3" s="16"/>
      </tp>
      <tp>
        <v>35740</v>
        <stp/>
        <stp>##V3_BDHV12</stp>
        <stp>RCOM IN Equity</stp>
        <stp>BS_DEFERRED_TAX_ASSETS_LT</stp>
        <stp>FY 2018</stp>
        <stp>FY 2018</stp>
        <stp>[FA1_ymffleas.xlsx]Bal Sheet - Standardized!R63C12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3" s="16"/>
      </tp>
      <tp>
        <v>3.6686000000000001</v>
        <stp/>
        <stp>##V3_BDHV12</stp>
        <stp>RCOM IN Equity</stp>
        <stp>AVERAGE_EV_TO_T12M_SALES</stp>
        <stp>FY 2010</stp>
        <stp>FY 2010</stp>
        <stp>[FA1_ymffleas.xlsx]Multiples!R37C3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37" s="6"/>
      </tp>
      <tp>
        <v>11.8643</v>
        <stp/>
        <stp>##V3_BDHV12</stp>
        <stp>RCOM IN Equity</stp>
        <stp>LOW_EV_TO_T12M_EBIT</stp>
        <stp>FY 2010</stp>
        <stp>FY 2010</stp>
        <stp>[FA1_ymffleas.xlsx]Multiples!R49C3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49" s="6"/>
      </tp>
      <tp>
        <v>5.5015999999999998</v>
        <stp/>
        <stp>##V3_BDHV12</stp>
        <stp>RCOM IN Equity</stp>
        <stp>IS_DILUTED_EPS</stp>
        <stp>FY 2012</stp>
        <stp>FY 2012</stp>
        <stp>[FA1_ymffleas.xlsx]Reconciliation!R51C5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E51" s="12"/>
      </tp>
      <tp>
        <v>439340</v>
        <stp/>
        <stp>##V3_BDHV12</stp>
        <stp>RCOM IN Equity</stp>
        <stp>ARD_PROPERTY_PLANT_EQUIP_NET</stp>
        <stp>FY 2014</stp>
        <stp>FY 2014</stp>
        <stp>[FA1_ymffleas.xlsx]Bal Sheet - As Reported!R28C8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8" s="17"/>
      </tp>
      <tp>
        <v>425900</v>
        <stp/>
        <stp>##V3_BDHV12</stp>
        <stp>RCOM IN Equity</stp>
        <stp>ARD_PROPERTY_PLANT_EQUIP_NET</stp>
        <stp>FY 2015</stp>
        <stp>FY 2015</stp>
        <stp>[FA1_ymffleas.xlsx]Bal Sheet - As Reported!R28C9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8" s="17"/>
      </tp>
      <tp t="s">
        <v>—</v>
        <stp/>
        <stp>##V3_BDHV12</stp>
        <stp>RCOM IN Equity</stp>
        <stp>ARD_PROPERTY_PLANT_EQUIP_NET</stp>
        <stp>FY 2009</stp>
        <stp>FY 2009</stp>
        <stp>[FA1_ymffleas.xlsx]Bal Sheet - As Reported!R28C3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8" s="17"/>
      </tp>
      <tp t="s">
        <v>—</v>
        <stp/>
        <stp>##V3_BDHV12</stp>
        <stp>RCOM IN Equity</stp>
        <stp>ARD_PROPERTY_PLANT_EQUIP_NET</stp>
        <stp>FY 2012</stp>
        <stp>FY 2012</stp>
        <stp>[FA1_ymffleas.xlsx]Bal Sheet - As Reported!R28C6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8" s="17"/>
      </tp>
      <tp t="s">
        <v>—</v>
        <stp/>
        <stp>##V3_BDHV12</stp>
        <stp>RCOM IN Equity</stp>
        <stp>ARD_PROPERTY_PLANT_EQUIP_NET</stp>
        <stp>FY 2013</stp>
        <stp>FY 2013</stp>
        <stp>[FA1_ymffleas.xlsx]Bal Sheet - As Reported!R28C7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8" s="17"/>
      </tp>
      <tp t="s">
        <v>—</v>
        <stp/>
        <stp>##V3_BDHV12</stp>
        <stp>RCOM IN Equity</stp>
        <stp>ARD_PROPERTY_PLANT_EQUIP_NET</stp>
        <stp>FY 2010</stp>
        <stp>FY 2010</stp>
        <stp>[FA1_ymffleas.xlsx]Bal Sheet - As Reported!R28C4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8" s="17"/>
      </tp>
      <tp t="s">
        <v>—</v>
        <stp/>
        <stp>##V3_BDHV12</stp>
        <stp>RCOM IN Equity</stp>
        <stp>ARD_PROPERTY_PLANT_EQUIP_NET</stp>
        <stp>FY 2011</stp>
        <stp>FY 2011</stp>
        <stp>[FA1_ymffleas.xlsx]Bal Sheet - As Reported!R28C5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8" s="17"/>
      </tp>
      <tp>
        <v>218.3698</v>
        <stp/>
        <stp>##V3_BDHV12</stp>
        <stp>RCOM IN Equity</stp>
        <stp>EV_TO_SH_OUT</stp>
        <stp>FY 2017</stp>
        <stp>FY 2017</stp>
        <stp>[FA1_ymffleas.xlsx]Enterprise Value!R25C10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5" s="5"/>
      </tp>
      <tp>
        <v>191.26159999999999</v>
        <stp/>
        <stp>##V3_BDHV12</stp>
        <stp>RCOM IN Equity</stp>
        <stp>EV_TO_SH_OUT</stp>
        <stp>FY 2018</stp>
        <stp>FY 2018</stp>
        <stp>[FA1_ymffleas.xlsx]Enterprise Value!R25C11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5" s="5"/>
      </tp>
      <tp>
        <v>11290.8</v>
        <stp/>
        <stp>##V3_BDHV12</stp>
        <stp>RCOM IN Equity</stp>
        <stp>PRETAX_INC</stp>
        <stp>FY 2011</stp>
        <stp>FY 2011</stp>
        <stp>[FA1_ymffleas.xlsx]Reconciliation!R31C4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31" s="12"/>
      </tp>
      <tp t="s">
        <v>—</v>
        <stp/>
        <stp>##V3_BDHV12</stp>
        <stp>RCOM IN Equity</stp>
        <stp>EMPLOYEES_5_YEAR_GROWTH</stp>
        <stp>FY 2018</stp>
        <stp>FY 2018</stp>
        <stp>[FA1_ymffleas.xlsx]Growth!R49C12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9" s="22"/>
      </tp>
      <tp>
        <v>12220</v>
        <stp/>
        <stp>##V3_BDHV12</stp>
        <stp>RCOM IN Equity</stp>
        <stp>PRETAX_INC</stp>
        <stp>FY 2012</stp>
        <stp>FY 2012</stp>
        <stp>[FA1_ymffleas.xlsx]Reconciliation!R31C5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31" s="12"/>
      </tp>
      <tp>
        <v>8100</v>
        <stp/>
        <stp>##V3_BDHV12</stp>
        <stp>RCOM IN Equity</stp>
        <stp>PRETAX_INC</stp>
        <stp>FY 2013</stp>
        <stp>FY 2013</stp>
        <stp>[FA1_ymffleas.xlsx]Reconciliation!R31C6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31" s="12"/>
      </tp>
      <tp t="s">
        <v>—</v>
        <stp/>
        <stp>##V3_BDHV12</stp>
        <stp>RCOM IN Equity</stp>
        <stp>EMPLOYEES_5_YEAR_GROWTH</stp>
        <stp>FY 2016</stp>
        <stp>FY 2016</stp>
        <stp>[FA1_ymffleas.xlsx]Growth!R49C10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9" s="22"/>
      </tp>
      <tp>
        <v>2.3856999999999999</v>
        <stp/>
        <stp>##V3_BDHV12</stp>
        <stp>RCOM IN Equity</stp>
        <stp>GEO_GROW_NET_SALES</stp>
        <stp>FY 2013</stp>
        <stp>FY 2013</stp>
        <stp>[FA1_ymffleas.xlsx]Growth!R36C7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36" s="22"/>
      </tp>
      <tp>
        <v>72100</v>
        <stp/>
        <stp>##V3_BDHV12</stp>
        <stp>RCOM IN Equity</stp>
        <stp>EBITDA</stp>
        <stp>FY 2015</stp>
        <stp>FY 2015</stp>
        <stp>[FA1_ymffleas.xlsx]Income - Adjusted!R121C8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21" s="9"/>
      </tp>
      <tp>
        <v>1270</v>
        <stp/>
        <stp>##V3_BDHV12</stp>
        <stp>RCOM IN Equity</stp>
        <stp>PRETAX_INC</stp>
        <stp>FY 2014</stp>
        <stp>FY 2014</stp>
        <stp>[FA1_ymffleas.xlsx]Reconciliation!R31C7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31" s="12"/>
      </tp>
      <tp t="s">
        <v>—</v>
        <stp/>
        <stp>##V3_BDHV12</stp>
        <stp>RCOM IN Equity</stp>
        <stp>EMPLOYEES_5_YEAR_GROWTH</stp>
        <stp>FY 2017</stp>
        <stp>FY 2017</stp>
        <stp>[FA1_ymffleas.xlsx]Growth!R49C11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9" s="22"/>
      </tp>
      <tp>
        <v>72760</v>
        <stp/>
        <stp>##V3_BDHV12</stp>
        <stp>RCOM IN Equity</stp>
        <stp>EBITDA</stp>
        <stp>FY 2016</stp>
        <stp>FY 2016</stp>
        <stp>[FA1_ymffleas.xlsx]Income - Adjusted!R121C9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21" s="9"/>
      </tp>
      <tp>
        <v>53198</v>
        <stp/>
        <stp>##V3_BDHV12</stp>
        <stp>RCOM IN Equity</stp>
        <stp>PRETAX_INC</stp>
        <stp>FY 2010</stp>
        <stp>FY 2010</stp>
        <stp>[FA1_ymffleas.xlsx]Reconciliation!R31C3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31" s="12"/>
      </tp>
      <tp>
        <v>-10</v>
        <stp/>
        <stp>##V3_BDHV12</stp>
        <stp>RCOM IN Equity</stp>
        <stp>ARD_DIVIDEND_PD</stp>
        <stp>FY 2015</stp>
        <stp>FY 2015</stp>
        <stp>[FA1_ymffleas.xlsx]Cash Flow - As Reported!R53C9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3" s="20"/>
      </tp>
      <tp t="s">
        <v>—</v>
        <stp/>
        <stp>##V3_BDHV12</stp>
        <stp>RCOM IN Equity</stp>
        <stp>ARD_DIVIDEND_PD</stp>
        <stp>FY 2014</stp>
        <stp>FY 2014</stp>
        <stp>[FA1_ymffleas.xlsx]Cash Flow - As Reported!R53C8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3" s="20"/>
      </tp>
      <tp t="s">
        <v>—</v>
        <stp/>
        <stp>##V3_BDHV12</stp>
        <stp>RCOM IN Equity</stp>
        <stp>ARD_DIVIDEND_PD</stp>
        <stp>FY 2009</stp>
        <stp>FY 2009</stp>
        <stp>[FA1_ymffleas.xlsx]Cash Flow - As Reported!R53C3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3" s="20"/>
      </tp>
      <tp t="s">
        <v>—</v>
        <stp/>
        <stp>##V3_BDHV12</stp>
        <stp>RCOM IN Equity</stp>
        <stp>ARD_DIVIDEND_PD</stp>
        <stp>FY 2013</stp>
        <stp>FY 2013</stp>
        <stp>[FA1_ymffleas.xlsx]Cash Flow - As Reported!R53C7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3" s="20"/>
      </tp>
      <tp t="s">
        <v>—</v>
        <stp/>
        <stp>##V3_BDHV12</stp>
        <stp>RCOM IN Equity</stp>
        <stp>ARD_DIVIDEND_PD</stp>
        <stp>FY 2012</stp>
        <stp>FY 2012</stp>
        <stp>[FA1_ymffleas.xlsx]Cash Flow - As Reported!R53C6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3" s="20"/>
      </tp>
      <tp t="s">
        <v>—</v>
        <stp/>
        <stp>##V3_BDHV12</stp>
        <stp>RCOM IN Equity</stp>
        <stp>ARD_DIVIDEND_PD</stp>
        <stp>FY 2011</stp>
        <stp>FY 2011</stp>
        <stp>[FA1_ymffleas.xlsx]Cash Flow - As Reported!R53C5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3" s="20"/>
      </tp>
      <tp t="s">
        <v>—</v>
        <stp/>
        <stp>##V3_BDHV12</stp>
        <stp>RCOM IN Equity</stp>
        <stp>ARD_DIVIDEND_PD</stp>
        <stp>FY 2010</stp>
        <stp>FY 2010</stp>
        <stp>[FA1_ymffleas.xlsx]Cash Flow - As Reported!R53C4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3" s="20"/>
      </tp>
      <tp>
        <v>72955</v>
        <stp/>
        <stp>##V3_BDHV12</stp>
        <stp>RCOM IN Equity</stp>
        <stp>EBITDA</stp>
        <stp>FY 2010</stp>
        <stp>FY 2010</stp>
        <stp>[FA1_ymffleas.xlsx]Income - Adjusted!R121C3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21" s="9"/>
      </tp>
      <tp>
        <v>9140</v>
        <stp/>
        <stp>##V3_BDHV12</stp>
        <stp>RCOM IN Equity</stp>
        <stp>PRETAX_INC</stp>
        <stp>FY 2015</stp>
        <stp>FY 2015</stp>
        <stp>[FA1_ymffleas.xlsx]Reconciliation!R31C8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31" s="12"/>
      </tp>
      <tp>
        <v>59710</v>
        <stp/>
        <stp>##V3_BDHV12</stp>
        <stp>RCOM IN Equity</stp>
        <stp>EBITDA</stp>
        <stp>FY 2013</stp>
        <stp>FY 2013</stp>
        <stp>[FA1_ymffleas.xlsx]Income - Adjusted!R121C6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21" s="9"/>
      </tp>
      <tp>
        <v>170</v>
        <stp/>
        <stp>##V3_BDHV12</stp>
        <stp>RCOM IN Equity</stp>
        <stp>PRETAX_INC</stp>
        <stp>FY 2016</stp>
        <stp>FY 2016</stp>
        <stp>[FA1_ymffleas.xlsx]Reconciliation!R31C9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31" s="12"/>
      </tp>
      <tp>
        <v>67260</v>
        <stp/>
        <stp>##V3_BDHV12</stp>
        <stp>RCOM IN Equity</stp>
        <stp>EBITDA</stp>
        <stp>FY 2014</stp>
        <stp>FY 2014</stp>
        <stp>[FA1_ymffleas.xlsx]Income - Adjusted!R121C7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21" s="9"/>
      </tp>
      <tp>
        <v>83760.800000000003</v>
        <stp/>
        <stp>##V3_BDHV12</stp>
        <stp>RCOM IN Equity</stp>
        <stp>EBITDA</stp>
        <stp>FY 2011</stp>
        <stp>FY 2011</stp>
        <stp>[FA1_ymffleas.xlsx]Income - Adjusted!R121C4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21" s="9"/>
      </tp>
      <tp>
        <v>61650</v>
        <stp/>
        <stp>##V3_BDHV12</stp>
        <stp>RCOM IN Equity</stp>
        <stp>EBITDA</stp>
        <stp>FY 2012</stp>
        <stp>FY 2012</stp>
        <stp>[FA1_ymffleas.xlsx]Income - Adjusted!R121C5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21" s="9"/>
      </tp>
      <tp>
        <v>2.2814000000000001</v>
        <stp/>
        <stp>##V3_BDHV12</stp>
        <stp>RCOM IN Equity</stp>
        <stp>SUSTAIN_GROWTH_RT</stp>
        <stp>FY 2012</stp>
        <stp>FY 2012</stp>
        <stp>[FA1_ymffleas.xlsx]DuPont Analysis!R23C6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3" s="27"/>
      </tp>
      <tp>
        <v>0</v>
        <stp/>
        <stp>##V3_BDHV12</stp>
        <stp>RCOM IN Equity</stp>
        <stp>NOTES_RECEIVABLE</stp>
        <stp>FY 2017</stp>
        <stp>FY 2017</stp>
        <stp>[FA1_ymffleas.xlsx]Bal Sheet - Standardized!R17C11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" s="16"/>
      </tp>
      <tp>
        <v>0</v>
        <stp/>
        <stp>##V3_BDHV12</stp>
        <stp>RCOM IN Equity</stp>
        <stp>NOTES_RECEIVABLE</stp>
        <stp>FY 2016</stp>
        <stp>FY 2016</stp>
        <stp>[FA1_ymffleas.xlsx]Bal Sheet - Standardized!R17C10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" s="16"/>
      </tp>
      <tp>
        <v>0</v>
        <stp/>
        <stp>##V3_BDHV12</stp>
        <stp>RCOM IN Equity</stp>
        <stp>NOTES_RECEIVABLE</stp>
        <stp>FY 2018</stp>
        <stp>FY 2018</stp>
        <stp>[FA1_ymffleas.xlsx]Bal Sheet - Standardized!R17C12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" s="16"/>
      </tp>
      <tp>
        <v>0</v>
        <stp/>
        <stp>##V3_BDHV12</stp>
        <stp>RCOM IN Equity</stp>
        <stp>BS_PENSION_RSRV</stp>
        <stp>FY 2016</stp>
        <stp>FY 2016</stp>
        <stp>[FA1_ymffleas.xlsx]Bal Sheet - Standardized!R160C10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0" s="16"/>
      </tp>
      <tp>
        <v>0</v>
        <stp/>
        <stp>##V3_BDHV12</stp>
        <stp>RCOM IN Equity</stp>
        <stp>BS_PENSION_RSRV</stp>
        <stp>FY 2017</stp>
        <stp>FY 2017</stp>
        <stp>[FA1_ymffleas.xlsx]Bal Sheet - Standardized!R160C11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0" s="16"/>
      </tp>
      <tp>
        <v>0</v>
        <stp/>
        <stp>##V3_BDHV12</stp>
        <stp>RCOM IN Equity</stp>
        <stp>BS_PENSION_RSRV</stp>
        <stp>FY 2018</stp>
        <stp>FY 2018</stp>
        <stp>[FA1_ymffleas.xlsx]Bal Sheet - Standardized!R160C12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0" s="16"/>
      </tp>
      <tp>
        <v>-0.35189999999999999</v>
        <stp/>
        <stp>##V3_BDHV12</stp>
        <stp>RCOM IN Equity</stp>
        <stp>EBITDA_AFT_CAPEX_TO_CASH_INT_PD</stp>
        <stp>FY 2010</stp>
        <stp>FY 2010</stp>
        <stp>[FA1_ymffleas.xlsx]Credit!R21C4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1" s="23"/>
      </tp>
      <tp>
        <v>240</v>
        <stp/>
        <stp>##V3_BDHV12</stp>
        <stp>RCOM IN Equity</stp>
        <stp>ARDR_RETIREMENT_PENSION_OTH_BEN</stp>
        <stp>FY 2018</stp>
        <stp>FY 2018</stp>
        <stp>[FA1_ymffleas.xlsx]Income - As Reported!R116C12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6" s="11"/>
      </tp>
      <tp>
        <v>1030</v>
        <stp/>
        <stp>##V3_BDHV12</stp>
        <stp>RCOM IN Equity</stp>
        <stp>ARDR_RETIREMENT_PENSION_OTH_BEN</stp>
        <stp>FY 2016</stp>
        <stp>FY 2016</stp>
        <stp>[FA1_ymffleas.xlsx]Income - As Reported!R116C10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6" s="11"/>
      </tp>
      <tp>
        <v>390</v>
        <stp/>
        <stp>##V3_BDHV12</stp>
        <stp>RCOM IN Equity</stp>
        <stp>ARDR_RETIREMENT_PENSION_OTH_BEN</stp>
        <stp>FY 2017</stp>
        <stp>FY 2017</stp>
        <stp>[FA1_ymffleas.xlsx]Income - As Reported!R116C11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6" s="11"/>
      </tp>
      <tp>
        <v>1250</v>
        <stp/>
        <stp>##V3_BDHV12</stp>
        <stp>RCOM IN Equity</stp>
        <stp>BS_LONG_TERM_INVESTMENTS</stp>
        <stp>FY 2015</stp>
        <stp>FY 2015</stp>
        <stp>[FA1_ymffleas.xlsx]Bal Sheet - Standardized!R51C9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1" s="16"/>
      </tp>
      <tp>
        <v>24490</v>
        <stp/>
        <stp>##V3_BDHV12</stp>
        <stp>RCOM IN Equity</stp>
        <stp>BS_LONG_TERM_INVESTMENTS</stp>
        <stp>FY 2014</stp>
        <stp>FY 2014</stp>
        <stp>[FA1_ymffleas.xlsx]Bal Sheet - Standardized!R51C8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1" s="16"/>
      </tp>
      <tp>
        <v>2762.3</v>
        <stp/>
        <stp>##V3_BDHV12</stp>
        <stp>RCOM IN Equity</stp>
        <stp>BS_LONG_TERM_INVESTMENTS</stp>
        <stp>FY 2009</stp>
        <stp>FY 2009</stp>
        <stp>[FA1_ymffleas.xlsx]Bal Sheet - Standardized!R51C3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1" s="16"/>
      </tp>
      <tp>
        <v>15720</v>
        <stp/>
        <stp>##V3_BDHV12</stp>
        <stp>RCOM IN Equity</stp>
        <stp>BS_LONG_TERM_INVESTMENTS</stp>
        <stp>FY 2011</stp>
        <stp>FY 2011</stp>
        <stp>[FA1_ymffleas.xlsx]Bal Sheet - Standardized!R51C5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1" s="16"/>
      </tp>
      <tp>
        <v>1147.3</v>
        <stp/>
        <stp>##V3_BDHV12</stp>
        <stp>RCOM IN Equity</stp>
        <stp>BS_LONG_TERM_INVESTMENTS</stp>
        <stp>FY 2010</stp>
        <stp>FY 2010</stp>
        <stp>[FA1_ymffleas.xlsx]Bal Sheet - Standardized!R51C4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1" s="16"/>
      </tp>
      <tp>
        <v>20700</v>
        <stp/>
        <stp>##V3_BDHV12</stp>
        <stp>RCOM IN Equity</stp>
        <stp>BS_LONG_TERM_INVESTMENTS</stp>
        <stp>FY 2013</stp>
        <stp>FY 2013</stp>
        <stp>[FA1_ymffleas.xlsx]Bal Sheet - Standardized!R51C7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1" s="16"/>
      </tp>
      <tp>
        <v>14150</v>
        <stp/>
        <stp>##V3_BDHV12</stp>
        <stp>RCOM IN Equity</stp>
        <stp>BS_LONG_TERM_INVESTMENTS</stp>
        <stp>FY 2012</stp>
        <stp>FY 2012</stp>
        <stp>[FA1_ymffleas.xlsx]Bal Sheet - Standardized!R51C6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1" s="16"/>
      </tp>
      <tp>
        <v>32425.3</v>
        <stp/>
        <stp>##V3_BDHV12</stp>
        <stp>RCOM IN Equity</stp>
        <stp>TRAIL_12M_OPER_INC</stp>
        <stp>FY 2010</stp>
        <stp>FY 2010</stp>
        <stp>[FA1_ymffleas.xlsx]Enterprise Value!R31C3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1" s="5"/>
      </tp>
      <tp>
        <v>20960</v>
        <stp/>
        <stp>##V3_BDHV12</stp>
        <stp>RCOM IN Equity</stp>
        <stp>TRAIL_12M_OPER_INC</stp>
        <stp>FY 2013</stp>
        <stp>FY 2013</stp>
        <stp>[FA1_ymffleas.xlsx]Enterprise Value!R31C6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1" s="5"/>
      </tp>
      <tp>
        <v>21710</v>
        <stp/>
        <stp>##V3_BDHV12</stp>
        <stp>RCOM IN Equity</stp>
        <stp>TRAIL_12M_OPER_INC</stp>
        <stp>FY 2014</stp>
        <stp>FY 2014</stp>
        <stp>[FA1_ymffleas.xlsx]Enterprise Value!R31C7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1" s="5"/>
      </tp>
      <tp>
        <v>18720</v>
        <stp/>
        <stp>##V3_BDHV12</stp>
        <stp>RCOM IN Equity</stp>
        <stp>TRAIL_12M_OPER_INC</stp>
        <stp>FY 2011</stp>
        <stp>FY 2011</stp>
        <stp>[FA1_ymffleas.xlsx]Enterprise Value!R31C4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1" s="5"/>
      </tp>
      <tp>
        <v>18170</v>
        <stp/>
        <stp>##V3_BDHV12</stp>
        <stp>RCOM IN Equity</stp>
        <stp>TRAIL_12M_OPER_INC</stp>
        <stp>FY 2012</stp>
        <stp>FY 2012</stp>
        <stp>[FA1_ymffleas.xlsx]Enterprise Value!R31C5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1" s="5"/>
      </tp>
      <tp t="s">
        <v>—</v>
        <stp/>
        <stp>##V3_BDHV12</stp>
        <stp>RCOM IN Equity</stp>
        <stp>IS_COMP_EPS_ADJUSTED</stp>
        <stp>FY 2018</stp>
        <stp>FY 2018</stp>
        <stp>[FA1_ymffleas.xlsx]Earnings!R14C12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4" s="4"/>
      </tp>
      <tp>
        <v>-3.91</v>
        <stp/>
        <stp>##V3_BDHV12</stp>
        <stp>RCOM IN Equity</stp>
        <stp>IS_COMP_EPS_ADJUSTED</stp>
        <stp>FY 2017</stp>
        <stp>FY 2017</stp>
        <stp>[FA1_ymffleas.xlsx]Earnings!R14C11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4" s="4"/>
      </tp>
      <tp>
        <v>33890</v>
        <stp/>
        <stp>##V3_BDHV12</stp>
        <stp>RCOM IN Equity</stp>
        <stp>TRAIL_12M_OPER_INC</stp>
        <stp>FY 2015</stp>
        <stp>FY 2015</stp>
        <stp>[FA1_ymffleas.xlsx]Enterprise Value!R31C8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1" s="5"/>
      </tp>
      <tp>
        <v>2.7370000000000001</v>
        <stp/>
        <stp>##V3_BDHV12</stp>
        <stp>RCOM IN Equity</stp>
        <stp>IS_COMP_EPS_ADJUSTED</stp>
        <stp>FY 2016</stp>
        <stp>FY 2016</stp>
        <stp>[FA1_ymffleas.xlsx]Earnings!R14C10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4" s="4"/>
      </tp>
      <tp>
        <v>27760</v>
        <stp/>
        <stp>##V3_BDHV12</stp>
        <stp>RCOM IN Equity</stp>
        <stp>TRAIL_12M_OPER_INC</stp>
        <stp>FY 2016</stp>
        <stp>FY 2016</stp>
        <stp>[FA1_ymffleas.xlsx]Enterprise Value!R31C9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1" s="5"/>
      </tp>
      <tp t="s">
        <v>—</v>
        <stp/>
        <stp>##V3_BDHV12</stp>
        <stp>RCOM IN Equity</stp>
        <stp>ARD_OTHER_COMPREHENSIVE_INCOME</stp>
        <stp>FY 2014</stp>
        <stp>FY 2014</stp>
        <stp>[FA1_ymffleas.xlsx]Income - As Reported!R55C8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5" s="11"/>
      </tp>
      <tp t="s">
        <v>—</v>
        <stp/>
        <stp>##V3_BDHV12</stp>
        <stp>RCOM IN Equity</stp>
        <stp>ARD_OTHER_COMPREHENSIVE_INCOME</stp>
        <stp>FY 2015</stp>
        <stp>FY 2015</stp>
        <stp>[FA1_ymffleas.xlsx]Income - As Reported!R55C9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5" s="11"/>
      </tp>
      <tp t="s">
        <v>—</v>
        <stp/>
        <stp>##V3_BDHV12</stp>
        <stp>RCOM IN Equity</stp>
        <stp>ARD_OTHER_COMPREHENSIVE_INCOME</stp>
        <stp>FY 2010</stp>
        <stp>FY 2010</stp>
        <stp>[FA1_ymffleas.xlsx]Income - As Reported!R55C4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5" s="11"/>
      </tp>
      <tp t="s">
        <v>—</v>
        <stp/>
        <stp>##V3_BDHV12</stp>
        <stp>RCOM IN Equity</stp>
        <stp>ARD_OTHER_COMPREHENSIVE_INCOME</stp>
        <stp>FY 2011</stp>
        <stp>FY 2011</stp>
        <stp>[FA1_ymffleas.xlsx]Income - As Reported!R55C5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5" s="11"/>
      </tp>
      <tp t="s">
        <v>—</v>
        <stp/>
        <stp>##V3_BDHV12</stp>
        <stp>RCOM IN Equity</stp>
        <stp>ARD_OTHER_COMPREHENSIVE_INCOME</stp>
        <stp>FY 2012</stp>
        <stp>FY 2012</stp>
        <stp>[FA1_ymffleas.xlsx]Income - As Reported!R55C6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5" s="11"/>
      </tp>
      <tp t="s">
        <v>—</v>
        <stp/>
        <stp>##V3_BDHV12</stp>
        <stp>RCOM IN Equity</stp>
        <stp>ARD_OTHER_COMPREHENSIVE_INCOME</stp>
        <stp>FY 2013</stp>
        <stp>FY 2013</stp>
        <stp>[FA1_ymffleas.xlsx]Income - As Reported!R55C7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5" s="11"/>
      </tp>
      <tp t="s">
        <v>—</v>
        <stp/>
        <stp>##V3_BDHV12</stp>
        <stp>RCOM IN Equity</stp>
        <stp>ARD_OTHER_COMPREHENSIVE_INCOME</stp>
        <stp>FY 2009</stp>
        <stp>FY 2009</stp>
        <stp>[FA1_ymffleas.xlsx]Income - As Reported!R55C3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5" s="11"/>
      </tp>
      <tp>
        <v>1.3</v>
        <stp/>
        <stp>##V3_BDHV12</stp>
        <stp>RCOM IN Equity</stp>
        <stp>ARD_DISPOSAL_OF_FIXED_ASSETS</stp>
        <stp>FY 2010</stp>
        <stp>FY 2010</stp>
        <stp>[FA1_ymffleas.xlsx]Cash Flow - As Reported!R43C4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3" s="20"/>
      </tp>
      <tp>
        <v>2060</v>
        <stp/>
        <stp>##V3_BDHV12</stp>
        <stp>RCOM IN Equity</stp>
        <stp>ARD_DISPOSAL_OF_FIXED_ASSETS</stp>
        <stp>FY 2011</stp>
        <stp>FY 2011</stp>
        <stp>[FA1_ymffleas.xlsx]Cash Flow - As Reported!R43C5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3" s="20"/>
      </tp>
      <tp>
        <v>2160</v>
        <stp/>
        <stp>##V3_BDHV12</stp>
        <stp>RCOM IN Equity</stp>
        <stp>ARD_DISPOSAL_OF_FIXED_ASSETS</stp>
        <stp>FY 2012</stp>
        <stp>FY 2012</stp>
        <stp>[FA1_ymffleas.xlsx]Cash Flow - As Reported!R43C6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3" s="20"/>
      </tp>
      <tp>
        <v>0</v>
        <stp/>
        <stp>##V3_BDHV12</stp>
        <stp>RCOM IN Equity</stp>
        <stp>ARD_DISPOSAL_OF_FIXED_ASSETS</stp>
        <stp>FY 2013</stp>
        <stp>FY 2013</stp>
        <stp>[FA1_ymffleas.xlsx]Cash Flow - As Reported!R43C7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3" s="20"/>
      </tp>
      <tp>
        <v>158.19999999999999</v>
        <stp/>
        <stp>##V3_BDHV12</stp>
        <stp>RCOM IN Equity</stp>
        <stp>ARD_DISPOSAL_OF_FIXED_ASSETS</stp>
        <stp>FY 2009</stp>
        <stp>FY 2009</stp>
        <stp>[FA1_ymffleas.xlsx]Cash Flow - As Reported!R43C3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3" s="20"/>
      </tp>
      <tp t="s">
        <v>—</v>
        <stp/>
        <stp>##V3_BDHV12</stp>
        <stp>RCOM IN Equity</stp>
        <stp>ARD_DISPOSAL_OF_FIXED_ASSETS</stp>
        <stp>FY 2014</stp>
        <stp>FY 2014</stp>
        <stp>[FA1_ymffleas.xlsx]Cash Flow - As Reported!R43C8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3" s="20"/>
      </tp>
      <tp>
        <v>0</v>
        <stp/>
        <stp>##V3_BDHV12</stp>
        <stp>RCOM IN Equity</stp>
        <stp>ARD_DISPOSAL_OF_FIXED_ASSETS</stp>
        <stp>FY 2015</stp>
        <stp>FY 2015</stp>
        <stp>[FA1_ymffleas.xlsx]Cash Flow - As Reported!R43C9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3" s="20"/>
      </tp>
      <tp t="s">
        <v>—</v>
        <stp/>
        <stp>##V3_BDHV12</stp>
        <stp>RCOM IN Equity</stp>
        <stp>ARD_INT_REC_FROM_INVESTING_ACT</stp>
        <stp>FY 2011</stp>
        <stp>FY 2011</stp>
        <stp>[FA1_ymffleas.xlsx]Cash Flow - As Reported!R49C5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9" s="20"/>
      </tp>
      <tp t="s">
        <v>—</v>
        <stp/>
        <stp>##V3_BDHV12</stp>
        <stp>RCOM IN Equity</stp>
        <stp>ARD_INT_REC_FROM_INVESTING_ACT</stp>
        <stp>FY 2010</stp>
        <stp>FY 2010</stp>
        <stp>[FA1_ymffleas.xlsx]Cash Flow - As Reported!R49C4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9" s="20"/>
      </tp>
      <tp>
        <v>100</v>
        <stp/>
        <stp>##V3_BDHV12</stp>
        <stp>RCOM IN Equity</stp>
        <stp>ARD_INT_REC_FROM_INVESTING_ACT</stp>
        <stp>FY 2013</stp>
        <stp>FY 2013</stp>
        <stp>[FA1_ymffleas.xlsx]Cash Flow - As Reported!R49C7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9" s="20"/>
      </tp>
      <tp>
        <v>400</v>
        <stp/>
        <stp>##V3_BDHV12</stp>
        <stp>RCOM IN Equity</stp>
        <stp>ARD_INT_REC_FROM_INVESTING_ACT</stp>
        <stp>FY 2012</stp>
        <stp>FY 2012</stp>
        <stp>[FA1_ymffleas.xlsx]Cash Flow - As Reported!R49C6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9" s="20"/>
      </tp>
      <tp t="s">
        <v>—</v>
        <stp/>
        <stp>##V3_BDHV12</stp>
        <stp>RCOM IN Equity</stp>
        <stp>ARD_INT_REC_FROM_INVESTING_ACT</stp>
        <stp>FY 2009</stp>
        <stp>FY 2009</stp>
        <stp>[FA1_ymffleas.xlsx]Cash Flow - As Reported!R49C3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9" s="20"/>
      </tp>
      <tp>
        <v>300</v>
        <stp/>
        <stp>##V3_BDHV12</stp>
        <stp>RCOM IN Equity</stp>
        <stp>ARD_INT_REC_FROM_INVESTING_ACT</stp>
        <stp>FY 2015</stp>
        <stp>FY 2015</stp>
        <stp>[FA1_ymffleas.xlsx]Cash Flow - As Reported!R49C9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9" s="20"/>
      </tp>
      <tp>
        <v>490</v>
        <stp/>
        <stp>##V3_BDHV12</stp>
        <stp>RCOM IN Equity</stp>
        <stp>ARD_INT_REC_FROM_INVESTING_ACT</stp>
        <stp>FY 2014</stp>
        <stp>FY 2014</stp>
        <stp>[FA1_ymffleas.xlsx]Cash Flow - As Reported!R49C8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9" s="20"/>
      </tp>
      <tp>
        <v>5.07</v>
        <stp/>
        <stp>##V3_BDHV12</stp>
        <stp>RCOM IN Equity</stp>
        <stp>IS_EPS</stp>
        <stp>FY 2014</stp>
        <stp>FY 2014</stp>
        <stp>[FA1_ymffleas.xlsx]Income - Adjusted!R110C7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10" s="9"/>
      </tp>
      <tp>
        <v>0</v>
        <stp/>
        <stp>##V3_BDHV12</stp>
        <stp>RCOM IN Equity</stp>
        <stp>BS_OPRB_LT_LIABS</stp>
        <stp>FY 2018</stp>
        <stp>FY 2018</stp>
        <stp>[FA1_ymffleas.xlsx]Bal Sheet - Standardized!R117C12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7" s="16"/>
      </tp>
      <tp>
        <v>0</v>
        <stp/>
        <stp>##V3_BDHV12</stp>
        <stp>RCOM IN Equity</stp>
        <stp>BS_OPRB_LT_LIABS</stp>
        <stp>FY 2017</stp>
        <stp>FY 2017</stp>
        <stp>[FA1_ymffleas.xlsx]Bal Sheet - Standardized!R117C11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7" s="16"/>
      </tp>
      <tp t="s">
        <v>—</v>
        <stp/>
        <stp>##V3_BDHV12</stp>
        <stp>RCOM IN Equity</stp>
        <stp>BS_OPRB_LT_LIABS</stp>
        <stp>FY 2016</stp>
        <stp>FY 2016</stp>
        <stp>[FA1_ymffleas.xlsx]Bal Sheet - Standardized!R117C10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7" s="16"/>
      </tp>
      <tp>
        <v>3340</v>
        <stp/>
        <stp>##V3_BDHV12</stp>
        <stp>RCOM IN Equity</stp>
        <stp>ARDR_PATENTS_TRADEMRK_COPYRIGHT</stp>
        <stp>FY 2014</stp>
        <stp>FY 2014</stp>
        <stp>[FA1_ymffleas.xlsx]Bal Sheet - As Reported!R78C8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8" s="17"/>
      </tp>
      <tp>
        <v>1790</v>
        <stp/>
        <stp>##V3_BDHV12</stp>
        <stp>RCOM IN Equity</stp>
        <stp>ARDR_PATENTS_TRADEMRK_COPYRIGHT</stp>
        <stp>FY 2015</stp>
        <stp>FY 2015</stp>
        <stp>[FA1_ymffleas.xlsx]Bal Sheet - As Reported!R78C9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8" s="17"/>
      </tp>
      <tp>
        <v>11867.6</v>
        <stp/>
        <stp>##V3_BDHV12</stp>
        <stp>RCOM IN Equity</stp>
        <stp>ARDR_PATENTS_TRADEMRK_COPYRIGHT</stp>
        <stp>FY 2009</stp>
        <stp>FY 2009</stp>
        <stp>[FA1_ymffleas.xlsx]Bal Sheet - As Reported!R78C3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8" s="17"/>
      </tp>
      <tp>
        <v>10116.799999999999</v>
        <stp/>
        <stp>##V3_BDHV12</stp>
        <stp>RCOM IN Equity</stp>
        <stp>ARDR_PATENTS_TRADEMRK_COPYRIGHT</stp>
        <stp>FY 2010</stp>
        <stp>FY 2010</stp>
        <stp>[FA1_ymffleas.xlsx]Bal Sheet - As Reported!R78C4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8" s="17"/>
      </tp>
      <tp>
        <v>530</v>
        <stp/>
        <stp>##V3_BDHV12</stp>
        <stp>RCOM IN Equity</stp>
        <stp>ARDR_PATENTS_TRADEMRK_COPYRIGHT</stp>
        <stp>FY 2011</stp>
        <stp>FY 2011</stp>
        <stp>[FA1_ymffleas.xlsx]Bal Sheet - As Reported!R78C5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8" s="17"/>
      </tp>
      <tp>
        <v>810</v>
        <stp/>
        <stp>##V3_BDHV12</stp>
        <stp>RCOM IN Equity</stp>
        <stp>ARDR_PATENTS_TRADEMRK_COPYRIGHT</stp>
        <stp>FY 2012</stp>
        <stp>FY 2012</stp>
        <stp>[FA1_ymffleas.xlsx]Bal Sheet - As Reported!R78C6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8" s="17"/>
      </tp>
      <tp>
        <v>210</v>
        <stp/>
        <stp>##V3_BDHV12</stp>
        <stp>RCOM IN Equity</stp>
        <stp>ARDR_PATENTS_TRADEMRK_COPYRIGHT</stp>
        <stp>FY 2013</stp>
        <stp>FY 2013</stp>
        <stp>[FA1_ymffleas.xlsx]Bal Sheet - As Reported!R78C7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8" s="17"/>
      </tp>
      <tp>
        <v>11.5847</v>
        <stp/>
        <stp>##V3_BDHV12</stp>
        <stp>RCOM IN Equity</stp>
        <stp>HIGH_EV_TO_T12M_EBITDA</stp>
        <stp>FY 2010</stp>
        <stp>FY 2010</stp>
        <stp>[FA1_ymffleas.xlsx]Multiples!R43C3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43" s="6"/>
      </tp>
      <tp>
        <v>-43395.7</v>
        <stp/>
        <stp>##V3_BDHV12</stp>
        <stp>RCOM IN Equity</stp>
        <stp>NET_CHNG_SRC_OF_CAP_OTHER_LIAB</stp>
        <stp>FY 2011</stp>
        <stp>FY 2011</stp>
        <stp>[FA1_ymffleas.xlsx]Sources of Capital!R8C5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32"/>
      </tp>
      <tp>
        <v>-12718.5</v>
        <stp/>
        <stp>##V3_BDHV12</stp>
        <stp>RCOM IN Equity</stp>
        <stp>NET_CHNG_SRC_OF_CAP_OTHER_LIAB</stp>
        <stp>FY 2010</stp>
        <stp>FY 2010</stp>
        <stp>[FA1_ymffleas.xlsx]Sources of Capital!R8C4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32"/>
      </tp>
      <tp>
        <v>-28810</v>
        <stp/>
        <stp>##V3_BDHV12</stp>
        <stp>RCOM IN Equity</stp>
        <stp>NET_CHNG_SRC_OF_CAP_OTHER_LIAB</stp>
        <stp>FY 2013</stp>
        <stp>FY 2013</stp>
        <stp>[FA1_ymffleas.xlsx]Sources of Capital!R8C7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32"/>
      </tp>
      <tp>
        <v>25130</v>
        <stp/>
        <stp>##V3_BDHV12</stp>
        <stp>RCOM IN Equity</stp>
        <stp>NET_CHNG_SRC_OF_CAP_OTHER_LIAB</stp>
        <stp>FY 2012</stp>
        <stp>FY 2012</stp>
        <stp>[FA1_ymffleas.xlsx]Sources of Capital!R8C6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32"/>
      </tp>
      <tp>
        <v>-18468.900000000001</v>
        <stp/>
        <stp>##V3_BDHV12</stp>
        <stp>RCOM IN Equity</stp>
        <stp>NET_CHNG_SRC_OF_CAP_OTHER_LIAB</stp>
        <stp>FY 2009</stp>
        <stp>FY 2009</stp>
        <stp>[FA1_ymffleas.xlsx]Sources of Capital!R8C3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32"/>
      </tp>
      <tp>
        <v>-22910</v>
        <stp/>
        <stp>##V3_BDHV12</stp>
        <stp>RCOM IN Equity</stp>
        <stp>NET_CHNG_SRC_OF_CAP_OTHER_LIAB</stp>
        <stp>FY 2015</stp>
        <stp>FY 2015</stp>
        <stp>[FA1_ymffleas.xlsx]Sources of Capital!R8C9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32"/>
      </tp>
      <tp>
        <v>8900</v>
        <stp/>
        <stp>##V3_BDHV12</stp>
        <stp>RCOM IN Equity</stp>
        <stp>NET_CHNG_SRC_OF_CAP_OTHER_LIAB</stp>
        <stp>FY 2014</stp>
        <stp>FY 2014</stp>
        <stp>[FA1_ymffleas.xlsx]Sources of Capital!R8C8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32"/>
      </tp>
      <tp>
        <v>1080</v>
        <stp/>
        <stp>##V3_BDHV12</stp>
        <stp>RCOM IN Equity</stp>
        <stp>ARDR_PROV_FOR_DOUBTFUL_ACCTS</stp>
        <stp>FY 2013</stp>
        <stp>FY 2013</stp>
        <stp>[FA1_ymffleas.xlsx]Income - As Reported!R67C7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7" s="11"/>
      </tp>
      <tp>
        <v>610</v>
        <stp/>
        <stp>##V3_BDHV12</stp>
        <stp>RCOM IN Equity</stp>
        <stp>ARDR_PROV_FOR_DOUBTFUL_ACCTS</stp>
        <stp>FY 2012</stp>
        <stp>FY 2012</stp>
        <stp>[FA1_ymffleas.xlsx]Income - As Reported!R67C6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7" s="11"/>
      </tp>
      <tp>
        <v>1690</v>
        <stp/>
        <stp>##V3_BDHV12</stp>
        <stp>RCOM IN Equity</stp>
        <stp>ARDR_PROV_FOR_DOUBTFUL_ACCTS</stp>
        <stp>FY 2011</stp>
        <stp>FY 2011</stp>
        <stp>[FA1_ymffleas.xlsx]Income - As Reported!R67C5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7" s="11"/>
      </tp>
      <tp>
        <v>1982.8</v>
        <stp/>
        <stp>##V3_BDHV12</stp>
        <stp>RCOM IN Equity</stp>
        <stp>ARDR_PROV_FOR_DOUBTFUL_ACCTS</stp>
        <stp>FY 2010</stp>
        <stp>FY 2010</stp>
        <stp>[FA1_ymffleas.xlsx]Income - As Reported!R67C4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7" s="11"/>
      </tp>
      <tp>
        <v>1368.1</v>
        <stp/>
        <stp>##V3_BDHV12</stp>
        <stp>RCOM IN Equity</stp>
        <stp>ARDR_PROV_FOR_DOUBTFUL_ACCTS</stp>
        <stp>FY 2009</stp>
        <stp>FY 2009</stp>
        <stp>[FA1_ymffleas.xlsx]Income - As Reported!R67C3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7" s="11"/>
      </tp>
      <tp>
        <v>1160</v>
        <stp/>
        <stp>##V3_BDHV12</stp>
        <stp>RCOM IN Equity</stp>
        <stp>ARDR_PROV_FOR_DOUBTFUL_ACCTS</stp>
        <stp>FY 2015</stp>
        <stp>FY 2015</stp>
        <stp>[FA1_ymffleas.xlsx]Income - As Reported!R67C9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7" s="11"/>
      </tp>
      <tp>
        <v>2890</v>
        <stp/>
        <stp>##V3_BDHV12</stp>
        <stp>RCOM IN Equity</stp>
        <stp>ARDR_PROV_FOR_DOUBTFUL_ACCTS</stp>
        <stp>FY 2014</stp>
        <stp>FY 2014</stp>
        <stp>[FA1_ymffleas.xlsx]Income - As Reported!R67C8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7" s="11"/>
      </tp>
      <tp>
        <v>3.2715999999999998</v>
        <stp/>
        <stp>##V3_BDHV12</stp>
        <stp>RCOM IN Equity</stp>
        <stp>EV_TO_T12M_SALES</stp>
        <stp>FY 2014</stp>
        <stp>FY 2014</stp>
        <stp>[FA1_ymffleas.xlsx]Enterprise Value!R17C7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7" s="5"/>
      </tp>
    </main>
    <main first="bloomberg.rtd">
      <tp>
        <v>-24960</v>
        <stp/>
        <stp>##V3_BDHV12</stp>
        <stp>RCOM IN Equity</stp>
        <stp>CF_CAP_EXPEND_PRPTY_ADD</stp>
        <stp>FY 2015</stp>
        <stp>FY 2015</stp>
        <stp>[FA1_ymffleas.xlsx]CAPEX &amp; Depreciation!R11C9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" s="28"/>
      </tp>
      <tp>
        <v>-21650</v>
        <stp/>
        <stp>##V3_BDHV12</stp>
        <stp>RCOM IN Equity</stp>
        <stp>CF_CAP_EXPEND_PRPTY_ADD</stp>
        <stp>FY 2014</stp>
        <stp>FY 2014</stp>
        <stp>[FA1_ymffleas.xlsx]CAPEX &amp; Depreciation!R11C8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" s="28"/>
      </tp>
      <tp>
        <v>-103270</v>
        <stp/>
        <stp>##V3_BDHV12</stp>
        <stp>RCOM IN Equity</stp>
        <stp>CF_CAP_EXPEND_PRPTY_ADD</stp>
        <stp>FY 2011</stp>
        <stp>FY 2011</stp>
        <stp>[FA1_ymffleas.xlsx]CAPEX &amp; Depreciation!R11C5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" s="28"/>
      </tp>
      <tp>
        <v>-74960.3</v>
        <stp/>
        <stp>##V3_BDHV12</stp>
        <stp>RCOM IN Equity</stp>
        <stp>CF_CAP_EXPEND_PRPTY_ADD</stp>
        <stp>FY 2010</stp>
        <stp>FY 2010</stp>
        <stp>[FA1_ymffleas.xlsx]CAPEX &amp; Depreciation!R11C4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" s="28"/>
      </tp>
      <tp>
        <v>-21140</v>
        <stp/>
        <stp>##V3_BDHV12</stp>
        <stp>RCOM IN Equity</stp>
        <stp>CF_CAP_EXPEND_PRPTY_ADD</stp>
        <stp>FY 2013</stp>
        <stp>FY 2013</stp>
        <stp>[FA1_ymffleas.xlsx]CAPEX &amp; Depreciation!R11C7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" s="28"/>
      </tp>
      <tp>
        <v>-48500</v>
        <stp/>
        <stp>##V3_BDHV12</stp>
        <stp>RCOM IN Equity</stp>
        <stp>CF_CAP_EXPEND_PRPTY_ADD</stp>
        <stp>FY 2012</stp>
        <stp>FY 2012</stp>
        <stp>[FA1_ymffleas.xlsx]CAPEX &amp; Depreciation!R11C6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" s="28"/>
      </tp>
      <tp>
        <v>-122583.8</v>
        <stp/>
        <stp>##V3_BDHV12</stp>
        <stp>RCOM IN Equity</stp>
        <stp>CF_CAP_EXPEND_PRPTY_ADD</stp>
        <stp>FY 2009</stp>
        <stp>FY 2009</stp>
        <stp>[FA1_ymffleas.xlsx]CAPEX &amp; Depreciation!R11C3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" s="28"/>
      </tp>
      <tp>
        <v>-62.547800000000002</v>
        <stp/>
        <stp>##V3_BDHV12</stp>
        <stp>RCOM IN Equity</stp>
        <stp>EPS_DIL_BEF_EXTRAORD_SEQ_GRWTH</stp>
        <stp>FY 2018</stp>
        <stp>FY 2018</stp>
        <stp>[FA1_ymffleas.xlsx]Growth!R65C12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65" s="22"/>
      </tp>
      <tp>
        <v>-15.082000000000001</v>
        <stp/>
        <stp>##V3_BDHV12</stp>
        <stp>RCOM IN Equity</stp>
        <stp>EPS_DIL_BEF_EXTRAORD_SEQ_GRWTH</stp>
        <stp>FY 2016</stp>
        <stp>FY 2016</stp>
        <stp>[FA1_ymffleas.xlsx]Growth!R65C10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5" s="22"/>
      </tp>
      <tp>
        <v>-80.442300000000003</v>
        <stp/>
        <stp>##V3_BDHV12</stp>
        <stp>RCOM IN Equity</stp>
        <stp>EPS_DIL_BEF_EXTRAORD_SEQ_GRWTH</stp>
        <stp>FY 2017</stp>
        <stp>FY 2017</stp>
        <stp>[FA1_ymffleas.xlsx]Growth!R65C11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5" s="22"/>
      </tp>
      <tp>
        <v>89090</v>
        <stp/>
        <stp>##V3_BDHV12</stp>
        <stp>RCOM IN Equity</stp>
        <stp>ARD_ST_BORROW</stp>
        <stp>FY 2014</stp>
        <stp>FY 2014</stp>
        <stp>[FA1_ymffleas.xlsx]Bal Sheet - As Reported!R52C8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2" s="17"/>
      </tp>
      <tp>
        <v>15870</v>
        <stp/>
        <stp>##V3_BDHV12</stp>
        <stp>RCOM IN Equity</stp>
        <stp>ARD_ST_BORROW</stp>
        <stp>FY 2015</stp>
        <stp>FY 2015</stp>
        <stp>[FA1_ymffleas.xlsx]Bal Sheet - As Reported!R52C9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2" s="17"/>
      </tp>
      <tp t="s">
        <v>—</v>
        <stp/>
        <stp>##V3_BDHV12</stp>
        <stp>RCOM IN Equity</stp>
        <stp>ARD_ST_BORROW</stp>
        <stp>FY 2009</stp>
        <stp>FY 2009</stp>
        <stp>[FA1_ymffleas.xlsx]Bal Sheet - As Reported!R52C3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2" s="17"/>
      </tp>
      <tp>
        <v>55390</v>
        <stp/>
        <stp>##V3_BDHV12</stp>
        <stp>RCOM IN Equity</stp>
        <stp>ARD_ST_BORROW</stp>
        <stp>FY 2012</stp>
        <stp>FY 2012</stp>
        <stp>[FA1_ymffleas.xlsx]Bal Sheet - As Reported!R52C6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2" s="17"/>
      </tp>
      <tp>
        <v>88000</v>
        <stp/>
        <stp>##V3_BDHV12</stp>
        <stp>RCOM IN Equity</stp>
        <stp>ARD_ST_BORROW</stp>
        <stp>FY 2013</stp>
        <stp>FY 2013</stp>
        <stp>[FA1_ymffleas.xlsx]Bal Sheet - As Reported!R52C7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2" s="17"/>
      </tp>
      <tp t="s">
        <v>—</v>
        <stp/>
        <stp>##V3_BDHV12</stp>
        <stp>RCOM IN Equity</stp>
        <stp>ARD_ST_BORROW</stp>
        <stp>FY 2010</stp>
        <stp>FY 2010</stp>
        <stp>[FA1_ymffleas.xlsx]Bal Sheet - As Reported!R52C4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2" s="17"/>
      </tp>
      <tp>
        <v>106820</v>
        <stp/>
        <stp>##V3_BDHV12</stp>
        <stp>RCOM IN Equity</stp>
        <stp>ARD_ST_BORROW</stp>
        <stp>FY 2011</stp>
        <stp>FY 2011</stp>
        <stp>[FA1_ymffleas.xlsx]Bal Sheet - As Reported!R52C5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2" s="17"/>
      </tp>
      <tp>
        <v>80</v>
        <stp/>
        <stp>##V3_BDHV12</stp>
        <stp>RCOM IN Equity</stp>
        <stp>PCT_INDEPENDENT_DIRECTORS</stp>
        <stp>FY 2014</stp>
        <stp>FY 2014</stp>
        <stp>[FA1_ymffleas.xlsx]ESG - Overview!R24C8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4" s="34"/>
      </tp>
      <tp>
        <v>66.667000000000002</v>
        <stp/>
        <stp>##V3_BDHV12</stp>
        <stp>RCOM IN Equity</stp>
        <stp>PCT_INDEPENDENT_DIRECTORS</stp>
        <stp>FY 2015</stp>
        <stp>FY 2015</stp>
        <stp>[FA1_ymffleas.xlsx]ESG - Overview!R24C9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4" s="34"/>
      </tp>
      <tp>
        <v>114.782</v>
        <stp/>
        <stp>##V3_BDHV12</stp>
        <stp>RCOM IN Equity</stp>
        <stp>BOOK_VAL_PER_SH</stp>
        <stp>FY 2017</stp>
        <stp>FY 2017</stp>
        <stp>[FA1_ymffleas.xlsx]Per Share!R26C10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6" s="7"/>
      </tp>
      <tp t="s">
        <v>—</v>
        <stp/>
        <stp>##V3_BDHV12</stp>
        <stp>RCOM IN Equity</stp>
        <stp>CF_TO_FIRM_SEQUENTIAL_GROWTH</stp>
        <stp>FY 2016</stp>
        <stp>FY 2016</stp>
        <stp>[FA1_ymffleas.xlsx]Growth!R86C10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86" s="22"/>
      </tp>
      <tp>
        <v>10.0632</v>
        <stp/>
        <stp>##V3_BDHV12</stp>
        <stp>RCOM IN Equity</stp>
        <stp>BOOK_VAL_PER_SH</stp>
        <stp>FY 2018</stp>
        <stp>FY 2018</stp>
        <stp>[FA1_ymffleas.xlsx]Per Share!R26C11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6" s="7"/>
      </tp>
      <tp>
        <v>9720</v>
        <stp/>
        <stp>##V3_BDHV12</stp>
        <stp>RCOM IN Equity</stp>
        <stp>ARD_CASH_CASH_EQUIV_BEG_OF_PER</stp>
        <stp>FY 2016</stp>
        <stp>FY 2016</stp>
        <stp>[FA1_ymffleas.xlsx]Cash Flow - As Reported!R64C10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4" s="20"/>
      </tp>
      <tp>
        <v>5640</v>
        <stp/>
        <stp>##V3_BDHV12</stp>
        <stp>RCOM IN Equity</stp>
        <stp>ARD_CASH_CASH_EQUIV_BEG_OF_PER</stp>
        <stp>FY 2017</stp>
        <stp>FY 2017</stp>
        <stp>[FA1_ymffleas.xlsx]Cash Flow - As Reported!R64C11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4" s="20"/>
      </tp>
      <tp>
        <v>8150</v>
        <stp/>
        <stp>##V3_BDHV12</stp>
        <stp>RCOM IN Equity</stp>
        <stp>ARD_CASH_CASH_EQUIV_BEG_OF_PER</stp>
        <stp>FY 2018</stp>
        <stp>FY 2018</stp>
        <stp>[FA1_ymffleas.xlsx]Cash Flow - As Reported!R64C12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4" s="20"/>
      </tp>
      <tp>
        <v>252.1739</v>
        <stp/>
        <stp>##V3_BDHV12</stp>
        <stp>RCOM IN Equity</stp>
        <stp>INCREMENTAL_OPERATING_MARGIN</stp>
        <stp>FY 2015</stp>
        <stp>FY 2015</stp>
        <stp>[FA1_ymffleas.xlsx]Profitability!R15C9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5" s="21"/>
      </tp>
      <tp t="s">
        <v>—</v>
        <stp/>
        <stp>##V3_BDHV12</stp>
        <stp>RCOM IN Equity</stp>
        <stp>ACCOUNTS_PAYABLE_TURNOVER</stp>
        <stp>FY 2011</stp>
        <stp>FY 2011</stp>
        <stp>[FA1_ymffleas.xlsx]Working Capital!R10C5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0" s="25"/>
      </tp>
      <tp>
        <v>80</v>
        <stp/>
        <stp>##V3_BDHV12</stp>
        <stp>RCOM IN Equity</stp>
        <stp>PCT_INDEPENDENT_DIRECTORS</stp>
        <stp>FY 2010</stp>
        <stp>FY 2010</stp>
        <stp>[FA1_ymffleas.xlsx]ESG - Overview!R24C4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4" s="34"/>
      </tp>
      <tp>
        <v>80</v>
        <stp/>
        <stp>##V3_BDHV12</stp>
        <stp>RCOM IN Equity</stp>
        <stp>PCT_INDEPENDENT_DIRECTORS</stp>
        <stp>FY 2011</stp>
        <stp>FY 2011</stp>
        <stp>[FA1_ymffleas.xlsx]ESG - Overview!R24C5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4" s="34"/>
      </tp>
      <tp>
        <v>80</v>
        <stp/>
        <stp>##V3_BDHV12</stp>
        <stp>RCOM IN Equity</stp>
        <stp>PCT_INDEPENDENT_DIRECTORS</stp>
        <stp>FY 2012</stp>
        <stp>FY 2012</stp>
        <stp>[FA1_ymffleas.xlsx]ESG - Overview!R24C6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4" s="34"/>
      </tp>
      <tp>
        <v>80</v>
        <stp/>
        <stp>##V3_BDHV12</stp>
        <stp>RCOM IN Equity</stp>
        <stp>PCT_INDEPENDENT_DIRECTORS</stp>
        <stp>FY 2013</stp>
        <stp>FY 2013</stp>
        <stp>[FA1_ymffleas.xlsx]ESG - Overview!R24C7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4" s="34"/>
      </tp>
      <tp>
        <v>80</v>
        <stp/>
        <stp>##V3_BDHV12</stp>
        <stp>RCOM IN Equity</stp>
        <stp>PCT_INDEPENDENT_DIRECTORS</stp>
        <stp>FY 2009</stp>
        <stp>FY 2009</stp>
        <stp>[FA1_ymffleas.xlsx]ESG - Overview!R24C3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4" s="34"/>
      </tp>
      <tp t="s">
        <v>—</v>
        <stp/>
        <stp>##V3_BDHV12</stp>
        <stp>RCOM IN Equity</stp>
        <stp>ARD_OTHER_FINANCIAL_ASSETS_LT</stp>
        <stp>FY 2013</stp>
        <stp>FY 2013</stp>
        <stp>[FA1_ymffleas.xlsx]Bal Sheet - As Reported!R36C7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6" s="17"/>
      </tp>
      <tp t="s">
        <v>—</v>
        <stp/>
        <stp>##V3_BDHV12</stp>
        <stp>RCOM IN Equity</stp>
        <stp>ARD_OTHER_FINANCIAL_ASSETS_LT</stp>
        <stp>FY 2012</stp>
        <stp>FY 2012</stp>
        <stp>[FA1_ymffleas.xlsx]Bal Sheet - As Reported!R36C6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6" s="17"/>
      </tp>
      <tp t="s">
        <v>—</v>
        <stp/>
        <stp>##V3_BDHV12</stp>
        <stp>RCOM IN Equity</stp>
        <stp>ARD_OTHER_FINANCIAL_ASSETS_LT</stp>
        <stp>FY 2011</stp>
        <stp>FY 2011</stp>
        <stp>[FA1_ymffleas.xlsx]Bal Sheet - As Reported!R36C5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6" s="17"/>
      </tp>
      <tp t="s">
        <v>—</v>
        <stp/>
        <stp>##V3_BDHV12</stp>
        <stp>RCOM IN Equity</stp>
        <stp>ARD_OTHER_FINANCIAL_ASSETS_LT</stp>
        <stp>FY 2010</stp>
        <stp>FY 2010</stp>
        <stp>[FA1_ymffleas.xlsx]Bal Sheet - As Reported!R36C4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6" s="17"/>
      </tp>
      <tp t="s">
        <v>—</v>
        <stp/>
        <stp>##V3_BDHV12</stp>
        <stp>RCOM IN Equity</stp>
        <stp>ARD_OTHER_FINANCIAL_ASSETS_LT</stp>
        <stp>FY 2009</stp>
        <stp>FY 2009</stp>
        <stp>[FA1_ymffleas.xlsx]Bal Sheet - As Reported!R36C3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6" s="17"/>
      </tp>
      <tp t="s">
        <v>—</v>
        <stp/>
        <stp>##V3_BDHV12</stp>
        <stp>RCOM IN Equity</stp>
        <stp>ARD_OTHER_FINANCIAL_ASSETS_LT</stp>
        <stp>FY 2015</stp>
        <stp>FY 2015</stp>
        <stp>[FA1_ymffleas.xlsx]Bal Sheet - As Reported!R36C9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6" s="17"/>
      </tp>
      <tp t="s">
        <v>—</v>
        <stp/>
        <stp>##V3_BDHV12</stp>
        <stp>RCOM IN Equity</stp>
        <stp>ARD_OTHER_FINANCIAL_ASSETS_LT</stp>
        <stp>FY 2014</stp>
        <stp>FY 2014</stp>
        <stp>[FA1_ymffleas.xlsx]Bal Sheet - As Reported!R36C8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6" s="17"/>
      </tp>
      <tp>
        <v>-5910</v>
        <stp/>
        <stp>##V3_BDHV12</stp>
        <stp>RCOM IN Equity</stp>
        <stp>CAPITAL_EXPEND</stp>
        <stp>FY 2018</stp>
        <stp>FY 2018</stp>
        <stp>[FA1_ymffleas.xlsx]Adj Highlights!R24C11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4" s="2"/>
      </tp>
      <tp>
        <v>-39200</v>
        <stp/>
        <stp>##V3_BDHV12</stp>
        <stp>RCOM IN Equity</stp>
        <stp>CAPITAL_EXPEND</stp>
        <stp>FY 2017</stp>
        <stp>FY 2017</stp>
        <stp>[FA1_ymffleas.xlsx]Adj Highlights!R24C10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4" s="2"/>
      </tp>
      <tp>
        <v>0.5</v>
        <stp/>
        <stp>##V3_BDHV12</stp>
        <stp>RCOM IN Equity</stp>
        <stp>EQY_DPS</stp>
        <stp>FY 2011</stp>
        <stp>FY 2011</stp>
        <stp>[FA1_ymffleas.xlsx]Dividend Summary!R6C5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" s="31"/>
      </tp>
      <tp>
        <v>0.85</v>
        <stp/>
        <stp>##V3_BDHV12</stp>
        <stp>RCOM IN Equity</stp>
        <stp>EQY_DPS</stp>
        <stp>FY 2010</stp>
        <stp>FY 2010</stp>
        <stp>[FA1_ymffleas.xlsx]Dividend Summary!R6C4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" s="31"/>
      </tp>
      <tp>
        <v>0.25</v>
        <stp/>
        <stp>##V3_BDHV12</stp>
        <stp>RCOM IN Equity</stp>
        <stp>EQY_DPS</stp>
        <stp>FY 2013</stp>
        <stp>FY 2013</stp>
        <stp>[FA1_ymffleas.xlsx]Dividend Summary!R6C7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" s="31"/>
      </tp>
      <tp>
        <v>0.25</v>
        <stp/>
        <stp>##V3_BDHV12</stp>
        <stp>RCOM IN Equity</stp>
        <stp>EQY_DPS</stp>
        <stp>FY 2012</stp>
        <stp>FY 2012</stp>
        <stp>[FA1_ymffleas.xlsx]Dividend Summary!R6C6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" s="31"/>
      </tp>
      <tp>
        <v>0.8</v>
        <stp/>
        <stp>##V3_BDHV12</stp>
        <stp>RCOM IN Equity</stp>
        <stp>EQY_DPS</stp>
        <stp>FY 2009</stp>
        <stp>FY 2009</stp>
        <stp>[FA1_ymffleas.xlsx]Dividend Summary!R6C3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" s="31"/>
      </tp>
      <tp>
        <v>528360</v>
        <stp/>
        <stp>##V3_BDHV12</stp>
        <stp>RCOM IN Equity</stp>
        <stp>BS_TOT_LIAB2</stp>
        <stp>FY 2015</stp>
        <stp>FY 2015</stp>
        <stp>[FA1_ymffleas.xlsx]GAAP Highlights!R18C9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" s="3"/>
      </tp>
      <tp>
        <v>572000</v>
        <stp/>
        <stp>##V3_BDHV12</stp>
        <stp>RCOM IN Equity</stp>
        <stp>BS_TOT_LIAB2</stp>
        <stp>FY 2014</stp>
        <stp>FY 2014</stp>
        <stp>[FA1_ymffleas.xlsx]GAAP Highlights!R18C8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" s="3"/>
      </tp>
      <tp>
        <v>556070</v>
        <stp/>
        <stp>##V3_BDHV12</stp>
        <stp>RCOM IN Equity</stp>
        <stp>BS_TOT_LIAB2</stp>
        <stp>FY 2013</stp>
        <stp>FY 2013</stp>
        <stp>[FA1_ymffleas.xlsx]GAAP Highlights!R18C7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" s="3"/>
      </tp>
      <tp>
        <v>551090</v>
        <stp/>
        <stp>##V3_BDHV12</stp>
        <stp>RCOM IN Equity</stp>
        <stp>BS_TOT_LIAB2</stp>
        <stp>FY 2012</stp>
        <stp>FY 2012</stp>
        <stp>[FA1_ymffleas.xlsx]GAAP Highlights!R18C6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" s="3"/>
      </tp>
      <tp>
        <v>534000</v>
        <stp/>
        <stp>##V3_BDHV12</stp>
        <stp>RCOM IN Equity</stp>
        <stp>BS_TOT_LIAB2</stp>
        <stp>FY 2011</stp>
        <stp>FY 2011</stp>
        <stp>[FA1_ymffleas.xlsx]GAAP Highlights!R18C5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" s="3"/>
      </tp>
      <tp>
        <v>485496</v>
        <stp/>
        <stp>##V3_BDHV12</stp>
        <stp>RCOM IN Equity</stp>
        <stp>BS_TOT_LIAB2</stp>
        <stp>FY 2010</stp>
        <stp>FY 2010</stp>
        <stp>[FA1_ymffleas.xlsx]GAAP Highlights!R18C4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" s="3"/>
      </tp>
      <tp>
        <v>592717.5</v>
        <stp/>
        <stp>##V3_BDHV12</stp>
        <stp>RCOM IN Equity</stp>
        <stp>BS_TOT_LIAB2</stp>
        <stp>FY 2009</stp>
        <stp>FY 2009</stp>
        <stp>[FA1_ymffleas.xlsx]GAAP Highlights!R18C3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" s="3"/>
      </tp>
      <tp>
        <v>0</v>
        <stp/>
        <stp>##V3_BDHV12</stp>
        <stp>RCOM IN Equity</stp>
        <stp>EQY_DPS</stp>
        <stp>FY 2015</stp>
        <stp>FY 2015</stp>
        <stp>[FA1_ymffleas.xlsx]Dividend Summary!R6C9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" s="31"/>
      </tp>
      <tp>
        <v>0</v>
        <stp/>
        <stp>##V3_BDHV12</stp>
        <stp>RCOM IN Equity</stp>
        <stp>EQY_DPS</stp>
        <stp>FY 2014</stp>
        <stp>FY 2014</stp>
        <stp>[FA1_ymffleas.xlsx]Dividend Summary!R6C8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" s="31"/>
      </tp>
      <tp>
        <v>-2094.9</v>
        <stp/>
        <stp>##V3_BDHV12</stp>
        <stp>RCOM IN Equity</stp>
        <stp>ARD_GL_ON_SALE_OF_INV_MKT_SEC</stp>
        <stp>FY 2010</stp>
        <stp>FY 2010</stp>
        <stp>[FA1_ymffleas.xlsx]Cash Flow - As Reported!R18C4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" s="20"/>
      </tp>
      <tp>
        <v>-570</v>
        <stp/>
        <stp>##V3_BDHV12</stp>
        <stp>RCOM IN Equity</stp>
        <stp>ARD_GL_ON_SALE_OF_INV_MKT_SEC</stp>
        <stp>FY 2011</stp>
        <stp>FY 2011</stp>
        <stp>[FA1_ymffleas.xlsx]Cash Flow - As Reported!R18C5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" s="20"/>
      </tp>
      <tp>
        <v>-230</v>
        <stp/>
        <stp>##V3_BDHV12</stp>
        <stp>RCOM IN Equity</stp>
        <stp>ARD_GL_ON_SALE_OF_INV_MKT_SEC</stp>
        <stp>FY 2012</stp>
        <stp>FY 2012</stp>
        <stp>[FA1_ymffleas.xlsx]Cash Flow - As Reported!R18C6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" s="20"/>
      </tp>
      <tp>
        <v>-350</v>
        <stp/>
        <stp>##V3_BDHV12</stp>
        <stp>RCOM IN Equity</stp>
        <stp>ARD_GL_ON_SALE_OF_INV_MKT_SEC</stp>
        <stp>FY 2013</stp>
        <stp>FY 2013</stp>
        <stp>[FA1_ymffleas.xlsx]Cash Flow - As Reported!R18C7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" s="20"/>
      </tp>
      <tp>
        <v>-3278.2</v>
        <stp/>
        <stp>##V3_BDHV12</stp>
        <stp>RCOM IN Equity</stp>
        <stp>ARD_GL_ON_SALE_OF_INV_MKT_SEC</stp>
        <stp>FY 2009</stp>
        <stp>FY 2009</stp>
        <stp>[FA1_ymffleas.xlsx]Cash Flow - As Reported!R18C3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" s="20"/>
      </tp>
      <tp>
        <v>-90</v>
        <stp/>
        <stp>##V3_BDHV12</stp>
        <stp>RCOM IN Equity</stp>
        <stp>ARD_GL_ON_SALE_OF_INV_MKT_SEC</stp>
        <stp>FY 2014</stp>
        <stp>FY 2014</stp>
        <stp>[FA1_ymffleas.xlsx]Cash Flow - As Reported!R18C8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" s="20"/>
      </tp>
      <tp>
        <v>-300</v>
        <stp/>
        <stp>##V3_BDHV12</stp>
        <stp>RCOM IN Equity</stp>
        <stp>ARD_GL_ON_SALE_OF_INV_MKT_SEC</stp>
        <stp>FY 2015</stp>
        <stp>FY 2015</stp>
        <stp>[FA1_ymffleas.xlsx]Cash Flow - As Reported!R18C9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" s="20"/>
      </tp>
      <tp>
        <v>220.27860000000001</v>
        <stp/>
        <stp>##V3_BDHV12</stp>
        <stp>RCOM IN Equity</stp>
        <stp>EV_TO_SH_OUT</stp>
        <stp>FY 2016</stp>
        <stp>FY 2016</stp>
        <stp>[FA1_ymffleas.xlsx]Enterprise Value!R25C9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5" s="5"/>
      </tp>
      <tp>
        <v>211.1114</v>
        <stp/>
        <stp>##V3_BDHV12</stp>
        <stp>RCOM IN Equity</stp>
        <stp>EV_TO_SH_OUT</stp>
        <stp>FY 2015</stp>
        <stp>FY 2015</stp>
        <stp>[FA1_ymffleas.xlsx]Enterprise Value!R25C8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5" s="5"/>
      </tp>
      <tp>
        <v>14770</v>
        <stp/>
        <stp>##V3_BDHV12</stp>
        <stp>RCOM IN Equity</stp>
        <stp>ARDR_INT_EXP</stp>
        <stp>FY 2012</stp>
        <stp>FY 2012</stp>
        <stp>[FA1_ymffleas.xlsx]Income - As Reported!R69C6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9" s="11"/>
      </tp>
      <tp>
        <v>11330</v>
        <stp/>
        <stp>##V3_BDHV12</stp>
        <stp>RCOM IN Equity</stp>
        <stp>ARDR_INT_EXP</stp>
        <stp>FY 2013</stp>
        <stp>FY 2013</stp>
        <stp>[FA1_ymffleas.xlsx]Income - As Reported!R69C7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9" s="11"/>
      </tp>
      <tp t="s">
        <v>—</v>
        <stp/>
        <stp>##V3_BDHV12</stp>
        <stp>RCOM IN Equity</stp>
        <stp>ARDR_INT_EXP</stp>
        <stp>FY 2010</stp>
        <stp>FY 2010</stp>
        <stp>[FA1_ymffleas.xlsx]Income - As Reported!R69C4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9" s="11"/>
      </tp>
      <tp t="s">
        <v>—</v>
        <stp/>
        <stp>##V3_BDHV12</stp>
        <stp>RCOM IN Equity</stp>
        <stp>ARDR_INT_EXP</stp>
        <stp>FY 2011</stp>
        <stp>FY 2011</stp>
        <stp>[FA1_ymffleas.xlsx]Income - As Reported!R69C5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9" s="11"/>
      </tp>
      <tp t="s">
        <v>—</v>
        <stp/>
        <stp>##V3_BDHV12</stp>
        <stp>RCOM IN Equity</stp>
        <stp>ARDR_INT_EXP</stp>
        <stp>FY 2009</stp>
        <stp>FY 2009</stp>
        <stp>[FA1_ymffleas.xlsx]Income - As Reported!R69C3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9" s="11"/>
      </tp>
      <tp t="s">
        <v>—</v>
        <stp/>
        <stp>##V3_BDHV12</stp>
        <stp>RCOM IN Equity</stp>
        <stp>ARDR_INT_EXP</stp>
        <stp>FY 2014</stp>
        <stp>FY 2014</stp>
        <stp>[FA1_ymffleas.xlsx]Income - As Reported!R69C8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9" s="11"/>
      </tp>
      <tp t="s">
        <v>—</v>
        <stp/>
        <stp>##V3_BDHV12</stp>
        <stp>RCOM IN Equity</stp>
        <stp>ARDR_INT_EXP</stp>
        <stp>FY 2015</stp>
        <stp>FY 2015</stp>
        <stp>[FA1_ymffleas.xlsx]Income - As Reported!R69C9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9" s="11"/>
      </tp>
      <tp>
        <v>2.7161</v>
        <stp/>
        <stp>##V3_BDHV12</stp>
        <stp>RCOM IN Equity</stp>
        <stp>EV_TO_T12M_SALES</stp>
        <stp>FY 2013</stp>
        <stp>FY 2013</stp>
        <stp>[FA1_ymffleas.xlsx]Enterprise Value!R17C6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7" s="5"/>
      </tp>
      <tp>
        <v>293.56920000000002</v>
        <stp/>
        <stp>##V3_BDHV12</stp>
        <stp>RCOM IN Equity</stp>
        <stp>EV_TO_SH_OUT</stp>
        <stp>FY 2010</stp>
        <stp>FY 2010</stp>
        <stp>[FA1_ymffleas.xlsx]Enterprise Value!R25C3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5" s="5"/>
      </tp>
      <tp>
        <v>331.91090000000003</v>
        <stp/>
        <stp>##V3_BDHV12</stp>
        <stp>RCOM IN Equity</stp>
        <stp>EV_TO_SH_OUT</stp>
        <stp>FY 2014</stp>
        <stp>FY 2014</stp>
        <stp>[FA1_ymffleas.xlsx]Enterprise Value!R25C7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5" s="5"/>
      </tp>
      <tp>
        <v>253.89240000000001</v>
        <stp/>
        <stp>##V3_BDHV12</stp>
        <stp>RCOM IN Equity</stp>
        <stp>EV_TO_SH_OUT</stp>
        <stp>FY 2013</stp>
        <stp>FY 2013</stp>
        <stp>[FA1_ymffleas.xlsx]Enterprise Value!R25C6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5" s="5"/>
      </tp>
      <tp>
        <v>268.61149999999998</v>
        <stp/>
        <stp>##V3_BDHV12</stp>
        <stp>RCOM IN Equity</stp>
        <stp>EV_TO_SH_OUT</stp>
        <stp>FY 2012</stp>
        <stp>FY 2012</stp>
        <stp>[FA1_ymffleas.xlsx]Enterprise Value!R25C5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5" s="5"/>
      </tp>
      <tp>
        <v>275.17200000000003</v>
        <stp/>
        <stp>##V3_BDHV12</stp>
        <stp>RCOM IN Equity</stp>
        <stp>EV_TO_SH_OUT</stp>
        <stp>FY 2011</stp>
        <stp>FY 2011</stp>
        <stp>[FA1_ymffleas.xlsx]Enterprise Value!R25C4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5" s="5"/>
      </tp>
      <tp>
        <v>-50</v>
        <stp/>
        <stp>##V3_BDHV12</stp>
        <stp>RCOM IN Equity</stp>
        <stp>INCOME_LOSS_FROM_AFFILIATES</stp>
        <stp>FY 2018</stp>
        <stp>FY 2018</stp>
        <stp>[FA1_ymffleas.xlsx]Income - Adjusted!R49C11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49" s="9"/>
      </tp>
      <tp>
        <v>-30</v>
        <stp/>
        <stp>##V3_BDHV12</stp>
        <stp>RCOM IN Equity</stp>
        <stp>INCOME_LOSS_FROM_AFFILIATES</stp>
        <stp>FY 2017</stp>
        <stp>FY 2017</stp>
        <stp>[FA1_ymffleas.xlsx]Income - Adjusted!R49C10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49" s="9"/>
      </tp>
      <tp t="s">
        <v>—</v>
        <stp/>
        <stp>##V3_BDHV12</stp>
        <stp>RCOM IN Equity</stp>
        <stp>CF_TO_FIRM_SEQUENTIAL_GROWTH</stp>
        <stp>FY 2017</stp>
        <stp>FY 2017</stp>
        <stp>[FA1_ymffleas.xlsx]Growth!R86C11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86" s="22"/>
      </tp>
      <tp>
        <v>4.5564999999999998</v>
        <stp/>
        <stp>##V3_BDHV12</stp>
        <stp>RCOM IN Equity</stp>
        <stp>INCREMENTAL_OPERATING_MARGIN</stp>
        <stp>FY 2014</stp>
        <stp>FY 2014</stp>
        <stp>[FA1_ymffleas.xlsx]Profitability!R15C8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5" s="21"/>
      </tp>
      <tp t="s">
        <v>—</v>
        <stp/>
        <stp>##V3_BDHV12</stp>
        <stp>RCOM IN Equity</stp>
        <stp>ACCOUNTS_PAYABLE_TURNOVER</stp>
        <stp>FY 2010</stp>
        <stp>FY 2010</stp>
        <stp>[FA1_ymffleas.xlsx]Working Capital!R10C4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0" s="25"/>
      </tp>
      <tp t="s">
        <v>—</v>
        <stp/>
        <stp>##V3_BDHV12</stp>
        <stp>RCOM IN Equity</stp>
        <stp>EBITDA_TO_CASH_INTEREST_PAID</stp>
        <stp>FY 2018</stp>
        <stp>FY 2018</stp>
        <stp>[FA1_ymffleas.xlsx]Credit!R20C12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20" s="23"/>
      </tp>
      <tp>
        <v>28600</v>
        <stp/>
        <stp>##V3_BDHV12</stp>
        <stp>RCOM IN Equity</stp>
        <stp>OTHER_CURRENT_LIABS_SUB_DETAILED</stp>
        <stp>FY 2015</stp>
        <stp>FY 2015</stp>
        <stp>[FA1_ymffleas.xlsx]Bal Sheet - Standardized!R93C9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3" s="16"/>
      </tp>
      <tp>
        <v>30190</v>
        <stp/>
        <stp>##V3_BDHV12</stp>
        <stp>RCOM IN Equity</stp>
        <stp>OTHER_CURRENT_LIABS_SUB_DETAILED</stp>
        <stp>FY 2014</stp>
        <stp>FY 2014</stp>
        <stp>[FA1_ymffleas.xlsx]Bal Sheet - Standardized!R93C8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3" s="16"/>
      </tp>
      <tp>
        <v>65520</v>
        <stp/>
        <stp>##V3_BDHV12</stp>
        <stp>RCOM IN Equity</stp>
        <stp>OTHER_CURRENT_LIABS_SUB_DETAILED</stp>
        <stp>FY 2011</stp>
        <stp>FY 2011</stp>
        <stp>[FA1_ymffleas.xlsx]Bal Sheet - Standardized!R93C5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3" s="16"/>
      </tp>
      <tp>
        <v>137815.20000000001</v>
        <stp/>
        <stp>##V3_BDHV12</stp>
        <stp>RCOM IN Equity</stp>
        <stp>OTHER_CURRENT_LIABS_SUB_DETAILED</stp>
        <stp>FY 2010</stp>
        <stp>FY 2010</stp>
        <stp>[FA1_ymffleas.xlsx]Bal Sheet - Standardized!R93C4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3" s="16"/>
      </tp>
      <tp>
        <v>38140</v>
        <stp/>
        <stp>##V3_BDHV12</stp>
        <stp>RCOM IN Equity</stp>
        <stp>OTHER_CURRENT_LIABS_SUB_DETAILED</stp>
        <stp>FY 2013</stp>
        <stp>FY 2013</stp>
        <stp>[FA1_ymffleas.xlsx]Bal Sheet - Standardized!R93C7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3" s="16"/>
      </tp>
      <tp>
        <v>55600</v>
        <stp/>
        <stp>##V3_BDHV12</stp>
        <stp>RCOM IN Equity</stp>
        <stp>OTHER_CURRENT_LIABS_SUB_DETAILED</stp>
        <stp>FY 2012</stp>
        <stp>FY 2012</stp>
        <stp>[FA1_ymffleas.xlsx]Bal Sheet - Standardized!R93C6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3" s="16"/>
      </tp>
      <tp>
        <v>147675</v>
        <stp/>
        <stp>##V3_BDHV12</stp>
        <stp>RCOM IN Equity</stp>
        <stp>OTHER_CURRENT_LIABS_SUB_DETAILED</stp>
        <stp>FY 2009</stp>
        <stp>FY 2009</stp>
        <stp>[FA1_ymffleas.xlsx]Bal Sheet - Standardized!R93C3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3" s="16"/>
      </tp>
      <tp>
        <v>360895.10009999998</v>
        <stp/>
        <stp>##V3_BDHV12</stp>
        <stp>RCOM IN Equity</stp>
        <stp>HISTORICAL_MARKET_CAP</stp>
        <stp>FY 2009</stp>
        <stp>FY 2009</stp>
        <stp>[FA1_ymffleas.xlsx]Yield Analysis!R25C3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5" s="26"/>
      </tp>
      <tp>
        <v>350781.36839999998</v>
        <stp/>
        <stp>##V3_BDHV12</stp>
        <stp>RCOM IN Equity</stp>
        <stp>HISTORICAL_MARKET_CAP</stp>
        <stp>FY 2010</stp>
        <stp>FY 2010</stp>
        <stp>[FA1_ymffleas.xlsx]Yield Analysis!R25C4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5" s="26"/>
      </tp>
      <tp>
        <v>222192.49369999999</v>
        <stp/>
        <stp>##V3_BDHV12</stp>
        <stp>RCOM IN Equity</stp>
        <stp>HISTORICAL_MARKET_CAP</stp>
        <stp>FY 2011</stp>
        <stp>FY 2011</stp>
        <stp>[FA1_ymffleas.xlsx]Yield Analysis!R25C5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5" s="26"/>
      </tp>
      <tp>
        <v>173481.45929999999</v>
        <stp/>
        <stp>##V3_BDHV12</stp>
        <stp>RCOM IN Equity</stp>
        <stp>HISTORICAL_MARKET_CAP</stp>
        <stp>FY 2012</stp>
        <stp>FY 2012</stp>
        <stp>[FA1_ymffleas.xlsx]Yield Analysis!R25C6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5" s="26"/>
      </tp>
      <tp>
        <v>114140.6865</v>
        <stp/>
        <stp>##V3_BDHV12</stp>
        <stp>RCOM IN Equity</stp>
        <stp>HISTORICAL_MARKET_CAP</stp>
        <stp>FY 2013</stp>
        <stp>FY 2013</stp>
        <stp>[FA1_ymffleas.xlsx]Yield Analysis!R25C7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5" s="26"/>
      </tp>
      <tp>
        <v>266053.065</v>
        <stp/>
        <stp>##V3_BDHV12</stp>
        <stp>RCOM IN Equity</stp>
        <stp>HISTORICAL_MARKET_CAP</stp>
        <stp>FY 2014</stp>
        <stp>FY 2014</stp>
        <stp>[FA1_ymffleas.xlsx]Yield Analysis!R25C8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5" s="26"/>
      </tp>
      <tp>
        <v>147472.04990000001</v>
        <stp/>
        <stp>##V3_BDHV12</stp>
        <stp>RCOM IN Equity</stp>
        <stp>HISTORICAL_MARKET_CAP</stp>
        <stp>FY 2015</stp>
        <stp>FY 2015</stp>
        <stp>[FA1_ymffleas.xlsx]Yield Analysis!R25C9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5" s="26"/>
      </tp>
      <tp>
        <v>78850</v>
        <stp/>
        <stp>##V3_BDHV12</stp>
        <stp>RCOM IN Equity</stp>
        <stp>BS_CURR_PORTION_LT_DEBT</stp>
        <stp>FY 2015</stp>
        <stp>FY 2015</stp>
        <stp>[FA1_ymffleas.xlsx]Bal Sheet - Standardized!R91C9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1" s="16"/>
      </tp>
      <tp>
        <v>51560</v>
        <stp/>
        <stp>##V3_BDHV12</stp>
        <stp>RCOM IN Equity</stp>
        <stp>BS_CURR_PORTION_LT_DEBT</stp>
        <stp>FY 2014</stp>
        <stp>FY 2014</stp>
        <stp>[FA1_ymffleas.xlsx]Bal Sheet - Standardized!R91C8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1" s="16"/>
      </tp>
      <tp>
        <v>90760</v>
        <stp/>
        <stp>##V3_BDHV12</stp>
        <stp>RCOM IN Equity</stp>
        <stp>BS_CURR_PORTION_LT_DEBT</stp>
        <stp>FY 2011</stp>
        <stp>FY 2011</stp>
        <stp>[FA1_ymffleas.xlsx]Bal Sheet - Standardized!R91C5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1" s="16"/>
      </tp>
      <tp>
        <v>104636</v>
        <stp/>
        <stp>##V3_BDHV12</stp>
        <stp>RCOM IN Equity</stp>
        <stp>BS_CURR_PORTION_LT_DEBT</stp>
        <stp>FY 2010</stp>
        <stp>FY 2010</stp>
        <stp>[FA1_ymffleas.xlsx]Bal Sheet - Standardized!R91C4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1" s="16"/>
      </tp>
      <tp>
        <v>40690</v>
        <stp/>
        <stp>##V3_BDHV12</stp>
        <stp>RCOM IN Equity</stp>
        <stp>BS_CURR_PORTION_LT_DEBT</stp>
        <stp>FY 2013</stp>
        <stp>FY 2013</stp>
        <stp>[FA1_ymffleas.xlsx]Bal Sheet - Standardized!R91C7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1" s="16"/>
      </tp>
      <tp>
        <v>31180</v>
        <stp/>
        <stp>##V3_BDHV12</stp>
        <stp>RCOM IN Equity</stp>
        <stp>BS_CURR_PORTION_LT_DEBT</stp>
        <stp>FY 2012</stp>
        <stp>FY 2012</stp>
        <stp>[FA1_ymffleas.xlsx]Bal Sheet - Standardized!R91C6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1" s="16"/>
      </tp>
      <tp>
        <v>118716.2</v>
        <stp/>
        <stp>##V3_BDHV12</stp>
        <stp>RCOM IN Equity</stp>
        <stp>BS_CURR_PORTION_LT_DEBT</stp>
        <stp>FY 2009</stp>
        <stp>FY 2009</stp>
        <stp>[FA1_ymffleas.xlsx]Bal Sheet - Standardized!R91C3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1" s="16"/>
      </tp>
      <tp>
        <v>210</v>
        <stp/>
        <stp>##V3_BDHV12</stp>
        <stp>RCOM IN Equity</stp>
        <stp>ARD_EQY_INVEST_ASSOC_AFFILIATES</stp>
        <stp>FY 2017</stp>
        <stp>FY 2017</stp>
        <stp>[FA1_ymffleas.xlsx]Bal Sheet - As Reported!R34C11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4" s="17"/>
      </tp>
      <tp>
        <v>180</v>
        <stp/>
        <stp>##V3_BDHV12</stp>
        <stp>RCOM IN Equity</stp>
        <stp>ARD_EQY_INVEST_ASSOC_AFFILIATES</stp>
        <stp>FY 2016</stp>
        <stp>FY 2016</stp>
        <stp>[FA1_ymffleas.xlsx]Bal Sheet - As Reported!R34C10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4" s="17"/>
      </tp>
      <tp t="s">
        <v>—</v>
        <stp/>
        <stp>##V3_BDHV12</stp>
        <stp>RCOM IN Equity</stp>
        <stp>ARD_EQY_INVEST_ASSOC_AFFILIATES</stp>
        <stp>FY 2018</stp>
        <stp>FY 2018</stp>
        <stp>[FA1_ymffleas.xlsx]Bal Sheet - As Reported!R34C12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4" s="17"/>
      </tp>
      <tp>
        <v>-6.9448999999999996</v>
        <stp/>
        <stp>##V3_BDHV12</stp>
        <stp>RCOM IN Equity</stp>
        <stp>ACCOUNTS_PAYABLE_SEQ_GROWTH</stp>
        <stp>FY 2016</stp>
        <stp>FY 2016</stp>
        <stp>[FA1_ymffleas.xlsx]Growth!R75C10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5" s="22"/>
      </tp>
      <tp t="s">
        <v>—</v>
        <stp/>
        <stp>##V3_BDHV12</stp>
        <stp>RCOM IN Equity</stp>
        <stp>EPS_DILUTED_SEQUENTIAL_GROWTH</stp>
        <stp>FY 2018</stp>
        <stp>FY 2018</stp>
        <stp>[FA1_ymffleas.xlsx]Growth!R64C12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64" s="22"/>
      </tp>
      <tp>
        <v>-17.818200000000001</v>
        <stp/>
        <stp>##V3_BDHV12</stp>
        <stp>RCOM IN Equity</stp>
        <stp>ACCOUNTS_PAYABLE_SEQ_GROWTH</stp>
        <stp>FY 2017</stp>
        <stp>FY 2017</stp>
        <stp>[FA1_ymffleas.xlsx]Growth!R75C11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5" s="22"/>
      </tp>
      <tp>
        <v>2.5705999999999998</v>
        <stp/>
        <stp>##V3_BDHV12</stp>
        <stp>RCOM IN Equity</stp>
        <stp>ACCOUNTS_PAYABLE_SEQ_GROWTH</stp>
        <stp>FY 2018</stp>
        <stp>FY 2018</stp>
        <stp>[FA1_ymffleas.xlsx]Growth!R75C12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5" s="22"/>
      </tp>
      <tp>
        <v>-60700</v>
        <stp/>
        <stp>##V3_BDHV12</stp>
        <stp>RCOM IN Equity</stp>
        <stp>RETURNED_CAPITAL_EX_DEBT</stp>
        <stp>FY 2015</stp>
        <stp>FY 2015</stp>
        <stp>[FA1_ymffleas.xlsx]Yield Analysis!R24C9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4" s="26"/>
      </tp>
      <tp>
        <v>610</v>
        <stp/>
        <stp>##V3_BDHV12</stp>
        <stp>RCOM IN Equity</stp>
        <stp>RETURNED_CAPITAL_EX_DEBT</stp>
        <stp>FY 2014</stp>
        <stp>FY 2014</stp>
        <stp>[FA1_ymffleas.xlsx]Yield Analysis!R24C8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4" s="26"/>
      </tp>
      <tp>
        <v>1792.3</v>
        <stp/>
        <stp>##V3_BDHV12</stp>
        <stp>RCOM IN Equity</stp>
        <stp>RETURNED_CAPITAL_EX_DEBT</stp>
        <stp>FY 2009</stp>
        <stp>FY 2009</stp>
        <stp>[FA1_ymffleas.xlsx]Yield Analysis!R24C3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4" s="26"/>
      </tp>
      <tp>
        <v>600</v>
        <stp/>
        <stp>##V3_BDHV12</stp>
        <stp>RCOM IN Equity</stp>
        <stp>RETURNED_CAPITAL_EX_DEBT</stp>
        <stp>FY 2013</stp>
        <stp>FY 2013</stp>
        <stp>[FA1_ymffleas.xlsx]Yield Analysis!R24C7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4" s="26"/>
      </tp>
      <tp>
        <v>1190</v>
        <stp/>
        <stp>##V3_BDHV12</stp>
        <stp>RCOM IN Equity</stp>
        <stp>RETURNED_CAPITAL_EX_DEBT</stp>
        <stp>FY 2012</stp>
        <stp>FY 2012</stp>
        <stp>[FA1_ymffleas.xlsx]Yield Analysis!R24C6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4" s="26"/>
      </tp>
      <tp>
        <v>2020</v>
        <stp/>
        <stp>##V3_BDHV12</stp>
        <stp>RCOM IN Equity</stp>
        <stp>RETURNED_CAPITAL_EX_DEBT</stp>
        <stp>FY 2011</stp>
        <stp>FY 2011</stp>
        <stp>[FA1_ymffleas.xlsx]Yield Analysis!R24C5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4" s="26"/>
      </tp>
      <tp>
        <v>1910.6</v>
        <stp/>
        <stp>##V3_BDHV12</stp>
        <stp>RCOM IN Equity</stp>
        <stp>RETURNED_CAPITAL_EX_DEBT</stp>
        <stp>FY 2010</stp>
        <stp>FY 2010</stp>
        <stp>[FA1_ymffleas.xlsx]Yield Analysis!R24C4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4" s="26"/>
      </tp>
      <tp>
        <v>222505.4</v>
        <stp/>
        <stp>##V3_BDHV12</stp>
        <stp>RCOM IN Equity</stp>
        <stp>ARD_REVENUES</stp>
        <stp>FY 2009</stp>
        <stp>FY 2009</stp>
        <stp>[FA1_ymffleas.xlsx]Income - As Reported!R8C3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11"/>
      </tp>
      <tp>
        <v>196770</v>
        <stp/>
        <stp>##V3_BDHV12</stp>
        <stp>RCOM IN Equity</stp>
        <stp>ARD_REVENUES</stp>
        <stp>FY 2012</stp>
        <stp>FY 2012</stp>
        <stp>[FA1_ymffleas.xlsx]Income - As Reported!R8C6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11"/>
      </tp>
      <tp>
        <v>205610</v>
        <stp/>
        <stp>##V3_BDHV12</stp>
        <stp>RCOM IN Equity</stp>
        <stp>ARD_REVENUES</stp>
        <stp>FY 2013</stp>
        <stp>FY 2013</stp>
        <stp>[FA1_ymffleas.xlsx]Income - As Reported!R8C7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11"/>
      </tp>
      <tp>
        <v>214963.8</v>
        <stp/>
        <stp>##V3_BDHV12</stp>
        <stp>RCOM IN Equity</stp>
        <stp>ARD_REVENUES</stp>
        <stp>FY 2010</stp>
        <stp>FY 2010</stp>
        <stp>[FA1_ymffleas.xlsx]Income - As Reported!R8C4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11"/>
      </tp>
      <tp>
        <v>224310</v>
        <stp/>
        <stp>##V3_BDHV12</stp>
        <stp>RCOM IN Equity</stp>
        <stp>ARD_REVENUES</stp>
        <stp>FY 2011</stp>
        <stp>FY 2011</stp>
        <stp>[FA1_ymffleas.xlsx]Income - As Reported!R8C5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11"/>
      </tp>
      <tp>
        <v>212380</v>
        <stp/>
        <stp>##V3_BDHV12</stp>
        <stp>RCOM IN Equity</stp>
        <stp>ARD_REVENUES</stp>
        <stp>FY 2014</stp>
        <stp>FY 2014</stp>
        <stp>[FA1_ymffleas.xlsx]Income - As Reported!R8C8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11"/>
      </tp>
      <tp>
        <v>217700</v>
        <stp/>
        <stp>##V3_BDHV12</stp>
        <stp>RCOM IN Equity</stp>
        <stp>ARD_REVENUES</stp>
        <stp>FY 2015</stp>
        <stp>FY 2015</stp>
        <stp>[FA1_ymffleas.xlsx]Income - As Reported!R8C9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11"/>
      </tp>
      <tp>
        <v>0</v>
        <stp/>
        <stp>##V3_BDHV12</stp>
        <stp>RCOM IN Equity</stp>
        <stp>LT_CAPITAL_LEASE_OBLIGATIONS</stp>
        <stp>FY 2009</stp>
        <stp>FY 2009</stp>
        <stp>[FA1_ymffleas.xlsx]Bal Sheet - Standardized!R107C3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7" s="16"/>
      </tp>
      <tp>
        <v>0</v>
        <stp/>
        <stp>##V3_BDHV12</stp>
        <stp>RCOM IN Equity</stp>
        <stp>LT_CAPITAL_LEASE_OBLIGATIONS</stp>
        <stp>FY 2011</stp>
        <stp>FY 2011</stp>
        <stp>[FA1_ymffleas.xlsx]Bal Sheet - Standardized!R107C5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7" s="16"/>
      </tp>
      <tp>
        <v>0</v>
        <stp/>
        <stp>##V3_BDHV12</stp>
        <stp>RCOM IN Equity</stp>
        <stp>LT_CAPITAL_LEASE_OBLIGATIONS</stp>
        <stp>FY 2010</stp>
        <stp>FY 2010</stp>
        <stp>[FA1_ymffleas.xlsx]Bal Sheet - Standardized!R107C4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7" s="16"/>
      </tp>
      <tp>
        <v>0</v>
        <stp/>
        <stp>##V3_BDHV12</stp>
        <stp>RCOM IN Equity</stp>
        <stp>LT_CAPITAL_LEASE_OBLIGATIONS</stp>
        <stp>FY 2013</stp>
        <stp>FY 2013</stp>
        <stp>[FA1_ymffleas.xlsx]Bal Sheet - Standardized!R107C7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7" s="16"/>
      </tp>
      <tp>
        <v>0</v>
        <stp/>
        <stp>##V3_BDHV12</stp>
        <stp>RCOM IN Equity</stp>
        <stp>LT_CAPITAL_LEASE_OBLIGATIONS</stp>
        <stp>FY 2012</stp>
        <stp>FY 2012</stp>
        <stp>[FA1_ymffleas.xlsx]Bal Sheet - Standardized!R107C6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7" s="16"/>
      </tp>
      <tp>
        <v>1250</v>
        <stp/>
        <stp>##V3_BDHV12</stp>
        <stp>RCOM IN Equity</stp>
        <stp>LT_CAPITAL_LEASE_OBLIGATIONS</stp>
        <stp>FY 2015</stp>
        <stp>FY 2015</stp>
        <stp>[FA1_ymffleas.xlsx]Bal Sheet - Standardized!R107C9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7" s="16"/>
      </tp>
      <tp>
        <v>2700</v>
        <stp/>
        <stp>##V3_BDHV12</stp>
        <stp>RCOM IN Equity</stp>
        <stp>LT_CAPITAL_LEASE_OBLIGATIONS</stp>
        <stp>FY 2014</stp>
        <stp>FY 2014</stp>
        <stp>[FA1_ymffleas.xlsx]Bal Sheet - Standardized!R107C8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7" s="16"/>
      </tp>
      <tp>
        <v>2.9622999999999999</v>
        <stp/>
        <stp>##V3_BDHV12</stp>
        <stp>RCOM IN Equity</stp>
        <stp>EV_TO_T12M_SALES</stp>
        <stp>FY 2012</stp>
        <stp>FY 2012</stp>
        <stp>[FA1_ymffleas.xlsx]Enterprise Value!R17C5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7" s="5"/>
      </tp>
      <tp t="s">
        <v>—</v>
        <stp/>
        <stp>##V3_BDHV12</stp>
        <stp>RCOM IN Equity</stp>
        <stp>CF_TO_FIRM_SEQUENTIAL_GROWTH</stp>
        <stp>FY 2018</stp>
        <stp>FY 2018</stp>
        <stp>[FA1_ymffleas.xlsx]Growth!R86C12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86" s="22"/>
      </tp>
      <tp t="s">
        <v>—</v>
        <stp/>
        <stp>##V3_BDHV12</stp>
        <stp>RCOM IN Equity</stp>
        <stp>ACCOUNTS_PAYABLE_TURNOVER</stp>
        <stp>FY 2013</stp>
        <stp>FY 2013</stp>
        <stp>[FA1_ymffleas.xlsx]Working Capital!R10C7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0" s="25"/>
      </tp>
      <tp t="s">
        <v>—</v>
        <stp/>
        <stp>##V3_BDHV12</stp>
        <stp>RCOM IN Equity</stp>
        <stp>EFF_TAX_RATE</stp>
        <stp>FY 2009</stp>
        <stp>FY 2009</stp>
        <stp>[FA1_ymffleas.xlsx]Profitability!R22C3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2" s="21"/>
      </tp>
      <tp>
        <v>0</v>
        <stp/>
        <stp>##V3_BDHV12</stp>
        <stp>RCOM IN Equity</stp>
        <stp>TRAIL_12M_DVD_PER_SH</stp>
        <stp>FY 2017</stp>
        <stp>FY 2017</stp>
        <stp>[FA1_ymffleas.xlsx]Dividend Summary!R16C11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" s="31"/>
      </tp>
      <tp>
        <v>0</v>
        <stp/>
        <stp>##V3_BDHV12</stp>
        <stp>RCOM IN Equity</stp>
        <stp>TRAIL_12M_DVD_PER_SH</stp>
        <stp>FY 2016</stp>
        <stp>FY 2016</stp>
        <stp>[FA1_ymffleas.xlsx]Dividend Summary!R16C10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" s="31"/>
      </tp>
      <tp t="s">
        <v>—</v>
        <stp/>
        <stp>##V3_BDHV12</stp>
        <stp>RCOM IN Equity</stp>
        <stp>EBITDA_TO_CASH_INTEREST_PAID</stp>
        <stp>FY 2017</stp>
        <stp>FY 2017</stp>
        <stp>[FA1_ymffleas.xlsx]Credit!R20C11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0" s="23"/>
      </tp>
      <tp>
        <v>0</v>
        <stp/>
        <stp>##V3_BDHV12</stp>
        <stp>RCOM IN Equity</stp>
        <stp>TRAIL_12M_DVD_PER_SH</stp>
        <stp>FY 2018</stp>
        <stp>FY 2018</stp>
        <stp>[FA1_ymffleas.xlsx]Dividend Summary!R16C12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" s="31"/>
      </tp>
      <tp t="s">
        <v>—</v>
        <stp/>
        <stp>##V3_BDHV12</stp>
        <stp>RCOM IN Equity</stp>
        <stp>IS_DEPR_EXP</stp>
        <stp>FY 2017</stp>
        <stp>FY 2017</stp>
        <stp>[FA1_ymffleas.xlsx]Income - Adjusted!R132C10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2" s="9"/>
      </tp>
      <tp t="s">
        <v>—</v>
        <stp/>
        <stp>##V3_BDHV12</stp>
        <stp>RCOM IN Equity</stp>
        <stp>IS_DEPR_EXP</stp>
        <stp>FY 2018</stp>
        <stp>FY 2018</stp>
        <stp>[FA1_ymffleas.xlsx]Income - Adjusted!R132C11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2" s="9"/>
      </tp>
      <tp>
        <v>310</v>
        <stp/>
        <stp>##V3_BDHV12</stp>
        <stp>RCOM IN Equity</stp>
        <stp>ARDR_LICENSES</stp>
        <stp>FY 2018</stp>
        <stp>FY 2018</stp>
        <stp>[FA1_ymffleas.xlsx]Bal Sheet - As Reported!R129C12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9" s="17"/>
      </tp>
      <tp>
        <v>166100</v>
        <stp/>
        <stp>##V3_BDHV12</stp>
        <stp>RCOM IN Equity</stp>
        <stp>ARDR_LICENSES</stp>
        <stp>FY 2017</stp>
        <stp>FY 2017</stp>
        <stp>[FA1_ymffleas.xlsx]Bal Sheet - As Reported!R129C11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9" s="17"/>
      </tp>
      <tp>
        <v>144310</v>
        <stp/>
        <stp>##V3_BDHV12</stp>
        <stp>RCOM IN Equity</stp>
        <stp>ARDR_LICENSES</stp>
        <stp>FY 2016</stp>
        <stp>FY 2016</stp>
        <stp>[FA1_ymffleas.xlsx]Bal Sheet - As Reported!R129C10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9" s="17"/>
      </tp>
      <tp t="s">
        <v>—</v>
        <stp/>
        <stp>##V3_BDHV12</stp>
        <stp>RCOM IN Equity</stp>
        <stp>BS_DERIVATIVE_&amp;_HEDGING_LIABS_ST</stp>
        <stp>FY 2009</stp>
        <stp>FY 2009</stp>
        <stp>[FA1_ymffleas.xlsx]Bal Sheet - Standardized!R97C3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7" s="16"/>
      </tp>
      <tp t="s">
        <v>—</v>
        <stp/>
        <stp>##V3_BDHV12</stp>
        <stp>RCOM IN Equity</stp>
        <stp>BS_DERIVATIVE_&amp;_HEDGING_LIABS_ST</stp>
        <stp>FY 2012</stp>
        <stp>FY 2012</stp>
        <stp>[FA1_ymffleas.xlsx]Bal Sheet - Standardized!R97C6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7" s="16"/>
      </tp>
      <tp t="s">
        <v>—</v>
        <stp/>
        <stp>##V3_BDHV12</stp>
        <stp>RCOM IN Equity</stp>
        <stp>BS_DERIVATIVE_&amp;_HEDGING_LIABS_ST</stp>
        <stp>FY 2013</stp>
        <stp>FY 2013</stp>
        <stp>[FA1_ymffleas.xlsx]Bal Sheet - Standardized!R97C7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7" s="16"/>
      </tp>
      <tp t="s">
        <v>—</v>
        <stp/>
        <stp>##V3_BDHV12</stp>
        <stp>RCOM IN Equity</stp>
        <stp>BS_DERIVATIVE_&amp;_HEDGING_LIABS_ST</stp>
        <stp>FY 2010</stp>
        <stp>FY 2010</stp>
        <stp>[FA1_ymffleas.xlsx]Bal Sheet - Standardized!R97C4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7" s="16"/>
      </tp>
      <tp t="s">
        <v>—</v>
        <stp/>
        <stp>##V3_BDHV12</stp>
        <stp>RCOM IN Equity</stp>
        <stp>BS_DERIVATIVE_&amp;_HEDGING_LIABS_ST</stp>
        <stp>FY 2011</stp>
        <stp>FY 2011</stp>
        <stp>[FA1_ymffleas.xlsx]Bal Sheet - Standardized!R97C5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7" s="16"/>
      </tp>
      <tp t="s">
        <v>—</v>
        <stp/>
        <stp>##V3_BDHV12</stp>
        <stp>RCOM IN Equity</stp>
        <stp>BS_DERIVATIVE_&amp;_HEDGING_LIABS_ST</stp>
        <stp>FY 2014</stp>
        <stp>FY 2014</stp>
        <stp>[FA1_ymffleas.xlsx]Bal Sheet - Standardized!R97C8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7" s="16"/>
      </tp>
      <tp t="s">
        <v>—</v>
        <stp/>
        <stp>##V3_BDHV12</stp>
        <stp>RCOM IN Equity</stp>
        <stp>BS_DERIVATIVE_&amp;_HEDGING_LIABS_ST</stp>
        <stp>FY 2015</stp>
        <stp>FY 2015</stp>
        <stp>[FA1_ymffleas.xlsx]Bal Sheet - Standardized!R97C9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7" s="16"/>
      </tp>
      <tp>
        <v>920</v>
        <stp/>
        <stp>##V3_BDHV12</stp>
        <stp>RCOM IN Equity</stp>
        <stp>CF_INTEREST_RECEIVED</stp>
        <stp>FY 2018</stp>
        <stp>FY 2018</stp>
        <stp>[FA1_ymffleas.xlsx]Cash Flow - Standardized!R60C11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0" s="19"/>
      </tp>
      <tp>
        <v>1490</v>
        <stp/>
        <stp>##V3_BDHV12</stp>
        <stp>RCOM IN Equity</stp>
        <stp>CF_INTEREST_RECEIVED</stp>
        <stp>FY 2017</stp>
        <stp>FY 2017</stp>
        <stp>[FA1_ymffleas.xlsx]Cash Flow - Standardized!R60C10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0" s="19"/>
      </tp>
      <tp>
        <v>38.299999999999997</v>
        <stp/>
        <stp>##V3_BDHV12</stp>
        <stp>RCOM IN Equity</stp>
        <stp>PX_LAST</stp>
        <stp>FY 2017</stp>
        <stp>FY 2017</stp>
        <stp>[FA1_ymffleas.xlsx]Multiples!R51C10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51" s="6"/>
      </tp>
      <tp>
        <v>21.75</v>
        <stp/>
        <stp>##V3_BDHV12</stp>
        <stp>RCOM IN Equity</stp>
        <stp>PX_LAST</stp>
        <stp>FY 2018</stp>
        <stp>FY 2018</stp>
        <stp>[FA1_ymffleas.xlsx]Multiples!R51C11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51" s="6"/>
      </tp>
      <tp>
        <v>102.7869</v>
        <stp/>
        <stp>##V3_BDHV12</stp>
        <stp>RCOM IN Equity</stp>
        <stp>INCR_IN_EQY_PCT_OF_TOT</stp>
        <stp>FY 2018</stp>
        <stp>FY 2018</stp>
        <stp>[FA1_ymffleas.xlsx]Sources of Capital!R15C12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5" s="32"/>
      </tp>
      <tp>
        <v>-54.091999999999999</v>
        <stp/>
        <stp>##V3_BDHV12</stp>
        <stp>RCOM IN Equity</stp>
        <stp>INCR_IN_EQY_PCT_OF_TOT</stp>
        <stp>FY 2016</stp>
        <stp>FY 2016</stp>
        <stp>[FA1_ymffleas.xlsx]Sources of Capital!R15C10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5" s="32"/>
      </tp>
      <tp>
        <v>77.786699999999996</v>
        <stp/>
        <stp>##V3_BDHV12</stp>
        <stp>RCOM IN Equity</stp>
        <stp>INCR_IN_EQY_PCT_OF_TOT</stp>
        <stp>FY 2017</stp>
        <stp>FY 2017</stp>
        <stp>[FA1_ymffleas.xlsx]Sources of Capital!R15C11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5" s="32"/>
      </tp>
      <tp>
        <v>95327.924199999994</v>
        <stp/>
        <stp>##V3_BDHV12</stp>
        <stp>RCOM IN Equity</stp>
        <stp>HISTORICAL_MARKET_CAP</stp>
        <stp>FY 2017</stp>
        <stp>FY 2017</stp>
        <stp>[FA1_ymffleas.xlsx]Enterprise Value!R6C10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" s="5"/>
      </tp>
      <tp>
        <v>60150.343800000002</v>
        <stp/>
        <stp>##V3_BDHV12</stp>
        <stp>RCOM IN Equity</stp>
        <stp>HISTORICAL_MARKET_CAP</stp>
        <stp>FY 2018</stp>
        <stp>FY 2018</stp>
        <stp>[FA1_ymffleas.xlsx]Enterprise Value!R6C11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" s="5"/>
      </tp>
      <tp>
        <v>-319.51560000000001</v>
        <stp/>
        <stp>##V3_BDHV12</stp>
        <stp>RCOM IN Equity</stp>
        <stp>EPS_DILUTED_SEQUENTIAL_GROWTH</stp>
        <stp>FY 2017</stp>
        <stp>FY 2017</stp>
        <stp>[FA1_ymffleas.xlsx]Growth!R64C11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64" s="22"/>
      </tp>
      <tp t="s">
        <v>—</v>
        <stp/>
        <stp>##V3_BDHV12</stp>
        <stp>RCOM IN Equity</stp>
        <stp>ARD_PRIOR_PERIOD_ADJUSTMENTS</stp>
        <stp>FY 2009</stp>
        <stp>FY 2009</stp>
        <stp>[FA1_ymffleas.xlsx]Income - As Reported!R38C3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8" s="11"/>
      </tp>
      <tp t="s">
        <v>—</v>
        <stp/>
        <stp>##V3_BDHV12</stp>
        <stp>RCOM IN Equity</stp>
        <stp>ARD_PRIOR_PERIOD_ADJUSTMENTS</stp>
        <stp>FY 2012</stp>
        <stp>FY 2012</stp>
        <stp>[FA1_ymffleas.xlsx]Income - As Reported!R38C6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8" s="11"/>
      </tp>
      <tp t="s">
        <v>—</v>
        <stp/>
        <stp>##V3_BDHV12</stp>
        <stp>RCOM IN Equity</stp>
        <stp>ARD_PRIOR_PERIOD_ADJUSTMENTS</stp>
        <stp>FY 2013</stp>
        <stp>FY 2013</stp>
        <stp>[FA1_ymffleas.xlsx]Income - As Reported!R38C7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8" s="11"/>
      </tp>
      <tp t="s">
        <v>—</v>
        <stp/>
        <stp>##V3_BDHV12</stp>
        <stp>RCOM IN Equity</stp>
        <stp>ARD_PRIOR_PERIOD_ADJUSTMENTS</stp>
        <stp>FY 2010</stp>
        <stp>FY 2010</stp>
        <stp>[FA1_ymffleas.xlsx]Income - As Reported!R38C4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8" s="11"/>
      </tp>
      <tp t="s">
        <v>—</v>
        <stp/>
        <stp>##V3_BDHV12</stp>
        <stp>RCOM IN Equity</stp>
        <stp>ARD_PRIOR_PERIOD_ADJUSTMENTS</stp>
        <stp>FY 2011</stp>
        <stp>FY 2011</stp>
        <stp>[FA1_ymffleas.xlsx]Income - As Reported!R38C5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8" s="11"/>
      </tp>
      <tp>
        <v>560</v>
        <stp/>
        <stp>##V3_BDHV12</stp>
        <stp>RCOM IN Equity</stp>
        <stp>ARD_PRIOR_PERIOD_ADJUSTMENTS</stp>
        <stp>FY 2014</stp>
        <stp>FY 2014</stp>
        <stp>[FA1_ymffleas.xlsx]Income - As Reported!R38C8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8" s="11"/>
      </tp>
      <tp>
        <v>0</v>
        <stp/>
        <stp>##V3_BDHV12</stp>
        <stp>RCOM IN Equity</stp>
        <stp>ARD_PRIOR_PERIOD_ADJUSTMENTS</stp>
        <stp>FY 2015</stp>
        <stp>FY 2015</stp>
        <stp>[FA1_ymffleas.xlsx]Income - As Reported!R38C9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8" s="11"/>
      </tp>
      <tp>
        <v>-35600</v>
        <stp/>
        <stp>##V3_BDHV12</stp>
        <stp>RCOM IN Equity</stp>
        <stp>CF_CASH_FROM_OPER</stp>
        <stp>FY 2017</stp>
        <stp>FY 2017</stp>
        <stp>[FA1_ymffleas.xlsx]Addl - Overview!R33C10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3" s="29"/>
      </tp>
      <tp>
        <v>-4070</v>
        <stp/>
        <stp>##V3_BDHV12</stp>
        <stp>RCOM IN Equity</stp>
        <stp>CF_CASH_FROM_OPER</stp>
        <stp>FY 2018</stp>
        <stp>FY 2018</stp>
        <stp>[FA1_ymffleas.xlsx]Addl - Overview!R33C11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3" s="29"/>
      </tp>
      <tp>
        <v>272906.3</v>
        <stp/>
        <stp>##V3_BDHV12</stp>
        <stp>RCOM IN Equity</stp>
        <stp>BS_LT_BORROW</stp>
        <stp>FY 2009</stp>
        <stp>FY 2009</stp>
        <stp>[FA1_ymffleas.xlsx]Credit!R8C3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23"/>
      </tp>
      <tp>
        <v>286780</v>
        <stp/>
        <stp>##V3_BDHV12</stp>
        <stp>RCOM IN Equity</stp>
        <stp>BS_LT_BORROW</stp>
        <stp>FY 2013</stp>
        <stp>FY 2013</stp>
        <stp>[FA1_ymffleas.xlsx]Credit!R8C7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23"/>
      </tp>
      <tp>
        <v>296460</v>
        <stp/>
        <stp>##V3_BDHV12</stp>
        <stp>RCOM IN Equity</stp>
        <stp>BS_LT_BORROW</stp>
        <stp>FY 2012</stp>
        <stp>FY 2012</stp>
        <stp>[FA1_ymffleas.xlsx]Credit!R8C6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23"/>
      </tp>
      <tp>
        <v>193130</v>
        <stp/>
        <stp>##V3_BDHV12</stp>
        <stp>RCOM IN Equity</stp>
        <stp>BS_LT_BORROW</stp>
        <stp>FY 2011</stp>
        <stp>FY 2011</stp>
        <stp>[FA1_ymffleas.xlsx]Credit!R8C5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23"/>
      </tp>
      <tp>
        <v>192518.2</v>
        <stp/>
        <stp>##V3_BDHV12</stp>
        <stp>RCOM IN Equity</stp>
        <stp>BS_LT_BORROW</stp>
        <stp>FY 2010</stp>
        <stp>FY 2010</stp>
        <stp>[FA1_ymffleas.xlsx]Credit!R8C4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23"/>
      </tp>
      <tp>
        <v>304810</v>
        <stp/>
        <stp>##V3_BDHV12</stp>
        <stp>RCOM IN Equity</stp>
        <stp>BS_LT_BORROW</stp>
        <stp>FY 2015</stp>
        <stp>FY 2015</stp>
        <stp>[FA1_ymffleas.xlsx]Credit!R8C9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23"/>
      </tp>
      <tp>
        <v>281830</v>
        <stp/>
        <stp>##V3_BDHV12</stp>
        <stp>RCOM IN Equity</stp>
        <stp>BS_LT_BORROW</stp>
        <stp>FY 2014</stp>
        <stp>FY 2014</stp>
        <stp>[FA1_ymffleas.xlsx]Credit!R8C8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23"/>
      </tp>
      <tp>
        <v>2.5712000000000002</v>
        <stp/>
        <stp>##V3_BDHV12</stp>
        <stp>RCOM IN Equity</stp>
        <stp>EV_TO_T12M_SALES</stp>
        <stp>FY 2011</stp>
        <stp>FY 2011</stp>
        <stp>[FA1_ymffleas.xlsx]Enterprise Value!R17C4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7" s="5"/>
      </tp>
      <tp>
        <v>-89.247100000000003</v>
        <stp/>
        <stp>##V3_BDHV12</stp>
        <stp>RCOM IN Equity</stp>
        <stp>TOTAL_EQUITY_SEQUENTIAL_GROWTH</stp>
        <stp>FY 2018</stp>
        <stp>FY 2018</stp>
        <stp>[FA1_ymffleas.xlsx]Growth!R78C12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8" s="22"/>
      </tp>
      <tp>
        <v>53940</v>
        <stp/>
        <stp>##V3_BDHV12</stp>
        <stp>RCOM IN Equity</stp>
        <stp>ARDR_TRADE_RECEIVABLES_GROSS</stp>
        <stp>FY 2017</stp>
        <stp>FY 2017</stp>
        <stp>[FA1_ymffleas.xlsx]Bal Sheet - As Reported!R152C11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2" s="17"/>
      </tp>
      <tp>
        <v>-17.1218</v>
        <stp/>
        <stp>##V3_BDHV12</stp>
        <stp>RCOM IN Equity</stp>
        <stp>TOTAL_EQUITY_SEQUENTIAL_GROWTH</stp>
        <stp>FY 2016</stp>
        <stp>FY 2016</stp>
        <stp>[FA1_ymffleas.xlsx]Growth!R78C10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8" s="22"/>
      </tp>
      <tp>
        <v>53970</v>
        <stp/>
        <stp>##V3_BDHV12</stp>
        <stp>RCOM IN Equity</stp>
        <stp>ARDR_TRADE_RECEIVABLES_GROSS</stp>
        <stp>FY 2016</stp>
        <stp>FY 2016</stp>
        <stp>[FA1_ymffleas.xlsx]Bal Sheet - As Reported!R152C10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2" s="17"/>
      </tp>
      <tp>
        <v>43690</v>
        <stp/>
        <stp>##V3_BDHV12</stp>
        <stp>RCOM IN Equity</stp>
        <stp>ARDR_TRADE_RECEIVABLES_GROSS</stp>
        <stp>FY 2018</stp>
        <stp>FY 2018</stp>
        <stp>[FA1_ymffleas.xlsx]Bal Sheet - As Reported!R152C12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2" s="17"/>
      </tp>
      <tp>
        <v>-9.0883000000000003</v>
        <stp/>
        <stp>##V3_BDHV12</stp>
        <stp>RCOM IN Equity</stp>
        <stp>TOTAL_EQUITY_SEQUENTIAL_GROWTH</stp>
        <stp>FY 2017</stp>
        <stp>FY 2017</stp>
        <stp>[FA1_ymffleas.xlsx]Growth!R78C11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8" s="22"/>
      </tp>
      <tp>
        <v>142210</v>
        <stp/>
        <stp>##V3_BDHV12</stp>
        <stp>RCOM IN Equity</stp>
        <stp>CF_CASH_FROM_OPER</stp>
        <stp>FY 2016</stp>
        <stp>FY 2016</stp>
        <stp>[FA1_ymffleas.xlsx]Adj Highlights!R23C9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3" s="2"/>
      </tp>
      <tp>
        <v>4860</v>
        <stp/>
        <stp>##V3_BDHV12</stp>
        <stp>RCOM IN Equity</stp>
        <stp>CF_CASH_FROM_OPER</stp>
        <stp>FY 2015</stp>
        <stp>FY 2015</stp>
        <stp>[FA1_ymffleas.xlsx]Adj Highlights!R23C8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3" s="2"/>
      </tp>
      <tp>
        <v>81756.399999999994</v>
        <stp/>
        <stp>##V3_BDHV12</stp>
        <stp>RCOM IN Equity</stp>
        <stp>CF_CASH_FROM_OPER</stp>
        <stp>FY 2010</stp>
        <stp>FY 2010</stp>
        <stp>[FA1_ymffleas.xlsx]Adj Highlights!R23C3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3" s="2"/>
      </tp>
      <tp>
        <v>38700</v>
        <stp/>
        <stp>##V3_BDHV12</stp>
        <stp>RCOM IN Equity</stp>
        <stp>CF_CASH_FROM_OPER</stp>
        <stp>FY 2014</stp>
        <stp>FY 2014</stp>
        <stp>[FA1_ymffleas.xlsx]Adj Highlights!R23C7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3" s="2"/>
      </tp>
      <tp>
        <v>13700</v>
        <stp/>
        <stp>##V3_BDHV12</stp>
        <stp>RCOM IN Equity</stp>
        <stp>CF_CASH_FROM_OPER</stp>
        <stp>FY 2013</stp>
        <stp>FY 2013</stp>
        <stp>[FA1_ymffleas.xlsx]Adj Highlights!R23C6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3" s="2"/>
      </tp>
      <tp>
        <v>40730</v>
        <stp/>
        <stp>##V3_BDHV12</stp>
        <stp>RCOM IN Equity</stp>
        <stp>CF_CASH_FROM_OPER</stp>
        <stp>FY 2012</stp>
        <stp>FY 2012</stp>
        <stp>[FA1_ymffleas.xlsx]Adj Highlights!R23C5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3" s="2"/>
      </tp>
      <tp>
        <v>10720</v>
        <stp/>
        <stp>##V3_BDHV12</stp>
        <stp>RCOM IN Equity</stp>
        <stp>CF_CASH_FROM_OPER</stp>
        <stp>FY 2011</stp>
        <stp>FY 2011</stp>
        <stp>[FA1_ymffleas.xlsx]Adj Highlights!R23C4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3" s="2"/>
      </tp>
      <tp>
        <v>659522.19999999995</v>
        <stp/>
        <stp>##V3_BDHV12</stp>
        <stp>RCOM IN Equity</stp>
        <stp>BS_GROSS_FIX_ASSET</stp>
        <stp>FY 2009</stp>
        <stp>FY 2009</stp>
        <stp>[FA1_ymffleas.xlsx]Bal Sheet - Standardized!R45C3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5" s="16"/>
      </tp>
      <tp>
        <v>775610</v>
        <stp/>
        <stp>##V3_BDHV12</stp>
        <stp>RCOM IN Equity</stp>
        <stp>BS_GROSS_FIX_ASSET</stp>
        <stp>FY 2011</stp>
        <stp>FY 2011</stp>
        <stp>[FA1_ymffleas.xlsx]Bal Sheet - Standardized!R45C5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5" s="16"/>
      </tp>
      <tp>
        <v>694871.6</v>
        <stp/>
        <stp>##V3_BDHV12</stp>
        <stp>RCOM IN Equity</stp>
        <stp>BS_GROSS_FIX_ASSET</stp>
        <stp>FY 2010</stp>
        <stp>FY 2010</stp>
        <stp>[FA1_ymffleas.xlsx]Bal Sheet - Standardized!R45C4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5" s="16"/>
      </tp>
      <tp>
        <v>775310</v>
        <stp/>
        <stp>##V3_BDHV12</stp>
        <stp>RCOM IN Equity</stp>
        <stp>BS_GROSS_FIX_ASSET</stp>
        <stp>FY 2013</stp>
        <stp>FY 2013</stp>
        <stp>[FA1_ymffleas.xlsx]Bal Sheet - Standardized!R45C7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5" s="16"/>
      </tp>
      <tp>
        <v>738580</v>
        <stp/>
        <stp>##V3_BDHV12</stp>
        <stp>RCOM IN Equity</stp>
        <stp>BS_GROSS_FIX_ASSET</stp>
        <stp>FY 2012</stp>
        <stp>FY 2012</stp>
        <stp>[FA1_ymffleas.xlsx]Bal Sheet - Standardized!R45C6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5" s="16"/>
      </tp>
      <tp>
        <v>832640</v>
        <stp/>
        <stp>##V3_BDHV12</stp>
        <stp>RCOM IN Equity</stp>
        <stp>BS_GROSS_FIX_ASSET</stp>
        <stp>FY 2015</stp>
        <stp>FY 2015</stp>
        <stp>[FA1_ymffleas.xlsx]Bal Sheet - Standardized!R45C9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5" s="16"/>
      </tp>
      <tp>
        <v>816320</v>
        <stp/>
        <stp>##V3_BDHV12</stp>
        <stp>RCOM IN Equity</stp>
        <stp>BS_GROSS_FIX_ASSET</stp>
        <stp>FY 2014</stp>
        <stp>FY 2014</stp>
        <stp>[FA1_ymffleas.xlsx]Bal Sheet - Standardized!R45C8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5" s="16"/>
      </tp>
      <tp>
        <v>830</v>
        <stp/>
        <stp>##V3_BDHV12</stp>
        <stp>RCOM IN Equity</stp>
        <stp>ARD_OTHER_OPERATING_INC</stp>
        <stp>FY 2017</stp>
        <stp>FY 2017</stp>
        <stp>[FA1_ymffleas.xlsx]Income - As Reported!R19C11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" s="11"/>
      </tp>
      <tp t="s">
        <v>—</v>
        <stp/>
        <stp>##V3_BDHV12</stp>
        <stp>RCOM IN Equity</stp>
        <stp>ARD_OTHER_OPERATING_INC</stp>
        <stp>FY 2016</stp>
        <stp>FY 2016</stp>
        <stp>[FA1_ymffleas.xlsx]Income - As Reported!R19C10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" s="11"/>
      </tp>
      <tp>
        <v>910</v>
        <stp/>
        <stp>##V3_BDHV12</stp>
        <stp>RCOM IN Equity</stp>
        <stp>ARD_OTHER_OPERATING_INC</stp>
        <stp>FY 2018</stp>
        <stp>FY 2018</stp>
        <stp>[FA1_ymffleas.xlsx]Income - As Reported!R19C12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" s="11"/>
      </tp>
      <tp>
        <v>-32970</v>
        <stp/>
        <stp>##V3_BDHV12</stp>
        <stp>RCOM IN Equity</stp>
        <stp>CF_OTHER_FINANCING_ACT_EXCL_FX</stp>
        <stp>FY 2016</stp>
        <stp>FY 2016</stp>
        <stp>[FA1_ymffleas.xlsx]Cash Flow - Standardized!R46C9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6" s="19"/>
      </tp>
      <tp>
        <v>-1110</v>
        <stp/>
        <stp>##V3_BDHV12</stp>
        <stp>RCOM IN Equity</stp>
        <stp>CF_OTHER_FINANCING_ACT_EXCL_FX</stp>
        <stp>FY 2015</stp>
        <stp>FY 2015</stp>
        <stp>[FA1_ymffleas.xlsx]Cash Flow - Standardized!R46C8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6" s="19"/>
      </tp>
      <tp>
        <v>-3440</v>
        <stp/>
        <stp>##V3_BDHV12</stp>
        <stp>RCOM IN Equity</stp>
        <stp>CF_OTHER_FINANCING_ACT_EXCL_FX</stp>
        <stp>FY 2012</stp>
        <stp>FY 2012</stp>
        <stp>[FA1_ymffleas.xlsx]Cash Flow - Standardized!R46C5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6" s="19"/>
      </tp>
      <tp>
        <v>0</v>
        <stp/>
        <stp>##V3_BDHV12</stp>
        <stp>RCOM IN Equity</stp>
        <stp>CF_OTHER_FINANCING_ACT_EXCL_FX</stp>
        <stp>FY 2011</stp>
        <stp>FY 2011</stp>
        <stp>[FA1_ymffleas.xlsx]Cash Flow - Standardized!R46C4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6" s="19"/>
      </tp>
      <tp>
        <v>-5240</v>
        <stp/>
        <stp>##V3_BDHV12</stp>
        <stp>RCOM IN Equity</stp>
        <stp>CF_OTHER_FINANCING_ACT_EXCL_FX</stp>
        <stp>FY 2014</stp>
        <stp>FY 2014</stp>
        <stp>[FA1_ymffleas.xlsx]Cash Flow - Standardized!R46C7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6" s="19"/>
      </tp>
      <tp>
        <v>-12660</v>
        <stp/>
        <stp>##V3_BDHV12</stp>
        <stp>RCOM IN Equity</stp>
        <stp>CF_OTHER_FINANCING_ACT_EXCL_FX</stp>
        <stp>FY 2013</stp>
        <stp>FY 2013</stp>
        <stp>[FA1_ymffleas.xlsx]Cash Flow - Standardized!R46C6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6" s="19"/>
      </tp>
      <tp>
        <v>0</v>
        <stp/>
        <stp>##V3_BDHV12</stp>
        <stp>RCOM IN Equity</stp>
        <stp>CF_OTHER_FINANCING_ACT_EXCL_FX</stp>
        <stp>FY 2010</stp>
        <stp>FY 2010</stp>
        <stp>[FA1_ymffleas.xlsx]Cash Flow - Standardized!R46C3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6" s="19"/>
      </tp>
      <tp>
        <v>35220</v>
        <stp/>
        <stp>##V3_BDHV12</stp>
        <stp>RCOM IN Equity</stp>
        <stp>T12_CFF</stp>
        <stp>FY 2015</stp>
        <stp>FY 2015</stp>
        <stp>[FA1_ymffleas.xlsx]Yield Analysis!R41C9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1" s="26"/>
      </tp>
      <tp>
        <v>-19480</v>
        <stp/>
        <stp>##V3_BDHV12</stp>
        <stp>RCOM IN Equity</stp>
        <stp>T12_CFF</stp>
        <stp>FY 2014</stp>
        <stp>FY 2014</stp>
        <stp>[FA1_ymffleas.xlsx]Yield Analysis!R41C8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1" s="26"/>
      </tp>
      <tp>
        <v>56004.2</v>
        <stp/>
        <stp>##V3_BDHV12</stp>
        <stp>RCOM IN Equity</stp>
        <stp>T12_CFF</stp>
        <stp>FY 2009</stp>
        <stp>FY 2009</stp>
        <stp>[FA1_ymffleas.xlsx]Yield Analysis!R41C3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1" s="26"/>
      </tp>
      <tp>
        <v>8900</v>
        <stp/>
        <stp>##V3_BDHV12</stp>
        <stp>RCOM IN Equity</stp>
        <stp>T12_CFF</stp>
        <stp>FY 2013</stp>
        <stp>FY 2013</stp>
        <stp>[FA1_ymffleas.xlsx]Yield Analysis!R41C7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1" s="26"/>
      </tp>
      <tp>
        <v>-37780</v>
        <stp/>
        <stp>##V3_BDHV12</stp>
        <stp>RCOM IN Equity</stp>
        <stp>T12_CFF</stp>
        <stp>FY 2012</stp>
        <stp>FY 2012</stp>
        <stp>[FA1_ymffleas.xlsx]Yield Analysis!R41C6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1" s="26"/>
      </tp>
      <tp>
        <v>94330</v>
        <stp/>
        <stp>##V3_BDHV12</stp>
        <stp>RCOM IN Equity</stp>
        <stp>T12_CFF</stp>
        <stp>FY 2011</stp>
        <stp>FY 2011</stp>
        <stp>[FA1_ymffleas.xlsx]Yield Analysis!R41C5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1" s="26"/>
      </tp>
      <tp>
        <v>-71799.5</v>
        <stp/>
        <stp>##V3_BDHV12</stp>
        <stp>RCOM IN Equity</stp>
        <stp>T12_CFF</stp>
        <stp>FY 2010</stp>
        <stp>FY 2010</stp>
        <stp>[FA1_ymffleas.xlsx]Yield Analysis!R41C4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1" s="26"/>
      </tp>
      <tp>
        <v>6.7500000000000004E-2</v>
        <stp/>
        <stp>##V3_BDHV12</stp>
        <stp>RCOM IN Equity</stp>
        <stp>ACCOUNTS_PAYABLE_TURNOVER</stp>
        <stp>FY 2012</stp>
        <stp>FY 2012</stp>
        <stp>[FA1_ymffleas.xlsx]Working Capital!R10C6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0" s="25"/>
      </tp>
      <tp t="s">
        <v>—</v>
        <stp/>
        <stp>##V3_BDHV12</stp>
        <stp>RCOM IN Equity</stp>
        <stp>EBITDA_TO_CASH_INTEREST_PAID</stp>
        <stp>FY 2016</stp>
        <stp>FY 2016</stp>
        <stp>[FA1_ymffleas.xlsx]Credit!R20C10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0" s="23"/>
      </tp>
      <tp>
        <v>0</v>
        <stp/>
        <stp>##V3_BDHV12</stp>
        <stp>RCOM IN Equity</stp>
        <stp>ARD_CAPITAL_LEASE_INTEREST</stp>
        <stp>FY 2018</stp>
        <stp>FY 2018</stp>
        <stp>[FA1_ymffleas.xlsx]Bal Sheet - As Reported!R211C12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11" s="17"/>
      </tp>
      <tp>
        <v>310</v>
        <stp/>
        <stp>##V3_BDHV12</stp>
        <stp>RCOM IN Equity</stp>
        <stp>ARD_CAPITAL_LEASE_INTEREST</stp>
        <stp>FY 2017</stp>
        <stp>FY 2017</stp>
        <stp>[FA1_ymffleas.xlsx]Bal Sheet - As Reported!R211C11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11" s="17"/>
      </tp>
      <tp>
        <v>430</v>
        <stp/>
        <stp>##V3_BDHV12</stp>
        <stp>RCOM IN Equity</stp>
        <stp>ARD_CAPITAL_LEASE_INTEREST</stp>
        <stp>FY 2016</stp>
        <stp>FY 2016</stp>
        <stp>[FA1_ymffleas.xlsx]Bal Sheet - As Reported!R211C10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11" s="17"/>
      </tp>
      <tp>
        <v>20</v>
        <stp/>
        <stp>##V3_BDHV12</stp>
        <stp>RCOM IN Equity</stp>
        <stp>ARDR_FINISHED_GOOD</stp>
        <stp>FY 2018</stp>
        <stp>FY 2018</stp>
        <stp>[FA1_ymffleas.xlsx]Bal Sheet - As Reported!R100C12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0" s="17"/>
      </tp>
      <tp>
        <v>520</v>
        <stp/>
        <stp>##V3_BDHV12</stp>
        <stp>RCOM IN Equity</stp>
        <stp>ARDR_FINISHED_GOOD</stp>
        <stp>FY 2016</stp>
        <stp>FY 2016</stp>
        <stp>[FA1_ymffleas.xlsx]Bal Sheet - As Reported!R100C10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0" s="17"/>
      </tp>
      <tp>
        <v>1120</v>
        <stp/>
        <stp>##V3_BDHV12</stp>
        <stp>RCOM IN Equity</stp>
        <stp>ARDR_FINISHED_GOOD</stp>
        <stp>FY 2017</stp>
        <stp>FY 2017</stp>
        <stp>[FA1_ymffleas.xlsx]Bal Sheet - As Reported!R100C11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0" s="17"/>
      </tp>
      <tp>
        <v>-4740</v>
        <stp/>
        <stp>##V3_BDHV12</stp>
        <stp>RCOM IN Equity</stp>
        <stp>CF_CASH_PAID_FOR_TAX</stp>
        <stp>FY 2017</stp>
        <stp>FY 2017</stp>
        <stp>[FA1_ymffleas.xlsx]Cash Flow - Standardized!R54C10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4" s="19"/>
      </tp>
      <tp>
        <v>-3270</v>
        <stp/>
        <stp>##V3_BDHV12</stp>
        <stp>RCOM IN Equity</stp>
        <stp>CF_CASH_PAID_FOR_TAX</stp>
        <stp>FY 2018</stp>
        <stp>FY 2018</stp>
        <stp>[FA1_ymffleas.xlsx]Cash Flow - Standardized!R54C11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4" s="19"/>
      </tp>
      <tp>
        <v>6120</v>
        <stp/>
        <stp>##V3_BDHV12</stp>
        <stp>RCOM IN Equity</stp>
        <stp>ARDR_UNBILLED_REVENUE</stp>
        <stp>FY 2017</stp>
        <stp>FY 2017</stp>
        <stp>[FA1_ymffleas.xlsx]Bal Sheet - As Reported!R111C11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1" s="17"/>
      </tp>
      <tp>
        <v>2720</v>
        <stp/>
        <stp>##V3_BDHV12</stp>
        <stp>RCOM IN Equity</stp>
        <stp>ARDR_UNBILLED_REVENUE</stp>
        <stp>FY 2016</stp>
        <stp>FY 2016</stp>
        <stp>[FA1_ymffleas.xlsx]Bal Sheet - As Reported!R111C10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1" s="17"/>
      </tp>
      <tp>
        <v>850</v>
        <stp/>
        <stp>##V3_BDHV12</stp>
        <stp>RCOM IN Equity</stp>
        <stp>ARDR_UNBILLED_REVENUE</stp>
        <stp>FY 2018</stp>
        <stp>FY 2018</stp>
        <stp>[FA1_ymffleas.xlsx]Bal Sheet - As Reported!R111C12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1" s="17"/>
      </tp>
      <tp>
        <v>6600</v>
        <stp/>
        <stp>##V3_BDHV12</stp>
        <stp>RCOM IN Equity</stp>
        <stp>NI_INCLUDING_MINORITY_INT_RATIO</stp>
        <stp>FY 2016</stp>
        <stp>FY 2016</stp>
        <stp>[FA1_ymffleas.xlsx]Income - Adjusted!R95C9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95" s="9"/>
      </tp>
      <tp>
        <v>6230</v>
        <stp/>
        <stp>##V3_BDHV12</stp>
        <stp>RCOM IN Equity</stp>
        <stp>NI_INCLUDING_MINORITY_INT_RATIO</stp>
        <stp>FY 2015</stp>
        <stp>FY 2015</stp>
        <stp>[FA1_ymffleas.xlsx]Income - Adjusted!R95C8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95" s="9"/>
      </tp>
      <tp>
        <v>9890</v>
        <stp/>
        <stp>##V3_BDHV12</stp>
        <stp>RCOM IN Equity</stp>
        <stp>NI_INCLUDING_MINORITY_INT_RATIO</stp>
        <stp>FY 2012</stp>
        <stp>FY 2012</stp>
        <stp>[FA1_ymffleas.xlsx]Income - Adjusted!R95C5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95" s="9"/>
      </tp>
      <tp>
        <v>14950</v>
        <stp/>
        <stp>##V3_BDHV12</stp>
        <stp>RCOM IN Equity</stp>
        <stp>NI_INCLUDING_MINORITY_INT_RATIO</stp>
        <stp>FY 2011</stp>
        <stp>FY 2011</stp>
        <stp>[FA1_ymffleas.xlsx]Income - Adjusted!R95C4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95" s="9"/>
      </tp>
      <tp>
        <v>11390</v>
        <stp/>
        <stp>##V3_BDHV12</stp>
        <stp>RCOM IN Equity</stp>
        <stp>NI_INCLUDING_MINORITY_INT_RATIO</stp>
        <stp>FY 2014</stp>
        <stp>FY 2014</stp>
        <stp>[FA1_ymffleas.xlsx]Income - Adjusted!R95C7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95" s="9"/>
      </tp>
      <tp>
        <v>7450</v>
        <stp/>
        <stp>##V3_BDHV12</stp>
        <stp>RCOM IN Equity</stp>
        <stp>NI_INCLUDING_MINORITY_INT_RATIO</stp>
        <stp>FY 2013</stp>
        <stp>FY 2013</stp>
        <stp>[FA1_ymffleas.xlsx]Income - Adjusted!R95C6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95" s="9"/>
      </tp>
      <tp>
        <v>47742.5</v>
        <stp/>
        <stp>##V3_BDHV12</stp>
        <stp>RCOM IN Equity</stp>
        <stp>NI_INCLUDING_MINORITY_INT_RATIO</stp>
        <stp>FY 2010</stp>
        <stp>FY 2010</stp>
        <stp>[FA1_ymffleas.xlsx]Income - Adjusted!R95C3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95" s="9"/>
      </tp>
      <tp>
        <v>79.278499999999994</v>
        <stp/>
        <stp>##V3_BDHV12</stp>
        <stp>RCOM IN Equity</stp>
        <stp>LT_DEBT_TO_TOT_EQY</stp>
        <stp>FY 2015</stp>
        <stp>FY 2015</stp>
        <stp>[FA1_ymffleas.xlsx]Liquidity!R12C9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2" s="24"/>
      </tp>
      <tp>
        <v>84.030500000000004</v>
        <stp/>
        <stp>##V3_BDHV12</stp>
        <stp>RCOM IN Equity</stp>
        <stp>LT_DEBT_TO_TOT_EQY</stp>
        <stp>FY 2014</stp>
        <stp>FY 2014</stp>
        <stp>[FA1_ymffleas.xlsx]Liquidity!R12C8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2" s="24"/>
      </tp>
      <tp>
        <v>136.88059999999999</v>
        <stp/>
        <stp>##V3_BDHV12</stp>
        <stp>RCOM IN Equity</stp>
        <stp>TOT_DEBT_TO_TOT_EQY</stp>
        <stp>FY 2016</stp>
        <stp>FY 2016</stp>
        <stp>[FA1_ymffleas.xlsx]Credit!R32C10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2" s="23"/>
      </tp>
      <tp>
        <v>-15.082000000000001</v>
        <stp/>
        <stp>##V3_BDHV12</stp>
        <stp>RCOM IN Equity</stp>
        <stp>EPS_DILUTED_SEQUENTIAL_GROWTH</stp>
        <stp>FY 2016</stp>
        <stp>FY 2016</stp>
        <stp>[FA1_ymffleas.xlsx]Growth!R64C10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64" s="22"/>
      </tp>
      <tp>
        <v>157.86879999999999</v>
        <stp/>
        <stp>##V3_BDHV12</stp>
        <stp>RCOM IN Equity</stp>
        <stp>TOT_DEBT_TO_TOT_EQY</stp>
        <stp>FY 2017</stp>
        <stp>FY 2017</stp>
        <stp>[FA1_ymffleas.xlsx]Credit!R32C11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2" s="23"/>
      </tp>
      <tp>
        <v>63.5623</v>
        <stp/>
        <stp>##V3_BDHV12</stp>
        <stp>RCOM IN Equity</stp>
        <stp>LT_DEBT_TO_TOT_EQY</stp>
        <stp>FY 2009</stp>
        <stp>FY 2009</stp>
        <stp>[FA1_ymffleas.xlsx]Liquidity!R12C3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2" s="24"/>
      </tp>
      <tp>
        <v>1517.9132999999999</v>
        <stp/>
        <stp>##V3_BDHV12</stp>
        <stp>RCOM IN Equity</stp>
        <stp>TOT_DEBT_TO_TOT_EQY</stp>
        <stp>FY 2018</stp>
        <stp>FY 2018</stp>
        <stp>[FA1_ymffleas.xlsx]Credit!R32C12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32" s="23"/>
      </tp>
      <tp>
        <v>46.736699999999999</v>
        <stp/>
        <stp>##V3_BDHV12</stp>
        <stp>RCOM IN Equity</stp>
        <stp>LT_DEBT_TO_TOT_EQY</stp>
        <stp>FY 2011</stp>
        <stp>FY 2011</stp>
        <stp>[FA1_ymffleas.xlsx]Liquidity!R12C5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2" s="24"/>
      </tp>
      <tp>
        <v>43.735199999999999</v>
        <stp/>
        <stp>##V3_BDHV12</stp>
        <stp>RCOM IN Equity</stp>
        <stp>LT_DEBT_TO_TOT_EQY</stp>
        <stp>FY 2010</stp>
        <stp>FY 2010</stp>
        <stp>[FA1_ymffleas.xlsx]Liquidity!R12C4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2" s="24"/>
      </tp>
      <tp>
        <v>82.944299999999998</v>
        <stp/>
        <stp>##V3_BDHV12</stp>
        <stp>RCOM IN Equity</stp>
        <stp>LT_DEBT_TO_TOT_EQY</stp>
        <stp>FY 2013</stp>
        <stp>FY 2013</stp>
        <stp>[FA1_ymffleas.xlsx]Liquidity!R12C7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2" s="24"/>
      </tp>
      <tp>
        <v>79.787899999999993</v>
        <stp/>
        <stp>##V3_BDHV12</stp>
        <stp>RCOM IN Equity</stp>
        <stp>LT_DEBT_TO_TOT_EQY</stp>
        <stp>FY 2012</stp>
        <stp>FY 2012</stp>
        <stp>[FA1_ymffleas.xlsx]Liquidity!R12C6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2" s="24"/>
      </tp>
      <tp t="s">
        <v>—</v>
        <stp/>
        <stp>##V3_BDHV12</stp>
        <stp>RCOM IN Equity</stp>
        <stp>ARD_OTH_NON_OPER_INC_EXP_NET</stp>
        <stp>FY 2009</stp>
        <stp>FY 2009</stp>
        <stp>[FA1_ymffleas.xlsx]Income - As Reported!R30C3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0" s="11"/>
      </tp>
      <tp>
        <v>-8410</v>
        <stp/>
        <stp>##V3_BDHV12</stp>
        <stp>RCOM IN Equity</stp>
        <stp>ARD_OTH_NON_OPER_INC_EXP_NET</stp>
        <stp>FY 2013</stp>
        <stp>FY 2013</stp>
        <stp>[FA1_ymffleas.xlsx]Income - As Reported!R30C7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0" s="11"/>
      </tp>
      <tp>
        <v>-15730</v>
        <stp/>
        <stp>##V3_BDHV12</stp>
        <stp>RCOM IN Equity</stp>
        <stp>ARD_OTH_NON_OPER_INC_EXP_NET</stp>
        <stp>FY 2012</stp>
        <stp>FY 2012</stp>
        <stp>[FA1_ymffleas.xlsx]Income - As Reported!R30C6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0" s="11"/>
      </tp>
      <tp>
        <v>0</v>
        <stp/>
        <stp>##V3_BDHV12</stp>
        <stp>RCOM IN Equity</stp>
        <stp>ARD_OTH_NON_OPER_INC_EXP_NET</stp>
        <stp>FY 2011</stp>
        <stp>FY 2011</stp>
        <stp>[FA1_ymffleas.xlsx]Income - As Reported!R30C5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0" s="11"/>
      </tp>
      <tp>
        <v>0</v>
        <stp/>
        <stp>##V3_BDHV12</stp>
        <stp>RCOM IN Equity</stp>
        <stp>ARD_OTH_NON_OPER_INC_EXP_NET</stp>
        <stp>FY 2010</stp>
        <stp>FY 2010</stp>
        <stp>[FA1_ymffleas.xlsx]Income - As Reported!R30C4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0" s="11"/>
      </tp>
      <tp>
        <v>-5340</v>
        <stp/>
        <stp>##V3_BDHV12</stp>
        <stp>RCOM IN Equity</stp>
        <stp>ARD_OTH_NON_OPER_INC_EXP_NET</stp>
        <stp>FY 2015</stp>
        <stp>FY 2015</stp>
        <stp>[FA1_ymffleas.xlsx]Income - As Reported!R30C9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0" s="11"/>
      </tp>
      <tp>
        <v>-5950</v>
        <stp/>
        <stp>##V3_BDHV12</stp>
        <stp>RCOM IN Equity</stp>
        <stp>ARD_OTH_NON_OPER_INC_EXP_NET</stp>
        <stp>FY 2014</stp>
        <stp>FY 2014</stp>
        <stp>[FA1_ymffleas.xlsx]Income - As Reported!R30C8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0" s="11"/>
      </tp>
      <tp>
        <v>-18.930299999999999</v>
        <stp/>
        <stp>##V3_BDHV12</stp>
        <stp>RCOM IN Equity</stp>
        <stp>GEO_GROW_NET_SALES</stp>
        <stp>FY 2017</stp>
        <stp>FY 2017</stp>
        <stp>[FA1_ymffleas.xlsx]Growth!R36C11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36" s="22"/>
      </tp>
      <tp>
        <v>0</v>
        <stp/>
        <stp>##V3_BDHV12</stp>
        <stp>RCOM IN Equity</stp>
        <stp>IS_EXTRAORD_ITEMS_&amp;_ACCTG_CHNG</stp>
        <stp>FY 2018</stp>
        <stp>FY 2018</stp>
        <stp>[FA1_ymffleas.xlsx]Reconciliation!R36C11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6" s="12"/>
      </tp>
      <tp>
        <v>0</v>
        <stp/>
        <stp>##V3_BDHV12</stp>
        <stp>RCOM IN Equity</stp>
        <stp>IS_EXTRAORD_ITEMS_&amp;_ACCTG_CHNG</stp>
        <stp>FY 2017</stp>
        <stp>FY 2017</stp>
        <stp>[FA1_ymffleas.xlsx]Reconciliation!R36C10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6" s="12"/>
      </tp>
      <tp>
        <v>2900</v>
        <stp/>
        <stp>##V3_BDHV12</stp>
        <stp>RCOM IN Equity</stp>
        <stp>ARDR_CASH_AND_DUE_FROM_BANKS</stp>
        <stp>FY 2017</stp>
        <stp>FY 2017</stp>
        <stp>[FA1_ymffleas.xlsx]Bal Sheet - As Reported!R119C11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9" s="17"/>
      </tp>
      <tp>
        <v>6820</v>
        <stp/>
        <stp>##V3_BDHV12</stp>
        <stp>RCOM IN Equity</stp>
        <stp>ARDR_CASH_AND_DUE_FROM_BANKS</stp>
        <stp>FY 2016</stp>
        <stp>FY 2016</stp>
        <stp>[FA1_ymffleas.xlsx]Bal Sheet - As Reported!R119C10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9" s="17"/>
      </tp>
      <tp>
        <v>1260</v>
        <stp/>
        <stp>##V3_BDHV12</stp>
        <stp>RCOM IN Equity</stp>
        <stp>ARDR_CASH_AND_DUE_FROM_BANKS</stp>
        <stp>FY 2018</stp>
        <stp>FY 2018</stp>
        <stp>[FA1_ymffleas.xlsx]Bal Sheet - As Reported!R119C12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9" s="17"/>
      </tp>
      <tp>
        <v>12.484299999999999</v>
        <stp/>
        <stp>##V3_BDHV12</stp>
        <stp>RCOM IN Equity</stp>
        <stp>HIGH_EV_TO_T12M_EBITDA</stp>
        <stp>FY 2014</stp>
        <stp>FY 2014</stp>
        <stp>[FA1_ymffleas.xlsx]Multiples!R43C7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43" s="6"/>
      </tp>
      <tp>
        <v>3.05</v>
        <stp/>
        <stp>##V3_BDHV12</stp>
        <stp>RCOM IN Equity</stp>
        <stp>IS_COMP_EPS_ADJUSTED</stp>
        <stp>FY 2015</stp>
        <stp>FY 2015</stp>
        <stp>[FA1_ymffleas.xlsx]Earnings!R14C9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4" s="4"/>
      </tp>
      <tp>
        <v>5.07</v>
        <stp/>
        <stp>##V3_BDHV12</stp>
        <stp>RCOM IN Equity</stp>
        <stp>IS_COMP_EPS_ADJUSTED</stp>
        <stp>FY 2014</stp>
        <stp>FY 2014</stp>
        <stp>[FA1_ymffleas.xlsx]Earnings!R14C8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4" s="4"/>
      </tp>
      <tp>
        <v>2.9293</v>
        <stp/>
        <stp>##V3_BDHV12</stp>
        <stp>RCOM IN Equity</stp>
        <stp>EV_TO_T12M_SALES</stp>
        <stp>FY 2010</stp>
        <stp>FY 2010</stp>
        <stp>[FA1_ymffleas.xlsx]Enterprise Value!R17C3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7" s="5"/>
      </tp>
      <tp>
        <v>2120</v>
        <stp/>
        <stp>##V3_BDHV12</stp>
        <stp>RCOM IN Equity</stp>
        <stp>IS_DEFERRED_INCOME_TAX_BENEFIT</stp>
        <stp>FY 2015</stp>
        <stp>FY 2015</stp>
        <stp>[FA1_ymffleas.xlsx]Income - GAAP!R59C8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9" s="10"/>
      </tp>
      <tp>
        <v>-4420</v>
        <stp/>
        <stp>##V3_BDHV12</stp>
        <stp>RCOM IN Equity</stp>
        <stp>IS_DEFERRED_INCOME_TAX_BENEFIT</stp>
        <stp>FY 2016</stp>
        <stp>FY 2016</stp>
        <stp>[FA1_ymffleas.xlsx]Income - GAAP!R59C9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9" s="10"/>
      </tp>
      <tp>
        <v>0</v>
        <stp/>
        <stp>##V3_BDHV12</stp>
        <stp>RCOM IN Equity</stp>
        <stp>IS_DEFERRED_INCOME_TAX_BENEFIT</stp>
        <stp>FY 2013</stp>
        <stp>FY 2013</stp>
        <stp>[FA1_ymffleas.xlsx]Income - GAAP!R59C6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9" s="10"/>
      </tp>
      <tp>
        <v>-10570</v>
        <stp/>
        <stp>##V3_BDHV12</stp>
        <stp>RCOM IN Equity</stp>
        <stp>IS_DEFERRED_INCOME_TAX_BENEFIT</stp>
        <stp>FY 2014</stp>
        <stp>FY 2014</stp>
        <stp>[FA1_ymffleas.xlsx]Income - GAAP!R59C7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9" s="10"/>
      </tp>
      <tp>
        <v>2920</v>
        <stp/>
        <stp>##V3_BDHV12</stp>
        <stp>RCOM IN Equity</stp>
        <stp>IS_DEFERRED_INCOME_TAX_BENEFIT</stp>
        <stp>FY 2011</stp>
        <stp>FY 2011</stp>
        <stp>[FA1_ymffleas.xlsx]Income - GAAP!R59C4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9" s="10"/>
      </tp>
      <tp>
        <v>0</v>
        <stp/>
        <stp>##V3_BDHV12</stp>
        <stp>RCOM IN Equity</stp>
        <stp>IS_DEFERRED_INCOME_TAX_BENEFIT</stp>
        <stp>FY 2012</stp>
        <stp>FY 2012</stp>
        <stp>[FA1_ymffleas.xlsx]Income - GAAP!R59C5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9" s="10"/>
      </tp>
      <tp>
        <v>728.9</v>
        <stp/>
        <stp>##V3_BDHV12</stp>
        <stp>RCOM IN Equity</stp>
        <stp>IS_DEFERRED_INCOME_TAX_BENEFIT</stp>
        <stp>FY 2010</stp>
        <stp>FY 2010</stp>
        <stp>[FA1_ymffleas.xlsx]Income - GAAP!R59C3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9" s="10"/>
      </tp>
      <tp>
        <v>28.62</v>
        <stp/>
        <stp>##V3_BDHV12</stp>
        <stp>RCOM IN Equity</stp>
        <stp>IS_COMP_EPS_ADJUSTED</stp>
        <stp>FY 2009</stp>
        <stp>FY 2009</stp>
        <stp>[FA1_ymffleas.xlsx]Earnings!R14C3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4" s="4"/>
      </tp>
      <tp>
        <v>3.25</v>
        <stp/>
        <stp>##V3_BDHV12</stp>
        <stp>RCOM IN Equity</stp>
        <stp>IS_COMP_EPS_ADJUSTED</stp>
        <stp>FY 2013</stp>
        <stp>FY 2013</stp>
        <stp>[FA1_ymffleas.xlsx]Earnings!R14C7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4" s="4"/>
      </tp>
      <tp>
        <v>4.5</v>
        <stp/>
        <stp>##V3_BDHV12</stp>
        <stp>RCOM IN Equity</stp>
        <stp>IS_COMP_EPS_ADJUSTED</stp>
        <stp>FY 2012</stp>
        <stp>FY 2012</stp>
        <stp>[FA1_ymffleas.xlsx]Earnings!R14C6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4" s="4"/>
      </tp>
      <tp>
        <v>6.52</v>
        <stp/>
        <stp>##V3_BDHV12</stp>
        <stp>RCOM IN Equity</stp>
        <stp>IS_COMP_EPS_ADJUSTED</stp>
        <stp>FY 2011</stp>
        <stp>FY 2011</stp>
        <stp>[FA1_ymffleas.xlsx]Earnings!R14C5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4" s="4"/>
      </tp>
      <tp>
        <v>22.55</v>
        <stp/>
        <stp>##V3_BDHV12</stp>
        <stp>RCOM IN Equity</stp>
        <stp>IS_COMP_EPS_ADJUSTED</stp>
        <stp>FY 2010</stp>
        <stp>FY 2010</stp>
        <stp>[FA1_ymffleas.xlsx]Earnings!R14C4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4" s="4"/>
      </tp>
      <tp>
        <v>32110</v>
        <stp/>
        <stp>##V3_BDHV12</stp>
        <stp>RCOM IN Equity</stp>
        <stp>IS_OTHER_OPERATING_EXPENSES</stp>
        <stp>FY 2018</stp>
        <stp>FY 2018</stp>
        <stp>[FA1_ymffleas.xlsx]Income - Adjusted!R33C11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33" s="9"/>
      </tp>
      <tp>
        <v>0.79100000000000004</v>
        <stp/>
        <stp>##V3_BDHV12</stp>
        <stp>RCOM IN Equity</stp>
        <stp>EFF_TAX_RATE</stp>
        <stp>FY 2011</stp>
        <stp>FY 2011</stp>
        <stp>[FA1_ymffleas.xlsx]Profitability!R22C5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2" s="21"/>
      </tp>
      <tp>
        <v>46890</v>
        <stp/>
        <stp>##V3_BDHV12</stp>
        <stp>RCOM IN Equity</stp>
        <stp>IS_OTHER_OPERATING_EXPENSES</stp>
        <stp>FY 2017</stp>
        <stp>FY 2017</stp>
        <stp>[FA1_ymffleas.xlsx]Income - Adjusted!R33C10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33" s="9"/>
      </tp>
      <tp>
        <v>0</v>
        <stp/>
        <stp>##V3_BDHV12</stp>
        <stp>RCOM IN Equity</stp>
        <stp>IS_DISCONTINUED_OPERATIONS</stp>
        <stp>FY 2010</stp>
        <stp>FY 2010</stp>
        <stp>[FA1_ymffleas.xlsx]Income - Adjusted!R91C3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1" s="9"/>
      </tp>
      <tp>
        <v>0</v>
        <stp/>
        <stp>##V3_BDHV12</stp>
        <stp>RCOM IN Equity</stp>
        <stp>IS_DISCONTINUED_OPERATIONS</stp>
        <stp>FY 2014</stp>
        <stp>FY 2014</stp>
        <stp>[FA1_ymffleas.xlsx]Income - Adjusted!R91C7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1" s="9"/>
      </tp>
      <tp>
        <v>0</v>
        <stp/>
        <stp>##V3_BDHV12</stp>
        <stp>RCOM IN Equity</stp>
        <stp>IS_DISCONTINUED_OPERATIONS</stp>
        <stp>FY 2013</stp>
        <stp>FY 2013</stp>
        <stp>[FA1_ymffleas.xlsx]Income - Adjusted!R91C6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1" s="9"/>
      </tp>
      <tp>
        <v>0</v>
        <stp/>
        <stp>##V3_BDHV12</stp>
        <stp>RCOM IN Equity</stp>
        <stp>IS_DISCONTINUED_OPERATIONS</stp>
        <stp>FY 2012</stp>
        <stp>FY 2012</stp>
        <stp>[FA1_ymffleas.xlsx]Income - Adjusted!R91C5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1" s="9"/>
      </tp>
      <tp>
        <v>0</v>
        <stp/>
        <stp>##V3_BDHV12</stp>
        <stp>RCOM IN Equity</stp>
        <stp>IS_DISCONTINUED_OPERATIONS</stp>
        <stp>FY 2011</stp>
        <stp>FY 2011</stp>
        <stp>[FA1_ymffleas.xlsx]Income - Adjusted!R91C4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1" s="9"/>
      </tp>
      <tp>
        <v>0</v>
        <stp/>
        <stp>##V3_BDHV12</stp>
        <stp>RCOM IN Equity</stp>
        <stp>IS_DISCONTINUED_OPERATIONS</stp>
        <stp>FY 2016</stp>
        <stp>FY 2016</stp>
        <stp>[FA1_ymffleas.xlsx]Income - Adjusted!R91C9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1" s="9"/>
      </tp>
      <tp>
        <v>0</v>
        <stp/>
        <stp>##V3_BDHV12</stp>
        <stp>RCOM IN Equity</stp>
        <stp>IS_DISCONTINUED_OPERATIONS</stp>
        <stp>FY 2015</stp>
        <stp>FY 2015</stp>
        <stp>[FA1_ymffleas.xlsx]Income - Adjusted!R91C8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1" s="9"/>
      </tp>
      <tp>
        <v>110</v>
        <stp/>
        <stp>##V3_BDHV12</stp>
        <stp>RCOM IN Equity</stp>
        <stp>BS_FUTURE_MIN_OPER_LEASE_OBLIG</stp>
        <stp>FY 2018</stp>
        <stp>FY 2018</stp>
        <stp>[FA1_ymffleas.xlsx]Bal Sheet - Standardized!R161C12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1" s="16"/>
      </tp>
      <tp>
        <v>700</v>
        <stp/>
        <stp>##V3_BDHV12</stp>
        <stp>RCOM IN Equity</stp>
        <stp>BS_FUTURE_MIN_OPER_LEASE_OBLIG</stp>
        <stp>FY 2016</stp>
        <stp>FY 2016</stp>
        <stp>[FA1_ymffleas.xlsx]Bal Sheet - Standardized!R161C10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1" s="16"/>
      </tp>
      <tp>
        <v>350</v>
        <stp/>
        <stp>##V3_BDHV12</stp>
        <stp>RCOM IN Equity</stp>
        <stp>BS_FUTURE_MIN_OPER_LEASE_OBLIG</stp>
        <stp>FY 2017</stp>
        <stp>FY 2017</stp>
        <stp>[FA1_ymffleas.xlsx]Bal Sheet - Standardized!R161C11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1" s="16"/>
      </tp>
      <tp>
        <v>2430</v>
        <stp/>
        <stp>##V3_BDHV12</stp>
        <stp>RCOM IN Equity</stp>
        <stp>IS_OPER_INC</stp>
        <stp>FY 2018</stp>
        <stp>FY 2018</stp>
        <stp>[FA1_ymffleas.xlsx]Income - GAAP!R35C11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5" s="10"/>
      </tp>
      <tp>
        <v>4400</v>
        <stp/>
        <stp>##V3_BDHV12</stp>
        <stp>RCOM IN Equity</stp>
        <stp>IS_OPER_INC</stp>
        <stp>FY 2017</stp>
        <stp>FY 2017</stp>
        <stp>[FA1_ymffleas.xlsx]Income - GAAP!R35C10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5" s="10"/>
      </tp>
      <tp t="s">
        <v>—</v>
        <stp/>
        <stp>##V3_BDHV12</stp>
        <stp>RCOM IN Equity</stp>
        <stp>AFTER_TAX_INTEREST_EXPENSE</stp>
        <stp>FY 2018</stp>
        <stp>FY 2018</stp>
        <stp>[FA1_ymffleas.xlsx]Yield Analysis!R31C12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31" s="26"/>
      </tp>
      <tp t="s">
        <v>—</v>
        <stp/>
        <stp>##V3_BDHV12</stp>
        <stp>RCOM IN Equity</stp>
        <stp>ARD_LONG_TERM_LOANS_OTHER_DEBTOR</stp>
        <stp>FY 2018</stp>
        <stp>FY 2018</stp>
        <stp>[FA1_ymffleas.xlsx]Bal Sheet - As Reported!R32C12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2" s="17"/>
      </tp>
      <tp t="s">
        <v>—</v>
        <stp/>
        <stp>##V3_BDHV12</stp>
        <stp>RCOM IN Equity</stp>
        <stp>ARD_LONG_TERM_LOANS_OTHER_DEBTOR</stp>
        <stp>FY 2016</stp>
        <stp>FY 2016</stp>
        <stp>[FA1_ymffleas.xlsx]Bal Sheet - As Reported!R32C10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2" s="17"/>
      </tp>
      <tp t="s">
        <v>—</v>
        <stp/>
        <stp>##V3_BDHV12</stp>
        <stp>RCOM IN Equity</stp>
        <stp>ARD_LONG_TERM_LOANS_OTHER_DEBTOR</stp>
        <stp>FY 2017</stp>
        <stp>FY 2017</stp>
        <stp>[FA1_ymffleas.xlsx]Bal Sheet - As Reported!R32C11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2" s="17"/>
      </tp>
      <tp t="s">
        <v>—</v>
        <stp/>
        <stp>##V3_BDHV12</stp>
        <stp>RCOM IN Equity</stp>
        <stp>AFTER_TAX_INTEREST_EXPENSE</stp>
        <stp>FY 2016</stp>
        <stp>FY 2016</stp>
        <stp>[FA1_ymffleas.xlsx]Yield Analysis!R31C10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1" s="26"/>
      </tp>
      <tp t="s">
        <v>—</v>
        <stp/>
        <stp>##V3_BDHV12</stp>
        <stp>RCOM IN Equity</stp>
        <stp>ARDR_LONG_TERM_LOAN_UNSECURED</stp>
        <stp>FY 2018</stp>
        <stp>FY 2018</stp>
        <stp>[FA1_ymffleas.xlsx]Bal Sheet - As Reported!R196C12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6" s="17"/>
      </tp>
      <tp t="s">
        <v>—</v>
        <stp/>
        <stp>##V3_BDHV12</stp>
        <stp>RCOM IN Equity</stp>
        <stp>ARDR_LONG_TERM_LOAN_UNSECURED</stp>
        <stp>FY 2016</stp>
        <stp>FY 2016</stp>
        <stp>[FA1_ymffleas.xlsx]Bal Sheet - As Reported!R196C10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6" s="17"/>
      </tp>
      <tp t="s">
        <v>—</v>
        <stp/>
        <stp>##V3_BDHV12</stp>
        <stp>RCOM IN Equity</stp>
        <stp>ARDR_LONG_TERM_LOAN_UNSECURED</stp>
        <stp>FY 2017</stp>
        <stp>FY 2017</stp>
        <stp>[FA1_ymffleas.xlsx]Bal Sheet - As Reported!R196C11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6" s="17"/>
      </tp>
      <tp t="s">
        <v>—</v>
        <stp/>
        <stp>##V3_BDHV12</stp>
        <stp>RCOM IN Equity</stp>
        <stp>AFTER_TAX_INTEREST_EXPENSE</stp>
        <stp>FY 2017</stp>
        <stp>FY 2017</stp>
        <stp>[FA1_ymffleas.xlsx]Yield Analysis!R31C11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1" s="26"/>
      </tp>
      <tp>
        <v>360895.10009999998</v>
        <stp/>
        <stp>##V3_BDHV12</stp>
        <stp>RCOM IN Equity</stp>
        <stp>HISTORICAL_MARKET_CAP</stp>
        <stp>FY 2009</stp>
        <stp>FY 2009</stp>
        <stp>[FA1_ymffleas.xlsx]Yield Analysis!R10C3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" s="26"/>
      </tp>
      <tp>
        <v>350781.36839999998</v>
        <stp/>
        <stp>##V3_BDHV12</stp>
        <stp>RCOM IN Equity</stp>
        <stp>HISTORICAL_MARKET_CAP</stp>
        <stp>FY 2010</stp>
        <stp>FY 2010</stp>
        <stp>[FA1_ymffleas.xlsx]Yield Analysis!R10C4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" s="26"/>
      </tp>
      <tp>
        <v>222192.49369999999</v>
        <stp/>
        <stp>##V3_BDHV12</stp>
        <stp>RCOM IN Equity</stp>
        <stp>HISTORICAL_MARKET_CAP</stp>
        <stp>FY 2011</stp>
        <stp>FY 2011</stp>
        <stp>[FA1_ymffleas.xlsx]Yield Analysis!R10C5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" s="26"/>
      </tp>
      <tp>
        <v>173481.45929999999</v>
        <stp/>
        <stp>##V3_BDHV12</stp>
        <stp>RCOM IN Equity</stp>
        <stp>HISTORICAL_MARKET_CAP</stp>
        <stp>FY 2012</stp>
        <stp>FY 2012</stp>
        <stp>[FA1_ymffleas.xlsx]Yield Analysis!R10C6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" s="26"/>
      </tp>
      <tp>
        <v>114140.6865</v>
        <stp/>
        <stp>##V3_BDHV12</stp>
        <stp>RCOM IN Equity</stp>
        <stp>HISTORICAL_MARKET_CAP</stp>
        <stp>FY 2013</stp>
        <stp>FY 2013</stp>
        <stp>[FA1_ymffleas.xlsx]Yield Analysis!R10C7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" s="26"/>
      </tp>
      <tp>
        <v>266053.065</v>
        <stp/>
        <stp>##V3_BDHV12</stp>
        <stp>RCOM IN Equity</stp>
        <stp>HISTORICAL_MARKET_CAP</stp>
        <stp>FY 2014</stp>
        <stp>FY 2014</stp>
        <stp>[FA1_ymffleas.xlsx]Yield Analysis!R10C8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" s="26"/>
      </tp>
      <tp>
        <v>147472.04990000001</v>
        <stp/>
        <stp>##V3_BDHV12</stp>
        <stp>RCOM IN Equity</stp>
        <stp>HISTORICAL_MARKET_CAP</stp>
        <stp>FY 2015</stp>
        <stp>FY 2015</stp>
        <stp>[FA1_ymffleas.xlsx]Yield Analysis!R10C9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" s="26"/>
      </tp>
      <tp>
        <v>2467.7006999999999</v>
        <stp/>
        <stp>##V3_BDHV12</stp>
        <stp>RCOM IN Equity</stp>
        <stp>IS_SH_FOR_DILUTED_EPS</stp>
        <stp>FY 2016</stp>
        <stp>FY 2016</stp>
        <stp>[FA1_ymffleas.xlsx]Income - Adjusted!R114C9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14" s="9"/>
      </tp>
      <tp>
        <v>2333.9049</v>
        <stp/>
        <stp>##V3_BDHV12</stp>
        <stp>RCOM IN Equity</stp>
        <stp>IS_SH_FOR_DILUTED_EPS</stp>
        <stp>FY 2015</stp>
        <stp>FY 2015</stp>
        <stp>[FA1_ymffleas.xlsx]Income - Adjusted!R114C8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14" s="9"/>
      </tp>
      <tp>
        <v>2104.0468999999998</v>
        <stp/>
        <stp>##V3_BDHV12</stp>
        <stp>RCOM IN Equity</stp>
        <stp>IS_SH_FOR_DILUTED_EPS</stp>
        <stp>FY 2012</stp>
        <stp>FY 2012</stp>
        <stp>[FA1_ymffleas.xlsx]Income - Adjusted!R114C5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14" s="9"/>
      </tp>
      <tp>
        <v>2153.1658000000002</v>
        <stp/>
        <stp>##V3_BDHV12</stp>
        <stp>RCOM IN Equity</stp>
        <stp>IS_SH_FOR_DILUTED_EPS</stp>
        <stp>FY 2011</stp>
        <stp>FY 2011</stp>
        <stp>[FA1_ymffleas.xlsx]Income - Adjusted!R114C4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14" s="9"/>
      </tp>
      <tp>
        <v>2064.0268999999998</v>
        <stp/>
        <stp>##V3_BDHV12</stp>
        <stp>RCOM IN Equity</stp>
        <stp>IS_SH_FOR_DILUTED_EPS</stp>
        <stp>FY 2014</stp>
        <stp>FY 2014</stp>
        <stp>[FA1_ymffleas.xlsx]Income - Adjusted!R114C7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14" s="9"/>
      </tp>
      <tp>
        <v>2064.0268999999998</v>
        <stp/>
        <stp>##V3_BDHV12</stp>
        <stp>RCOM IN Equity</stp>
        <stp>IS_SH_FOR_DILUTED_EPS</stp>
        <stp>FY 2013</stp>
        <stp>FY 2013</stp>
        <stp>[FA1_ymffleas.xlsx]Income - Adjusted!R114C6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14" s="9"/>
      </tp>
      <tp>
        <v>2153.1658000000002</v>
        <stp/>
        <stp>##V3_BDHV12</stp>
        <stp>RCOM IN Equity</stp>
        <stp>IS_SH_FOR_DILUTED_EPS</stp>
        <stp>FY 2010</stp>
        <stp>FY 2010</stp>
        <stp>[FA1_ymffleas.xlsx]Income - Adjusted!R114C3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14" s="9"/>
      </tp>
      <tp>
        <v>24990</v>
        <stp/>
        <stp>##V3_BDHV12</stp>
        <stp>RCOM IN Equity</stp>
        <stp>ARD_INCR_IN_LT_BORROW</stp>
        <stp>FY 2014</stp>
        <stp>FY 2014</stp>
        <stp>[FA1_ymffleas.xlsx]Cash Flow - As Reported!R55C8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5" s="20"/>
      </tp>
      <tp>
        <v>64420</v>
        <stp/>
        <stp>##V3_BDHV12</stp>
        <stp>RCOM IN Equity</stp>
        <stp>ARD_INCR_IN_LT_BORROW</stp>
        <stp>FY 2015</stp>
        <stp>FY 2015</stp>
        <stp>[FA1_ymffleas.xlsx]Cash Flow - As Reported!R55C9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5" s="20"/>
      </tp>
      <tp>
        <v>26680.7</v>
        <stp/>
        <stp>##V3_BDHV12</stp>
        <stp>RCOM IN Equity</stp>
        <stp>ARD_INCR_IN_LT_BORROW</stp>
        <stp>FY 2010</stp>
        <stp>FY 2010</stp>
        <stp>[FA1_ymffleas.xlsx]Cash Flow - As Reported!R55C4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5" s="20"/>
      </tp>
      <tp>
        <v>90900</v>
        <stp/>
        <stp>##V3_BDHV12</stp>
        <stp>RCOM IN Equity</stp>
        <stp>ARD_INCR_IN_LT_BORROW</stp>
        <stp>FY 2011</stp>
        <stp>FY 2011</stp>
        <stp>[FA1_ymffleas.xlsx]Cash Flow - As Reported!R55C5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5" s="20"/>
      </tp>
      <tp>
        <v>107560</v>
        <stp/>
        <stp>##V3_BDHV12</stp>
        <stp>RCOM IN Equity</stp>
        <stp>ARD_INCR_IN_LT_BORROW</stp>
        <stp>FY 2012</stp>
        <stp>FY 2012</stp>
        <stp>[FA1_ymffleas.xlsx]Cash Flow - As Reported!R55C6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5" s="20"/>
      </tp>
      <tp>
        <v>14760</v>
        <stp/>
        <stp>##V3_BDHV12</stp>
        <stp>RCOM IN Equity</stp>
        <stp>ARD_INCR_IN_LT_BORROW</stp>
        <stp>FY 2013</stp>
        <stp>FY 2013</stp>
        <stp>[FA1_ymffleas.xlsx]Cash Flow - As Reported!R55C7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5" s="20"/>
      </tp>
      <tp>
        <v>103548</v>
        <stp/>
        <stp>##V3_BDHV12</stp>
        <stp>RCOM IN Equity</stp>
        <stp>ARD_INCR_IN_LT_BORROW</stp>
        <stp>FY 2009</stp>
        <stp>FY 2009</stp>
        <stp>[FA1_ymffleas.xlsx]Cash Flow - As Reported!R55C3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5" s="20"/>
      </tp>
      <tp>
        <v>830</v>
        <stp/>
        <stp>##V3_BDHV12</stp>
        <stp>RCOM IN Equity</stp>
        <stp>ARDR_OTH_NONCURRENT_LIABILITIES</stp>
        <stp>FY 2018</stp>
        <stp>FY 2018</stp>
        <stp>[FA1_ymffleas.xlsx]Bal Sheet - As Reported!R93C12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3" s="17"/>
      </tp>
      <tp>
        <v>0</v>
        <stp/>
        <stp>##V3_BDHV12</stp>
        <stp>RCOM IN Equity</stp>
        <stp>ARDR_OTH_NONCURRENT_LIABILITIES</stp>
        <stp>FY 2017</stp>
        <stp>FY 2017</stp>
        <stp>[FA1_ymffleas.xlsx]Bal Sheet - As Reported!R93C11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3" s="17"/>
      </tp>
      <tp>
        <v>0</v>
        <stp/>
        <stp>##V3_BDHV12</stp>
        <stp>RCOM IN Equity</stp>
        <stp>ARDR_OTH_NONCURRENT_LIABILITIES</stp>
        <stp>FY 2016</stp>
        <stp>FY 2016</stp>
        <stp>[FA1_ymffleas.xlsx]Bal Sheet - As Reported!R93C10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3" s="17"/>
      </tp>
      <tp>
        <v>19280</v>
        <stp/>
        <stp>##V3_BDHV12</stp>
        <stp>RCOM IN Equity</stp>
        <stp>ARD_DEFERRED_TAX_ASSETS_LT</stp>
        <stp>FY 2016</stp>
        <stp>FY 2016</stp>
        <stp>[FA1_ymffleas.xlsx]Bal Sheet - As Reported!R31C10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1" s="17"/>
      </tp>
      <tp>
        <v>36700</v>
        <stp/>
        <stp>##V3_BDHV12</stp>
        <stp>RCOM IN Equity</stp>
        <stp>ARD_DEFERRED_TAX_ASSETS_LT</stp>
        <stp>FY 2017</stp>
        <stp>FY 2017</stp>
        <stp>[FA1_ymffleas.xlsx]Bal Sheet - As Reported!R31C11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1" s="17"/>
      </tp>
      <tp>
        <v>35740</v>
        <stp/>
        <stp>##V3_BDHV12</stp>
        <stp>RCOM IN Equity</stp>
        <stp>ARD_DEFERRED_TAX_ASSETS_LT</stp>
        <stp>FY 2018</stp>
        <stp>FY 2018</stp>
        <stp>[FA1_ymffleas.xlsx]Bal Sheet - As Reported!R31C12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1" s="17"/>
      </tp>
      <tp>
        <v>-0.31530000000000002</v>
        <stp/>
        <stp>##V3_BDHV12</stp>
        <stp>RCOM IN Equity</stp>
        <stp>GEO_GROW_NET_SALES</stp>
        <stp>FY 2016</stp>
        <stp>FY 2016</stp>
        <stp>[FA1_ymffleas.xlsx]Growth!R36C10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36" s="22"/>
      </tp>
      <tp>
        <v>9.7435000000000009</v>
        <stp/>
        <stp>##V3_BDHV12</stp>
        <stp>RCOM IN Equity</stp>
        <stp>HIGH_EV_TO_T12M_EBITDA</stp>
        <stp>FY 2013</stp>
        <stp>FY 2013</stp>
        <stp>[FA1_ymffleas.xlsx]Multiples!R43C6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43" s="6"/>
      </tp>
      <tp>
        <v>0</v>
        <stp/>
        <stp>##V3_BDHV12</stp>
        <stp>RCOM IN Equity</stp>
        <stp>TRAIL_12M_PFD_DVD</stp>
        <stp>FY 2014</stp>
        <stp>FY 2014</stp>
        <stp>[FA1_ymffleas.xlsx]Dividend Summary!R14C8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" s="31"/>
      </tp>
      <tp>
        <v>0</v>
        <stp/>
        <stp>##V3_BDHV12</stp>
        <stp>RCOM IN Equity</stp>
        <stp>TRAIL_12M_PFD_DVD</stp>
        <stp>FY 2015</stp>
        <stp>FY 2015</stp>
        <stp>[FA1_ymffleas.xlsx]Dividend Summary!R14C9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" s="31"/>
      </tp>
      <tp>
        <v>0</v>
        <stp/>
        <stp>##V3_BDHV12</stp>
        <stp>RCOM IN Equity</stp>
        <stp>TRAIL_12M_PFD_DVD</stp>
        <stp>FY 2009</stp>
        <stp>FY 2009</stp>
        <stp>[FA1_ymffleas.xlsx]Dividend Summary!R14C3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" s="31"/>
      </tp>
      <tp>
        <v>0</v>
        <stp/>
        <stp>##V3_BDHV12</stp>
        <stp>RCOM IN Equity</stp>
        <stp>TRAIL_12M_PFD_DVD</stp>
        <stp>FY 2012</stp>
        <stp>FY 2012</stp>
        <stp>[FA1_ymffleas.xlsx]Dividend Summary!R14C6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" s="31"/>
      </tp>
      <tp>
        <v>0</v>
        <stp/>
        <stp>##V3_BDHV12</stp>
        <stp>RCOM IN Equity</stp>
        <stp>TRAIL_12M_PFD_DVD</stp>
        <stp>FY 2013</stp>
        <stp>FY 2013</stp>
        <stp>[FA1_ymffleas.xlsx]Dividend Summary!R14C7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" s="31"/>
      </tp>
      <tp>
        <v>0</v>
        <stp/>
        <stp>##V3_BDHV12</stp>
        <stp>RCOM IN Equity</stp>
        <stp>TRAIL_12M_PFD_DVD</stp>
        <stp>FY 2010</stp>
        <stp>FY 2010</stp>
        <stp>[FA1_ymffleas.xlsx]Dividend Summary!R14C4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" s="31"/>
      </tp>
      <tp>
        <v>0</v>
        <stp/>
        <stp>##V3_BDHV12</stp>
        <stp>RCOM IN Equity</stp>
        <stp>TRAIL_12M_PFD_DVD</stp>
        <stp>FY 2011</stp>
        <stp>FY 2011</stp>
        <stp>[FA1_ymffleas.xlsx]Dividend Summary!R14C5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" s="31"/>
      </tp>
      <tp>
        <v>11200</v>
        <stp/>
        <stp>##V3_BDHV12</stp>
        <stp>RCOM IN Equity</stp>
        <stp>ARDR_SALARIES_WAGE_EMPLOYEE_BEN</stp>
        <stp>FY 2016</stp>
        <stp>FY 2016</stp>
        <stp>[FA1_ymffleas.xlsx]Income - As Reported!R65C10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5" s="11"/>
      </tp>
      <tp>
        <v>4420</v>
        <stp/>
        <stp>##V3_BDHV12</stp>
        <stp>RCOM IN Equity</stp>
        <stp>ARDR_SALARIES_WAGE_EMPLOYEE_BEN</stp>
        <stp>FY 2017</stp>
        <stp>FY 2017</stp>
        <stp>[FA1_ymffleas.xlsx]Income - As Reported!R65C11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5" s="11"/>
      </tp>
      <tp>
        <v>4270</v>
        <stp/>
        <stp>##V3_BDHV12</stp>
        <stp>RCOM IN Equity</stp>
        <stp>ARDR_SALARIES_WAGE_EMPLOYEE_BEN</stp>
        <stp>FY 2018</stp>
        <stp>FY 2018</stp>
        <stp>[FA1_ymffleas.xlsx]Income - As Reported!R65C12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5" s="11"/>
      </tp>
      <tp>
        <v>-2094.9</v>
        <stp/>
        <stp>##V3_BDHV12</stp>
        <stp>RCOM IN Equity</stp>
        <stp>IS_GAIN_LOSS_ON_INVESTMENTS</stp>
        <stp>FY 2010</stp>
        <stp>FY 2010</stp>
        <stp>[FA1_ymffleas.xlsx]Reconciliation!R30C3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0" s="12"/>
      </tp>
      <tp>
        <v>-570</v>
        <stp/>
        <stp>##V3_BDHV12</stp>
        <stp>RCOM IN Equity</stp>
        <stp>IS_GAIN_LOSS_ON_INVESTMENTS</stp>
        <stp>FY 2011</stp>
        <stp>FY 2011</stp>
        <stp>[FA1_ymffleas.xlsx]Reconciliation!R30C4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0" s="12"/>
      </tp>
      <tp>
        <v>-230</v>
        <stp/>
        <stp>##V3_BDHV12</stp>
        <stp>RCOM IN Equity</stp>
        <stp>IS_GAIN_LOSS_ON_INVESTMENTS</stp>
        <stp>FY 2012</stp>
        <stp>FY 2012</stp>
        <stp>[FA1_ymffleas.xlsx]Reconciliation!R30C5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0" s="12"/>
      </tp>
      <tp>
        <v>-350</v>
        <stp/>
        <stp>##V3_BDHV12</stp>
        <stp>RCOM IN Equity</stp>
        <stp>IS_GAIN_LOSS_ON_INVESTMENTS</stp>
        <stp>FY 2013</stp>
        <stp>FY 2013</stp>
        <stp>[FA1_ymffleas.xlsx]Reconciliation!R30C6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0" s="12"/>
      </tp>
      <tp>
        <v>-90</v>
        <stp/>
        <stp>##V3_BDHV12</stp>
        <stp>RCOM IN Equity</stp>
        <stp>IS_GAIN_LOSS_ON_INVESTMENTS</stp>
        <stp>FY 2014</stp>
        <stp>FY 2014</stp>
        <stp>[FA1_ymffleas.xlsx]Reconciliation!R30C7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0" s="12"/>
      </tp>
      <tp>
        <v>-300</v>
        <stp/>
        <stp>##V3_BDHV12</stp>
        <stp>RCOM IN Equity</stp>
        <stp>IS_GAIN_LOSS_ON_INVESTMENTS</stp>
        <stp>FY 2015</stp>
        <stp>FY 2015</stp>
        <stp>[FA1_ymffleas.xlsx]Reconciliation!R30C8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0" s="12"/>
      </tp>
      <tp>
        <v>-30</v>
        <stp/>
        <stp>##V3_BDHV12</stp>
        <stp>RCOM IN Equity</stp>
        <stp>IS_GAIN_LOSS_ON_INVESTMENTS</stp>
        <stp>FY 2016</stp>
        <stp>FY 2016</stp>
        <stp>[FA1_ymffleas.xlsx]Reconciliation!R30C9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0" s="12"/>
      </tp>
      <tp>
        <v>8.5277999999999992</v>
        <stp/>
        <stp>##V3_BDHV12</stp>
        <stp>RCOM IN Equity</stp>
        <stp>EFF_TAX_RATE</stp>
        <stp>FY 2010</stp>
        <stp>FY 2010</stp>
        <stp>[FA1_ymffleas.xlsx]Profitability!R22C4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2" s="21"/>
      </tp>
      <tp>
        <v>6950</v>
        <stp/>
        <stp>##V3_BDHV12</stp>
        <stp>RCOM IN Equity</stp>
        <stp>ARD_TAX_REFUND</stp>
        <stp>FY 2017</stp>
        <stp>FY 2017</stp>
        <stp>[FA1_ymffleas.xlsx]Cash Flow - As Reported!R34C11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4" s="20"/>
      </tp>
      <tp>
        <v>1540</v>
        <stp/>
        <stp>##V3_BDHV12</stp>
        <stp>RCOM IN Equity</stp>
        <stp>ARD_TAX_REFUND</stp>
        <stp>FY 2016</stp>
        <stp>FY 2016</stp>
        <stp>[FA1_ymffleas.xlsx]Cash Flow - As Reported!R34C10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4" s="20"/>
      </tp>
      <tp>
        <v>3890</v>
        <stp/>
        <stp>##V3_BDHV12</stp>
        <stp>RCOM IN Equity</stp>
        <stp>ARD_TAX_REFUND</stp>
        <stp>FY 2018</stp>
        <stp>FY 2018</stp>
        <stp>[FA1_ymffleas.xlsx]Cash Flow - As Reported!R34C12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4" s="20"/>
      </tp>
      <tp>
        <v>118560</v>
        <stp/>
        <stp>##V3_BDHV12</stp>
        <stp>RCOM IN Equity</stp>
        <stp>ARD_OTHER_CURRENT_LIABILITIES</stp>
        <stp>FY 2014</stp>
        <stp>FY 2014</stp>
        <stp>[FA1_ymffleas.xlsx]Bal Sheet - As Reported!R54C8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4" s="17"/>
      </tp>
      <tp>
        <v>118600</v>
        <stp/>
        <stp>##V3_BDHV12</stp>
        <stp>RCOM IN Equity</stp>
        <stp>ARD_OTHER_CURRENT_LIABILITIES</stp>
        <stp>FY 2015</stp>
        <stp>FY 2015</stp>
        <stp>[FA1_ymffleas.xlsx]Bal Sheet - As Reported!R54C9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4" s="17"/>
      </tp>
      <tp>
        <v>147084.6</v>
        <stp/>
        <stp>##V3_BDHV12</stp>
        <stp>RCOM IN Equity</stp>
        <stp>ARD_OTHER_CURRENT_LIABILITIES</stp>
        <stp>FY 2010</stp>
        <stp>FY 2010</stp>
        <stp>[FA1_ymffleas.xlsx]Bal Sheet - As Reported!R54C4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4" s="17"/>
      </tp>
      <tp>
        <v>166190</v>
        <stp/>
        <stp>##V3_BDHV12</stp>
        <stp>RCOM IN Equity</stp>
        <stp>ARD_OTHER_CURRENT_LIABILITIES</stp>
        <stp>FY 2011</stp>
        <stp>FY 2011</stp>
        <stp>[FA1_ymffleas.xlsx]Bal Sheet - As Reported!R54C5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4" s="17"/>
      </tp>
      <tp>
        <v>118810</v>
        <stp/>
        <stp>##V3_BDHV12</stp>
        <stp>RCOM IN Equity</stp>
        <stp>ARD_OTHER_CURRENT_LIABILITIES</stp>
        <stp>FY 2012</stp>
        <stp>FY 2012</stp>
        <stp>[FA1_ymffleas.xlsx]Bal Sheet - As Reported!R54C6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4" s="17"/>
      </tp>
      <tp>
        <v>104010</v>
        <stp/>
        <stp>##V3_BDHV12</stp>
        <stp>RCOM IN Equity</stp>
        <stp>ARD_OTHER_CURRENT_LIABILITIES</stp>
        <stp>FY 2013</stp>
        <stp>FY 2013</stp>
        <stp>[FA1_ymffleas.xlsx]Bal Sheet - As Reported!R54C7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4" s="17"/>
      </tp>
      <tp>
        <v>159718.29999999999</v>
        <stp/>
        <stp>##V3_BDHV12</stp>
        <stp>RCOM IN Equity</stp>
        <stp>ARD_OTHER_CURRENT_LIABILITIES</stp>
        <stp>FY 2009</stp>
        <stp>FY 2009</stp>
        <stp>[FA1_ymffleas.xlsx]Bal Sheet - As Reported!R54C3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4" s="17"/>
      </tp>
      <tp>
        <v>1250</v>
        <stp/>
        <stp>##V3_BDHV12</stp>
        <stp>RCOM IN Equity</stp>
        <stp>ARDR_LT_CAP_LEASE_OBLIGATIONS</stp>
        <stp>FY 2015</stp>
        <stp>FY 2015</stp>
        <stp>[FA1_ymffleas.xlsx]Bal Sheet - As Reported!R89C9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9" s="17"/>
      </tp>
      <tp>
        <v>2700</v>
        <stp/>
        <stp>##V3_BDHV12</stp>
        <stp>RCOM IN Equity</stp>
        <stp>ARDR_LT_CAP_LEASE_OBLIGATIONS</stp>
        <stp>FY 2014</stp>
        <stp>FY 2014</stp>
        <stp>[FA1_ymffleas.xlsx]Bal Sheet - As Reported!R89C8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9" s="17"/>
      </tp>
      <tp t="s">
        <v>—</v>
        <stp/>
        <stp>##V3_BDHV12</stp>
        <stp>RCOM IN Equity</stp>
        <stp>ARDR_LT_CAP_LEASE_OBLIGATIONS</stp>
        <stp>FY 2009</stp>
        <stp>FY 2009</stp>
        <stp>[FA1_ymffleas.xlsx]Bal Sheet - As Reported!R89C3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9" s="17"/>
      </tp>
      <tp t="s">
        <v>—</v>
        <stp/>
        <stp>##V3_BDHV12</stp>
        <stp>RCOM IN Equity</stp>
        <stp>ARDR_LT_CAP_LEASE_OBLIGATIONS</stp>
        <stp>FY 2013</stp>
        <stp>FY 2013</stp>
        <stp>[FA1_ymffleas.xlsx]Bal Sheet - As Reported!R89C7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9" s="17"/>
      </tp>
      <tp t="s">
        <v>—</v>
        <stp/>
        <stp>##V3_BDHV12</stp>
        <stp>RCOM IN Equity</stp>
        <stp>ARDR_LT_CAP_LEASE_OBLIGATIONS</stp>
        <stp>FY 2012</stp>
        <stp>FY 2012</stp>
        <stp>[FA1_ymffleas.xlsx]Bal Sheet - As Reported!R89C6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9" s="17"/>
      </tp>
      <tp t="s">
        <v>—</v>
        <stp/>
        <stp>##V3_BDHV12</stp>
        <stp>RCOM IN Equity</stp>
        <stp>ARDR_LT_CAP_LEASE_OBLIGATIONS</stp>
        <stp>FY 2011</stp>
        <stp>FY 2011</stp>
        <stp>[FA1_ymffleas.xlsx]Bal Sheet - As Reported!R89C5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9" s="17"/>
      </tp>
      <tp t="s">
        <v>—</v>
        <stp/>
        <stp>##V3_BDHV12</stp>
        <stp>RCOM IN Equity</stp>
        <stp>ARDR_LT_CAP_LEASE_OBLIGATIONS</stp>
        <stp>FY 2010</stp>
        <stp>FY 2010</stp>
        <stp>[FA1_ymffleas.xlsx]Bal Sheet - As Reported!R89C4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9" s="17"/>
      </tp>
      <tp t="s">
        <v>—</v>
        <stp/>
        <stp>##V3_BDHV12</stp>
        <stp>RCOM IN Equity</stp>
        <stp>ARD_INT_EXP_NET</stp>
        <stp>FY 2016</stp>
        <stp>FY 2016</stp>
        <stp>[FA1_ymffleas.xlsx]Income - As Reported!R24C10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4" s="11"/>
      </tp>
      <tp t="s">
        <v>—</v>
        <stp/>
        <stp>##V3_BDHV12</stp>
        <stp>RCOM IN Equity</stp>
        <stp>ARD_INT_EXP_NET</stp>
        <stp>FY 2017</stp>
        <stp>FY 2017</stp>
        <stp>[FA1_ymffleas.xlsx]Income - As Reported!R24C11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4" s="11"/>
      </tp>
      <tp t="s">
        <v>—</v>
        <stp/>
        <stp>##V3_BDHV12</stp>
        <stp>RCOM IN Equity</stp>
        <stp>ARD_INT_EXP_NET</stp>
        <stp>FY 2018</stp>
        <stp>FY 2018</stp>
        <stp>[FA1_ymffleas.xlsx]Income - As Reported!R24C12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4" s="11"/>
      </tp>
      <tp>
        <v>14880</v>
        <stp/>
        <stp>##V3_BDHV12</stp>
        <stp>RCOM IN Equity</stp>
        <stp>BS_DEFERRED_TAX_ASSETS_LT</stp>
        <stp>FY 2014</stp>
        <stp>FY 2014</stp>
        <stp>[FA1_ymffleas.xlsx]Bal Sheet - Standardized!R63C8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3" s="16"/>
      </tp>
      <tp>
        <v>0</v>
        <stp/>
        <stp>##V3_BDHV12</stp>
        <stp>RCOM IN Equity</stp>
        <stp>BS_DEFERRED_TAX_ASSETS_LT</stp>
        <stp>FY 2015</stp>
        <stp>FY 2015</stp>
        <stp>[FA1_ymffleas.xlsx]Bal Sheet - Standardized!R63C9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3" s="16"/>
      </tp>
      <tp t="s">
        <v>—</v>
        <stp/>
        <stp>##V3_BDHV12</stp>
        <stp>RCOM IN Equity</stp>
        <stp>BS_DEFERRED_TAX_ASSETS_LT</stp>
        <stp>FY 2010</stp>
        <stp>FY 2010</stp>
        <stp>[FA1_ymffleas.xlsx]Bal Sheet - Standardized!R63C4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3" s="16"/>
      </tp>
      <tp t="s">
        <v>—</v>
        <stp/>
        <stp>##V3_BDHV12</stp>
        <stp>RCOM IN Equity</stp>
        <stp>BS_DEFERRED_TAX_ASSETS_LT</stp>
        <stp>FY 2011</stp>
        <stp>FY 2011</stp>
        <stp>[FA1_ymffleas.xlsx]Bal Sheet - Standardized!R63C5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3" s="16"/>
      </tp>
      <tp t="s">
        <v>—</v>
        <stp/>
        <stp>##V3_BDHV12</stp>
        <stp>RCOM IN Equity</stp>
        <stp>BS_DEFERRED_TAX_ASSETS_LT</stp>
        <stp>FY 2012</stp>
        <stp>FY 2012</stp>
        <stp>[FA1_ymffleas.xlsx]Bal Sheet - Standardized!R63C6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3" s="16"/>
      </tp>
      <tp t="s">
        <v>—</v>
        <stp/>
        <stp>##V3_BDHV12</stp>
        <stp>RCOM IN Equity</stp>
        <stp>BS_DEFERRED_TAX_ASSETS_LT</stp>
        <stp>FY 2013</stp>
        <stp>FY 2013</stp>
        <stp>[FA1_ymffleas.xlsx]Bal Sheet - Standardized!R63C7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3" s="16"/>
      </tp>
      <tp t="s">
        <v>—</v>
        <stp/>
        <stp>##V3_BDHV12</stp>
        <stp>RCOM IN Equity</stp>
        <stp>BS_DEFERRED_TAX_ASSETS_LT</stp>
        <stp>FY 2009</stp>
        <stp>FY 2009</stp>
        <stp>[FA1_ymffleas.xlsx]Bal Sheet - Standardized!R63C3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3" s="16"/>
      </tp>
      <tp>
        <v>63.400700000000001</v>
        <stp/>
        <stp>##V3_BDHV12</stp>
        <stp>RCOM IN Equity</stp>
        <stp>TOT_DEBT_TO_TOT_ASSET</stp>
        <stp>FY 2018</stp>
        <stp>FY 2018</stp>
        <stp>[FA1_ymffleas.xlsx]Credit!R34C12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34" s="23"/>
      </tp>
      <tp>
        <v>45.856400000000001</v>
        <stp/>
        <stp>##V3_BDHV12</stp>
        <stp>RCOM IN Equity</stp>
        <stp>TOT_DEBT_TO_TOT_ASSET</stp>
        <stp>FY 2017</stp>
        <stp>FY 2017</stp>
        <stp>[FA1_ymffleas.xlsx]Credit!R34C11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4" s="23"/>
      </tp>
      <tp>
        <v>42.160800000000002</v>
        <stp/>
        <stp>##V3_BDHV12</stp>
        <stp>RCOM IN Equity</stp>
        <stp>TOT_DEBT_TO_TOT_ASSET</stp>
        <stp>FY 2016</stp>
        <stp>FY 2016</stp>
        <stp>[FA1_ymffleas.xlsx]Credit!R34C10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4" s="23"/>
      </tp>
      <tp>
        <v>38.872900000000001</v>
        <stp/>
        <stp>##V3_BDHV12</stp>
        <stp>RCOM IN Equity</stp>
        <stp>LT_DEBT_TO_TOT_CAP</stp>
        <stp>FY 2015</stp>
        <stp>FY 2015</stp>
        <stp>[FA1_ymffleas.xlsx]Liquidity!R13C9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3" s="24"/>
      </tp>
      <tp>
        <v>37.177300000000002</v>
        <stp/>
        <stp>##V3_BDHV12</stp>
        <stp>RCOM IN Equity</stp>
        <stp>LT_DEBT_TO_TOT_CAP</stp>
        <stp>FY 2014</stp>
        <stp>FY 2014</stp>
        <stp>[FA1_ymffleas.xlsx]Liquidity!R13C8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3" s="24"/>
      </tp>
      <tp>
        <v>240</v>
        <stp/>
        <stp>##V3_BDHV12</stp>
        <stp>RCOM IN Equity</stp>
        <stp>IS_INT_INC</stp>
        <stp>FY 2017</stp>
        <stp>FY 2017</stp>
        <stp>[FA1_ymffleas.xlsx]Income - Adjusted!R43C10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43" s="9"/>
      </tp>
      <tp>
        <v>120</v>
        <stp/>
        <stp>##V3_BDHV12</stp>
        <stp>RCOM IN Equity</stp>
        <stp>IS_INT_INC</stp>
        <stp>FY 2018</stp>
        <stp>FY 2018</stp>
        <stp>[FA1_ymffleas.xlsx]Income - Adjusted!R43C11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43" s="9"/>
      </tp>
      <tp>
        <v>51.785699999999999</v>
        <stp/>
        <stp>##V3_BDHV12</stp>
        <stp>RCOM IN Equity</stp>
        <stp>GOVNCE_DISCLOSURE_SCORE</stp>
        <stp>FY 2018</stp>
        <stp>FY 2018</stp>
        <stp>[FA1_ymffleas.xlsx]ESG - Overview!R21C12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1" s="34"/>
      </tp>
      <tp>
        <v>33.241700000000002</v>
        <stp/>
        <stp>##V3_BDHV12</stp>
        <stp>RCOM IN Equity</stp>
        <stp>LT_DEBT_TO_TOT_CAP</stp>
        <stp>FY 2009</stp>
        <stp>FY 2009</stp>
        <stp>[FA1_ymffleas.xlsx]Liquidity!R13C3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3" s="24"/>
      </tp>
      <tp>
        <v>51.785699999999999</v>
        <stp/>
        <stp>##V3_BDHV12</stp>
        <stp>RCOM IN Equity</stp>
        <stp>GOVNCE_DISCLOSURE_SCORE</stp>
        <stp>FY 2017</stp>
        <stp>FY 2017</stp>
        <stp>[FA1_ymffleas.xlsx]ESG - Overview!R21C11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1" s="34"/>
      </tp>
      <tp>
        <v>51.785699999999999</v>
        <stp/>
        <stp>##V3_BDHV12</stp>
        <stp>RCOM IN Equity</stp>
        <stp>GOVNCE_DISCLOSURE_SCORE</stp>
        <stp>FY 2016</stp>
        <stp>FY 2016</stp>
        <stp>[FA1_ymffleas.xlsx]ESG - Overview!R21C10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1" s="34"/>
      </tp>
      <tp>
        <v>24.0229</v>
        <stp/>
        <stp>##V3_BDHV12</stp>
        <stp>RCOM IN Equity</stp>
        <stp>LT_DEBT_TO_TOT_CAP</stp>
        <stp>FY 2011</stp>
        <stp>FY 2011</stp>
        <stp>[FA1_ymffleas.xlsx]Liquidity!R13C5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3" s="24"/>
      </tp>
      <tp>
        <v>26.1097</v>
        <stp/>
        <stp>##V3_BDHV12</stp>
        <stp>RCOM IN Equity</stp>
        <stp>LT_DEBT_TO_TOT_CAP</stp>
        <stp>FY 2010</stp>
        <stp>FY 2010</stp>
        <stp>[FA1_ymffleas.xlsx]Liquidity!R13C4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3" s="24"/>
      </tp>
      <tp>
        <v>37.673699999999997</v>
        <stp/>
        <stp>##V3_BDHV12</stp>
        <stp>RCOM IN Equity</stp>
        <stp>LT_DEBT_TO_TOT_CAP</stp>
        <stp>FY 2013</stp>
        <stp>FY 2013</stp>
        <stp>[FA1_ymffleas.xlsx]Liquidity!R13C7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3" s="24"/>
      </tp>
      <tp>
        <v>39.287599999999998</v>
        <stp/>
        <stp>##V3_BDHV12</stp>
        <stp>RCOM IN Equity</stp>
        <stp>LT_DEBT_TO_TOT_CAP</stp>
        <stp>FY 2012</stp>
        <stp>FY 2012</stp>
        <stp>[FA1_ymffleas.xlsx]Liquidity!R13C6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3" s="24"/>
      </tp>
      <tp>
        <v>7.65</v>
        <stp/>
        <stp>##V3_BDHV12</stp>
        <stp>RCOM IN Equity</stp>
        <stp>ARDR_EXP_RET_PLAN_ASSET_HEALTH</stp>
        <stp>FY 2018</stp>
        <stp>FY 2018</stp>
        <stp>[FA1_ymffleas.xlsx]Income - As Reported!R85C12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5" s="11"/>
      </tp>
      <tp>
        <v>2.59</v>
        <stp/>
        <stp>##V3_BDHV12</stp>
        <stp>RCOM IN Equity</stp>
        <stp>IS_DIL_EPS_BEF_XO</stp>
        <stp>FY 2016</stp>
        <stp>FY 2016</stp>
        <stp>[FA1_ymffleas.xlsx]Reconciliation!R47C9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7" s="12"/>
      </tp>
      <tp>
        <v>7.79</v>
        <stp/>
        <stp>##V3_BDHV12</stp>
        <stp>RCOM IN Equity</stp>
        <stp>ARDR_EXP_RET_PLAN_ASSET_HEALTH</stp>
        <stp>FY 2016</stp>
        <stp>FY 2016</stp>
        <stp>[FA1_ymffleas.xlsx]Income - As Reported!R85C10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5" s="11"/>
      </tp>
      <tp>
        <v>3.05</v>
        <stp/>
        <stp>##V3_BDHV12</stp>
        <stp>RCOM IN Equity</stp>
        <stp>IS_DIL_EPS_BEF_XO</stp>
        <stp>FY 2015</stp>
        <stp>FY 2015</stp>
        <stp>[FA1_ymffleas.xlsx]Reconciliation!R47C8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7" s="12"/>
      </tp>
      <tp>
        <v>6.82</v>
        <stp/>
        <stp>##V3_BDHV12</stp>
        <stp>RCOM IN Equity</stp>
        <stp>ARDR_EXP_RET_PLAN_ASSET_HEALTH</stp>
        <stp>FY 2017</stp>
        <stp>FY 2017</stp>
        <stp>[FA1_ymffleas.xlsx]Income - As Reported!R85C11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5" s="11"/>
      </tp>
      <tp>
        <v>21.619299999999999</v>
        <stp/>
        <stp>##V3_BDHV12</stp>
        <stp>RCOM IN Equity</stp>
        <stp>IS_DIL_EPS_BEF_XO</stp>
        <stp>FY 2010</stp>
        <stp>FY 2010</stp>
        <stp>[FA1_ymffleas.xlsx]Reconciliation!R47C3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7" s="12"/>
      </tp>
      <tp>
        <v>5.07</v>
        <stp/>
        <stp>##V3_BDHV12</stp>
        <stp>RCOM IN Equity</stp>
        <stp>IS_DIL_EPS_BEF_XO</stp>
        <stp>FY 2014</stp>
        <stp>FY 2014</stp>
        <stp>[FA1_ymffleas.xlsx]Reconciliation!R47C7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7" s="12"/>
      </tp>
      <tp>
        <v>3.26</v>
        <stp/>
        <stp>##V3_BDHV12</stp>
        <stp>RCOM IN Equity</stp>
        <stp>IS_DIL_EPS_BEF_XO</stp>
        <stp>FY 2013</stp>
        <stp>FY 2013</stp>
        <stp>[FA1_ymffleas.xlsx]Reconciliation!R47C6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7" s="12"/>
      </tp>
      <tp>
        <v>4.41</v>
        <stp/>
        <stp>##V3_BDHV12</stp>
        <stp>RCOM IN Equity</stp>
        <stp>IS_DIL_EPS_BEF_XO</stp>
        <stp>FY 2012</stp>
        <stp>FY 2012</stp>
        <stp>[FA1_ymffleas.xlsx]Reconciliation!R47C5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7" s="12"/>
      </tp>
      <tp>
        <v>6.2465999999999999</v>
        <stp/>
        <stp>##V3_BDHV12</stp>
        <stp>RCOM IN Equity</stp>
        <stp>IS_DIL_EPS_BEF_XO</stp>
        <stp>FY 2011</stp>
        <stp>FY 2011</stp>
        <stp>[FA1_ymffleas.xlsx]Reconciliation!R47C4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7" s="12"/>
      </tp>
      <tp>
        <v>371560</v>
        <stp/>
        <stp>##V3_BDHV12</stp>
        <stp>RCOM IN Equity</stp>
        <stp>TOTAL_EQUITY</stp>
        <stp>FY 2012</stp>
        <stp>FY 2012</stp>
        <stp>[FA1_ymffleas.xlsx]GAAP Highlights!R19C6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" s="3"/>
      </tp>
      <tp>
        <v>345750</v>
        <stp/>
        <stp>##V3_BDHV12</stp>
        <stp>RCOM IN Equity</stp>
        <stp>TOTAL_EQUITY</stp>
        <stp>FY 2013</stp>
        <stp>FY 2013</stp>
        <stp>[FA1_ymffleas.xlsx]GAAP Highlights!R19C7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" s="3"/>
      </tp>
      <tp>
        <v>440190.3</v>
        <stp/>
        <stp>##V3_BDHV12</stp>
        <stp>RCOM IN Equity</stp>
        <stp>TOTAL_EQUITY</stp>
        <stp>FY 2010</stp>
        <stp>FY 2010</stp>
        <stp>[FA1_ymffleas.xlsx]GAAP Highlights!R19C4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" s="3"/>
      </tp>
      <tp>
        <v>413230</v>
        <stp/>
        <stp>##V3_BDHV12</stp>
        <stp>RCOM IN Equity</stp>
        <stp>TOTAL_EQUITY</stp>
        <stp>FY 2011</stp>
        <stp>FY 2011</stp>
        <stp>[FA1_ymffleas.xlsx]GAAP Highlights!R19C5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" s="3"/>
      </tp>
      <tp>
        <v>429352.4</v>
        <stp/>
        <stp>##V3_BDHV12</stp>
        <stp>RCOM IN Equity</stp>
        <stp>TOTAL_EQUITY</stp>
        <stp>FY 2009</stp>
        <stp>FY 2009</stp>
        <stp>[FA1_ymffleas.xlsx]GAAP Highlights!R19C3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" s="3"/>
      </tp>
      <tp>
        <v>335390</v>
        <stp/>
        <stp>##V3_BDHV12</stp>
        <stp>RCOM IN Equity</stp>
        <stp>TOTAL_EQUITY</stp>
        <stp>FY 2014</stp>
        <stp>FY 2014</stp>
        <stp>[FA1_ymffleas.xlsx]GAAP Highlights!R19C8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" s="3"/>
      </tp>
      <tp>
        <v>384480</v>
        <stp/>
        <stp>##V3_BDHV12</stp>
        <stp>RCOM IN Equity</stp>
        <stp>TOTAL_EQUITY</stp>
        <stp>FY 2015</stp>
        <stp>FY 2015</stp>
        <stp>[FA1_ymffleas.xlsx]GAAP Highlights!R19C9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" s="3"/>
      </tp>
      <tp>
        <v>9.5671999999999997</v>
        <stp/>
        <stp>##V3_BDHV12</stp>
        <stp>RCOM IN Equity</stp>
        <stp>HIGH_EV_TO_T12M_EBITDA</stp>
        <stp>FY 2012</stp>
        <stp>FY 2012</stp>
        <stp>[FA1_ymffleas.xlsx]Multiples!R43C5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43" s="6"/>
      </tp>
      <tp t="s">
        <v>—</v>
        <stp/>
        <stp>##V3_BDHV12</stp>
        <stp>RCOM IN Equity</stp>
        <stp>IS_GAIN_LOSS_ON_DISP_OF_AST_OP</stp>
        <stp>FY 2018</stp>
        <stp>FY 2018</stp>
        <stp>[FA1_ymffleas.xlsx]Reconciliation!R22C11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2" s="12"/>
      </tp>
      <tp t="s">
        <v>—</v>
        <stp/>
        <stp>##V3_BDHV12</stp>
        <stp>RCOM IN Equity</stp>
        <stp>IS_GAIN_LOSS_ON_DISP_OF_AST_OP</stp>
        <stp>FY 2017</stp>
        <stp>FY 2017</stp>
        <stp>[FA1_ymffleas.xlsx]Reconciliation!R22C10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2" s="12"/>
      </tp>
      <tp>
        <v>-35600</v>
        <stp/>
        <stp>##V3_BDHV12</stp>
        <stp>RCOM IN Equity</stp>
        <stp>CF_CASH_FROM_OPER</stp>
        <stp>FY 2017</stp>
        <stp>FY 2017</stp>
        <stp>[FA1_ymffleas.xlsx]GAAP Highlights!R22C11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2" s="3"/>
      </tp>
      <tp>
        <v>142210</v>
        <stp/>
        <stp>##V3_BDHV12</stp>
        <stp>RCOM IN Equity</stp>
        <stp>CF_CASH_FROM_OPER</stp>
        <stp>FY 2016</stp>
        <stp>FY 2016</stp>
        <stp>[FA1_ymffleas.xlsx]GAAP Highlights!R22C10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2" s="3"/>
      </tp>
      <tp>
        <v>-4070</v>
        <stp/>
        <stp>##V3_BDHV12</stp>
        <stp>RCOM IN Equity</stp>
        <stp>CF_CASH_FROM_OPER</stp>
        <stp>FY 2018</stp>
        <stp>FY 2018</stp>
        <stp>[FA1_ymffleas.xlsx]GAAP Highlights!R22C12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2" s="3"/>
      </tp>
      <tp t="s">
        <v>—</v>
        <stp/>
        <stp>##V3_BDHV12</stp>
        <stp>RCOM IN Equity</stp>
        <stp>EBITA</stp>
        <stp>FY 2016</stp>
        <stp>FY 2016</stp>
        <stp>[FA1_ymffleas.xlsx]Income - GAAP!R101C9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101" s="10"/>
      </tp>
      <tp t="s">
        <v>—</v>
        <stp/>
        <stp>##V3_BDHV12</stp>
        <stp>RCOM IN Equity</stp>
        <stp>EBITA</stp>
        <stp>FY 2015</stp>
        <stp>FY 2015</stp>
        <stp>[FA1_ymffleas.xlsx]Income - GAAP!R101C8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101" s="10"/>
      </tp>
      <tp t="s">
        <v>—</v>
        <stp/>
        <stp>##V3_BDHV12</stp>
        <stp>RCOM IN Equity</stp>
        <stp>ACCOUNTS_PAYABLE_TURNOVER</stp>
        <stp>FY 2009</stp>
        <stp>FY 2009</stp>
        <stp>[FA1_ymffleas.xlsx]Working Capital!R10C3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0" s="25"/>
      </tp>
      <tp>
        <v>41244.400000000001</v>
        <stp/>
        <stp>##V3_BDHV12</stp>
        <stp>RCOM IN Equity</stp>
        <stp>EBITA</stp>
        <stp>FY 2010</stp>
        <stp>FY 2010</stp>
        <stp>[FA1_ymffleas.xlsx]Income - GAAP!R101C3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101" s="10"/>
      </tp>
      <tp>
        <v>41580</v>
        <stp/>
        <stp>##V3_BDHV12</stp>
        <stp>RCOM IN Equity</stp>
        <stp>EBITA</stp>
        <stp>FY 2012</stp>
        <stp>FY 2012</stp>
        <stp>[FA1_ymffleas.xlsx]Income - GAAP!R101C5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101" s="10"/>
      </tp>
      <tp>
        <v>46320</v>
        <stp/>
        <stp>##V3_BDHV12</stp>
        <stp>RCOM IN Equity</stp>
        <stp>EBITA</stp>
        <stp>FY 2011</stp>
        <stp>FY 2011</stp>
        <stp>[FA1_ymffleas.xlsx]Income - GAAP!R101C4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101" s="10"/>
      </tp>
      <tp t="s">
        <v>—</v>
        <stp/>
        <stp>##V3_BDHV12</stp>
        <stp>RCOM IN Equity</stp>
        <stp>EBITA</stp>
        <stp>FY 2014</stp>
        <stp>FY 2014</stp>
        <stp>[FA1_ymffleas.xlsx]Income - GAAP!R101C7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101" s="10"/>
      </tp>
      <tp>
        <v>8.7117000000000004</v>
        <stp/>
        <stp>##V3_BDHV12</stp>
        <stp>RCOM IN Equity</stp>
        <stp>EFF_TAX_RATE</stp>
        <stp>FY 2013</stp>
        <stp>FY 2013</stp>
        <stp>[FA1_ymffleas.xlsx]Profitability!R22C7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2" s="21"/>
      </tp>
      <tp>
        <v>40330</v>
        <stp/>
        <stp>##V3_BDHV12</stp>
        <stp>RCOM IN Equity</stp>
        <stp>EBITA</stp>
        <stp>FY 2013</stp>
        <stp>FY 2013</stp>
        <stp>[FA1_ymffleas.xlsx]Income - GAAP!R101C6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101" s="10"/>
      </tp>
      <tp>
        <v>48680</v>
        <stp/>
        <stp>##V3_BDHV12</stp>
        <stp>RCOM IN Equity</stp>
        <stp>BS_ACCT_PAYABLE</stp>
        <stp>FY 2018</stp>
        <stp>FY 2018</stp>
        <stp>[FA1_ymffleas.xlsx]Bal Sheet - Standardized!R77C12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7" s="16"/>
      </tp>
      <tp>
        <v>57750</v>
        <stp/>
        <stp>##V3_BDHV12</stp>
        <stp>RCOM IN Equity</stp>
        <stp>BS_ACCT_PAYABLE</stp>
        <stp>FY 2016</stp>
        <stp>FY 2016</stp>
        <stp>[FA1_ymffleas.xlsx]Bal Sheet - Standardized!R77C10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7" s="16"/>
      </tp>
      <tp>
        <v>47460</v>
        <stp/>
        <stp>##V3_BDHV12</stp>
        <stp>RCOM IN Equity</stp>
        <stp>BS_ACCT_PAYABLE</stp>
        <stp>FY 2017</stp>
        <stp>FY 2017</stp>
        <stp>[FA1_ymffleas.xlsx]Bal Sheet - Standardized!R77C11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7" s="16"/>
      </tp>
      <tp>
        <v>7140</v>
        <stp/>
        <stp>##V3_BDHV12</stp>
        <stp>RCOM IN Equity</stp>
        <stp>ARDR_WTD_AVG_NUM_POTEN_DIL_SH</stp>
        <stp>FY 2015</stp>
        <stp>FY 2015</stp>
        <stp>[FA1_ymffleas.xlsx]Income - As Reported!R111C9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1" s="11"/>
      </tp>
      <tp>
        <v>10470</v>
        <stp/>
        <stp>##V3_BDHV12</stp>
        <stp>RCOM IN Equity</stp>
        <stp>ARDR_WTD_AVG_NUM_POTEN_DIL_SH</stp>
        <stp>FY 2014</stp>
        <stp>FY 2014</stp>
        <stp>[FA1_ymffleas.xlsx]Income - As Reported!R111C8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1" s="11"/>
      </tp>
      <tp>
        <v>60449.3</v>
        <stp/>
        <stp>##V3_BDHV12</stp>
        <stp>RCOM IN Equity</stp>
        <stp>ARDR_WTD_AVG_NUM_POTEN_DIL_SH</stp>
        <stp>FY 2009</stp>
        <stp>FY 2009</stp>
        <stp>[FA1_ymffleas.xlsx]Income - As Reported!R111C3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1" s="11"/>
      </tp>
      <tp>
        <v>13460</v>
        <stp/>
        <stp>##V3_BDHV12</stp>
        <stp>RCOM IN Equity</stp>
        <stp>ARDR_WTD_AVG_NUM_POTEN_DIL_SH</stp>
        <stp>FY 2011</stp>
        <stp>FY 2011</stp>
        <stp>[FA1_ymffleas.xlsx]Income - As Reported!R111C5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1" s="11"/>
      </tp>
      <tp>
        <v>46550</v>
        <stp/>
        <stp>##V3_BDHV12</stp>
        <stp>RCOM IN Equity</stp>
        <stp>ARDR_WTD_AVG_NUM_POTEN_DIL_SH</stp>
        <stp>FY 2010</stp>
        <stp>FY 2010</stp>
        <stp>[FA1_ymffleas.xlsx]Income - As Reported!R111C4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1" s="11"/>
      </tp>
      <tp>
        <v>6720</v>
        <stp/>
        <stp>##V3_BDHV12</stp>
        <stp>RCOM IN Equity</stp>
        <stp>ARDR_WTD_AVG_NUM_POTEN_DIL_SH</stp>
        <stp>FY 2013</stp>
        <stp>FY 2013</stp>
        <stp>[FA1_ymffleas.xlsx]Income - As Reported!R111C7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1" s="11"/>
      </tp>
      <tp>
        <v>9280</v>
        <stp/>
        <stp>##V3_BDHV12</stp>
        <stp>RCOM IN Equity</stp>
        <stp>ARDR_WTD_AVG_NUM_POTEN_DIL_SH</stp>
        <stp>FY 2012</stp>
        <stp>FY 2012</stp>
        <stp>[FA1_ymffleas.xlsx]Income - As Reported!R111C6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1" s="11"/>
      </tp>
      <tp t="s">
        <v>—</v>
        <stp/>
        <stp>##V3_BDHV12</stp>
        <stp>RCOM IN Equity</stp>
        <stp>ACCOUNTS_PAYABLE_TURNOVER_DAYS</stp>
        <stp>FY 2015</stp>
        <stp>FY 2015</stp>
        <stp>[FA1_ymffleas.xlsx]Working Capital!R11C9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1" s="25"/>
      </tp>
      <tp t="s">
        <v>—</v>
        <stp/>
        <stp>##V3_BDHV12</stp>
        <stp>RCOM IN Equity</stp>
        <stp>ARD_DEBT_FIN_ISSUANCE_COSTS</stp>
        <stp>FY 2016</stp>
        <stp>FY 2016</stp>
        <stp>[FA1_ymffleas.xlsx]Cash Flow - As Reported!R59C10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9" s="20"/>
      </tp>
      <tp t="s">
        <v>—</v>
        <stp/>
        <stp>##V3_BDHV12</stp>
        <stp>RCOM IN Equity</stp>
        <stp>ARD_DEBT_FIN_ISSUANCE_COSTS</stp>
        <stp>FY 2017</stp>
        <stp>FY 2017</stp>
        <stp>[FA1_ymffleas.xlsx]Cash Flow - As Reported!R59C11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9" s="20"/>
      </tp>
      <tp t="s">
        <v>—</v>
        <stp/>
        <stp>##V3_BDHV12</stp>
        <stp>RCOM IN Equity</stp>
        <stp>ARD_DEBT_FIN_ISSUANCE_COSTS</stp>
        <stp>FY 2018</stp>
        <stp>FY 2018</stp>
        <stp>[FA1_ymffleas.xlsx]Cash Flow - As Reported!R59C12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9" s="20"/>
      </tp>
      <tp>
        <v>28.2621</v>
        <stp/>
        <stp>##V3_BDHV12</stp>
        <stp>RCOM IN Equity</stp>
        <stp>BASIC_EPS_EX_STK_BASED_COMP</stp>
        <stp>FY 2009</stp>
        <stp>FY 2009</stp>
        <stp>[FA1_ymffleas.xlsx]SBC &amp; Amort!R7C3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" s="13"/>
      </tp>
      <tp>
        <v>22.841899999999999</v>
        <stp/>
        <stp>##V3_BDHV12</stp>
        <stp>RCOM IN Equity</stp>
        <stp>BASIC_EPS_EX_STK_BASED_COMP</stp>
        <stp>FY 2010</stp>
        <stp>FY 2010</stp>
        <stp>[FA1_ymffleas.xlsx]SBC &amp; Amort!R7C4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" s="13"/>
      </tp>
      <tp>
        <v>5.2237</v>
        <stp/>
        <stp>##V3_BDHV12</stp>
        <stp>RCOM IN Equity</stp>
        <stp>BASIC_EPS_EX_STK_BASED_COMP</stp>
        <stp>FY 2011</stp>
        <stp>FY 2011</stp>
        <stp>[FA1_ymffleas.xlsx]SBC &amp; Amort!R7C5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" s="13"/>
      </tp>
      <tp>
        <v>5.5923999999999996</v>
        <stp/>
        <stp>##V3_BDHV12</stp>
        <stp>RCOM IN Equity</stp>
        <stp>BASIC_EPS_EX_STK_BASED_COMP</stp>
        <stp>FY 2012</stp>
        <stp>FY 2012</stp>
        <stp>[FA1_ymffleas.xlsx]SBC &amp; Amort!R7C6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" s="13"/>
      </tp>
      <tp>
        <v>3.2397999999999998</v>
        <stp/>
        <stp>##V3_BDHV12</stp>
        <stp>RCOM IN Equity</stp>
        <stp>BASIC_EPS_EX_STK_BASED_COMP</stp>
        <stp>FY 2013</stp>
        <stp>FY 2013</stp>
        <stp>[FA1_ymffleas.xlsx]SBC &amp; Amort!R7C7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" s="13"/>
      </tp>
      <tp>
        <v>5.1045999999999996</v>
        <stp/>
        <stp>##V3_BDHV12</stp>
        <stp>RCOM IN Equity</stp>
        <stp>BASIC_EPS_EX_STK_BASED_COMP</stp>
        <stp>FY 2014</stp>
        <stp>FY 2014</stp>
        <stp>[FA1_ymffleas.xlsx]SBC &amp; Amort!R7C8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" s="13"/>
      </tp>
      <tp t="s">
        <v>—</v>
        <stp/>
        <stp>##V3_BDHV12</stp>
        <stp>RCOM IN Equity</stp>
        <stp>ARDR_BASIC_EPS</stp>
        <stp>FY 2018</stp>
        <stp>FY 2018</stp>
        <stp>[FA1_ymffleas.xlsx]Income - As Reported!R80C12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0" s="11"/>
      </tp>
      <tp>
        <v>2.964</v>
        <stp/>
        <stp>##V3_BDHV12</stp>
        <stp>RCOM IN Equity</stp>
        <stp>BASIC_EPS_EX_STK_BASED_COMP</stp>
        <stp>FY 2015</stp>
        <stp>FY 2015</stp>
        <stp>[FA1_ymffleas.xlsx]SBC &amp; Amort!R7C9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" s="13"/>
      </tp>
      <tp>
        <v>2.59</v>
        <stp/>
        <stp>##V3_BDHV12</stp>
        <stp>RCOM IN Equity</stp>
        <stp>ARDR_BASIC_EPS</stp>
        <stp>FY 2016</stp>
        <stp>FY 2016</stp>
        <stp>[FA1_ymffleas.xlsx]Income - As Reported!R80C10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0" s="11"/>
      </tp>
      <tp t="s">
        <v>—</v>
        <stp/>
        <stp>##V3_BDHV12</stp>
        <stp>RCOM IN Equity</stp>
        <stp>ARDR_BASIC_EPS</stp>
        <stp>FY 2017</stp>
        <stp>FY 2017</stp>
        <stp>[FA1_ymffleas.xlsx]Income - As Reported!R80C11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0" s="11"/>
      </tp>
      <tp t="s">
        <v>—</v>
        <stp/>
        <stp>##V3_BDHV12</stp>
        <stp>RCOM IN Equity</stp>
        <stp>ARDR_DIVIDEND_INCOME</stp>
        <stp>FY 2014</stp>
        <stp>FY 2014</stp>
        <stp>[FA1_ymffleas.xlsx]Income - As Reported!R90C8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0" s="11"/>
      </tp>
      <tp t="s">
        <v>—</v>
        <stp/>
        <stp>##V3_BDHV12</stp>
        <stp>RCOM IN Equity</stp>
        <stp>ARDR_DIVIDEND_INCOME</stp>
        <stp>FY 2015</stp>
        <stp>FY 2015</stp>
        <stp>[FA1_ymffleas.xlsx]Income - As Reported!R90C9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0" s="11"/>
      </tp>
      <tp>
        <v>-163</v>
        <stp/>
        <stp>##V3_BDHV12</stp>
        <stp>RCOM IN Equity</stp>
        <stp>ARDR_DIVIDEND_INCOME</stp>
        <stp>FY 2009</stp>
        <stp>FY 2009</stp>
        <stp>[FA1_ymffleas.xlsx]Income - As Reported!R90C3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0" s="11"/>
      </tp>
      <tp>
        <v>0</v>
        <stp/>
        <stp>##V3_BDHV12</stp>
        <stp>RCOM IN Equity</stp>
        <stp>ARDR_DIVIDEND_INCOME</stp>
        <stp>FY 2012</stp>
        <stp>FY 2012</stp>
        <stp>[FA1_ymffleas.xlsx]Income - As Reported!R90C6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0" s="11"/>
      </tp>
      <tp>
        <v>0</v>
        <stp/>
        <stp>##V3_BDHV12</stp>
        <stp>RCOM IN Equity</stp>
        <stp>ARDR_DIVIDEND_INCOME</stp>
        <stp>FY 2013</stp>
        <stp>FY 2013</stp>
        <stp>[FA1_ymffleas.xlsx]Income - As Reported!R90C7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0" s="11"/>
      </tp>
      <tp>
        <v>-0.6</v>
        <stp/>
        <stp>##V3_BDHV12</stp>
        <stp>RCOM IN Equity</stp>
        <stp>ARDR_DIVIDEND_INCOME</stp>
        <stp>FY 2010</stp>
        <stp>FY 2010</stp>
        <stp>[FA1_ymffleas.xlsx]Income - As Reported!R90C4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0" s="11"/>
      </tp>
      <tp>
        <v>0</v>
        <stp/>
        <stp>##V3_BDHV12</stp>
        <stp>RCOM IN Equity</stp>
        <stp>ARDR_DIVIDEND_INCOME</stp>
        <stp>FY 2011</stp>
        <stp>FY 2011</stp>
        <stp>[FA1_ymffleas.xlsx]Income - As Reported!R90C5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0" s="11"/>
      </tp>
      <tp>
        <v>-24.9527</v>
        <stp/>
        <stp>##V3_BDHV12</stp>
        <stp>RCOM IN Equity</stp>
        <stp>GEO_GROW_NET_SALES</stp>
        <stp>FY 2018</stp>
        <stp>FY 2018</stp>
        <stp>[FA1_ymffleas.xlsx]Growth!R36C12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36" s="22"/>
      </tp>
      <tp>
        <v>-43640</v>
        <stp/>
        <stp>##V3_BDHV12</stp>
        <stp>RCOM IN Equity</stp>
        <stp>NET_CHANGE_LIABILITIES</stp>
        <stp>FY 2015</stp>
        <stp>FY 2015</stp>
        <stp>[FA1_ymffleas.xlsx]Sources of Capital!R9C9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" s="32"/>
      </tp>
      <tp>
        <v>15930</v>
        <stp/>
        <stp>##V3_BDHV12</stp>
        <stp>RCOM IN Equity</stp>
        <stp>NET_CHANGE_LIABILITIES</stp>
        <stp>FY 2014</stp>
        <stp>FY 2014</stp>
        <stp>[FA1_ymffleas.xlsx]Sources of Capital!R9C8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" s="32"/>
      </tp>
      <tp>
        <v>48504</v>
        <stp/>
        <stp>##V3_BDHV12</stp>
        <stp>RCOM IN Equity</stp>
        <stp>NET_CHANGE_LIABILITIES</stp>
        <stp>FY 2011</stp>
        <stp>FY 2011</stp>
        <stp>[FA1_ymffleas.xlsx]Sources of Capital!R9C5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" s="32"/>
      </tp>
      <tp>
        <v>-107221.5</v>
        <stp/>
        <stp>##V3_BDHV12</stp>
        <stp>RCOM IN Equity</stp>
        <stp>NET_CHANGE_LIABILITIES</stp>
        <stp>FY 2010</stp>
        <stp>FY 2010</stp>
        <stp>[FA1_ymffleas.xlsx]Sources of Capital!R9C4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" s="32"/>
      </tp>
      <tp>
        <v>4980</v>
        <stp/>
        <stp>##V3_BDHV12</stp>
        <stp>RCOM IN Equity</stp>
        <stp>NET_CHANGE_LIABILITIES</stp>
        <stp>FY 2013</stp>
        <stp>FY 2013</stp>
        <stp>[FA1_ymffleas.xlsx]Sources of Capital!R9C7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" s="32"/>
      </tp>
      <tp>
        <v>17090</v>
        <stp/>
        <stp>##V3_BDHV12</stp>
        <stp>RCOM IN Equity</stp>
        <stp>NET_CHANGE_LIABILITIES</stp>
        <stp>FY 2012</stp>
        <stp>FY 2012</stp>
        <stp>[FA1_ymffleas.xlsx]Sources of Capital!R9C6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" s="32"/>
      </tp>
      <tp>
        <v>132696.70000000001</v>
        <stp/>
        <stp>##V3_BDHV12</stp>
        <stp>RCOM IN Equity</stp>
        <stp>NET_CHANGE_LIABILITIES</stp>
        <stp>FY 2009</stp>
        <stp>FY 2009</stp>
        <stp>[FA1_ymffleas.xlsx]Sources of Capital!R9C3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" s="32"/>
      </tp>
      <tp>
        <v>9.6059999999999999</v>
        <stp/>
        <stp>##V3_BDHV12</stp>
        <stp>RCOM IN Equity</stp>
        <stp>HIGH_EV_TO_T12M_EBITDA</stp>
        <stp>FY 2011</stp>
        <stp>FY 2011</stp>
        <stp>[FA1_ymffleas.xlsx]Multiples!R43C4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43" s="6"/>
      </tp>
      <tp>
        <v>0</v>
        <stp/>
        <stp>##V3_BDHV12</stp>
        <stp>RCOM IN Equity</stp>
        <stp>CF_DVD_PAID</stp>
        <stp>FY 2018</stp>
        <stp>FY 2018</stp>
        <stp>[FA1_ymffleas.xlsx]Dividend Summary!R11C12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" s="31"/>
      </tp>
      <tp>
        <v>-20</v>
        <stp/>
        <stp>##V3_BDHV12</stp>
        <stp>RCOM IN Equity</stp>
        <stp>CF_DVD_PAID</stp>
        <stp>FY 2017</stp>
        <stp>FY 2017</stp>
        <stp>[FA1_ymffleas.xlsx]Dividend Summary!R11C11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" s="31"/>
      </tp>
      <tp>
        <v>-20</v>
        <stp/>
        <stp>##V3_BDHV12</stp>
        <stp>RCOM IN Equity</stp>
        <stp>CF_DVD_PAID</stp>
        <stp>FY 2016</stp>
        <stp>FY 2016</stp>
        <stp>[FA1_ymffleas.xlsx]Dividend Summary!R11C10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" s="31"/>
      </tp>
      <tp t="s">
        <v>—</v>
        <stp/>
        <stp>##V3_BDHV12</stp>
        <stp>RCOM IN Equity</stp>
        <stp>ARD_DIV_INCOME</stp>
        <stp>FY 2018</stp>
        <stp>FY 2018</stp>
        <stp>[FA1_ymffleas.xlsx]Cash Flow - As Reported!R29C12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9" s="20"/>
      </tp>
      <tp t="s">
        <v>—</v>
        <stp/>
        <stp>##V3_BDHV12</stp>
        <stp>RCOM IN Equity</stp>
        <stp>ARD_DIV_INCOME</stp>
        <stp>FY 2016</stp>
        <stp>FY 2016</stp>
        <stp>[FA1_ymffleas.xlsx]Cash Flow - As Reported!R29C10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9" s="20"/>
      </tp>
      <tp t="s">
        <v>—</v>
        <stp/>
        <stp>##V3_BDHV12</stp>
        <stp>RCOM IN Equity</stp>
        <stp>ARD_DIV_INCOME</stp>
        <stp>FY 2017</stp>
        <stp>FY 2017</stp>
        <stp>[FA1_ymffleas.xlsx]Cash Flow - As Reported!R29C11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9" s="20"/>
      </tp>
      <tp>
        <v>234390</v>
        <stp/>
        <stp>##V3_BDHV12</stp>
        <stp>RCOM IN Equity</stp>
        <stp>ARD_TOTAL_CURRENT_LIABILITIES</stp>
        <stp>FY 2013</stp>
        <stp>FY 2013</stp>
        <stp>[FA1_ymffleas.xlsx]Bal Sheet - As Reported!R22C7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2" s="17"/>
      </tp>
      <tp>
        <v>224040</v>
        <stp/>
        <stp>##V3_BDHV12</stp>
        <stp>RCOM IN Equity</stp>
        <stp>ARD_TOTAL_CURRENT_LIABILITIES</stp>
        <stp>FY 2012</stp>
        <stp>FY 2012</stp>
        <stp>[FA1_ymffleas.xlsx]Bal Sheet - As Reported!R22C6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2" s="17"/>
      </tp>
      <tp>
        <v>323020</v>
        <stp/>
        <stp>##V3_BDHV12</stp>
        <stp>RCOM IN Equity</stp>
        <stp>ARD_TOTAL_CURRENT_LIABILITIES</stp>
        <stp>FY 2011</stp>
        <stp>FY 2011</stp>
        <stp>[FA1_ymffleas.xlsx]Bal Sheet - As Reported!R22C5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2" s="17"/>
      </tp>
      <tp t="s">
        <v>—</v>
        <stp/>
        <stp>##V3_BDHV12</stp>
        <stp>RCOM IN Equity</stp>
        <stp>ARD_TOTAL_CURRENT_LIABILITIES</stp>
        <stp>FY 2010</stp>
        <stp>FY 2010</stp>
        <stp>[FA1_ymffleas.xlsx]Bal Sheet - As Reported!R22C4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2" s="17"/>
      </tp>
      <tp t="s">
        <v>—</v>
        <stp/>
        <stp>##V3_BDHV12</stp>
        <stp>RCOM IN Equity</stp>
        <stp>ARD_TOTAL_CURRENT_LIABILITIES</stp>
        <stp>FY 2009</stp>
        <stp>FY 2009</stp>
        <stp>[FA1_ymffleas.xlsx]Bal Sheet - As Reported!R22C3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2" s="17"/>
      </tp>
      <tp>
        <v>209230</v>
        <stp/>
        <stp>##V3_BDHV12</stp>
        <stp>RCOM IN Equity</stp>
        <stp>ARD_TOTAL_CURRENT_LIABILITIES</stp>
        <stp>FY 2015</stp>
        <stp>FY 2015</stp>
        <stp>[FA1_ymffleas.xlsx]Bal Sheet - As Reported!R22C9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2" s="17"/>
      </tp>
      <tp>
        <v>255380</v>
        <stp/>
        <stp>##V3_BDHV12</stp>
        <stp>RCOM IN Equity</stp>
        <stp>ARD_TOTAL_CURRENT_LIABILITIES</stp>
        <stp>FY 2014</stp>
        <stp>FY 2014</stp>
        <stp>[FA1_ymffleas.xlsx]Bal Sheet - As Reported!R22C8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2" s="17"/>
      </tp>
      <tp t="s">
        <v>—</v>
        <stp/>
        <stp>##V3_BDHV12</stp>
        <stp>RCOM IN Equity</stp>
        <stp>EFF_TAX_RATE</stp>
        <stp>FY 2012</stp>
        <stp>FY 2012</stp>
        <stp>[FA1_ymffleas.xlsx]Profitability!R22C6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2" s="21"/>
      </tp>
      <tp>
        <v>211090</v>
        <stp/>
        <stp>##V3_BDHV12</stp>
        <stp>RCOM IN Equity</stp>
        <stp>ARDR_BANK_LOANS_NONCURRENT</stp>
        <stp>FY 2016</stp>
        <stp>FY 2016</stp>
        <stp>[FA1_ymffleas.xlsx]Bal Sheet - As Reported!R137C10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7" s="17"/>
      </tp>
      <tp>
        <v>142160</v>
        <stp/>
        <stp>##V3_BDHV12</stp>
        <stp>RCOM IN Equity</stp>
        <stp>ARDR_BANK_LOANS_NONCURRENT</stp>
        <stp>FY 2017</stp>
        <stp>FY 2017</stp>
        <stp>[FA1_ymffleas.xlsx]Bal Sheet - As Reported!R137C11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7" s="17"/>
      </tp>
      <tp>
        <v>46070</v>
        <stp/>
        <stp>##V3_BDHV12</stp>
        <stp>RCOM IN Equity</stp>
        <stp>ARDR_BANK_LOANS_NONCURRENT</stp>
        <stp>FY 2018</stp>
        <stp>FY 2018</stp>
        <stp>[FA1_ymffleas.xlsx]Bal Sheet - As Reported!R137C12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7" s="17"/>
      </tp>
      <tp t="s">
        <v>—</v>
        <stp/>
        <stp>##V3_BDHV12</stp>
        <stp>RCOM IN Equity</stp>
        <stp>ARD_TOTAL_CUR_ASSETS</stp>
        <stp>FY 2009</stp>
        <stp>FY 2009</stp>
        <stp>[FA1_ymffleas.xlsx]As Reported Summary!R16C3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" s="30"/>
      </tp>
      <tp>
        <v>125450</v>
        <stp/>
        <stp>##V3_BDHV12</stp>
        <stp>RCOM IN Equity</stp>
        <stp>ARD_TOTAL_CUR_ASSETS</stp>
        <stp>FY 2012</stp>
        <stp>FY 2012</stp>
        <stp>[FA1_ymffleas.xlsx]As Reported Summary!R16C6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" s="30"/>
      </tp>
      <tp>
        <v>122610</v>
        <stp/>
        <stp>##V3_BDHV12</stp>
        <stp>RCOM IN Equity</stp>
        <stp>ARD_TOTAL_CUR_ASSETS</stp>
        <stp>FY 2013</stp>
        <stp>FY 2013</stp>
        <stp>[FA1_ymffleas.xlsx]As Reported Summary!R16C7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" s="30"/>
      </tp>
      <tp t="s">
        <v>—</v>
        <stp/>
        <stp>##V3_BDHV12</stp>
        <stp>RCOM IN Equity</stp>
        <stp>ARD_TOTAL_CUR_ASSETS</stp>
        <stp>FY 2010</stp>
        <stp>FY 2010</stp>
        <stp>[FA1_ymffleas.xlsx]As Reported Summary!R16C4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" s="30"/>
      </tp>
      <tp>
        <v>164480</v>
        <stp/>
        <stp>##V3_BDHV12</stp>
        <stp>RCOM IN Equity</stp>
        <stp>ARD_TOTAL_CUR_ASSETS</stp>
        <stp>FY 2011</stp>
        <stp>FY 2011</stp>
        <stp>[FA1_ymffleas.xlsx]As Reported Summary!R16C5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" s="30"/>
      </tp>
      <tp>
        <v>133770</v>
        <stp/>
        <stp>##V3_BDHV12</stp>
        <stp>RCOM IN Equity</stp>
        <stp>ARD_TOTAL_CUR_ASSETS</stp>
        <stp>FY 2014</stp>
        <stp>FY 2014</stp>
        <stp>[FA1_ymffleas.xlsx]As Reported Summary!R16C8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" s="30"/>
      </tp>
      <tp>
        <v>187900</v>
        <stp/>
        <stp>##V3_BDHV12</stp>
        <stp>RCOM IN Equity</stp>
        <stp>ARD_TOTAL_CUR_ASSETS</stp>
        <stp>FY 2015</stp>
        <stp>FY 2015</stp>
        <stp>[FA1_ymffleas.xlsx]As Reported Summary!R16C9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" s="30"/>
      </tp>
      <tp t="s">
        <v>—</v>
        <stp/>
        <stp>##V3_BDHV12</stp>
        <stp>RCOM IN Equity</stp>
        <stp>ARDR_AMORT_OF_INTANGIBLE_ASSETS</stp>
        <stp>FY 2016</stp>
        <stp>FY 2016</stp>
        <stp>[FA1_ymffleas.xlsx]Income - As Reported!R92C10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2" s="11"/>
      </tp>
      <tp t="s">
        <v>—</v>
        <stp/>
        <stp>##V3_BDHV12</stp>
        <stp>RCOM IN Equity</stp>
        <stp>ARDR_AMORT_OF_INTANGIBLE_ASSETS</stp>
        <stp>FY 2017</stp>
        <stp>FY 2017</stp>
        <stp>[FA1_ymffleas.xlsx]Income - As Reported!R92C11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2" s="11"/>
      </tp>
      <tp t="s">
        <v>—</v>
        <stp/>
        <stp>##V3_BDHV12</stp>
        <stp>RCOM IN Equity</stp>
        <stp>ARDR_AMORT_OF_INTANGIBLE_ASSETS</stp>
        <stp>FY 2018</stp>
        <stp>FY 2018</stp>
        <stp>[FA1_ymffleas.xlsx]Income - As Reported!R92C12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2" s="11"/>
      </tp>
      <tp t="s">
        <v>—</v>
        <stp/>
        <stp>##V3_BDHV12</stp>
        <stp>RCOM IN Equity</stp>
        <stp>ARD_DVD_PAID_INCLUDING_DIV_TAX</stp>
        <stp>FY 2018</stp>
        <stp>FY 2018</stp>
        <stp>[FA1_ymffleas.xlsx]Cash Flow - As Reported!R65C12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5" s="20"/>
      </tp>
      <tp t="s">
        <v>—</v>
        <stp/>
        <stp>##V3_BDHV12</stp>
        <stp>RCOM IN Equity</stp>
        <stp>ARD_DVD_PAID_INCLUDING_DIV_TAX</stp>
        <stp>FY 2017</stp>
        <stp>FY 2017</stp>
        <stp>[FA1_ymffleas.xlsx]Cash Flow - As Reported!R65C11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5" s="20"/>
      </tp>
      <tp t="s">
        <v>—</v>
        <stp/>
        <stp>##V3_BDHV12</stp>
        <stp>RCOM IN Equity</stp>
        <stp>ARD_DVD_PAID_INCLUDING_DIV_TAX</stp>
        <stp>FY 2016</stp>
        <stp>FY 2016</stp>
        <stp>[FA1_ymffleas.xlsx]Cash Flow - As Reported!R65C10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5" s="20"/>
      </tp>
      <tp>
        <v>183770</v>
        <stp/>
        <stp>##V3_BDHV12</stp>
        <stp>RCOM IN Equity</stp>
        <stp>IS_OPERATING_EXPN</stp>
        <stp>FY 2015</stp>
        <stp>FY 2015</stp>
        <stp>[FA1_ymffleas.xlsx]Income - Adjusted!R19C8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9" s="9"/>
      </tp>
      <tp>
        <v>191620</v>
        <stp/>
        <stp>##V3_BDHV12</stp>
        <stp>RCOM IN Equity</stp>
        <stp>IS_OPERATING_EXPN</stp>
        <stp>FY 2016</stp>
        <stp>FY 2016</stp>
        <stp>[FA1_ymffleas.xlsx]Income - Adjusted!R19C9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9" s="9"/>
      </tp>
      <tp>
        <v>205589.2</v>
        <stp/>
        <stp>##V3_BDHV12</stp>
        <stp>RCOM IN Equity</stp>
        <stp>IS_OPERATING_EXPN</stp>
        <stp>FY 2011</stp>
        <stp>FY 2011</stp>
        <stp>[FA1_ymffleas.xlsx]Income - Adjusted!R19C4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9" s="9"/>
      </tp>
      <tp>
        <v>174900</v>
        <stp/>
        <stp>##V3_BDHV12</stp>
        <stp>RCOM IN Equity</stp>
        <stp>IS_OPERATING_EXPN</stp>
        <stp>FY 2012</stp>
        <stp>FY 2012</stp>
        <stp>[FA1_ymffleas.xlsx]Income - Adjusted!R19C5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9" s="9"/>
      </tp>
      <tp>
        <v>184350</v>
        <stp/>
        <stp>##V3_BDHV12</stp>
        <stp>RCOM IN Equity</stp>
        <stp>IS_OPERATING_EXPN</stp>
        <stp>FY 2013</stp>
        <stp>FY 2013</stp>
        <stp>[FA1_ymffleas.xlsx]Income - Adjusted!R19C6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9" s="9"/>
      </tp>
      <tp>
        <v>190470</v>
        <stp/>
        <stp>##V3_BDHV12</stp>
        <stp>RCOM IN Equity</stp>
        <stp>IS_OPERATING_EXPN</stp>
        <stp>FY 2014</stp>
        <stp>FY 2014</stp>
        <stp>[FA1_ymffleas.xlsx]Income - Adjusted!R19C7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9" s="9"/>
      </tp>
      <tp>
        <v>179473.9</v>
        <stp/>
        <stp>##V3_BDHV12</stp>
        <stp>RCOM IN Equity</stp>
        <stp>IS_OPERATING_EXPN</stp>
        <stp>FY 2010</stp>
        <stp>FY 2010</stp>
        <stp>[FA1_ymffleas.xlsx]Income - Adjusted!R19C3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9" s="9"/>
      </tp>
      <tp>
        <v>22360</v>
        <stp/>
        <stp>##V3_BDHV12</stp>
        <stp>RCOM IN Equity</stp>
        <stp>ARDR_ALLOW_FOR_DOUBTFUL_ACCTS</stp>
        <stp>FY 2018</stp>
        <stp>FY 2018</stp>
        <stp>[FA1_ymffleas.xlsx]Bal Sheet - As Reported!R110C12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0" s="17"/>
      </tp>
      <tp>
        <v>21430</v>
        <stp/>
        <stp>##V3_BDHV12</stp>
        <stp>RCOM IN Equity</stp>
        <stp>ARDR_ALLOW_FOR_DOUBTFUL_ACCTS</stp>
        <stp>FY 2017</stp>
        <stp>FY 2017</stp>
        <stp>[FA1_ymffleas.xlsx]Bal Sheet - As Reported!R110C11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0" s="17"/>
      </tp>
      <tp>
        <v>24160</v>
        <stp/>
        <stp>##V3_BDHV12</stp>
        <stp>RCOM IN Equity</stp>
        <stp>ARDR_ALLOW_FOR_DOUBTFUL_ACCTS</stp>
        <stp>FY 2016</stp>
        <stp>FY 2016</stp>
        <stp>[FA1_ymffleas.xlsx]Bal Sheet - As Reported!R110C10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0" s="17"/>
      </tp>
      <tp t="s">
        <v>—</v>
        <stp/>
        <stp>##V3_BDHV12</stp>
        <stp>RCOM IN Equity</stp>
        <stp>ACCOUNTS_PAYABLE_TURNOVER_DAYS</stp>
        <stp>FY 2014</stp>
        <stp>FY 2014</stp>
        <stp>[FA1_ymffleas.xlsx]Working Capital!R11C8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1" s="25"/>
      </tp>
      <tp>
        <v>2064.0268999999998</v>
        <stp/>
        <stp>##V3_BDHV12</stp>
        <stp>RCOM IN Equity</stp>
        <stp>IS_AVG_NUM_SH_FOR_EPS</stp>
        <stp>FY 2013</stp>
        <stp>FY 2013</stp>
        <stp>[FA1_ymffleas.xlsx]Income - Adjusted!R109C6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09" s="9"/>
      </tp>
      <tp>
        <v>2064.0268999999998</v>
        <stp/>
        <stp>##V3_BDHV12</stp>
        <stp>RCOM IN Equity</stp>
        <stp>IS_AVG_NUM_SH_FOR_EPS</stp>
        <stp>FY 2014</stp>
        <stp>FY 2014</stp>
        <stp>[FA1_ymffleas.xlsx]Income - Adjusted!R109C7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09" s="9"/>
      </tp>
      <tp>
        <v>-25290</v>
        <stp/>
        <stp>##V3_BDHV12</stp>
        <stp>RCOM IN Equity</stp>
        <stp>ARD_DECR_IN_LT_BORROW</stp>
        <stp>FY 2013</stp>
        <stp>FY 2013</stp>
        <stp>[FA1_ymffleas.xlsx]Cash Flow - As Reported!R56C7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6" s="20"/>
      </tp>
      <tp>
        <v>-88610</v>
        <stp/>
        <stp>##V3_BDHV12</stp>
        <stp>RCOM IN Equity</stp>
        <stp>ARD_DECR_IN_LT_BORROW</stp>
        <stp>FY 2012</stp>
        <stp>FY 2012</stp>
        <stp>[FA1_ymffleas.xlsx]Cash Flow - As Reported!R56C6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6" s="20"/>
      </tp>
      <tp>
        <v>-21390</v>
        <stp/>
        <stp>##V3_BDHV12</stp>
        <stp>RCOM IN Equity</stp>
        <stp>ARD_DECR_IN_LT_BORROW</stp>
        <stp>FY 2011</stp>
        <stp>FY 2011</stp>
        <stp>[FA1_ymffleas.xlsx]Cash Flow - As Reported!R56C5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6" s="20"/>
      </tp>
      <tp>
        <v>-63946.6</v>
        <stp/>
        <stp>##V3_BDHV12</stp>
        <stp>RCOM IN Equity</stp>
        <stp>ARD_DECR_IN_LT_BORROW</stp>
        <stp>FY 2010</stp>
        <stp>FY 2010</stp>
        <stp>[FA1_ymffleas.xlsx]Cash Flow - As Reported!R56C4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6" s="20"/>
      </tp>
      <tp>
        <v>-14256.2</v>
        <stp/>
        <stp>##V3_BDHV12</stp>
        <stp>RCOM IN Equity</stp>
        <stp>ARD_DECR_IN_LT_BORROW</stp>
        <stp>FY 2009</stp>
        <stp>FY 2009</stp>
        <stp>[FA1_ymffleas.xlsx]Cash Flow - As Reported!R56C3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6" s="20"/>
      </tp>
      <tp>
        <v>-53640</v>
        <stp/>
        <stp>##V3_BDHV12</stp>
        <stp>RCOM IN Equity</stp>
        <stp>ARD_DECR_IN_LT_BORROW</stp>
        <stp>FY 2015</stp>
        <stp>FY 2015</stp>
        <stp>[FA1_ymffleas.xlsx]Cash Flow - As Reported!R56C9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6" s="20"/>
      </tp>
      <tp>
        <v>-39950</v>
        <stp/>
        <stp>##V3_BDHV12</stp>
        <stp>RCOM IN Equity</stp>
        <stp>ARD_DECR_IN_LT_BORROW</stp>
        <stp>FY 2014</stp>
        <stp>FY 2014</stp>
        <stp>[FA1_ymffleas.xlsx]Cash Flow - As Reported!R56C8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6" s="20"/>
      </tp>
      <tp>
        <v>2064.0268999999998</v>
        <stp/>
        <stp>##V3_BDHV12</stp>
        <stp>RCOM IN Equity</stp>
        <stp>IS_AVG_NUM_SH_FOR_EPS</stp>
        <stp>FY 2011</stp>
        <stp>FY 2011</stp>
        <stp>[FA1_ymffleas.xlsx]Income - Adjusted!R109C4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09" s="9"/>
      </tp>
      <tp>
        <v>2064.0268999999998</v>
        <stp/>
        <stp>##V3_BDHV12</stp>
        <stp>RCOM IN Equity</stp>
        <stp>IS_AVG_NUM_SH_FOR_EPS</stp>
        <stp>FY 2012</stp>
        <stp>FY 2012</stp>
        <stp>[FA1_ymffleas.xlsx]Income - Adjusted!R109C5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09" s="9"/>
      </tp>
      <tp t="s">
        <v>—</v>
        <stp/>
        <stp>##V3_BDHV12</stp>
        <stp>RCOM IN Equity</stp>
        <stp>HIGH_CLOSING_PRICE_TO_CASH_FLOW</stp>
        <stp>FY 2018</stp>
        <stp>FY 2018</stp>
        <stp>[FA1_ymffleas.xlsx]Multiples!R28C11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8" s="6"/>
      </tp>
      <tp>
        <v>2064.0268999999998</v>
        <stp/>
        <stp>##V3_BDHV12</stp>
        <stp>RCOM IN Equity</stp>
        <stp>IS_AVG_NUM_SH_FOR_EPS</stp>
        <stp>FY 2010</stp>
        <stp>FY 2010</stp>
        <stp>[FA1_ymffleas.xlsx]Income - Adjusted!R109C3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09" s="9"/>
      </tp>
      <tp>
        <v>1.0306999999999999</v>
        <stp/>
        <stp>##V3_BDHV12</stp>
        <stp>RCOM IN Equity</stp>
        <stp>HIGH_CLOSING_PRICE_TO_CASH_FLOW</stp>
        <stp>FY 2017</stp>
        <stp>FY 2017</stp>
        <stp>[FA1_ymffleas.xlsx]Multiples!R28C10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8" s="6"/>
      </tp>
      <tp>
        <v>1060</v>
        <stp/>
        <stp>##V3_BDHV12</stp>
        <stp>RCOM IN Equity</stp>
        <stp>IS_INT_INC</stp>
        <stp>FY 2016</stp>
        <stp>FY 2016</stp>
        <stp>[FA1_ymffleas.xlsx]Income - GAAP!R43C9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43" s="10"/>
      </tp>
      <tp>
        <v>470</v>
        <stp/>
        <stp>##V3_BDHV12</stp>
        <stp>RCOM IN Equity</stp>
        <stp>IS_INT_INC</stp>
        <stp>FY 2015</stp>
        <stp>FY 2015</stp>
        <stp>[FA1_ymffleas.xlsx]Income - GAAP!R43C8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43" s="10"/>
      </tp>
      <tp>
        <v>470</v>
        <stp/>
        <stp>##V3_BDHV12</stp>
        <stp>RCOM IN Equity</stp>
        <stp>IS_INT_INC</stp>
        <stp>FY 2014</stp>
        <stp>FY 2014</stp>
        <stp>[FA1_ymffleas.xlsx]Income - GAAP!R43C7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43" s="10"/>
      </tp>
      <tp>
        <v>1650</v>
        <stp/>
        <stp>##V3_BDHV12</stp>
        <stp>RCOM IN Equity</stp>
        <stp>IS_INT_INC</stp>
        <stp>FY 2013</stp>
        <stp>FY 2013</stp>
        <stp>[FA1_ymffleas.xlsx]Income - GAAP!R43C6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43" s="10"/>
      </tp>
      <tp>
        <v>400</v>
        <stp/>
        <stp>##V3_BDHV12</stp>
        <stp>RCOM IN Equity</stp>
        <stp>IS_INT_INC</stp>
        <stp>FY 2012</stp>
        <stp>FY 2012</stp>
        <stp>[FA1_ymffleas.xlsx]Income - GAAP!R43C5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43" s="10"/>
      </tp>
      <tp>
        <v>610</v>
        <stp/>
        <stp>##V3_BDHV12</stp>
        <stp>RCOM IN Equity</stp>
        <stp>IS_INT_INC</stp>
        <stp>FY 2011</stp>
        <stp>FY 2011</stp>
        <stp>[FA1_ymffleas.xlsx]Income - GAAP!R43C4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43" s="10"/>
      </tp>
      <tp t="s">
        <v>—</v>
        <stp/>
        <stp>##V3_BDHV12</stp>
        <stp>RCOM IN Equity</stp>
        <stp>IS_INT_INC</stp>
        <stp>FY 2010</stp>
        <stp>FY 2010</stp>
        <stp>[FA1_ymffleas.xlsx]Income - GAAP!R43C3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43" s="10"/>
      </tp>
      <tp>
        <v>2333.9049</v>
        <stp/>
        <stp>##V3_BDHV12</stp>
        <stp>RCOM IN Equity</stp>
        <stp>IS_AVG_NUM_SH_FOR_EPS</stp>
        <stp>FY 2015</stp>
        <stp>FY 2015</stp>
        <stp>[FA1_ymffleas.xlsx]Income - Adjusted!R109C8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09" s="9"/>
      </tp>
      <tp>
        <v>2467.7006999999999</v>
        <stp/>
        <stp>##V3_BDHV12</stp>
        <stp>RCOM IN Equity</stp>
        <stp>IS_AVG_NUM_SH_FOR_EPS</stp>
        <stp>FY 2016</stp>
        <stp>FY 2016</stp>
        <stp>[FA1_ymffleas.xlsx]Income - Adjusted!R109C9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09" s="9"/>
      </tp>
      <tp>
        <v>406500</v>
        <stp/>
        <stp>##V3_BDHV12</stp>
        <stp>RCOM IN Equity</stp>
        <stp>ARDR_PROPERTY_PLANT_EQUIP_GROSS</stp>
        <stp>FY 2018</stp>
        <stp>FY 2018</stp>
        <stp>[FA1_ymffleas.xlsx]Bal Sheet - As Reported!R72C12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2" s="17"/>
      </tp>
      <tp>
        <v>769710</v>
        <stp/>
        <stp>##V3_BDHV12</stp>
        <stp>RCOM IN Equity</stp>
        <stp>ARDR_PROPERTY_PLANT_EQUIP_GROSS</stp>
        <stp>FY 2016</stp>
        <stp>FY 2016</stp>
        <stp>[FA1_ymffleas.xlsx]Bal Sheet - As Reported!R72C10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2" s="17"/>
      </tp>
      <tp>
        <v>785360</v>
        <stp/>
        <stp>##V3_BDHV12</stp>
        <stp>RCOM IN Equity</stp>
        <stp>ARDR_PROPERTY_PLANT_EQUIP_GROSS</stp>
        <stp>FY 2017</stp>
        <stp>FY 2017</stp>
        <stp>[FA1_ymffleas.xlsx]Bal Sheet - As Reported!R72C11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2" s="17"/>
      </tp>
      <tp>
        <v>-4.6647999999999996</v>
        <stp/>
        <stp>##V3_BDHV12</stp>
        <stp>RCOM IN Equity</stp>
        <stp>RETURN_COM_EQY</stp>
        <stp>FY 2017</stp>
        <stp>FY 2017</stp>
        <stp>[FA1_ymffleas.xlsx]Profitability!R7C11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7" s="21"/>
      </tp>
      <tp>
        <v>14.966900000000001</v>
        <stp/>
        <stp>##V3_BDHV12</stp>
        <stp>RCOM IN Equity</stp>
        <stp>NET_DEBT_TO_EBITDA</stp>
        <stp>FY 2018</stp>
        <stp>FY 2018</stp>
        <stp>[FA1_ymffleas.xlsx]Credit!R11C12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1" s="23"/>
      </tp>
      <tp>
        <v>15.2035</v>
        <stp/>
        <stp>##V3_BDHV12</stp>
        <stp>RCOM IN Equity</stp>
        <stp>TOT_DEBT_TO_EBITDA</stp>
        <stp>FY 2018</stp>
        <stp>FY 2018</stp>
        <stp>[FA1_ymffleas.xlsx]Credit!R10C12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0" s="23"/>
      </tp>
      <tp>
        <v>-20100</v>
        <stp/>
        <stp>##V3_BDHV12</stp>
        <stp>RCOM IN Equity</stp>
        <stp>CF_FREE_CASH_FLOW</stp>
        <stp>FY 2015</stp>
        <stp>FY 2015</stp>
        <stp>[FA1_ymffleas.xlsx]Adj Highlights!R25C8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5" s="2"/>
      </tp>
      <tp>
        <v>-11090</v>
        <stp/>
        <stp>##V3_BDHV12</stp>
        <stp>RCOM IN Equity</stp>
        <stp>CF_FREE_CASH_FLOW</stp>
        <stp>FY 2016</stp>
        <stp>FY 2016</stp>
        <stp>[FA1_ymffleas.xlsx]Adj Highlights!R25C9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5" s="2"/>
      </tp>
      <tp>
        <v>6796.1</v>
        <stp/>
        <stp>##V3_BDHV12</stp>
        <stp>RCOM IN Equity</stp>
        <stp>CF_FREE_CASH_FLOW</stp>
        <stp>FY 2010</stp>
        <stp>FY 2010</stp>
        <stp>[FA1_ymffleas.xlsx]Adj Highlights!R25C3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5" s="2"/>
      </tp>
      <tp>
        <v>-92550</v>
        <stp/>
        <stp>##V3_BDHV12</stp>
        <stp>RCOM IN Equity</stp>
        <stp>CF_FREE_CASH_FLOW</stp>
        <stp>FY 2011</stp>
        <stp>FY 2011</stp>
        <stp>[FA1_ymffleas.xlsx]Adj Highlights!R25C4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5" s="2"/>
      </tp>
      <tp>
        <v>-7770</v>
        <stp/>
        <stp>##V3_BDHV12</stp>
        <stp>RCOM IN Equity</stp>
        <stp>CF_FREE_CASH_FLOW</stp>
        <stp>FY 2012</stp>
        <stp>FY 2012</stp>
        <stp>[FA1_ymffleas.xlsx]Adj Highlights!R25C5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5" s="2"/>
      </tp>
      <tp>
        <v>-7440</v>
        <stp/>
        <stp>##V3_BDHV12</stp>
        <stp>RCOM IN Equity</stp>
        <stp>CF_FREE_CASH_FLOW</stp>
        <stp>FY 2013</stp>
        <stp>FY 2013</stp>
        <stp>[FA1_ymffleas.xlsx]Adj Highlights!R25C6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5" s="2"/>
      </tp>
      <tp>
        <v>17050</v>
        <stp/>
        <stp>##V3_BDHV12</stp>
        <stp>RCOM IN Equity</stp>
        <stp>CF_FREE_CASH_FLOW</stp>
        <stp>FY 2014</stp>
        <stp>FY 2014</stp>
        <stp>[FA1_ymffleas.xlsx]Adj Highlights!R25C7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5" s="2"/>
      </tp>
      <tp>
        <v>250</v>
        <stp/>
        <stp>##V3_BDHV12</stp>
        <stp>RCOM IN Equity</stp>
        <stp>BS_CURR_RENTAL_EXPENSE</stp>
        <stp>FY 2017</stp>
        <stp>FY 2017</stp>
        <stp>[FA1_ymffleas.xlsx]Income - GAAP!R111C10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1" s="10"/>
      </tp>
      <tp>
        <v>790</v>
        <stp/>
        <stp>##V3_BDHV12</stp>
        <stp>RCOM IN Equity</stp>
        <stp>BS_CURR_RENTAL_EXPENSE</stp>
        <stp>FY 2018</stp>
        <stp>FY 2018</stp>
        <stp>[FA1_ymffleas.xlsx]Income - GAAP!R111C11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1" s="10"/>
      </tp>
      <tp t="s">
        <v>—</v>
        <stp/>
        <stp>##V3_BDHV12</stp>
        <stp>RCOM IN Equity</stp>
        <stp>IS_SH_PRO_EQY_MT_INV_NET_OF_TAX</stp>
        <stp>FY 2017</stp>
        <stp>FY 2017</stp>
        <stp>[FA1_ymffleas.xlsx]Income - Adjusted!R85C10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85" s="9"/>
      </tp>
      <tp t="s">
        <v>—</v>
        <stp/>
        <stp>##V3_BDHV12</stp>
        <stp>RCOM IN Equity</stp>
        <stp>IS_SH_PRO_EQY_MT_INV_NET_OF_TAX</stp>
        <stp>FY 2018</stp>
        <stp>FY 2018</stp>
        <stp>[FA1_ymffleas.xlsx]Income - Adjusted!R85C11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85" s="9"/>
      </tp>
      <tp>
        <v>34.460900000000002</v>
        <stp/>
        <stp>##V3_BDHV12</stp>
        <stp>RCOM IN Equity</stp>
        <stp>EFF_TAX_RATE</stp>
        <stp>FY 2015</stp>
        <stp>FY 2015</stp>
        <stp>[FA1_ymffleas.xlsx]Profitability!R22C9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2" s="21"/>
      </tp>
      <tp>
        <v>-680</v>
        <stp/>
        <stp>##V3_BDHV12</stp>
        <stp>RCOM IN Equity</stp>
        <stp>MIN_NONCONTROL_INTEREST_CREDITS</stp>
        <stp>FY 2018</stp>
        <stp>FY 2018</stp>
        <stp>[FA1_ymffleas.xlsx]Income - Adjusted!R97C11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97" s="9"/>
      </tp>
      <tp>
        <v>1200</v>
        <stp/>
        <stp>##V3_BDHV12</stp>
        <stp>RCOM IN Equity</stp>
        <stp>MIN_NONCONTROL_INTEREST_CREDITS</stp>
        <stp>FY 2017</stp>
        <stp>FY 2017</stp>
        <stp>[FA1_ymffleas.xlsx]Income - Adjusted!R97C10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97" s="9"/>
      </tp>
      <tp>
        <v>2.7166000000000001</v>
        <stp/>
        <stp>##V3_BDHV12</stp>
        <stp>RCOM IN Equity</stp>
        <stp>CAP_EXPEND_TO_TOT_ASSET</stp>
        <stp>FY 2015</stp>
        <stp>FY 2015</stp>
        <stp>[FA1_ymffleas.xlsx]CAPEX &amp; Depreciation!R13C9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3" s="28"/>
      </tp>
      <tp>
        <v>2.3933</v>
        <stp/>
        <stp>##V3_BDHV12</stp>
        <stp>RCOM IN Equity</stp>
        <stp>CAP_EXPEND_TO_TOT_ASSET</stp>
        <stp>FY 2014</stp>
        <stp>FY 2014</stp>
        <stp>[FA1_ymffleas.xlsx]CAPEX &amp; Depreciation!R13C8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3" s="28"/>
      </tp>
      <tp>
        <v>66.667000000000002</v>
        <stp/>
        <stp>##V3_BDHV12</stp>
        <stp>RCOM IN Equity</stp>
        <stp>PCT_INDEPENDENT_DIRECTORS</stp>
        <stp>FY 2017</stp>
        <stp>FY 2017</stp>
        <stp>[FA1_ymffleas.xlsx]ESG - Overview!R24C11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4" s="34"/>
      </tp>
      <tp>
        <v>13.6457</v>
        <stp/>
        <stp>##V3_BDHV12</stp>
        <stp>RCOM IN Equity</stp>
        <stp>CAP_EXPEND_TO_TOT_ASSET</stp>
        <stp>FY 2009</stp>
        <stp>FY 2009</stp>
        <stp>[FA1_ymffleas.xlsx]CAPEX &amp; Depreciation!R13C3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3" s="28"/>
      </tp>
      <tp>
        <v>66.667000000000002</v>
        <stp/>
        <stp>##V3_BDHV12</stp>
        <stp>RCOM IN Equity</stp>
        <stp>PCT_INDEPENDENT_DIRECTORS</stp>
        <stp>FY 2016</stp>
        <stp>FY 2016</stp>
        <stp>[FA1_ymffleas.xlsx]ESG - Overview!R24C10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4" s="34"/>
      </tp>
      <tp>
        <v>54.545999999999999</v>
        <stp/>
        <stp>##V3_BDHV12</stp>
        <stp>RCOM IN Equity</stp>
        <stp>PCT_INDEPENDENT_DIRECTORS</stp>
        <stp>FY 2018</stp>
        <stp>FY 2018</stp>
        <stp>[FA1_ymffleas.xlsx]ESG - Overview!R24C12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4" s="34"/>
      </tp>
      <tp>
        <v>2.3174000000000001</v>
        <stp/>
        <stp>##V3_BDHV12</stp>
        <stp>RCOM IN Equity</stp>
        <stp>CAP_EXPEND_TO_TOT_ASSET</stp>
        <stp>FY 2013</stp>
        <stp>FY 2013</stp>
        <stp>[FA1_ymffleas.xlsx]CAPEX &amp; Depreciation!R13C7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3" s="28"/>
      </tp>
      <tp>
        <v>5.1875</v>
        <stp/>
        <stp>##V3_BDHV12</stp>
        <stp>RCOM IN Equity</stp>
        <stp>CAP_EXPEND_TO_TOT_ASSET</stp>
        <stp>FY 2012</stp>
        <stp>FY 2012</stp>
        <stp>[FA1_ymffleas.xlsx]CAPEX &amp; Depreciation!R13C6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3" s="28"/>
      </tp>
      <tp>
        <v>11.027699999999999</v>
        <stp/>
        <stp>##V3_BDHV12</stp>
        <stp>RCOM IN Equity</stp>
        <stp>CAP_EXPEND_TO_TOT_ASSET</stp>
        <stp>FY 2011</stp>
        <stp>FY 2011</stp>
        <stp>[FA1_ymffleas.xlsx]CAPEX &amp; Depreciation!R13C5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3" s="28"/>
      </tp>
      <tp t="s">
        <v>—</v>
        <stp/>
        <stp>##V3_BDHV12</stp>
        <stp>RCOM IN Equity</stp>
        <stp>ARDR_FINANCIAL_INCOME</stp>
        <stp>FY 2015</stp>
        <stp>FY 2015</stp>
        <stp>[FA1_ymffleas.xlsx]Income - As Reported!R112C9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2" s="11"/>
      </tp>
      <tp t="s">
        <v>—</v>
        <stp/>
        <stp>##V3_BDHV12</stp>
        <stp>RCOM IN Equity</stp>
        <stp>ARDR_FINANCIAL_INCOME</stp>
        <stp>FY 2014</stp>
        <stp>FY 2014</stp>
        <stp>[FA1_ymffleas.xlsx]Income - As Reported!R112C8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2" s="11"/>
      </tp>
      <tp t="s">
        <v>—</v>
        <stp/>
        <stp>##V3_BDHV12</stp>
        <stp>RCOM IN Equity</stp>
        <stp>ARDR_FINANCIAL_INCOME</stp>
        <stp>FY 2013</stp>
        <stp>FY 2013</stp>
        <stp>[FA1_ymffleas.xlsx]Income - As Reported!R112C7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2" s="11"/>
      </tp>
      <tp t="s">
        <v>—</v>
        <stp/>
        <stp>##V3_BDHV12</stp>
        <stp>RCOM IN Equity</stp>
        <stp>ARDR_FINANCIAL_INCOME</stp>
        <stp>FY 2012</stp>
        <stp>FY 2012</stp>
        <stp>[FA1_ymffleas.xlsx]Income - As Reported!R112C6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2" s="11"/>
      </tp>
      <tp t="s">
        <v>—</v>
        <stp/>
        <stp>##V3_BDHV12</stp>
        <stp>RCOM IN Equity</stp>
        <stp>ARDR_FINANCIAL_INCOME</stp>
        <stp>FY 2011</stp>
        <stp>FY 2011</stp>
        <stp>[FA1_ymffleas.xlsx]Income - As Reported!R112C5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2" s="11"/>
      </tp>
      <tp>
        <v>-931.5</v>
        <stp/>
        <stp>##V3_BDHV12</stp>
        <stp>RCOM IN Equity</stp>
        <stp>ARDR_FINANCIAL_INCOME</stp>
        <stp>FY 2010</stp>
        <stp>FY 2010</stp>
        <stp>[FA1_ymffleas.xlsx]Income - As Reported!R112C4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2" s="11"/>
      </tp>
      <tp>
        <v>-15780.6</v>
        <stp/>
        <stp>##V3_BDHV12</stp>
        <stp>RCOM IN Equity</stp>
        <stp>ARDR_FINANCIAL_INCOME</stp>
        <stp>FY 2009</stp>
        <stp>FY 2009</stp>
        <stp>[FA1_ymffleas.xlsx]Income - As Reported!R112C3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2" s="11"/>
      </tp>
      <tp>
        <v>7.6970999999999998</v>
        <stp/>
        <stp>##V3_BDHV12</stp>
        <stp>RCOM IN Equity</stp>
        <stp>CAP_EXPEND_TO_TOT_ASSET</stp>
        <stp>FY 2010</stp>
        <stp>FY 2010</stp>
        <stp>[FA1_ymffleas.xlsx]CAPEX &amp; Depreciation!R13C4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3" s="28"/>
      </tp>
      <tp t="s">
        <v>—</v>
        <stp/>
        <stp>##V3_BDHV12</stp>
        <stp>RCOM IN Equity</stp>
        <stp>ACCOUNTS_PAYABLE_TURNOVER_DAYS</stp>
        <stp>FY 2013</stp>
        <stp>FY 2013</stp>
        <stp>[FA1_ymffleas.xlsx]Working Capital!R11C7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1" s="25"/>
      </tp>
      <tp>
        <v>-1.381</v>
        <stp/>
        <stp>##V3_BDHV12</stp>
        <stp>RCOM IN Equity</stp>
        <stp>RETURN_ON_ASSET</stp>
        <stp>FY 2017</stp>
        <stp>FY 2017</stp>
        <stp>[FA1_ymffleas.xlsx]Profitability!R8C11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8" s="21"/>
      </tp>
      <tp>
        <v>2.9695999999999998</v>
        <stp/>
        <stp>##V3_BDHV12</stp>
        <stp>RCOM IN Equity</stp>
        <stp>IS_BASIC_EPS_CONT_OPS</stp>
        <stp>FY 2015</stp>
        <stp>FY 2015</stp>
        <stp>[FA1_ymffleas.xlsx]Income - Adjusted!R112C8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12" s="9"/>
      </tp>
      <tp>
        <v>2.0196999999999998</v>
        <stp/>
        <stp>##V3_BDHV12</stp>
        <stp>RCOM IN Equity</stp>
        <stp>IS_BASIC_EPS_CONT_OPS</stp>
        <stp>FY 2016</stp>
        <stp>FY 2016</stp>
        <stp>[FA1_ymffleas.xlsx]Income - Adjusted!R112C9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12" s="9"/>
      </tp>
      <tp>
        <v>22.863099999999999</v>
        <stp/>
        <stp>##V3_BDHV12</stp>
        <stp>RCOM IN Equity</stp>
        <stp>IS_BASIC_EPS_CONT_OPS</stp>
        <stp>FY 2010</stp>
        <stp>FY 2010</stp>
        <stp>[FA1_ymffleas.xlsx]Income - Adjusted!R112C3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12" s="9"/>
      </tp>
      <tp>
        <v>3.2397999999999998</v>
        <stp/>
        <stp>##V3_BDHV12</stp>
        <stp>RCOM IN Equity</stp>
        <stp>IS_BASIC_EPS_CONT_OPS</stp>
        <stp>FY 2013</stp>
        <stp>FY 2013</stp>
        <stp>[FA1_ymffleas.xlsx]Income - Adjusted!R112C6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12" s="9"/>
      </tp>
      <tp>
        <v>5.1078000000000001</v>
        <stp/>
        <stp>##V3_BDHV12</stp>
        <stp>RCOM IN Equity</stp>
        <stp>IS_BASIC_EPS_CONT_OPS</stp>
        <stp>FY 2014</stp>
        <stp>FY 2014</stp>
        <stp>[FA1_ymffleas.xlsx]Income - Adjusted!R112C7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12" s="9"/>
      </tp>
      <tp>
        <v>5.2465999999999999</v>
        <stp/>
        <stp>##V3_BDHV12</stp>
        <stp>RCOM IN Equity</stp>
        <stp>IS_BASIC_EPS_CONT_OPS</stp>
        <stp>FY 2011</stp>
        <stp>FY 2011</stp>
        <stp>[FA1_ymffleas.xlsx]Income - Adjusted!R112C4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12" s="9"/>
      </tp>
      <tp>
        <v>5.6088000000000005</v>
        <stp/>
        <stp>##V3_BDHV12</stp>
        <stp>RCOM IN Equity</stp>
        <stp>IS_BASIC_EPS_CONT_OPS</stp>
        <stp>FY 2012</stp>
        <stp>FY 2012</stp>
        <stp>[FA1_ymffleas.xlsx]Income - Adjusted!R112C5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12" s="9"/>
      </tp>
      <tp>
        <v>947230</v>
        <stp/>
        <stp>##V3_BDHV12</stp>
        <stp>RCOM IN Equity</stp>
        <stp>BS_TOT_ASSET</stp>
        <stp>FY 2011</stp>
        <stp>FY 2011</stp>
        <stp>[FA1_ymffleas.xlsx]GAAP Highlights!R16C5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" s="3"/>
      </tp>
      <tp>
        <v>925686.3</v>
        <stp/>
        <stp>##V3_BDHV12</stp>
        <stp>RCOM IN Equity</stp>
        <stp>BS_TOT_ASSET</stp>
        <stp>FY 2010</stp>
        <stp>FY 2010</stp>
        <stp>[FA1_ymffleas.xlsx]GAAP Highlights!R16C4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" s="3"/>
      </tp>
      <tp>
        <v>901820</v>
        <stp/>
        <stp>##V3_BDHV12</stp>
        <stp>RCOM IN Equity</stp>
        <stp>BS_TOT_ASSET</stp>
        <stp>FY 2013</stp>
        <stp>FY 2013</stp>
        <stp>[FA1_ymffleas.xlsx]GAAP Highlights!R16C7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" s="3"/>
      </tp>
      <tp>
        <v>922650</v>
        <stp/>
        <stp>##V3_BDHV12</stp>
        <stp>RCOM IN Equity</stp>
        <stp>BS_TOT_ASSET</stp>
        <stp>FY 2012</stp>
        <stp>FY 2012</stp>
        <stp>[FA1_ymffleas.xlsx]GAAP Highlights!R16C6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" s="3"/>
      </tp>
      <tp>
        <v>1022069.9</v>
        <stp/>
        <stp>##V3_BDHV12</stp>
        <stp>RCOM IN Equity</stp>
        <stp>BS_TOT_ASSET</stp>
        <stp>FY 2009</stp>
        <stp>FY 2009</stp>
        <stp>[FA1_ymffleas.xlsx]GAAP Highlights!R16C3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" s="3"/>
      </tp>
      <tp>
        <v>930220</v>
        <stp/>
        <stp>##V3_BDHV12</stp>
        <stp>RCOM IN Equity</stp>
        <stp>BS_TOT_ASSET</stp>
        <stp>FY 2015</stp>
        <stp>FY 2015</stp>
        <stp>[FA1_ymffleas.xlsx]GAAP Highlights!R16C9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" s="3"/>
      </tp>
      <tp>
        <v>907390</v>
        <stp/>
        <stp>##V3_BDHV12</stp>
        <stp>RCOM IN Equity</stp>
        <stp>BS_TOT_ASSET</stp>
        <stp>FY 2014</stp>
        <stp>FY 2014</stp>
        <stp>[FA1_ymffleas.xlsx]GAAP Highlights!R16C8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" s="3"/>
      </tp>
      <tp>
        <v>1.8383</v>
        <stp/>
        <stp>##V3_BDHV12</stp>
        <stp>RCOM IN Equity</stp>
        <stp>RETURN_COM_EQY</stp>
        <stp>FY 2016</stp>
        <stp>FY 2016</stp>
        <stp>[FA1_ymffleas.xlsx]Profitability!R7C10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7" s="21"/>
      </tp>
      <tp>
        <v>48680</v>
        <stp/>
        <stp>##V3_BDHV12</stp>
        <stp>RCOM IN Equity</stp>
        <stp>ARD_ACCOUNTS_PAYABLE_TRADE</stp>
        <stp>FY 2018</stp>
        <stp>FY 2018</stp>
        <stp>[FA1_ymffleas.xlsx]Bal Sheet - As Reported!R51C12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1" s="17"/>
      </tp>
      <tp>
        <v>57750</v>
        <stp/>
        <stp>##V3_BDHV12</stp>
        <stp>RCOM IN Equity</stp>
        <stp>ARD_ACCOUNTS_PAYABLE_TRADE</stp>
        <stp>FY 2016</stp>
        <stp>FY 2016</stp>
        <stp>[FA1_ymffleas.xlsx]Bal Sheet - As Reported!R51C10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1" s="17"/>
      </tp>
      <tp>
        <v>47460</v>
        <stp/>
        <stp>##V3_BDHV12</stp>
        <stp>RCOM IN Equity</stp>
        <stp>ARD_ACCOUNTS_PAYABLE_TRADE</stp>
        <stp>FY 2017</stp>
        <stp>FY 2017</stp>
        <stp>[FA1_ymffleas.xlsx]Bal Sheet - As Reported!R51C11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1" s="17"/>
      </tp>
      <tp>
        <v>-67.576899999999995</v>
        <stp/>
        <stp>##V3_BDHV12</stp>
        <stp>RCOM IN Equity</stp>
        <stp>FIXED_ASSETS_SEQUENTIAL_GROWTH</stp>
        <stp>FY 2018</stp>
        <stp>FY 2018</stp>
        <stp>[FA1_ymffleas.xlsx]Growth!R71C12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1" s="22"/>
      </tp>
      <tp>
        <v>1750</v>
        <stp/>
        <stp>##V3_BDHV12</stp>
        <stp>RCOM IN Equity</stp>
        <stp>ARDR_PV_OF_CAPITAL_LEASE_YEAR_5</stp>
        <stp>FY 2014</stp>
        <stp>FY 2014</stp>
        <stp>[FA1_ymffleas.xlsx]Bal Sheet - As Reported!R214C8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14" s="17"/>
      </tp>
      <tp>
        <v>720</v>
        <stp/>
        <stp>##V3_BDHV12</stp>
        <stp>RCOM IN Equity</stp>
        <stp>ARDR_PV_OF_CAPITAL_LEASE_YEAR_5</stp>
        <stp>FY 2015</stp>
        <stp>FY 2015</stp>
        <stp>[FA1_ymffleas.xlsx]Bal Sheet - As Reported!R214C9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14" s="17"/>
      </tp>
      <tp t="s">
        <v>—</v>
        <stp/>
        <stp>##V3_BDHV12</stp>
        <stp>RCOM IN Equity</stp>
        <stp>ARDR_PV_OF_CAPITAL_LEASE_YEAR_5</stp>
        <stp>FY 2009</stp>
        <stp>FY 2009</stp>
        <stp>[FA1_ymffleas.xlsx]Bal Sheet - As Reported!R214C3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14" s="17"/>
      </tp>
      <tp t="s">
        <v>—</v>
        <stp/>
        <stp>##V3_BDHV12</stp>
        <stp>RCOM IN Equity</stp>
        <stp>ARDR_PV_OF_CAPITAL_LEASE_YEAR_5</stp>
        <stp>FY 2012</stp>
        <stp>FY 2012</stp>
        <stp>[FA1_ymffleas.xlsx]Bal Sheet - As Reported!R214C6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14" s="17"/>
      </tp>
      <tp t="s">
        <v>—</v>
        <stp/>
        <stp>##V3_BDHV12</stp>
        <stp>RCOM IN Equity</stp>
        <stp>ARDR_PV_OF_CAPITAL_LEASE_YEAR_5</stp>
        <stp>FY 2013</stp>
        <stp>FY 2013</stp>
        <stp>[FA1_ymffleas.xlsx]Bal Sheet - As Reported!R214C7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14" s="17"/>
      </tp>
      <tp t="s">
        <v>—</v>
        <stp/>
        <stp>##V3_BDHV12</stp>
        <stp>RCOM IN Equity</stp>
        <stp>ARDR_PV_OF_CAPITAL_LEASE_YEAR_5</stp>
        <stp>FY 2010</stp>
        <stp>FY 2010</stp>
        <stp>[FA1_ymffleas.xlsx]Bal Sheet - As Reported!R214C4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14" s="17"/>
      </tp>
      <tp t="s">
        <v>—</v>
        <stp/>
        <stp>##V3_BDHV12</stp>
        <stp>RCOM IN Equity</stp>
        <stp>ARDR_PV_OF_CAPITAL_LEASE_YEAR_5</stp>
        <stp>FY 2011</stp>
        <stp>FY 2011</stp>
        <stp>[FA1_ymffleas.xlsx]Bal Sheet - As Reported!R214C5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14" s="17"/>
      </tp>
      <tp>
        <v>16.0122</v>
        <stp/>
        <stp>##V3_BDHV12</stp>
        <stp>RCOM IN Equity</stp>
        <stp>FIXED_ASSETS_SEQUENTIAL_GROWTH</stp>
        <stp>FY 2016</stp>
        <stp>FY 2016</stp>
        <stp>[FA1_ymffleas.xlsx]Growth!R71C10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1" s="22"/>
      </tp>
      <tp>
        <v>-1.5573000000000001</v>
        <stp/>
        <stp>##V3_BDHV12</stp>
        <stp>RCOM IN Equity</stp>
        <stp>FIXED_ASSETS_SEQUENTIAL_GROWTH</stp>
        <stp>FY 2017</stp>
        <stp>FY 2017</stp>
        <stp>[FA1_ymffleas.xlsx]Growth!R71C11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1" s="22"/>
      </tp>
      <tp t="s">
        <v>—</v>
        <stp/>
        <stp>##V3_BDHV12</stp>
        <stp>RCOM IN Equity</stp>
        <stp>EFF_TAX_RATE</stp>
        <stp>FY 2014</stp>
        <stp>FY 2014</stp>
        <stp>[FA1_ymffleas.xlsx]Profitability!R22C8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2" s="21"/>
      </tp>
      <tp>
        <v>47742.5</v>
        <stp/>
        <stp>##V3_BDHV12</stp>
        <stp>RCOM IN Equity</stp>
        <stp>IS_INC_BEF_XO_ITEM</stp>
        <stp>FY 2010</stp>
        <stp>FY 2010</stp>
        <stp>[FA1_ymffleas.xlsx]Income - Adjusted!R87C3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7" s="9"/>
      </tp>
      <tp>
        <v>14950</v>
        <stp/>
        <stp>##V3_BDHV12</stp>
        <stp>RCOM IN Equity</stp>
        <stp>IS_INC_BEF_XO_ITEM</stp>
        <stp>FY 2011</stp>
        <stp>FY 2011</stp>
        <stp>[FA1_ymffleas.xlsx]Income - Adjusted!R87C4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7" s="9"/>
      </tp>
      <tp>
        <v>9890</v>
        <stp/>
        <stp>##V3_BDHV12</stp>
        <stp>RCOM IN Equity</stp>
        <stp>IS_INC_BEF_XO_ITEM</stp>
        <stp>FY 2012</stp>
        <stp>FY 2012</stp>
        <stp>[FA1_ymffleas.xlsx]Income - Adjusted!R87C5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7" s="9"/>
      </tp>
      <tp>
        <v>7450</v>
        <stp/>
        <stp>##V3_BDHV12</stp>
        <stp>RCOM IN Equity</stp>
        <stp>IS_INC_BEF_XO_ITEM</stp>
        <stp>FY 2013</stp>
        <stp>FY 2013</stp>
        <stp>[FA1_ymffleas.xlsx]Income - Adjusted!R87C6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7" s="9"/>
      </tp>
      <tp>
        <v>11390</v>
        <stp/>
        <stp>##V3_BDHV12</stp>
        <stp>RCOM IN Equity</stp>
        <stp>IS_INC_BEF_XO_ITEM</stp>
        <stp>FY 2014</stp>
        <stp>FY 2014</stp>
        <stp>[FA1_ymffleas.xlsx]Income - Adjusted!R87C7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7" s="9"/>
      </tp>
      <tp>
        <v>6230</v>
        <stp/>
        <stp>##V3_BDHV12</stp>
        <stp>RCOM IN Equity</stp>
        <stp>IS_INC_BEF_XO_ITEM</stp>
        <stp>FY 2015</stp>
        <stp>FY 2015</stp>
        <stp>[FA1_ymffleas.xlsx]Income - Adjusted!R87C8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7" s="9"/>
      </tp>
      <tp>
        <v>6600</v>
        <stp/>
        <stp>##V3_BDHV12</stp>
        <stp>RCOM IN Equity</stp>
        <stp>IS_INC_BEF_XO_ITEM</stp>
        <stp>FY 2016</stp>
        <stp>FY 2016</stp>
        <stp>[FA1_ymffleas.xlsx]Income - Adjusted!R87C9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7" s="9"/>
      </tp>
      <tp>
        <v>35489.9</v>
        <stp/>
        <stp>##V3_BDHV12</stp>
        <stp>RCOM IN Equity</stp>
        <stp>EBIT</stp>
        <stp>FY 2010</stp>
        <stp>FY 2010</stp>
        <stp>[FA1_ymffleas.xlsx]Earnings!R23C4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23" s="4"/>
      </tp>
      <tp>
        <v>18720.8</v>
        <stp/>
        <stp>##V3_BDHV12</stp>
        <stp>RCOM IN Equity</stp>
        <stp>EBIT</stp>
        <stp>FY 2011</stp>
        <stp>FY 2011</stp>
        <stp>[FA1_ymffleas.xlsx]Earnings!R23C5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23" s="4"/>
      </tp>
      <tp>
        <v>21870</v>
        <stp/>
        <stp>##V3_BDHV12</stp>
        <stp>RCOM IN Equity</stp>
        <stp>EBIT</stp>
        <stp>FY 2012</stp>
        <stp>FY 2012</stp>
        <stp>[FA1_ymffleas.xlsx]Earnings!R23C6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23" s="4"/>
      </tp>
      <tp>
        <v>21260</v>
        <stp/>
        <stp>##V3_BDHV12</stp>
        <stp>RCOM IN Equity</stp>
        <stp>EBIT</stp>
        <stp>FY 2013</stp>
        <stp>FY 2013</stp>
        <stp>[FA1_ymffleas.xlsx]Earnings!R23C7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23" s="4"/>
      </tp>
      <tp>
        <v>51230.400000000001</v>
        <stp/>
        <stp>##V3_BDHV12</stp>
        <stp>RCOM IN Equity</stp>
        <stp>EBIT</stp>
        <stp>FY 2009</stp>
        <stp>FY 2009</stp>
        <stp>[FA1_ymffleas.xlsx]Earnings!R23C3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23" s="4"/>
      </tp>
      <tp>
        <v>21910</v>
        <stp/>
        <stp>##V3_BDHV12</stp>
        <stp>RCOM IN Equity</stp>
        <stp>EBIT</stp>
        <stp>FY 2014</stp>
        <stp>FY 2014</stp>
        <stp>[FA1_ymffleas.xlsx]Earnings!R23C8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23" s="4"/>
      </tp>
      <tp>
        <v>33930</v>
        <stp/>
        <stp>##V3_BDHV12</stp>
        <stp>RCOM IN Equity</stp>
        <stp>EBIT</stp>
        <stp>FY 2015</stp>
        <stp>FY 2015</stp>
        <stp>[FA1_ymffleas.xlsx]Earnings!R23C9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23" s="4"/>
      </tp>
      <tp t="s">
        <v>—</v>
        <stp/>
        <stp>##V3_BDHV12</stp>
        <stp>RCOM IN Equity</stp>
        <stp>ARD_CHANGE_OTHER_PROVISIONS</stp>
        <stp>FY 2018</stp>
        <stp>FY 2018</stp>
        <stp>[FA1_ymffleas.xlsx]Cash Flow - As Reported!R21C12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1" s="20"/>
      </tp>
      <tp t="s">
        <v>—</v>
        <stp/>
        <stp>##V3_BDHV12</stp>
        <stp>RCOM IN Equity</stp>
        <stp>ARD_CHANGE_OTHER_PROVISIONS</stp>
        <stp>FY 2016</stp>
        <stp>FY 2016</stp>
        <stp>[FA1_ymffleas.xlsx]Cash Flow - As Reported!R21C10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1" s="20"/>
      </tp>
      <tp t="s">
        <v>—</v>
        <stp/>
        <stp>##V3_BDHV12</stp>
        <stp>RCOM IN Equity</stp>
        <stp>ARD_CHANGE_OTHER_PROVISIONS</stp>
        <stp>FY 2017</stp>
        <stp>FY 2017</stp>
        <stp>[FA1_ymffleas.xlsx]Cash Flow - As Reported!R21C11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1" s="20"/>
      </tp>
      <tp t="s">
        <v>—</v>
        <stp/>
        <stp>##V3_BDHV12</stp>
        <stp>RCOM IN Equity</stp>
        <stp>ARD_INVESTMENTS_WRITTEN_OFF</stp>
        <stp>FY 2018</stp>
        <stp>FY 2018</stp>
        <stp>[FA1_ymffleas.xlsx]Cash Flow - As Reported!R40C12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0" s="20"/>
      </tp>
      <tp t="s">
        <v>—</v>
        <stp/>
        <stp>##V3_BDHV12</stp>
        <stp>RCOM IN Equity</stp>
        <stp>ARD_INVESTMENTS_WRITTEN_OFF</stp>
        <stp>FY 2016</stp>
        <stp>FY 2016</stp>
        <stp>[FA1_ymffleas.xlsx]Cash Flow - As Reported!R40C10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0" s="20"/>
      </tp>
      <tp t="s">
        <v>—</v>
        <stp/>
        <stp>##V3_BDHV12</stp>
        <stp>RCOM IN Equity</stp>
        <stp>ARD_INVESTMENTS_WRITTEN_OFF</stp>
        <stp>FY 2017</stp>
        <stp>FY 2017</stp>
        <stp>[FA1_ymffleas.xlsx]Cash Flow - As Reported!R40C11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0" s="20"/>
      </tp>
      <tp>
        <v>-50</v>
        <stp/>
        <stp>##V3_BDHV12</stp>
        <stp>RCOM IN Equity</stp>
        <stp>ARDR_BENEFITS_PAID_POST_RETIR</stp>
        <stp>FY 2017</stp>
        <stp>FY 2017</stp>
        <stp>[FA1_ymffleas.xlsx]Bal Sheet - As Reported!R131C11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1" s="17"/>
      </tp>
      <tp>
        <v>-70</v>
        <stp/>
        <stp>##V3_BDHV12</stp>
        <stp>RCOM IN Equity</stp>
        <stp>ARDR_BENEFITS_PAID_POST_RETIR</stp>
        <stp>FY 2016</stp>
        <stp>FY 2016</stp>
        <stp>[FA1_ymffleas.xlsx]Bal Sheet - As Reported!R131C10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1" s="17"/>
      </tp>
      <tp>
        <v>-170</v>
        <stp/>
        <stp>##V3_BDHV12</stp>
        <stp>RCOM IN Equity</stp>
        <stp>ARDR_BENEFITS_PAID_POST_RETIR</stp>
        <stp>FY 2018</stp>
        <stp>FY 2018</stp>
        <stp>[FA1_ymffleas.xlsx]Bal Sheet - As Reported!R131C12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1" s="17"/>
      </tp>
      <tp>
        <v>5421.6971999999996</v>
        <stp/>
        <stp>##V3_BDHV12</stp>
        <stp>RCOM IN Equity</stp>
        <stp>ACCOUNTS_PAYABLE_TURNOVER_DAYS</stp>
        <stp>FY 2012</stp>
        <stp>FY 2012</stp>
        <stp>[FA1_ymffleas.xlsx]Working Capital!R11C6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1" s="25"/>
      </tp>
      <tp>
        <v>4400</v>
        <stp/>
        <stp>##V3_BDHV12</stp>
        <stp>RCOM IN Equity</stp>
        <stp>IS_OPER_INC</stp>
        <stp>FY 2017</stp>
        <stp>FY 2017</stp>
        <stp>[FA1_ymffleas.xlsx]GAAP Highlights!R7C11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7" s="3"/>
      </tp>
      <tp>
        <v>0.65049999999999997</v>
        <stp/>
        <stp>##V3_BDHV12</stp>
        <stp>RCOM IN Equity</stp>
        <stp>RETURN_ON_ASSET</stp>
        <stp>FY 2016</stp>
        <stp>FY 2016</stp>
        <stp>[FA1_ymffleas.xlsx]Profitability!R8C10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8" s="21"/>
      </tp>
      <tp>
        <v>27760</v>
        <stp/>
        <stp>##V3_BDHV12</stp>
        <stp>RCOM IN Equity</stp>
        <stp>IS_OPER_INC</stp>
        <stp>FY 2016</stp>
        <stp>FY 2016</stp>
        <stp>[FA1_ymffleas.xlsx]GAAP Highlights!R7C10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7" s="3"/>
      </tp>
      <tp>
        <v>2430</v>
        <stp/>
        <stp>##V3_BDHV12</stp>
        <stp>RCOM IN Equity</stp>
        <stp>IS_OPER_INC</stp>
        <stp>FY 2018</stp>
        <stp>FY 2018</stp>
        <stp>[FA1_ymffleas.xlsx]GAAP Highlights!R7C12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7" s="3"/>
      </tp>
      <tp t="s">
        <v>—</v>
        <stp/>
        <stp>##V3_BDHV12</stp>
        <stp>RCOM IN Equity</stp>
        <stp>GEO_GROW_BOOK_VAL</stp>
        <stp>FY 2010</stp>
        <stp>FY 2010</stp>
        <stp>[FA1_ymffleas.xlsx]Growth!R55C4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55" s="22"/>
      </tp>
      <tp t="s">
        <v>—</v>
        <stp/>
        <stp>##V3_BDHV12</stp>
        <stp>RCOM IN Equity</stp>
        <stp>GEO_GROW_BOOK_VAL</stp>
        <stp>FY 2011</stp>
        <stp>FY 2011</stp>
        <stp>[FA1_ymffleas.xlsx]Growth!R55C5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55" s="22"/>
      </tp>
      <tp t="s">
        <v>—</v>
        <stp/>
        <stp>##V3_BDHV12</stp>
        <stp>RCOM IN Equity</stp>
        <stp>GEO_GROW_BOOK_VAL</stp>
        <stp>FY 2012</stp>
        <stp>FY 2012</stp>
        <stp>[FA1_ymffleas.xlsx]Growth!R55C6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55" s="22"/>
      </tp>
      <tp>
        <v>3.1225000000000001</v>
        <stp/>
        <stp>##V3_BDHV12</stp>
        <stp>RCOM IN Equity</stp>
        <stp>GEO_GROW_BOOK_VAL</stp>
        <stp>FY 2013</stp>
        <stp>FY 2013</stp>
        <stp>[FA1_ymffleas.xlsx]Growth!R55C7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55" s="22"/>
      </tp>
      <tp t="s">
        <v>—</v>
        <stp/>
        <stp>##V3_BDHV12</stp>
        <stp>RCOM IN Equity</stp>
        <stp>GEO_GROW_BOOK_VAL</stp>
        <stp>FY 2009</stp>
        <stp>FY 2009</stp>
        <stp>[FA1_ymffleas.xlsx]Growth!R55C3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55" s="22"/>
      </tp>
      <tp>
        <v>75.610399999999998</v>
        <stp/>
        <stp>##V3_BDHV12</stp>
        <stp>RCOM IN Equity</stp>
        <stp>PE_RATIO</stp>
        <stp>FY 2017</stp>
        <stp>FY 2017</stp>
        <stp>[FA1_ymffleas.xlsx]Multiples!R6C10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" s="6"/>
      </tp>
      <tp>
        <v>0</v>
        <stp/>
        <stp>##V3_BDHV12</stp>
        <stp>RCOM IN Equity</stp>
        <stp>IS_TOT_CASH_PFD_DVD</stp>
        <stp>FY 2015</stp>
        <stp>FY 2015</stp>
        <stp>[FA1_ymffleas.xlsx]Income - Adjusted!R101C8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1" s="9"/>
      </tp>
      <tp>
        <v>0</v>
        <stp/>
        <stp>##V3_BDHV12</stp>
        <stp>RCOM IN Equity</stp>
        <stp>IS_TOT_CASH_PFD_DVD</stp>
        <stp>FY 2016</stp>
        <stp>FY 2016</stp>
        <stp>[FA1_ymffleas.xlsx]Income - Adjusted!R101C9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1" s="9"/>
      </tp>
      <tp>
        <v>0</v>
        <stp/>
        <stp>##V3_BDHV12</stp>
        <stp>RCOM IN Equity</stp>
        <stp>IS_TOT_CASH_PFD_DVD</stp>
        <stp>FY 2010</stp>
        <stp>FY 2010</stp>
        <stp>[FA1_ymffleas.xlsx]Income - Adjusted!R101C3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1" s="9"/>
      </tp>
      <tp>
        <v>0</v>
        <stp/>
        <stp>##V3_BDHV12</stp>
        <stp>RCOM IN Equity</stp>
        <stp>IS_TOT_CASH_PFD_DVD</stp>
        <stp>FY 2011</stp>
        <stp>FY 2011</stp>
        <stp>[FA1_ymffleas.xlsx]Income - Adjusted!R101C4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1" s="9"/>
      </tp>
      <tp>
        <v>0</v>
        <stp/>
        <stp>##V3_BDHV12</stp>
        <stp>RCOM IN Equity</stp>
        <stp>IS_TOT_CASH_PFD_DVD</stp>
        <stp>FY 2012</stp>
        <stp>FY 2012</stp>
        <stp>[FA1_ymffleas.xlsx]Income - Adjusted!R101C5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1" s="9"/>
      </tp>
      <tp>
        <v>0</v>
        <stp/>
        <stp>##V3_BDHV12</stp>
        <stp>RCOM IN Equity</stp>
        <stp>IS_TOT_CASH_PFD_DVD</stp>
        <stp>FY 2013</stp>
        <stp>FY 2013</stp>
        <stp>[FA1_ymffleas.xlsx]Income - Adjusted!R101C6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1" s="9"/>
      </tp>
      <tp>
        <v>0</v>
        <stp/>
        <stp>##V3_BDHV12</stp>
        <stp>RCOM IN Equity</stp>
        <stp>IS_TOT_CASH_PFD_DVD</stp>
        <stp>FY 2014</stp>
        <stp>FY 2014</stp>
        <stp>[FA1_ymffleas.xlsx]Income - Adjusted!R101C7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1" s="9"/>
      </tp>
      <tp>
        <v>114.64749999999999</v>
        <stp/>
        <stp>##V3_BDHV12</stp>
        <stp>RCOM IN Equity</stp>
        <stp>PE_RATIO</stp>
        <stp>FY 2018</stp>
        <stp>FY 2018</stp>
        <stp>[FA1_ymffleas.xlsx]Multiples!R6C11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" s="6"/>
      </tp>
      <tp>
        <v>-4.9534000000000002</v>
        <stp/>
        <stp>##V3_BDHV12</stp>
        <stp>RCOM IN Equity</stp>
        <stp>GEO_GROW_BOOK_VAL</stp>
        <stp>FY 2014</stp>
        <stp>FY 2014</stp>
        <stp>[FA1_ymffleas.xlsx]Growth!R55C8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55" s="22"/>
      </tp>
      <tp>
        <v>-6.2157</v>
        <stp/>
        <stp>##V3_BDHV12</stp>
        <stp>RCOM IN Equity</stp>
        <stp>GEO_GROW_BOOK_VAL</stp>
        <stp>FY 2015</stp>
        <stp>FY 2015</stp>
        <stp>[FA1_ymffleas.xlsx]Growth!R55C9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55" s="22"/>
      </tp>
      <tp>
        <v>-2120</v>
        <stp/>
        <stp>##V3_BDHV12</stp>
        <stp>RCOM IN Equity</stp>
        <stp>IS_GAIN_LOSS_DISPOSAL_ASSETS</stp>
        <stp>FY 2016</stp>
        <stp>FY 2016</stp>
        <stp>[FA1_ymffleas.xlsx]Reconciliation!R28C9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8" s="12"/>
      </tp>
      <tp>
        <v>-20</v>
        <stp/>
        <stp>##V3_BDHV12</stp>
        <stp>RCOM IN Equity</stp>
        <stp>IS_GAIN_LOSS_DISPOSAL_ASSETS</stp>
        <stp>FY 2015</stp>
        <stp>FY 2015</stp>
        <stp>[FA1_ymffleas.xlsx]Reconciliation!R28C8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8" s="12"/>
      </tp>
      <tp>
        <v>14.9</v>
        <stp/>
        <stp>##V3_BDHV12</stp>
        <stp>RCOM IN Equity</stp>
        <stp>IS_GAIN_LOSS_DISPOSAL_ASSETS</stp>
        <stp>FY 2010</stp>
        <stp>FY 2010</stp>
        <stp>[FA1_ymffleas.xlsx]Reconciliation!R28C3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8" s="12"/>
      </tp>
      <tp>
        <v>200</v>
        <stp/>
        <stp>##V3_BDHV12</stp>
        <stp>RCOM IN Equity</stp>
        <stp>IS_GAIN_LOSS_DISPOSAL_ASSETS</stp>
        <stp>FY 2014</stp>
        <stp>FY 2014</stp>
        <stp>[FA1_ymffleas.xlsx]Reconciliation!R28C7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8" s="12"/>
      </tp>
      <tp>
        <v>300</v>
        <stp/>
        <stp>##V3_BDHV12</stp>
        <stp>RCOM IN Equity</stp>
        <stp>IS_GAIN_LOSS_DISPOSAL_ASSETS</stp>
        <stp>FY 2013</stp>
        <stp>FY 2013</stp>
        <stp>[FA1_ymffleas.xlsx]Reconciliation!R28C6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8" s="12"/>
      </tp>
      <tp>
        <v>-70</v>
        <stp/>
        <stp>##V3_BDHV12</stp>
        <stp>RCOM IN Equity</stp>
        <stp>IS_GAIN_LOSS_DISPOSAL_ASSETS</stp>
        <stp>FY 2012</stp>
        <stp>FY 2012</stp>
        <stp>[FA1_ymffleas.xlsx]Reconciliation!R28C5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8" s="12"/>
      </tp>
      <tp>
        <v>-3309.2</v>
        <stp/>
        <stp>##V3_BDHV12</stp>
        <stp>RCOM IN Equity</stp>
        <stp>IS_GAIN_LOSS_DISPOSAL_ASSETS</stp>
        <stp>FY 2011</stp>
        <stp>FY 2011</stp>
        <stp>[FA1_ymffleas.xlsx]Reconciliation!R28C4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8" s="12"/>
      </tp>
      <tp t="s">
        <v>—</v>
        <stp/>
        <stp>##V3_BDHV12</stp>
        <stp>RCOM IN Equity</stp>
        <stp>PX_TO_CASH_FLOW</stp>
        <stp>FY 2017</stp>
        <stp>FY 2017</stp>
        <stp>[FA1_ymffleas.xlsx]Multiples!R26C10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6" s="6"/>
      </tp>
      <tp>
        <v>22498.9</v>
        <stp/>
        <stp>##V3_BDHV12</stp>
        <stp>RCOM IN Equity</stp>
        <stp>IS_SELLING_EXPENSES</stp>
        <stp>FY 2010</stp>
        <stp>FY 2010</stp>
        <stp>[FA1_ymffleas.xlsx]Income - Adjusted!R23C3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23" s="9"/>
      </tp>
      <tp t="s">
        <v>—</v>
        <stp/>
        <stp>##V3_BDHV12</stp>
        <stp>RCOM IN Equity</stp>
        <stp>PX_TO_CASH_FLOW</stp>
        <stp>FY 2018</stp>
        <stp>FY 2018</stp>
        <stp>[FA1_ymffleas.xlsx]Multiples!R26C11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6" s="6"/>
      </tp>
      <tp>
        <v>21040</v>
        <stp/>
        <stp>##V3_BDHV12</stp>
        <stp>RCOM IN Equity</stp>
        <stp>IS_SELLING_EXPENSES</stp>
        <stp>FY 2011</stp>
        <stp>FY 2011</stp>
        <stp>[FA1_ymffleas.xlsx]Income - Adjusted!R23C4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23" s="9"/>
      </tp>
      <tp>
        <v>19890</v>
        <stp/>
        <stp>##V3_BDHV12</stp>
        <stp>RCOM IN Equity</stp>
        <stp>IS_SELLING_EXPENSES</stp>
        <stp>FY 2012</stp>
        <stp>FY 2012</stp>
        <stp>[FA1_ymffleas.xlsx]Income - Adjusted!R23C5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23" s="9"/>
      </tp>
      <tp>
        <v>18540</v>
        <stp/>
        <stp>##V3_BDHV12</stp>
        <stp>RCOM IN Equity</stp>
        <stp>IS_SELLING_EXPENSES</stp>
        <stp>FY 2013</stp>
        <stp>FY 2013</stp>
        <stp>[FA1_ymffleas.xlsx]Income - Adjusted!R23C6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23" s="9"/>
      </tp>
      <tp>
        <v>15430</v>
        <stp/>
        <stp>##V3_BDHV12</stp>
        <stp>RCOM IN Equity</stp>
        <stp>IS_SELLING_EXPENSES</stp>
        <stp>FY 2014</stp>
        <stp>FY 2014</stp>
        <stp>[FA1_ymffleas.xlsx]Income - Adjusted!R23C7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23" s="9"/>
      </tp>
      <tp>
        <v>16750</v>
        <stp/>
        <stp>##V3_BDHV12</stp>
        <stp>RCOM IN Equity</stp>
        <stp>IS_SELLING_EXPENSES</stp>
        <stp>FY 2015</stp>
        <stp>FY 2015</stp>
        <stp>[FA1_ymffleas.xlsx]Income - Adjusted!R23C8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23" s="9"/>
      </tp>
      <tp>
        <v>17780</v>
        <stp/>
        <stp>##V3_BDHV12</stp>
        <stp>RCOM IN Equity</stp>
        <stp>IS_SELLING_EXPENSES</stp>
        <stp>FY 2016</stp>
        <stp>FY 2016</stp>
        <stp>[FA1_ymffleas.xlsx]Income - Adjusted!R23C9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23" s="9"/>
      </tp>
      <tp>
        <v>8.3747000000000007</v>
        <stp/>
        <stp>##V3_BDHV12</stp>
        <stp>RCOM IN Equity</stp>
        <stp>HIGH_EV_TO_T12M_EBITDA</stp>
        <stp>FY 2016</stp>
        <stp>FY 2016</stp>
        <stp>[FA1_ymffleas.xlsx]Multiples!R43C9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43" s="6"/>
      </tp>
      <tp>
        <v>5.7988999999999997</v>
        <stp/>
        <stp>##V3_BDHV12</stp>
        <stp>RCOM IN Equity</stp>
        <stp>NET_DEBT_TO_EBITDA</stp>
        <stp>FY 2016</stp>
        <stp>FY 2016</stp>
        <stp>[FA1_ymffleas.xlsx]Credit!R11C10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1" s="23"/>
      </tp>
      <tp>
        <v>6.0079000000000002</v>
        <stp/>
        <stp>##V3_BDHV12</stp>
        <stp>RCOM IN Equity</stp>
        <stp>TOT_DEBT_TO_EBITDA</stp>
        <stp>FY 2016</stp>
        <stp>FY 2016</stp>
        <stp>[FA1_ymffleas.xlsx]Credit!R10C10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0" s="23"/>
      </tp>
      <tp>
        <v>0</v>
        <stp/>
        <stp>##V3_BDHV12</stp>
        <stp>RCOM IN Equity</stp>
        <stp>NET_CHG_IN_LT_INVEST_DETAILED</stp>
        <stp>FY 2018</stp>
        <stp>FY 2018</stp>
        <stp>[FA1_ymffleas.xlsx]Cash Flow - Standardized!R26C11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6" s="19"/>
      </tp>
      <tp>
        <v>0</v>
        <stp/>
        <stp>##V3_BDHV12</stp>
        <stp>RCOM IN Equity</stp>
        <stp>NET_CHG_IN_LT_INVEST_DETAILED</stp>
        <stp>FY 2017</stp>
        <stp>FY 2017</stp>
        <stp>[FA1_ymffleas.xlsx]Cash Flow - Standardized!R26C10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6" s="19"/>
      </tp>
      <tp>
        <v>11</v>
        <stp/>
        <stp>##V3_BDHV12</stp>
        <stp>RCOM IN Equity</stp>
        <stp>BOARD_SIZE</stp>
        <stp>FY 2018</stp>
        <stp>FY 2018</stp>
        <stp>[FA1_ymffleas.xlsx]ESG - Overview!R22C12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2" s="34"/>
      </tp>
      <tp>
        <v>6</v>
        <stp/>
        <stp>##V3_BDHV12</stp>
        <stp>RCOM IN Equity</stp>
        <stp>BOARD_SIZE</stp>
        <stp>FY 2017</stp>
        <stp>FY 2017</stp>
        <stp>[FA1_ymffleas.xlsx]ESG - Overview!R22C11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2" s="34"/>
      </tp>
      <tp>
        <v>6</v>
        <stp/>
        <stp>##V3_BDHV12</stp>
        <stp>RCOM IN Equity</stp>
        <stp>BOARD_SIZE</stp>
        <stp>FY 2016</stp>
        <stp>FY 2016</stp>
        <stp>[FA1_ymffleas.xlsx]ESG - Overview!R22C10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2" s="34"/>
      </tp>
      <tp>
        <v>35220</v>
        <stp/>
        <stp>##V3_BDHV12</stp>
        <stp>RCOM IN Equity</stp>
        <stp>T12_CFF</stp>
        <stp>FY 2015</stp>
        <stp>FY 2015</stp>
        <stp>[FA1_ymffleas.xlsx]Yield Analysis!R18C9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" s="26"/>
      </tp>
      <tp>
        <v>-19480</v>
        <stp/>
        <stp>##V3_BDHV12</stp>
        <stp>RCOM IN Equity</stp>
        <stp>T12_CFF</stp>
        <stp>FY 2014</stp>
        <stp>FY 2014</stp>
        <stp>[FA1_ymffleas.xlsx]Yield Analysis!R18C8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" s="26"/>
      </tp>
      <tp>
        <v>56004.2</v>
        <stp/>
        <stp>##V3_BDHV12</stp>
        <stp>RCOM IN Equity</stp>
        <stp>T12_CFF</stp>
        <stp>FY 2009</stp>
        <stp>FY 2009</stp>
        <stp>[FA1_ymffleas.xlsx]Yield Analysis!R18C3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" s="26"/>
      </tp>
      <tp>
        <v>8900</v>
        <stp/>
        <stp>##V3_BDHV12</stp>
        <stp>RCOM IN Equity</stp>
        <stp>T12_CFF</stp>
        <stp>FY 2013</stp>
        <stp>FY 2013</stp>
        <stp>[FA1_ymffleas.xlsx]Yield Analysis!R18C7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" s="26"/>
      </tp>
      <tp>
        <v>-37780</v>
        <stp/>
        <stp>##V3_BDHV12</stp>
        <stp>RCOM IN Equity</stp>
        <stp>T12_CFF</stp>
        <stp>FY 2012</stp>
        <stp>FY 2012</stp>
        <stp>[FA1_ymffleas.xlsx]Yield Analysis!R18C6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" s="26"/>
      </tp>
      <tp>
        <v>94330</v>
        <stp/>
        <stp>##V3_BDHV12</stp>
        <stp>RCOM IN Equity</stp>
        <stp>T12_CFF</stp>
        <stp>FY 2011</stp>
        <stp>FY 2011</stp>
        <stp>[FA1_ymffleas.xlsx]Yield Analysis!R18C5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" s="26"/>
      </tp>
      <tp>
        <v>-71799.5</v>
        <stp/>
        <stp>##V3_BDHV12</stp>
        <stp>RCOM IN Equity</stp>
        <stp>T12_CFF</stp>
        <stp>FY 2010</stp>
        <stp>FY 2010</stp>
        <stp>[FA1_ymffleas.xlsx]Yield Analysis!R18C4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" s="26"/>
      </tp>
      <tp>
        <v>30.4407</v>
        <stp/>
        <stp>##V3_BDHV12</stp>
        <stp>RCOM IN Equity</stp>
        <stp>INCREMENTAL_OPERATING_MARGIN</stp>
        <stp>FY 2009</stp>
        <stp>FY 2009</stp>
        <stp>[FA1_ymffleas.xlsx]Profitability!R15C3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5" s="21"/>
      </tp>
      <tp t="s">
        <v>—</v>
        <stp/>
        <stp>##V3_BDHV12</stp>
        <stp>RCOM IN Equity</stp>
        <stp>ACCOUNTS_PAYABLE_TURNOVER_DAYS</stp>
        <stp>FY 2011</stp>
        <stp>FY 2011</stp>
        <stp>[FA1_ymffleas.xlsx]Working Capital!R11C5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1" s="25"/>
      </tp>
      <tp>
        <v>605934.66839999997</v>
        <stp/>
        <stp>##V3_BDHV12</stp>
        <stp>RCOM IN Equity</stp>
        <stp>ENTERPRISE_VALUE</stp>
        <stp>FY 2010</stp>
        <stp>FY 2010</stp>
        <stp>[FA1_ymffleas.xlsx]Enterprise Value!R11C3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" s="5"/>
      </tp>
      <tp>
        <v>685073.06499999994</v>
        <stp/>
        <stp>##V3_BDHV12</stp>
        <stp>RCOM IN Equity</stp>
        <stp>ENTERPRISE_VALUE</stp>
        <stp>FY 2014</stp>
        <stp>FY 2014</stp>
        <stp>[FA1_ymffleas.xlsx]Enterprise Value!R11C7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" s="5"/>
      </tp>
      <tp>
        <v>524040.68650000001</v>
        <stp/>
        <stp>##V3_BDHV12</stp>
        <stp>RCOM IN Equity</stp>
        <stp>ENTERPRISE_VALUE</stp>
        <stp>FY 2013</stp>
        <stp>FY 2013</stp>
        <stp>[FA1_ymffleas.xlsx]Enterprise Value!R11C6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" s="5"/>
      </tp>
      <tp>
        <v>554421.45929999999</v>
        <stp/>
        <stp>##V3_BDHV12</stp>
        <stp>RCOM IN Equity</stp>
        <stp>ENTERPRISE_VALUE</stp>
        <stp>FY 2012</stp>
        <stp>FY 2012</stp>
        <stp>[FA1_ymffleas.xlsx]Enterprise Value!R11C5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" s="5"/>
      </tp>
      <tp>
        <v>567962.49369999999</v>
        <stp/>
        <stp>##V3_BDHV12</stp>
        <stp>RCOM IN Equity</stp>
        <stp>ENTERPRISE_VALUE</stp>
        <stp>FY 2011</stp>
        <stp>FY 2011</stp>
        <stp>[FA1_ymffleas.xlsx]Enterprise Value!R11C4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" s="5"/>
      </tp>
      <tp>
        <v>548268.98730000004</v>
        <stp/>
        <stp>##V3_BDHV12</stp>
        <stp>RCOM IN Equity</stp>
        <stp>ENTERPRISE_VALUE</stp>
        <stp>FY 2016</stp>
        <stp>FY 2016</stp>
        <stp>[FA1_ymffleas.xlsx]Enterprise Value!R11C9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" s="5"/>
      </tp>
      <tp>
        <v>525452.04989999998</v>
        <stp/>
        <stp>##V3_BDHV12</stp>
        <stp>RCOM IN Equity</stp>
        <stp>ENTERPRISE_VALUE</stp>
        <stp>FY 2015</stp>
        <stp>FY 2015</stp>
        <stp>[FA1_ymffleas.xlsx]Enterprise Value!R11C8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" s="5"/>
      </tp>
      <tp>
        <v>-3880</v>
        <stp/>
        <stp>##V3_BDHV12</stp>
        <stp>RCOM IN Equity</stp>
        <stp>ARD_TOT_CASH_FLOWS_FROM_OPS</stp>
        <stp>FY 2017</stp>
        <stp>FY 2017</stp>
        <stp>[FA1_ymffleas.xlsx]Cash Flow - As Reported!R16C11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" s="20"/>
      </tp>
      <tp>
        <v>141060</v>
        <stp/>
        <stp>##V3_BDHV12</stp>
        <stp>RCOM IN Equity</stp>
        <stp>ARD_TOT_CASH_FLOWS_FROM_OPS</stp>
        <stp>FY 2016</stp>
        <stp>FY 2016</stp>
        <stp>[FA1_ymffleas.xlsx]Cash Flow - As Reported!R16C10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" s="20"/>
      </tp>
      <tp>
        <v>9640</v>
        <stp/>
        <stp>##V3_BDHV12</stp>
        <stp>RCOM IN Equity</stp>
        <stp>ARD_TOT_CASH_FLOWS_FROM_OPS</stp>
        <stp>FY 2018</stp>
        <stp>FY 2018</stp>
        <stp>[FA1_ymffleas.xlsx]Cash Flow - As Reported!R16C12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" s="20"/>
      </tp>
      <tp>
        <v>1270</v>
        <stp/>
        <stp>##V3_BDHV12</stp>
        <stp>RCOM IN Equity</stp>
        <stp>PRETAX_INC</stp>
        <stp>FY 2014</stp>
        <stp>FY 2014</stp>
        <stp>[FA1_ymffleas.xlsx]Earnings!R40C8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40" s="4"/>
      </tp>
      <tp>
        <v>9140</v>
        <stp/>
        <stp>##V3_BDHV12</stp>
        <stp>RCOM IN Equity</stp>
        <stp>PRETAX_INC</stp>
        <stp>FY 2015</stp>
        <stp>FY 2015</stp>
        <stp>[FA1_ymffleas.xlsx]Earnings!R40C9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40" s="4"/>
      </tp>
      <tp t="s">
        <v>—</v>
        <stp/>
        <stp>##V3_BDHV12</stp>
        <stp>RCOM IN Equity</stp>
        <stp>ARDR_OTHER_FINANCIAL_LIAB_ST</stp>
        <stp>FY 2010</stp>
        <stp>FY 2010</stp>
        <stp>[FA1_ymffleas.xlsx]Bal Sheet - As Reported!R182C4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2" s="17"/>
      </tp>
      <tp t="s">
        <v>—</v>
        <stp/>
        <stp>##V3_BDHV12</stp>
        <stp>RCOM IN Equity</stp>
        <stp>ARDR_OTHER_FINANCIAL_LIAB_ST</stp>
        <stp>FY 2011</stp>
        <stp>FY 2011</stp>
        <stp>[FA1_ymffleas.xlsx]Bal Sheet - As Reported!R182C5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2" s="17"/>
      </tp>
      <tp t="s">
        <v>—</v>
        <stp/>
        <stp>##V3_BDHV12</stp>
        <stp>RCOM IN Equity</stp>
        <stp>ARDR_OTHER_FINANCIAL_LIAB_ST</stp>
        <stp>FY 2012</stp>
        <stp>FY 2012</stp>
        <stp>[FA1_ymffleas.xlsx]Bal Sheet - As Reported!R182C6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2" s="17"/>
      </tp>
      <tp t="s">
        <v>—</v>
        <stp/>
        <stp>##V3_BDHV12</stp>
        <stp>RCOM IN Equity</stp>
        <stp>ARDR_OTHER_FINANCIAL_LIAB_ST</stp>
        <stp>FY 2013</stp>
        <stp>FY 2013</stp>
        <stp>[FA1_ymffleas.xlsx]Bal Sheet - As Reported!R182C7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2" s="17"/>
      </tp>
      <tp t="s">
        <v>—</v>
        <stp/>
        <stp>##V3_BDHV12</stp>
        <stp>RCOM IN Equity</stp>
        <stp>ARDR_OTHER_FINANCIAL_LIAB_ST</stp>
        <stp>FY 2009</stp>
        <stp>FY 2009</stp>
        <stp>[FA1_ymffleas.xlsx]Bal Sheet - As Reported!R182C3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2" s="17"/>
      </tp>
      <tp t="s">
        <v>—</v>
        <stp/>
        <stp>##V3_BDHV12</stp>
        <stp>RCOM IN Equity</stp>
        <stp>ARDR_OTHER_FINANCIAL_LIAB_ST</stp>
        <stp>FY 2014</stp>
        <stp>FY 2014</stp>
        <stp>[FA1_ymffleas.xlsx]Bal Sheet - As Reported!R182C8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2" s="17"/>
      </tp>
      <tp t="s">
        <v>—</v>
        <stp/>
        <stp>##V3_BDHV12</stp>
        <stp>RCOM IN Equity</stp>
        <stp>ARDR_OTHER_FINANCIAL_LIAB_ST</stp>
        <stp>FY 2015</stp>
        <stp>FY 2015</stp>
        <stp>[FA1_ymffleas.xlsx]Bal Sheet - As Reported!R182C9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2" s="17"/>
      </tp>
      <tp>
        <v>58687.7</v>
        <stp/>
        <stp>##V3_BDHV12</stp>
        <stp>RCOM IN Equity</stp>
        <stp>PRETAX_INC</stp>
        <stp>FY 2009</stp>
        <stp>FY 2009</stp>
        <stp>[FA1_ymffleas.xlsx]Earnings!R40C3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40" s="4"/>
      </tp>
      <tp>
        <v>53198</v>
        <stp/>
        <stp>##V3_BDHV12</stp>
        <stp>RCOM IN Equity</stp>
        <stp>PRETAX_INC</stp>
        <stp>FY 2010</stp>
        <stp>FY 2010</stp>
        <stp>[FA1_ymffleas.xlsx]Earnings!R40C4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40" s="4"/>
      </tp>
      <tp>
        <v>11290.8</v>
        <stp/>
        <stp>##V3_BDHV12</stp>
        <stp>RCOM IN Equity</stp>
        <stp>PRETAX_INC</stp>
        <stp>FY 2011</stp>
        <stp>FY 2011</stp>
        <stp>[FA1_ymffleas.xlsx]Earnings!R40C5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40" s="4"/>
      </tp>
      <tp>
        <v>56177.3822</v>
        <stp/>
        <stp>##V3_BDHV12</stp>
        <stp>RCOM IN Equity</stp>
        <stp>DILUTED_MKT_CAP</stp>
        <stp>FY 2018</stp>
        <stp>FY 2018</stp>
        <stp>[FA1_ymffleas.xlsx]Enterprise Value!R23C11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3" s="5"/>
      </tp>
      <tp>
        <v>94512.938500000004</v>
        <stp/>
        <stp>##V3_BDHV12</stp>
        <stp>RCOM IN Equity</stp>
        <stp>DILUTED_MKT_CAP</stp>
        <stp>FY 2017</stp>
        <stp>FY 2017</stp>
        <stp>[FA1_ymffleas.xlsx]Enterprise Value!R23C10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3" s="5"/>
      </tp>
      <tp>
        <v>12220</v>
        <stp/>
        <stp>##V3_BDHV12</stp>
        <stp>RCOM IN Equity</stp>
        <stp>PRETAX_INC</stp>
        <stp>FY 2012</stp>
        <stp>FY 2012</stp>
        <stp>[FA1_ymffleas.xlsx]Earnings!R40C6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40" s="4"/>
      </tp>
      <tp>
        <v>8100</v>
        <stp/>
        <stp>##V3_BDHV12</stp>
        <stp>RCOM IN Equity</stp>
        <stp>PRETAX_INC</stp>
        <stp>FY 2013</stp>
        <stp>FY 2013</stp>
        <stp>[FA1_ymffleas.xlsx]Earnings!R40C7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40" s="4"/>
      </tp>
      <tp>
        <v>62060</v>
        <stp/>
        <stp>##V3_BDHV12</stp>
        <stp>RCOM IN Equity</stp>
        <stp>BS_ACCT_PAYABLE</stp>
        <stp>FY 2015</stp>
        <stp>FY 2015</stp>
        <stp>[FA1_ymffleas.xlsx]Bal Sheet - Standardized!R77C9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7" s="16"/>
      </tp>
      <tp>
        <v>35160</v>
        <stp/>
        <stp>##V3_BDHV12</stp>
        <stp>RCOM IN Equity</stp>
        <stp>BS_ACCT_PAYABLE</stp>
        <stp>FY 2014</stp>
        <stp>FY 2014</stp>
        <stp>[FA1_ymffleas.xlsx]Bal Sheet - Standardized!R77C8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7" s="16"/>
      </tp>
      <tp>
        <v>4765.3999999999996</v>
        <stp/>
        <stp>##V3_BDHV12</stp>
        <stp>RCOM IN Equity</stp>
        <stp>BS_ACCT_PAYABLE</stp>
        <stp>FY 2009</stp>
        <stp>FY 2009</stp>
        <stp>[FA1_ymffleas.xlsx]Bal Sheet - Standardized!R77C3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7" s="16"/>
      </tp>
      <tp>
        <v>18890</v>
        <stp/>
        <stp>##V3_BDHV12</stp>
        <stp>RCOM IN Equity</stp>
        <stp>BS_ACCT_PAYABLE</stp>
        <stp>FY 2011</stp>
        <stp>FY 2011</stp>
        <stp>[FA1_ymffleas.xlsx]Bal Sheet - Standardized!R77C5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7" s="16"/>
      </tp>
      <tp>
        <v>19290.099999999999</v>
        <stp/>
        <stp>##V3_BDHV12</stp>
        <stp>RCOM IN Equity</stp>
        <stp>BS_ACCT_PAYABLE</stp>
        <stp>FY 2010</stp>
        <stp>FY 2010</stp>
        <stp>[FA1_ymffleas.xlsx]Bal Sheet - Standardized!R77C4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7" s="16"/>
      </tp>
      <tp>
        <v>23640</v>
        <stp/>
        <stp>##V3_BDHV12</stp>
        <stp>RCOM IN Equity</stp>
        <stp>BS_ACCT_PAYABLE</stp>
        <stp>FY 2013</stp>
        <stp>FY 2013</stp>
        <stp>[FA1_ymffleas.xlsx]Bal Sheet - Standardized!R77C7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7" s="16"/>
      </tp>
      <tp>
        <v>23180</v>
        <stp/>
        <stp>##V3_BDHV12</stp>
        <stp>RCOM IN Equity</stp>
        <stp>BS_ACCT_PAYABLE</stp>
        <stp>FY 2012</stp>
        <stp>FY 2012</stp>
        <stp>[FA1_ymffleas.xlsx]Bal Sheet - Standardized!R77C6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7" s="16"/>
      </tp>
      <tp>
        <v>57.784599999999998</v>
        <stp/>
        <stp>##V3_BDHV12</stp>
        <stp>RCOM IN Equity</stp>
        <stp>TOT_DEBT_TO_TOT_CAP</stp>
        <stp>FY 2016</stp>
        <stp>FY 2016</stp>
        <stp>[FA1_ymffleas.xlsx]Credit!R33C10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3" s="23"/>
      </tp>
      <tp>
        <v>61.220599999999997</v>
        <stp/>
        <stp>##V3_BDHV12</stp>
        <stp>RCOM IN Equity</stp>
        <stp>TOT_DEBT_TO_TOT_CAP</stp>
        <stp>FY 2017</stp>
        <stp>FY 2017</stp>
        <stp>[FA1_ymffleas.xlsx]Credit!R33C11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3" s="23"/>
      </tp>
      <tp>
        <v>93.819199999999995</v>
        <stp/>
        <stp>##V3_BDHV12</stp>
        <stp>RCOM IN Equity</stp>
        <stp>TOT_DEBT_TO_TOT_CAP</stp>
        <stp>FY 2018</stp>
        <stp>FY 2018</stp>
        <stp>[FA1_ymffleas.xlsx]Credit!R33C12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33" s="23"/>
      </tp>
      <tp>
        <v>-152.07320000000001</v>
        <stp/>
        <stp>##V3_BDHV12</stp>
        <stp>RCOM IN Equity</stp>
        <stp>RETURN_COM_EQY</stp>
        <stp>FY 2018</stp>
        <stp>FY 2018</stp>
        <stp>[FA1_ymffleas.xlsx]Profitability!R7C12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7" s="21"/>
      </tp>
      <tp>
        <v>33730</v>
        <stp/>
        <stp>##V3_BDHV12</stp>
        <stp>RCOM IN Equity</stp>
        <stp>IS_COMPARABLE_EBIT</stp>
        <stp>FY 2015</stp>
        <stp>FY 2015</stp>
        <stp>[FA1_ymffleas.xlsx]Earnings!R20C9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" s="4"/>
      </tp>
      <tp>
        <v>21080</v>
        <stp/>
        <stp>##V3_BDHV12</stp>
        <stp>RCOM IN Equity</stp>
        <stp>IS_COMPARABLE_EBIT</stp>
        <stp>FY 2014</stp>
        <stp>FY 2014</stp>
        <stp>[FA1_ymffleas.xlsx]Earnings!R20C8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" s="4"/>
      </tp>
      <tp>
        <v>46496</v>
        <stp/>
        <stp>##V3_BDHV12</stp>
        <stp>RCOM IN Equity</stp>
        <stp>IS_COMPARABLE_EBIT</stp>
        <stp>FY 2009</stp>
        <stp>FY 2009</stp>
        <stp>[FA1_ymffleas.xlsx]Earnings!R20C3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" s="4"/>
      </tp>
      <tp>
        <v>20970</v>
        <stp/>
        <stp>##V3_BDHV12</stp>
        <stp>RCOM IN Equity</stp>
        <stp>IS_COMPARABLE_EBIT</stp>
        <stp>FY 2013</stp>
        <stp>FY 2013</stp>
        <stp>[FA1_ymffleas.xlsx]Earnings!R20C7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" s="4"/>
      </tp>
      <tp>
        <v>18070</v>
        <stp/>
        <stp>##V3_BDHV12</stp>
        <stp>RCOM IN Equity</stp>
        <stp>IS_COMPARABLE_EBIT</stp>
        <stp>FY 2012</stp>
        <stp>FY 2012</stp>
        <stp>[FA1_ymffleas.xlsx]Earnings!R20C6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" s="4"/>
      </tp>
      <tp>
        <v>19004.599999999999</v>
        <stp/>
        <stp>##V3_BDHV12</stp>
        <stp>RCOM IN Equity</stp>
        <stp>IS_COMPARABLE_EBIT</stp>
        <stp>FY 2011</stp>
        <stp>FY 2011</stp>
        <stp>[FA1_ymffleas.xlsx]Earnings!R20C5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" s="4"/>
      </tp>
      <tp>
        <v>34380.699999999997</v>
        <stp/>
        <stp>##V3_BDHV12</stp>
        <stp>RCOM IN Equity</stp>
        <stp>IS_COMPARABLE_EBIT</stp>
        <stp>FY 2010</stp>
        <stp>FY 2010</stp>
        <stp>[FA1_ymffleas.xlsx]Earnings!R20C4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" s="4"/>
      </tp>
      <tp>
        <v>11.5198</v>
        <stp/>
        <stp>##V3_BDHV12</stp>
        <stp>RCOM IN Equity</stp>
        <stp>HIGH_EV_TO_T12M_EBITDA</stp>
        <stp>FY 2015</stp>
        <stp>FY 2015</stp>
        <stp>[FA1_ymffleas.xlsx]Multiples!R43C8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43" s="6"/>
      </tp>
      <tp>
        <v>9.5298999999999996</v>
        <stp/>
        <stp>##V3_BDHV12</stp>
        <stp>RCOM IN Equity</stp>
        <stp>NET_DEBT_TO_EBITDA</stp>
        <stp>FY 2017</stp>
        <stp>FY 2017</stp>
        <stp>[FA1_ymffleas.xlsx]Credit!R11C11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1" s="23"/>
      </tp>
      <tp>
        <v>9.8117999999999999</v>
        <stp/>
        <stp>##V3_BDHV12</stp>
        <stp>RCOM IN Equity</stp>
        <stp>TOT_DEBT_TO_EBITDA</stp>
        <stp>FY 2017</stp>
        <stp>FY 2017</stp>
        <stp>[FA1_ymffleas.xlsx]Credit!R10C11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0" s="23"/>
      </tp>
      <tp>
        <v>194420</v>
        <stp/>
        <stp>##V3_BDHV12</stp>
        <stp>RCOM IN Equity</stp>
        <stp>OTHER_INS_RES_TO_SHRHLDR_EQY</stp>
        <stp>FY 2011</stp>
        <stp>FY 2011</stp>
        <stp>[FA1_ymffleas.xlsx]Bal Sheet - Standardized!R145C5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45" s="16"/>
      </tp>
      <tp>
        <v>234792.2</v>
        <stp/>
        <stp>##V3_BDHV12</stp>
        <stp>RCOM IN Equity</stp>
        <stp>OTHER_INS_RES_TO_SHRHLDR_EQY</stp>
        <stp>FY 2010</stp>
        <stp>FY 2010</stp>
        <stp>[FA1_ymffleas.xlsx]Bal Sheet - Standardized!R145C4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45" s="16"/>
      </tp>
      <tp>
        <v>122070</v>
        <stp/>
        <stp>##V3_BDHV12</stp>
        <stp>RCOM IN Equity</stp>
        <stp>OTHER_INS_RES_TO_SHRHLDR_EQY</stp>
        <stp>FY 2013</stp>
        <stp>FY 2013</stp>
        <stp>[FA1_ymffleas.xlsx]Bal Sheet - Standardized!R145C7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45" s="16"/>
      </tp>
      <tp t="s">
        <v>—</v>
        <stp/>
        <stp>##V3_BDHV12</stp>
        <stp>RCOM IN Equity</stp>
        <stp>ARDR_TOTAL_FINL_LOSSES_GAINS</stp>
        <stp>FY 2015</stp>
        <stp>FY 2015</stp>
        <stp>[FA1_ymffleas.xlsx]Income - As Reported!R105C9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5" s="11"/>
      </tp>
      <tp t="s">
        <v>—</v>
        <stp/>
        <stp>##V3_BDHV12</stp>
        <stp>RCOM IN Equity</stp>
        <stp>ARDR_TOTAL_FINL_LOSSES_GAINS</stp>
        <stp>FY 2014</stp>
        <stp>FY 2014</stp>
        <stp>[FA1_ymffleas.xlsx]Income - As Reported!R105C8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5" s="11"/>
      </tp>
      <tp>
        <v>10711.1</v>
        <stp/>
        <stp>##V3_BDHV12</stp>
        <stp>RCOM IN Equity</stp>
        <stp>ARDR_TOTAL_FINL_LOSSES_GAINS</stp>
        <stp>FY 2009</stp>
        <stp>FY 2009</stp>
        <stp>[FA1_ymffleas.xlsx]Income - As Reported!R105C3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5" s="11"/>
      </tp>
      <tp t="s">
        <v>—</v>
        <stp/>
        <stp>##V3_BDHV12</stp>
        <stp>RCOM IN Equity</stp>
        <stp>ARDR_TOTAL_FINL_LOSSES_GAINS</stp>
        <stp>FY 2013</stp>
        <stp>FY 2013</stp>
        <stp>[FA1_ymffleas.xlsx]Income - As Reported!R105C7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5" s="11"/>
      </tp>
      <tp t="s">
        <v>—</v>
        <stp/>
        <stp>##V3_BDHV12</stp>
        <stp>RCOM IN Equity</stp>
        <stp>ARDR_TOTAL_FINL_LOSSES_GAINS</stp>
        <stp>FY 2012</stp>
        <stp>FY 2012</stp>
        <stp>[FA1_ymffleas.xlsx]Income - As Reported!R105C6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5" s="11"/>
      </tp>
      <tp t="s">
        <v>—</v>
        <stp/>
        <stp>##V3_BDHV12</stp>
        <stp>RCOM IN Equity</stp>
        <stp>ARDR_TOTAL_FINL_LOSSES_GAINS</stp>
        <stp>FY 2011</stp>
        <stp>FY 2011</stp>
        <stp>[FA1_ymffleas.xlsx]Income - As Reported!R105C5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5" s="11"/>
      </tp>
      <tp>
        <v>-10931.8</v>
        <stp/>
        <stp>##V3_BDHV12</stp>
        <stp>RCOM IN Equity</stp>
        <stp>ARDR_TOTAL_FINL_LOSSES_GAINS</stp>
        <stp>FY 2010</stp>
        <stp>FY 2010</stp>
        <stp>[FA1_ymffleas.xlsx]Income - As Reported!R105C4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5" s="11"/>
      </tp>
      <tp>
        <v>149960</v>
        <stp/>
        <stp>##V3_BDHV12</stp>
        <stp>RCOM IN Equity</stp>
        <stp>OTHER_INS_RES_TO_SHRHLDR_EQY</stp>
        <stp>FY 2012</stp>
        <stp>FY 2012</stp>
        <stp>[FA1_ymffleas.xlsx]Bal Sheet - Standardized!R145C6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45" s="16"/>
      </tp>
      <tp>
        <v>264450.59999999998</v>
        <stp/>
        <stp>##V3_BDHV12</stp>
        <stp>RCOM IN Equity</stp>
        <stp>OTHER_INS_RES_TO_SHRHLDR_EQY</stp>
        <stp>FY 2009</stp>
        <stp>FY 2009</stp>
        <stp>[FA1_ymffleas.xlsx]Bal Sheet - Standardized!R145C3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45" s="16"/>
      </tp>
      <tp>
        <v>86520</v>
        <stp/>
        <stp>##V3_BDHV12</stp>
        <stp>RCOM IN Equity</stp>
        <stp>OTHER_INS_RES_TO_SHRHLDR_EQY</stp>
        <stp>FY 2015</stp>
        <stp>FY 2015</stp>
        <stp>[FA1_ymffleas.xlsx]Bal Sheet - Standardized!R145C9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45" s="16"/>
      </tp>
      <tp>
        <v>102850</v>
        <stp/>
        <stp>##V3_BDHV12</stp>
        <stp>RCOM IN Equity</stp>
        <stp>OTHER_INS_RES_TO_SHRHLDR_EQY</stp>
        <stp>FY 2014</stp>
        <stp>FY 2014</stp>
        <stp>[FA1_ymffleas.xlsx]Bal Sheet - Standardized!R145C8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45" s="16"/>
      </tp>
      <tp t="s">
        <v>—</v>
        <stp/>
        <stp>##V3_BDHV12</stp>
        <stp>RCOM IN Equity</stp>
        <stp>ARDR_WRITEDOWN_IMPAIR_OF_ASSETS</stp>
        <stp>FY 2016</stp>
        <stp>FY 2016</stp>
        <stp>[FA1_ymffleas.xlsx]Income - As Reported!R72C10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2" s="11"/>
      </tp>
      <tp t="s">
        <v>—</v>
        <stp/>
        <stp>##V3_BDHV12</stp>
        <stp>RCOM IN Equity</stp>
        <stp>ARDR_WRITEDOWN_IMPAIR_OF_ASSETS</stp>
        <stp>FY 2017</stp>
        <stp>FY 2017</stp>
        <stp>[FA1_ymffleas.xlsx]Income - As Reported!R72C11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2" s="11"/>
      </tp>
      <tp t="s">
        <v>—</v>
        <stp/>
        <stp>##V3_BDHV12</stp>
        <stp>RCOM IN Equity</stp>
        <stp>ARDR_WRITEDOWN_IMPAIR_OF_ASSETS</stp>
        <stp>FY 2018</stp>
        <stp>FY 2018</stp>
        <stp>[FA1_ymffleas.xlsx]Income - As Reported!R72C12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2" s="11"/>
      </tp>
      <tp>
        <v>5640</v>
        <stp/>
        <stp>##V3_BDHV12</stp>
        <stp>RCOM IN Equity</stp>
        <stp>ARD_CASH_CASH_EQUIV_END_OF_PER</stp>
        <stp>FY 2016</stp>
        <stp>FY 2016</stp>
        <stp>[FA1_ymffleas.xlsx]Cash Flow - As Reported!R63C10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3" s="20"/>
      </tp>
      <tp>
        <v>8150</v>
        <stp/>
        <stp>##V3_BDHV12</stp>
        <stp>RCOM IN Equity</stp>
        <stp>ARD_CASH_CASH_EQUIV_END_OF_PER</stp>
        <stp>FY 2017</stp>
        <stp>FY 2017</stp>
        <stp>[FA1_ymffleas.xlsx]Cash Flow - As Reported!R63C11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3" s="20"/>
      </tp>
      <tp>
        <v>6070</v>
        <stp/>
        <stp>##V3_BDHV12</stp>
        <stp>RCOM IN Equity</stp>
        <stp>ARD_CASH_CASH_EQUIV_END_OF_PER</stp>
        <stp>FY 2018</stp>
        <stp>FY 2018</stp>
        <stp>[FA1_ymffleas.xlsx]Cash Flow - As Reported!R63C12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3" s="20"/>
      </tp>
      <tp>
        <v>2430</v>
        <stp/>
        <stp>##V3_BDHV12</stp>
        <stp>RCOM IN Equity</stp>
        <stp>IS_OPER_INC</stp>
        <stp>FY 2018</stp>
        <stp>FY 2018</stp>
        <stp>[FA1_ymffleas.xlsx]Reconciliation!R7C11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7" s="12"/>
      </tp>
      <tp>
        <v>4400</v>
        <stp/>
        <stp>##V3_BDHV12</stp>
        <stp>RCOM IN Equity</stp>
        <stp>IS_OPER_INC</stp>
        <stp>FY 2017</stp>
        <stp>FY 2017</stp>
        <stp>[FA1_ymffleas.xlsx]Reconciliation!R7C10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7" s="12"/>
      </tp>
      <tp>
        <v>2030</v>
        <stp/>
        <stp>##V3_BDHV12</stp>
        <stp>RCOM IN Equity</stp>
        <stp>ARDR_OTHER_RESERVE</stp>
        <stp>FY 2018</stp>
        <stp>FY 2018</stp>
        <stp>[FA1_ymffleas.xlsx]Bal Sheet - As Reported!R150C12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0" s="17"/>
      </tp>
      <tp>
        <v>14860</v>
        <stp/>
        <stp>##V3_BDHV12</stp>
        <stp>RCOM IN Equity</stp>
        <stp>ARDR_OTHER_RESERVE</stp>
        <stp>FY 2017</stp>
        <stp>FY 2017</stp>
        <stp>[FA1_ymffleas.xlsx]Bal Sheet - As Reported!R150C11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0" s="17"/>
      </tp>
      <tp>
        <v>14880</v>
        <stp/>
        <stp>##V3_BDHV12</stp>
        <stp>RCOM IN Equity</stp>
        <stp>ARDR_OTHER_RESERVE</stp>
        <stp>FY 2016</stp>
        <stp>FY 2016</stp>
        <stp>[FA1_ymffleas.xlsx]Bal Sheet - As Reported!R150C10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0" s="17"/>
      </tp>
      <tp t="s">
        <v>—</v>
        <stp/>
        <stp>##V3_BDHV12</stp>
        <stp>RCOM IN Equity</stp>
        <stp>ARD_TOTAL_OPERATING_EXPENSES</stp>
        <stp>FY 2010</stp>
        <stp>FY 2010</stp>
        <stp>[FA1_ymffleas.xlsx]As Reported Summary!R10C4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" s="30"/>
      </tp>
      <tp t="s">
        <v>—</v>
        <stp/>
        <stp>##V3_BDHV12</stp>
        <stp>RCOM IN Equity</stp>
        <stp>ARD_TOTAL_OPERATING_EXPENSES</stp>
        <stp>FY 2011</stp>
        <stp>FY 2011</stp>
        <stp>[FA1_ymffleas.xlsx]As Reported Summary!R10C5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" s="30"/>
      </tp>
      <tp t="s">
        <v>—</v>
        <stp/>
        <stp>##V3_BDHV12</stp>
        <stp>RCOM IN Equity</stp>
        <stp>ARD_TOTAL_OPERATING_EXPENSES</stp>
        <stp>FY 2012</stp>
        <stp>FY 2012</stp>
        <stp>[FA1_ymffleas.xlsx]As Reported Summary!R10C6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" s="30"/>
      </tp>
      <tp t="s">
        <v>—</v>
        <stp/>
        <stp>##V3_BDHV12</stp>
        <stp>RCOM IN Equity</stp>
        <stp>ARD_TOTAL_OPERATING_EXPENSES</stp>
        <stp>FY 2013</stp>
        <stp>FY 2013</stp>
        <stp>[FA1_ymffleas.xlsx]As Reported Summary!R10C7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" s="30"/>
      </tp>
      <tp t="s">
        <v>—</v>
        <stp/>
        <stp>##V3_BDHV12</stp>
        <stp>RCOM IN Equity</stp>
        <stp>ARD_TOTAL_OPERATING_EXPENSES</stp>
        <stp>FY 2009</stp>
        <stp>FY 2009</stp>
        <stp>[FA1_ymffleas.xlsx]As Reported Summary!R10C3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" s="30"/>
      </tp>
      <tp t="s">
        <v>—</v>
        <stp/>
        <stp>##V3_BDHV12</stp>
        <stp>RCOM IN Equity</stp>
        <stp>ARD_TOTAL_OPERATING_EXPENSES</stp>
        <stp>FY 2014</stp>
        <stp>FY 2014</stp>
        <stp>[FA1_ymffleas.xlsx]As Reported Summary!R10C8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" s="30"/>
      </tp>
      <tp t="s">
        <v>—</v>
        <stp/>
        <stp>##V3_BDHV12</stp>
        <stp>RCOM IN Equity</stp>
        <stp>ARD_TOTAL_OPERATING_EXPENSES</stp>
        <stp>FY 2015</stp>
        <stp>FY 2015</stp>
        <stp>[FA1_ymffleas.xlsx]As Reported Summary!R10C9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" s="30"/>
      </tp>
      <tp t="s">
        <v>—</v>
        <stp/>
        <stp>##V3_BDHV12</stp>
        <stp>RCOM IN Equity</stp>
        <stp>ACCOUNTS_PAYABLE_TURNOVER_DAYS</stp>
        <stp>FY 2010</stp>
        <stp>FY 2010</stp>
        <stp>[FA1_ymffleas.xlsx]Working Capital!R11C4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1" s="25"/>
      </tp>
      <tp t="s">
        <v>—</v>
        <stp/>
        <stp>##V3_BDHV12</stp>
        <stp>RCOM IN Equity</stp>
        <stp>ARD_DILUTED_EPS_BEF_XO_ITEMS</stp>
        <stp>FY 2009</stp>
        <stp>FY 2009</stp>
        <stp>[FA1_ymffleas.xlsx]Income - As Reported!R44C3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4" s="11"/>
      </tp>
      <tp t="s">
        <v>—</v>
        <stp/>
        <stp>##V3_BDHV12</stp>
        <stp>RCOM IN Equity</stp>
        <stp>ARD_DILUTED_EPS_BEF_XO_ITEMS</stp>
        <stp>FY 2010</stp>
        <stp>FY 2010</stp>
        <stp>[FA1_ymffleas.xlsx]Income - As Reported!R44C4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4" s="11"/>
      </tp>
      <tp>
        <v>120</v>
        <stp/>
        <stp>##V3_BDHV12</stp>
        <stp>RCOM IN Equity</stp>
        <stp>ARDR_COST_OF_STORES_AND_SPARES</stp>
        <stp>FY 2017</stp>
        <stp>FY 2017</stp>
        <stp>[FA1_ymffleas.xlsx]Income - As Reported!R124C11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4" s="11"/>
      </tp>
      <tp>
        <v>870</v>
        <stp/>
        <stp>##V3_BDHV12</stp>
        <stp>RCOM IN Equity</stp>
        <stp>ARDR_COST_OF_STORES_AND_SPARES</stp>
        <stp>FY 2016</stp>
        <stp>FY 2016</stp>
        <stp>[FA1_ymffleas.xlsx]Income - As Reported!R124C10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4" s="11"/>
      </tp>
      <tp>
        <v>190</v>
        <stp/>
        <stp>##V3_BDHV12</stp>
        <stp>RCOM IN Equity</stp>
        <stp>ARDR_COST_OF_STORES_AND_SPARES</stp>
        <stp>FY 2018</stp>
        <stp>FY 2018</stp>
        <stp>[FA1_ymffleas.xlsx]Income - As Reported!R124C12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4" s="11"/>
      </tp>
      <tp t="s">
        <v>—</v>
        <stp/>
        <stp>##V3_BDHV12</stp>
        <stp>RCOM IN Equity</stp>
        <stp>ARD_DILUTED_EPS_BEF_XO_ITEMS</stp>
        <stp>FY 2011</stp>
        <stp>FY 2011</stp>
        <stp>[FA1_ymffleas.xlsx]Income - As Reported!R44C5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4" s="11"/>
      </tp>
      <tp>
        <v>4.41</v>
        <stp/>
        <stp>##V3_BDHV12</stp>
        <stp>RCOM IN Equity</stp>
        <stp>ARD_DILUTED_EPS_BEF_XO_ITEMS</stp>
        <stp>FY 2012</stp>
        <stp>FY 2012</stp>
        <stp>[FA1_ymffleas.xlsx]Income - As Reported!R44C6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4" s="11"/>
      </tp>
      <tp t="s">
        <v>—</v>
        <stp/>
        <stp>##V3_BDHV12</stp>
        <stp>RCOM IN Equity</stp>
        <stp>ARDR_COMMERCIAL_PAPER_CURRENT</stp>
        <stp>FY 2017</stp>
        <stp>FY 2017</stp>
        <stp>[FA1_ymffleas.xlsx]Bal Sheet - As Reported!R190C11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0" s="17"/>
      </tp>
      <tp t="s">
        <v>—</v>
        <stp/>
        <stp>##V3_BDHV12</stp>
        <stp>RCOM IN Equity</stp>
        <stp>ARDR_COMMERCIAL_PAPER_CURRENT</stp>
        <stp>FY 2016</stp>
        <stp>FY 2016</stp>
        <stp>[FA1_ymffleas.xlsx]Bal Sheet - As Reported!R190C10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0" s="17"/>
      </tp>
      <tp t="s">
        <v>—</v>
        <stp/>
        <stp>##V3_BDHV12</stp>
        <stp>RCOM IN Equity</stp>
        <stp>ARDR_COMMERCIAL_PAPER_CURRENT</stp>
        <stp>FY 2018</stp>
        <stp>FY 2018</stp>
        <stp>[FA1_ymffleas.xlsx]Bal Sheet - As Reported!R190C12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0" s="17"/>
      </tp>
      <tp t="s">
        <v>—</v>
        <stp/>
        <stp>##V3_BDHV12</stp>
        <stp>RCOM IN Equity</stp>
        <stp>ARD_DILUTED_EPS_BEF_XO_ITEMS</stp>
        <stp>FY 2013</stp>
        <stp>FY 2013</stp>
        <stp>[FA1_ymffleas.xlsx]Income - As Reported!R44C7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4" s="11"/>
      </tp>
      <tp>
        <v>182640</v>
        <stp/>
        <stp>##V3_BDHV12</stp>
        <stp>RCOM IN Equity</stp>
        <stp>ARDR_CAPEX_AS_REPORTED</stp>
        <stp>FY 2016</stp>
        <stp>FY 2016</stp>
        <stp>[FA1_ymffleas.xlsx]Income - As Reported!R134C10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4" s="11"/>
      </tp>
      <tp>
        <v>35790</v>
        <stp/>
        <stp>##V3_BDHV12</stp>
        <stp>RCOM IN Equity</stp>
        <stp>ARDR_CAPEX_AS_REPORTED</stp>
        <stp>FY 2017</stp>
        <stp>FY 2017</stp>
        <stp>[FA1_ymffleas.xlsx]Income - As Reported!R134C11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4" s="11"/>
      </tp>
      <tp>
        <v>24160</v>
        <stp/>
        <stp>##V3_BDHV12</stp>
        <stp>RCOM IN Equity</stp>
        <stp>ARDR_CAPEX_AS_REPORTED</stp>
        <stp>FY 2018</stp>
        <stp>FY 2018</stp>
        <stp>[FA1_ymffleas.xlsx]Income - As Reported!R134C12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4" s="11"/>
      </tp>
      <tp t="s">
        <v>—</v>
        <stp/>
        <stp>##V3_BDHV12</stp>
        <stp>RCOM IN Equity</stp>
        <stp>ARD_DILUTED_EPS_BEF_XO_ITEMS</stp>
        <stp>FY 2014</stp>
        <stp>FY 2014</stp>
        <stp>[FA1_ymffleas.xlsx]Income - As Reported!R44C8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4" s="11"/>
      </tp>
      <tp>
        <v>-27.352599999999999</v>
        <stp/>
        <stp>##V3_BDHV12</stp>
        <stp>RCOM IN Equity</stp>
        <stp>RETURN_ON_ASSET</stp>
        <stp>FY 2018</stp>
        <stp>FY 2018</stp>
        <stp>[FA1_ymffleas.xlsx]Profitability!R8C12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8" s="21"/>
      </tp>
      <tp t="s">
        <v>—</v>
        <stp/>
        <stp>##V3_BDHV12</stp>
        <stp>RCOM IN Equity</stp>
        <stp>ARD_DILUTED_EPS_BEF_XO_ITEMS</stp>
        <stp>FY 2015</stp>
        <stp>FY 2015</stp>
        <stp>[FA1_ymffleas.xlsx]Income - As Reported!R44C9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4" s="11"/>
      </tp>
      <tp t="s">
        <v>—</v>
        <stp/>
        <stp>##V3_BDHV12</stp>
        <stp>RCOM IN Equity</stp>
        <stp>AVERAGE_PRICE_TO_FREE_CASH_FLOW</stp>
        <stp>FY 2018</stp>
        <stp>FY 2018</stp>
        <stp>[FA1_ymffleas.xlsx]Multiples!R32C11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2" s="6"/>
      </tp>
      <tp t="s">
        <v>—</v>
        <stp/>
        <stp>##V3_BDHV12</stp>
        <stp>RCOM IN Equity</stp>
        <stp>AVERAGE_PRICE_TO_FREE_CASH_FLOW</stp>
        <stp>FY 2017</stp>
        <stp>FY 2017</stp>
        <stp>[FA1_ymffleas.xlsx]Multiples!R32C10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2" s="6"/>
      </tp>
      <tp>
        <v>5.9799999999999999E-2</v>
        <stp/>
        <stp>##V3_BDHV12</stp>
        <stp>RCOM IN Equity</stp>
        <stp>CFO_TO_AVG_CURRENT_LIABILITIES</stp>
        <stp>FY 2013</stp>
        <stp>FY 2013</stp>
        <stp>[FA1_ymffleas.xlsx]Liquidity!R9C7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" s="24"/>
      </tp>
      <tp>
        <v>0.1489</v>
        <stp/>
        <stp>##V3_BDHV12</stp>
        <stp>RCOM IN Equity</stp>
        <stp>CFO_TO_AVG_CURRENT_LIABILITIES</stp>
        <stp>FY 2012</stp>
        <stp>FY 2012</stp>
        <stp>[FA1_ymffleas.xlsx]Liquidity!R9C6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" s="24"/>
      </tp>
      <tp>
        <v>3.49E-2</v>
        <stp/>
        <stp>##V3_BDHV12</stp>
        <stp>RCOM IN Equity</stp>
        <stp>CFO_TO_AVG_CURRENT_LIABILITIES</stp>
        <stp>FY 2011</stp>
        <stp>FY 2011</stp>
        <stp>[FA1_ymffleas.xlsx]Liquidity!R9C5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" s="24"/>
      </tp>
      <tp>
        <v>0.26740000000000003</v>
        <stp/>
        <stp>##V3_BDHV12</stp>
        <stp>RCOM IN Equity</stp>
        <stp>CFO_TO_AVG_CURRENT_LIABILITIES</stp>
        <stp>FY 2010</stp>
        <stp>FY 2010</stp>
        <stp>[FA1_ymffleas.xlsx]Liquidity!R9C4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" s="24"/>
      </tp>
      <tp>
        <v>0.161</v>
        <stp/>
        <stp>##V3_BDHV12</stp>
        <stp>RCOM IN Equity</stp>
        <stp>CFO_TO_AVG_CURRENT_LIABILITIES</stp>
        <stp>FY 2009</stp>
        <stp>FY 2009</stp>
        <stp>[FA1_ymffleas.xlsx]Liquidity!R9C3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" s="24"/>
      </tp>
      <tp>
        <v>8520</v>
        <stp/>
        <stp>##V3_BDHV12</stp>
        <stp>RCOM IN Equity</stp>
        <stp>ARD_NET_CHANGE_IN_CASH</stp>
        <stp>FY 2015</stp>
        <stp>FY 2015</stp>
        <stp>[FA1_ymffleas.xlsx]As Reported Summary!R31C9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1" s="30"/>
      </tp>
      <tp>
        <v>-2280</v>
        <stp/>
        <stp>##V3_BDHV12</stp>
        <stp>RCOM IN Equity</stp>
        <stp>ARD_NET_CHANGE_IN_CASH</stp>
        <stp>FY 2014</stp>
        <stp>FY 2014</stp>
        <stp>[FA1_ymffleas.xlsx]As Reported Summary!R31C8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1" s="30"/>
      </tp>
      <tp>
        <v>7426.8</v>
        <stp/>
        <stp>##V3_BDHV12</stp>
        <stp>RCOM IN Equity</stp>
        <stp>ARD_NET_CHANGE_IN_CASH</stp>
        <stp>FY 2009</stp>
        <stp>FY 2009</stp>
        <stp>[FA1_ymffleas.xlsx]As Reported Summary!R31C3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1" s="30"/>
      </tp>
      <tp>
        <v>1800</v>
        <stp/>
        <stp>##V3_BDHV12</stp>
        <stp>RCOM IN Equity</stp>
        <stp>ARD_NET_CHANGE_IN_CASH</stp>
        <stp>FY 2013</stp>
        <stp>FY 2013</stp>
        <stp>[FA1_ymffleas.xlsx]As Reported Summary!R31C7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1" s="30"/>
      </tp>
      <tp>
        <v>-43170</v>
        <stp/>
        <stp>##V3_BDHV12</stp>
        <stp>RCOM IN Equity</stp>
        <stp>ARD_NET_CHANGE_IN_CASH</stp>
        <stp>FY 2012</stp>
        <stp>FY 2012</stp>
        <stp>[FA1_ymffleas.xlsx]As Reported Summary!R31C6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1" s="30"/>
      </tp>
      <tp>
        <v>40470</v>
        <stp/>
        <stp>##V3_BDHV12</stp>
        <stp>RCOM IN Equity</stp>
        <stp>ARD_NET_CHANGE_IN_CASH</stp>
        <stp>FY 2011</stp>
        <stp>FY 2011</stp>
        <stp>[FA1_ymffleas.xlsx]As Reported Summary!R31C5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1" s="30"/>
      </tp>
      <tp>
        <v>-8653</v>
        <stp/>
        <stp>##V3_BDHV12</stp>
        <stp>RCOM IN Equity</stp>
        <stp>ARD_NET_CHANGE_IN_CASH</stp>
        <stp>FY 2010</stp>
        <stp>FY 2010</stp>
        <stp>[FA1_ymffleas.xlsx]As Reported Summary!R31C4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1" s="30"/>
      </tp>
      <tp>
        <v>2.0899999999999998E-2</v>
        <stp/>
        <stp>##V3_BDHV12</stp>
        <stp>RCOM IN Equity</stp>
        <stp>CFO_TO_AVG_CURRENT_LIABILITIES</stp>
        <stp>FY 2015</stp>
        <stp>FY 2015</stp>
        <stp>[FA1_ymffleas.xlsx]Liquidity!R9C9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" s="24"/>
      </tp>
      <tp>
        <v>0.158</v>
        <stp/>
        <stp>##V3_BDHV12</stp>
        <stp>RCOM IN Equity</stp>
        <stp>CFO_TO_AVG_CURRENT_LIABILITIES</stp>
        <stp>FY 2014</stp>
        <stp>FY 2014</stp>
        <stp>[FA1_ymffleas.xlsx]Liquidity!R9C8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" s="24"/>
      </tp>
      <tp>
        <v>22.610800000000001</v>
        <stp/>
        <stp>##V3_BDHV12</stp>
        <stp>RCOM IN Equity</stp>
        <stp>LT_DEBT_TO_TOT_ASSET</stp>
        <stp>FY 2017</stp>
        <stp>FY 2017</stp>
        <stp>[FA1_ymffleas.xlsx]Liquidity!R14C11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4" s="24"/>
      </tp>
      <tp>
        <v>28.141999999999999</v>
        <stp/>
        <stp>##V3_BDHV12</stp>
        <stp>RCOM IN Equity</stp>
        <stp>LT_DEBT_TO_TOT_ASSET</stp>
        <stp>FY 2016</stp>
        <stp>FY 2016</stp>
        <stp>[FA1_ymffleas.xlsx]Liquidity!R14C10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4" s="24"/>
      </tp>
      <tp>
        <v>17.525300000000001</v>
        <stp/>
        <stp>##V3_BDHV12</stp>
        <stp>RCOM IN Equity</stp>
        <stp>LT_DEBT_TO_TOT_ASSET</stp>
        <stp>FY 2018</stp>
        <stp>FY 2018</stp>
        <stp>[FA1_ymffleas.xlsx]Liquidity!R14C12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4" s="24"/>
      </tp>
      <tp>
        <v>118716.2</v>
        <stp/>
        <stp>##V3_BDHV12</stp>
        <stp>RCOM IN Equity</stp>
        <stp>BS_ST_BORROW</stp>
        <stp>FY 2009</stp>
        <stp>FY 2009</stp>
        <stp>[FA1_ymffleas.xlsx]Credit!R7C3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" s="23"/>
      </tp>
      <tp>
        <v>128690</v>
        <stp/>
        <stp>##V3_BDHV12</stp>
        <stp>RCOM IN Equity</stp>
        <stp>BS_ST_BORROW</stp>
        <stp>FY 2013</stp>
        <stp>FY 2013</stp>
        <stp>[FA1_ymffleas.xlsx]Credit!R7C7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" s="23"/>
      </tp>
      <tp>
        <v>86570</v>
        <stp/>
        <stp>##V3_BDHV12</stp>
        <stp>RCOM IN Equity</stp>
        <stp>BS_ST_BORROW</stp>
        <stp>FY 2012</stp>
        <stp>FY 2012</stp>
        <stp>[FA1_ymffleas.xlsx]Credit!R7C6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" s="23"/>
      </tp>
      <tp>
        <v>197580</v>
        <stp/>
        <stp>##V3_BDHV12</stp>
        <stp>RCOM IN Equity</stp>
        <stp>BS_ST_BORROW</stp>
        <stp>FY 2011</stp>
        <stp>FY 2011</stp>
        <stp>[FA1_ymffleas.xlsx]Credit!R7C5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" s="23"/>
      </tp>
      <tp>
        <v>104636</v>
        <stp/>
        <stp>##V3_BDHV12</stp>
        <stp>RCOM IN Equity</stp>
        <stp>BS_ST_BORROW</stp>
        <stp>FY 2010</stp>
        <stp>FY 2010</stp>
        <stp>[FA1_ymffleas.xlsx]Credit!R7C4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" s="23"/>
      </tp>
      <tp>
        <v>94830</v>
        <stp/>
        <stp>##V3_BDHV12</stp>
        <stp>RCOM IN Equity</stp>
        <stp>BS_ST_BORROW</stp>
        <stp>FY 2015</stp>
        <stp>FY 2015</stp>
        <stp>[FA1_ymffleas.xlsx]Credit!R7C9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" s="23"/>
      </tp>
      <tp>
        <v>140850</v>
        <stp/>
        <stp>##V3_BDHV12</stp>
        <stp>RCOM IN Equity</stp>
        <stp>BS_ST_BORROW</stp>
        <stp>FY 2014</stp>
        <stp>FY 2014</stp>
        <stp>[FA1_ymffleas.xlsx]Credit!R7C8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" s="23"/>
      </tp>
      <tp>
        <v>-720</v>
        <stp/>
        <stp>##V3_BDHV12</stp>
        <stp>RCOM IN Equity</stp>
        <stp>T12_OTHER_CFF</stp>
        <stp>FY 2018</stp>
        <stp>FY 2018</stp>
        <stp>[FA1_ymffleas.xlsx]Yield Analysis!R40C12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0" s="26"/>
      </tp>
      <tp>
        <v>-32970</v>
        <stp/>
        <stp>##V3_BDHV12</stp>
        <stp>RCOM IN Equity</stp>
        <stp>T12_OTHER_CFF</stp>
        <stp>FY 2016</stp>
        <stp>FY 2016</stp>
        <stp>[FA1_ymffleas.xlsx]Yield Analysis!R40C10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0" s="26"/>
      </tp>
      <tp>
        <v>-1640</v>
        <stp/>
        <stp>##V3_BDHV12</stp>
        <stp>RCOM IN Equity</stp>
        <stp>T12_OTHER_CFF</stp>
        <stp>FY 2017</stp>
        <stp>FY 2017</stp>
        <stp>[FA1_ymffleas.xlsx]Yield Analysis!R40C11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0" s="26"/>
      </tp>
      <tp>
        <v>-720</v>
        <stp/>
        <stp>##V3_BDHV12</stp>
        <stp>RCOM IN Equity</stp>
        <stp>T12_OTHER_CFF</stp>
        <stp>FY 2018</stp>
        <stp>FY 2018</stp>
        <stp>[FA1_ymffleas.xlsx]Yield Analysis!R17C12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" s="26"/>
      </tp>
      <tp>
        <v>-1640</v>
        <stp/>
        <stp>##V3_BDHV12</stp>
        <stp>RCOM IN Equity</stp>
        <stp>T12_OTHER_CFF</stp>
        <stp>FY 2017</stp>
        <stp>FY 2017</stp>
        <stp>[FA1_ymffleas.xlsx]Yield Analysis!R17C11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" s="26"/>
      </tp>
      <tp>
        <v>-32970</v>
        <stp/>
        <stp>##V3_BDHV12</stp>
        <stp>RCOM IN Equity</stp>
        <stp>T12_OTHER_CFF</stp>
        <stp>FY 2016</stp>
        <stp>FY 2016</stp>
        <stp>[FA1_ymffleas.xlsx]Yield Analysis!R17C10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" s="26"/>
      </tp>
      <tp>
        <v>0.30649999999999999</v>
        <stp/>
        <stp>##V3_BDHV12</stp>
        <stp>RCOM IN Equity</stp>
        <stp>RETURN_ON_INV_CAPITAL</stp>
        <stp>FY 2018</stp>
        <stp>FY 2018</stp>
        <stp>[FA1_ymffleas.xlsx]Profitability!R10C12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0" s="21"/>
      </tp>
      <tp t="s">
        <v>—</v>
        <stp/>
        <stp>##V3_BDHV12</stp>
        <stp>RCOM IN Equity</stp>
        <stp>CF_CHANGE_IN_ACCOUNTS_PAYABLE</stp>
        <stp>FY 2018</stp>
        <stp>FY 2018</stp>
        <stp>[FA1_ymffleas.xlsx]Cash Flow - Standardized!R13C11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" s="19"/>
      </tp>
      <tp t="s">
        <v>—</v>
        <stp/>
        <stp>##V3_BDHV12</stp>
        <stp>RCOM IN Equity</stp>
        <stp>CF_CHANGE_IN_ACCOUNTS_PAYABLE</stp>
        <stp>FY 2017</stp>
        <stp>FY 2017</stp>
        <stp>[FA1_ymffleas.xlsx]Cash Flow - Standardized!R13C10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" s="19"/>
      </tp>
      <tp t="s">
        <v>—</v>
        <stp/>
        <stp>##V3_BDHV12</stp>
        <stp>RCOM IN Equity</stp>
        <stp>ARD_FOREIGN_EXCHANGE</stp>
        <stp>FY 2010</stp>
        <stp>FY 2010</stp>
        <stp>[FA1_ymffleas.xlsx]Income - As Reported!R22C4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2" s="11"/>
      </tp>
      <tp>
        <v>0</v>
        <stp/>
        <stp>##V3_BDHV12</stp>
        <stp>RCOM IN Equity</stp>
        <stp>ARD_FOREIGN_EXCHANGE</stp>
        <stp>FY 2011</stp>
        <stp>FY 2011</stp>
        <stp>[FA1_ymffleas.xlsx]Income - As Reported!R22C5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2" s="11"/>
      </tp>
      <tp>
        <v>15730</v>
        <stp/>
        <stp>##V3_BDHV12</stp>
        <stp>RCOM IN Equity</stp>
        <stp>ARD_FOREIGN_EXCHANGE</stp>
        <stp>FY 2012</stp>
        <stp>FY 2012</stp>
        <stp>[FA1_ymffleas.xlsx]Income - As Reported!R22C6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2" s="11"/>
      </tp>
      <tp>
        <v>8410</v>
        <stp/>
        <stp>##V3_BDHV12</stp>
        <stp>RCOM IN Equity</stp>
        <stp>ARD_FOREIGN_EXCHANGE</stp>
        <stp>FY 2013</stp>
        <stp>FY 2013</stp>
        <stp>[FA1_ymffleas.xlsx]Income - As Reported!R22C7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2" s="11"/>
      </tp>
      <tp t="s">
        <v>—</v>
        <stp/>
        <stp>##V3_BDHV12</stp>
        <stp>RCOM IN Equity</stp>
        <stp>ARD_FOREIGN_EXCHANGE</stp>
        <stp>FY 2009</stp>
        <stp>FY 2009</stp>
        <stp>[FA1_ymffleas.xlsx]Income - As Reported!R22C3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2" s="11"/>
      </tp>
      <tp>
        <v>5950</v>
        <stp/>
        <stp>##V3_BDHV12</stp>
        <stp>RCOM IN Equity</stp>
        <stp>ARD_FOREIGN_EXCHANGE</stp>
        <stp>FY 2014</stp>
        <stp>FY 2014</stp>
        <stp>[FA1_ymffleas.xlsx]Income - As Reported!R22C8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2" s="11"/>
      </tp>
      <tp>
        <v>5340</v>
        <stp/>
        <stp>##V3_BDHV12</stp>
        <stp>RCOM IN Equity</stp>
        <stp>ARD_FOREIGN_EXCHANGE</stp>
        <stp>FY 2015</stp>
        <stp>FY 2015</stp>
        <stp>[FA1_ymffleas.xlsx]Income - As Reported!R22C9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2" s="11"/>
      </tp>
      <tp t="s">
        <v>—</v>
        <stp/>
        <stp>##V3_BDHV12</stp>
        <stp>RCOM IN Equity</stp>
        <stp>INCREMENTAL_OPERATING_MARGIN</stp>
        <stp>FY 2011</stp>
        <stp>FY 2011</stp>
        <stp>[FA1_ymffleas.xlsx]Profitability!R15C5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5" s="21"/>
      </tp>
      <tp t="s">
        <v>—</v>
        <stp/>
        <stp>##V3_BDHV12</stp>
        <stp>RCOM IN Equity</stp>
        <stp>ACCOUNTS_PAYABLE_TURNOVER</stp>
        <stp>FY 2015</stp>
        <stp>FY 2015</stp>
        <stp>[FA1_ymffleas.xlsx]Working Capital!R10C9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0" s="25"/>
      </tp>
      <tp t="s">
        <v>—</v>
        <stp/>
        <stp>##V3_BDHV12</stp>
        <stp>RCOM IN Equity</stp>
        <stp>ARDR_CAPITAL_LEASE_BEYOND_YEAR_5</stp>
        <stp>FY 2010</stp>
        <stp>FY 2010</stp>
        <stp>[FA1_ymffleas.xlsx]Bal Sheet - As Reported!R200C4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0" s="17"/>
      </tp>
      <tp t="s">
        <v>—</v>
        <stp/>
        <stp>##V3_BDHV12</stp>
        <stp>RCOM IN Equity</stp>
        <stp>ARDR_CAPITAL_LEASE_BEYOND_YEAR_5</stp>
        <stp>FY 2011</stp>
        <stp>FY 2011</stp>
        <stp>[FA1_ymffleas.xlsx]Bal Sheet - As Reported!R200C5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0" s="17"/>
      </tp>
      <tp t="s">
        <v>—</v>
        <stp/>
        <stp>##V3_BDHV12</stp>
        <stp>RCOM IN Equity</stp>
        <stp>ARDR_CAPITAL_LEASE_BEYOND_YEAR_5</stp>
        <stp>FY 2012</stp>
        <stp>FY 2012</stp>
        <stp>[FA1_ymffleas.xlsx]Bal Sheet - As Reported!R200C6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0" s="17"/>
      </tp>
      <tp t="s">
        <v>—</v>
        <stp/>
        <stp>##V3_BDHV12</stp>
        <stp>RCOM IN Equity</stp>
        <stp>ARDR_CAPITAL_LEASE_BEYOND_YEAR_5</stp>
        <stp>FY 2013</stp>
        <stp>FY 2013</stp>
        <stp>[FA1_ymffleas.xlsx]Bal Sheet - As Reported!R200C7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0" s="17"/>
      </tp>
      <tp t="s">
        <v>—</v>
        <stp/>
        <stp>##V3_BDHV12</stp>
        <stp>RCOM IN Equity</stp>
        <stp>ARDR_CAPITAL_LEASE_BEYOND_YEAR_5</stp>
        <stp>FY 2009</stp>
        <stp>FY 2009</stp>
        <stp>[FA1_ymffleas.xlsx]Bal Sheet - As Reported!R200C3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0" s="17"/>
      </tp>
      <tp>
        <v>2090</v>
        <stp/>
        <stp>##V3_BDHV12</stp>
        <stp>RCOM IN Equity</stp>
        <stp>ARDR_CAPITAL_LEASE_BEYOND_YEAR_5</stp>
        <stp>FY 2014</stp>
        <stp>FY 2014</stp>
        <stp>[FA1_ymffleas.xlsx]Bal Sheet - As Reported!R200C8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0" s="17"/>
      </tp>
      <tp>
        <v>890</v>
        <stp/>
        <stp>##V3_BDHV12</stp>
        <stp>RCOM IN Equity</stp>
        <stp>ARDR_CAPITAL_LEASE_BEYOND_YEAR_5</stp>
        <stp>FY 2015</stp>
        <stp>FY 2015</stp>
        <stp>[FA1_ymffleas.xlsx]Bal Sheet - As Reported!R200C9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0" s="17"/>
      </tp>
      <tp>
        <v>-28405.7</v>
        <stp/>
        <stp>##V3_BDHV12</stp>
        <stp>RCOM IN Equity</stp>
        <stp>IS_FOREIGN_EXCH_LOSS</stp>
        <stp>FY 2010</stp>
        <stp>FY 2010</stp>
        <stp>[FA1_ymffleas.xlsx]Income - Adjusted!R47C3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47" s="9"/>
      </tp>
      <tp>
        <v>-350</v>
        <stp/>
        <stp>##V3_BDHV12</stp>
        <stp>RCOM IN Equity</stp>
        <stp>IS_FOREIGN_EXCH_LOSS</stp>
        <stp>FY 2011</stp>
        <stp>FY 2011</stp>
        <stp>[FA1_ymffleas.xlsx]Income - Adjusted!R47C4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47" s="9"/>
      </tp>
      <tp>
        <v>15830</v>
        <stp/>
        <stp>##V3_BDHV12</stp>
        <stp>RCOM IN Equity</stp>
        <stp>IS_FOREIGN_EXCH_LOSS</stp>
        <stp>FY 2012</stp>
        <stp>FY 2012</stp>
        <stp>[FA1_ymffleas.xlsx]Income - Adjusted!R47C5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47" s="9"/>
      </tp>
      <tp>
        <v>1560</v>
        <stp/>
        <stp>##V3_BDHV12</stp>
        <stp>RCOM IN Equity</stp>
        <stp>BS_OTHER_INV</stp>
        <stp>FY 2016</stp>
        <stp>FY 2016</stp>
        <stp>[FA1_ymffleas.xlsx]Working Capital!R20C10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" s="25"/>
      </tp>
      <tp>
        <v>1230</v>
        <stp/>
        <stp>##V3_BDHV12</stp>
        <stp>RCOM IN Equity</stp>
        <stp>BS_OTHER_INV</stp>
        <stp>FY 2017</stp>
        <stp>FY 2017</stp>
        <stp>[FA1_ymffleas.xlsx]Working Capital!R20C11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" s="25"/>
      </tp>
      <tp>
        <v>770</v>
        <stp/>
        <stp>##V3_BDHV12</stp>
        <stp>RCOM IN Equity</stp>
        <stp>BS_OTHER_INV</stp>
        <stp>FY 2018</stp>
        <stp>FY 2018</stp>
        <stp>[FA1_ymffleas.xlsx]Working Capital!R20C12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" s="25"/>
      </tp>
      <tp>
        <v>8400</v>
        <stp/>
        <stp>##V3_BDHV12</stp>
        <stp>RCOM IN Equity</stp>
        <stp>IS_FOREIGN_EXCH_LOSS</stp>
        <stp>FY 2013</stp>
        <stp>FY 2013</stp>
        <stp>[FA1_ymffleas.xlsx]Income - Adjusted!R47C6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47" s="9"/>
      </tp>
      <tp>
        <v>6580</v>
        <stp/>
        <stp>##V3_BDHV12</stp>
        <stp>RCOM IN Equity</stp>
        <stp>IS_FOREIGN_EXCH_LOSS</stp>
        <stp>FY 2014</stp>
        <stp>FY 2014</stp>
        <stp>[FA1_ymffleas.xlsx]Income - Adjusted!R47C7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47" s="9"/>
      </tp>
      <tp>
        <v>5500</v>
        <stp/>
        <stp>##V3_BDHV12</stp>
        <stp>RCOM IN Equity</stp>
        <stp>IS_FOREIGN_EXCH_LOSS</stp>
        <stp>FY 2015</stp>
        <stp>FY 2015</stp>
        <stp>[FA1_ymffleas.xlsx]Income - Adjusted!R47C8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47" s="9"/>
      </tp>
      <tp>
        <v>240</v>
        <stp/>
        <stp>##V3_BDHV12</stp>
        <stp>RCOM IN Equity</stp>
        <stp>IS_FOREIGN_EXCH_LOSS</stp>
        <stp>FY 2016</stp>
        <stp>FY 2016</stp>
        <stp>[FA1_ymffleas.xlsx]Income - Adjusted!R47C9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47" s="9"/>
      </tp>
      <tp>
        <v>-910</v>
        <stp/>
        <stp>##V3_BDHV12</stp>
        <stp>RCOM IN Equity</stp>
        <stp>ARD_INTEREST_INCOME_CF</stp>
        <stp>FY 2018</stp>
        <stp>FY 2018</stp>
        <stp>[FA1_ymffleas.xlsx]Cash Flow - As Reported!R28C12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8" s="20"/>
      </tp>
      <tp>
        <v>-1480</v>
        <stp/>
        <stp>##V3_BDHV12</stp>
        <stp>RCOM IN Equity</stp>
        <stp>ARD_INTEREST_INCOME_CF</stp>
        <stp>FY 2017</stp>
        <stp>FY 2017</stp>
        <stp>[FA1_ymffleas.xlsx]Cash Flow - As Reported!R28C11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8" s="20"/>
      </tp>
      <tp>
        <v>-1060</v>
        <stp/>
        <stp>##V3_BDHV12</stp>
        <stp>RCOM IN Equity</stp>
        <stp>ARD_INTEREST_INCOME_CF</stp>
        <stp>FY 2016</stp>
        <stp>FY 2016</stp>
        <stp>[FA1_ymffleas.xlsx]Cash Flow - As Reported!R28C10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8" s="20"/>
      </tp>
      <tp>
        <v>279130</v>
        <stp/>
        <stp>##V3_BDHV12</stp>
        <stp>RCOM IN Equity</stp>
        <stp>LONG_TERM_BORROWINGS_DETAILED</stp>
        <stp>FY 2014</stp>
        <stp>FY 2014</stp>
        <stp>[FA1_ymffleas.xlsx]Bal Sheet - Standardized!R105C8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5" s="16"/>
      </tp>
      <tp>
        <v>303560</v>
        <stp/>
        <stp>##V3_BDHV12</stp>
        <stp>RCOM IN Equity</stp>
        <stp>LONG_TERM_BORROWINGS_DETAILED</stp>
        <stp>FY 2015</stp>
        <stp>FY 2015</stp>
        <stp>[FA1_ymffleas.xlsx]Bal Sheet - Standardized!R105C9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5" s="16"/>
      </tp>
      <tp>
        <v>296460</v>
        <stp/>
        <stp>##V3_BDHV12</stp>
        <stp>RCOM IN Equity</stp>
        <stp>LONG_TERM_BORROWINGS_DETAILED</stp>
        <stp>FY 2012</stp>
        <stp>FY 2012</stp>
        <stp>[FA1_ymffleas.xlsx]Bal Sheet - Standardized!R105C6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5" s="16"/>
      </tp>
      <tp>
        <v>286780</v>
        <stp/>
        <stp>##V3_BDHV12</stp>
        <stp>RCOM IN Equity</stp>
        <stp>LONG_TERM_BORROWINGS_DETAILED</stp>
        <stp>FY 2013</stp>
        <stp>FY 2013</stp>
        <stp>[FA1_ymffleas.xlsx]Bal Sheet - Standardized!R105C7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5" s="16"/>
      </tp>
      <tp>
        <v>192518.2</v>
        <stp/>
        <stp>##V3_BDHV12</stp>
        <stp>RCOM IN Equity</stp>
        <stp>LONG_TERM_BORROWINGS_DETAILED</stp>
        <stp>FY 2010</stp>
        <stp>FY 2010</stp>
        <stp>[FA1_ymffleas.xlsx]Bal Sheet - Standardized!R105C4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5" s="16"/>
      </tp>
      <tp>
        <v>193130</v>
        <stp/>
        <stp>##V3_BDHV12</stp>
        <stp>RCOM IN Equity</stp>
        <stp>LONG_TERM_BORROWINGS_DETAILED</stp>
        <stp>FY 2011</stp>
        <stp>FY 2011</stp>
        <stp>[FA1_ymffleas.xlsx]Bal Sheet - Standardized!R105C5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5" s="16"/>
      </tp>
      <tp>
        <v>272906.3</v>
        <stp/>
        <stp>##V3_BDHV12</stp>
        <stp>RCOM IN Equity</stp>
        <stp>LONG_TERM_BORROWINGS_DETAILED</stp>
        <stp>FY 2009</stp>
        <stp>FY 2009</stp>
        <stp>[FA1_ymffleas.xlsx]Bal Sheet - Standardized!R105C3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5" s="16"/>
      </tp>
      <tp t="s">
        <v>—</v>
        <stp/>
        <stp>##V3_BDHV12</stp>
        <stp>RCOM IN Equity</stp>
        <stp>BS_PREPAY</stp>
        <stp>FY 2015</stp>
        <stp>FY 2015</stp>
        <stp>[FA1_ymffleas.xlsx]Bal Sheet - Standardized!R33C9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3" s="16"/>
      </tp>
      <tp t="s">
        <v>—</v>
        <stp/>
        <stp>##V3_BDHV12</stp>
        <stp>RCOM IN Equity</stp>
        <stp>BS_PREPAY</stp>
        <stp>FY 2014</stp>
        <stp>FY 2014</stp>
        <stp>[FA1_ymffleas.xlsx]Bal Sheet - Standardized!R33C8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3" s="16"/>
      </tp>
      <tp t="s">
        <v>—</v>
        <stp/>
        <stp>##V3_BDHV12</stp>
        <stp>RCOM IN Equity</stp>
        <stp>BS_PREPAY</stp>
        <stp>FY 2009</stp>
        <stp>FY 2009</stp>
        <stp>[FA1_ymffleas.xlsx]Bal Sheet - Standardized!R33C3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3" s="16"/>
      </tp>
      <tp t="s">
        <v>—</v>
        <stp/>
        <stp>##V3_BDHV12</stp>
        <stp>RCOM IN Equity</stp>
        <stp>BS_PREPAY</stp>
        <stp>FY 2011</stp>
        <stp>FY 2011</stp>
        <stp>[FA1_ymffleas.xlsx]Bal Sheet - Standardized!R33C5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3" s="16"/>
      </tp>
      <tp t="s">
        <v>—</v>
        <stp/>
        <stp>##V3_BDHV12</stp>
        <stp>RCOM IN Equity</stp>
        <stp>BS_PREPAY</stp>
        <stp>FY 2010</stp>
        <stp>FY 2010</stp>
        <stp>[FA1_ymffleas.xlsx]Bal Sheet - Standardized!R33C4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3" s="16"/>
      </tp>
      <tp t="s">
        <v>—</v>
        <stp/>
        <stp>##V3_BDHV12</stp>
        <stp>RCOM IN Equity</stp>
        <stp>BS_PREPAY</stp>
        <stp>FY 2013</stp>
        <stp>FY 2013</stp>
        <stp>[FA1_ymffleas.xlsx]Bal Sheet - Standardized!R33C7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3" s="16"/>
      </tp>
      <tp t="s">
        <v>—</v>
        <stp/>
        <stp>##V3_BDHV12</stp>
        <stp>RCOM IN Equity</stp>
        <stp>BS_PREPAY</stp>
        <stp>FY 2012</stp>
        <stp>FY 2012</stp>
        <stp>[FA1_ymffleas.xlsx]Bal Sheet - Standardized!R33C6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3" s="16"/>
      </tp>
      <tp t="s">
        <v>—</v>
        <stp/>
        <stp>##V3_BDHV12</stp>
        <stp>RCOM IN Equity</stp>
        <stp>ACCOUNTS_PAYABLE_TURNOVER_DAYS</stp>
        <stp>FY 2009</stp>
        <stp>FY 2009</stp>
        <stp>[FA1_ymffleas.xlsx]Working Capital!R11C3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1" s="25"/>
      </tp>
      <tp>
        <v>528940.34380000003</v>
        <stp/>
        <stp>##V3_BDHV12</stp>
        <stp>RCOM IN Equity</stp>
        <stp>ENTERPRISE_VALUE</stp>
        <stp>FY 2018</stp>
        <stp>FY 2018</stp>
        <stp>[FA1_ymffleas.xlsx]Multiples!R55C11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5" s="6"/>
      </tp>
      <tp>
        <v>543517.92420000001</v>
        <stp/>
        <stp>##V3_BDHV12</stp>
        <stp>RCOM IN Equity</stp>
        <stp>ENTERPRISE_VALUE</stp>
        <stp>FY 2017</stp>
        <stp>FY 2017</stp>
        <stp>[FA1_ymffleas.xlsx]Multiples!R55C10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5" s="6"/>
      </tp>
      <tp>
        <v>11.5162</v>
        <stp/>
        <stp>##V3_BDHV12</stp>
        <stp>RCOM IN Equity</stp>
        <stp>EV_TO_T12M_SALES</stp>
        <stp>FY 2018</stp>
        <stp>FY 2018</stp>
        <stp>[FA1_ymffleas.xlsx]Enterprise Value!R17C11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7" s="5"/>
      </tp>
      <tp t="s">
        <v>—</v>
        <stp/>
        <stp>##V3_BDHV12</stp>
        <stp>RCOM IN Equity</stp>
        <stp>ADJ_EPS_EX_AMORT_TOT_INTANG_BAS</stp>
        <stp>FY 2016</stp>
        <stp>FY 2016</stp>
        <stp>[FA1_ymffleas.xlsx]SBC &amp; Amort!R9C10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" s="13"/>
      </tp>
      <tp t="s">
        <v>—</v>
        <stp/>
        <stp>##V3_BDHV12</stp>
        <stp>RCOM IN Equity</stp>
        <stp>ADJ_EPS_EX_AMORT_TOT_INTANG_BAS</stp>
        <stp>FY 2017</stp>
        <stp>FY 2017</stp>
        <stp>[FA1_ymffleas.xlsx]SBC &amp; Amort!R9C11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" s="13"/>
      </tp>
      <tp t="s">
        <v>—</v>
        <stp/>
        <stp>##V3_BDHV12</stp>
        <stp>RCOM IN Equity</stp>
        <stp>ADJ_EPS_EX_AMORT_TOT_INTANG_BAS</stp>
        <stp>FY 2018</stp>
        <stp>FY 2018</stp>
        <stp>[FA1_ymffleas.xlsx]SBC &amp; Amort!R9C12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9" s="13"/>
      </tp>
      <tp t="s">
        <v>—</v>
        <stp/>
        <stp>##V3_BDHV12</stp>
        <stp>RCOM IN Equity</stp>
        <stp>ARDR_OTHER_INVENTORY</stp>
        <stp>FY 2015</stp>
        <stp>FY 2015</stp>
        <stp>[FA1_ymffleas.xlsx]Bal Sheet - As Reported!R103C9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3" s="17"/>
      </tp>
      <tp t="s">
        <v>—</v>
        <stp/>
        <stp>##V3_BDHV12</stp>
        <stp>RCOM IN Equity</stp>
        <stp>ARDR_OTHER_INVENTORY</stp>
        <stp>FY 2014</stp>
        <stp>FY 2014</stp>
        <stp>[FA1_ymffleas.xlsx]Bal Sheet - As Reported!R103C8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3" s="17"/>
      </tp>
      <tp t="s">
        <v>—</v>
        <stp/>
        <stp>##V3_BDHV12</stp>
        <stp>RCOM IN Equity</stp>
        <stp>ARDR_OTHER_INVENTORY</stp>
        <stp>FY 2009</stp>
        <stp>FY 2009</stp>
        <stp>[FA1_ymffleas.xlsx]Bal Sheet - As Reported!R103C3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3" s="17"/>
      </tp>
      <tp t="s">
        <v>—</v>
        <stp/>
        <stp>##V3_BDHV12</stp>
        <stp>RCOM IN Equity</stp>
        <stp>ARDR_OTHER_INVENTORY</stp>
        <stp>FY 2011</stp>
        <stp>FY 2011</stp>
        <stp>[FA1_ymffleas.xlsx]Bal Sheet - As Reported!R103C5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3" s="17"/>
      </tp>
      <tp t="s">
        <v>—</v>
        <stp/>
        <stp>##V3_BDHV12</stp>
        <stp>RCOM IN Equity</stp>
        <stp>ARDR_OTHER_INVENTORY</stp>
        <stp>FY 2010</stp>
        <stp>FY 2010</stp>
        <stp>[FA1_ymffleas.xlsx]Bal Sheet - As Reported!R103C4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3" s="17"/>
      </tp>
      <tp t="s">
        <v>—</v>
        <stp/>
        <stp>##V3_BDHV12</stp>
        <stp>RCOM IN Equity</stp>
        <stp>ARDR_OTHER_INVENTORY</stp>
        <stp>FY 2013</stp>
        <stp>FY 2013</stp>
        <stp>[FA1_ymffleas.xlsx]Bal Sheet - As Reported!R103C7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3" s="17"/>
      </tp>
      <tp t="s">
        <v>—</v>
        <stp/>
        <stp>##V3_BDHV12</stp>
        <stp>RCOM IN Equity</stp>
        <stp>ARDR_OTHER_INVENTORY</stp>
        <stp>FY 2012</stp>
        <stp>FY 2012</stp>
        <stp>[FA1_ymffleas.xlsx]Bal Sheet - As Reported!R103C6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3" s="17"/>
      </tp>
      <tp>
        <v>-13.077999999999999</v>
        <stp/>
        <stp>##V3_BDHV12</stp>
        <stp>RCOM IN Equity</stp>
        <stp>IS_DISPOSAL_ASSETS_AFTER_TAX</stp>
        <stp>FY 2015</stp>
        <stp>FY 2015</stp>
        <stp>[FA1_ymffleas.xlsx]Reconciliation!R38C8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8" s="12"/>
      </tp>
      <tp>
        <v>-1386.268</v>
        <stp/>
        <stp>##V3_BDHV12</stp>
        <stp>RCOM IN Equity</stp>
        <stp>IS_DISPOSAL_ASSETS_AFTER_TAX</stp>
        <stp>FY 2016</stp>
        <stp>FY 2016</stp>
        <stp>[FA1_ymffleas.xlsx]Reconciliation!R38C9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8" s="12"/>
      </tp>
      <tp>
        <v>9.8354999999999997</v>
        <stp/>
        <stp>##V3_BDHV12</stp>
        <stp>RCOM IN Equity</stp>
        <stp>IS_DISPOSAL_ASSETS_AFTER_TAX</stp>
        <stp>FY 2010</stp>
        <stp>FY 2010</stp>
        <stp>[FA1_ymffleas.xlsx]Reconciliation!R38C3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8" s="12"/>
      </tp>
      <tp>
        <v>-2235.6954999999998</v>
        <stp/>
        <stp>##V3_BDHV12</stp>
        <stp>RCOM IN Equity</stp>
        <stp>IS_DISPOSAL_ASSETS_AFTER_TAX</stp>
        <stp>FY 2011</stp>
        <stp>FY 2011</stp>
        <stp>[FA1_ymffleas.xlsx]Reconciliation!R38C4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8" s="12"/>
      </tp>
      <tp>
        <v>-47.284999999999997</v>
        <stp/>
        <stp>##V3_BDHV12</stp>
        <stp>RCOM IN Equity</stp>
        <stp>IS_DISPOSAL_ASSETS_AFTER_TAX</stp>
        <stp>FY 2012</stp>
        <stp>FY 2012</stp>
        <stp>[FA1_ymffleas.xlsx]Reconciliation!R38C5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8" s="12"/>
      </tp>
      <tp>
        <v>198.03</v>
        <stp/>
        <stp>##V3_BDHV12</stp>
        <stp>RCOM IN Equity</stp>
        <stp>IS_DISPOSAL_ASSETS_AFTER_TAX</stp>
        <stp>FY 2013</stp>
        <stp>FY 2013</stp>
        <stp>[FA1_ymffleas.xlsx]Reconciliation!R38C6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8" s="12"/>
      </tp>
      <tp>
        <v>132.02000000000001</v>
        <stp/>
        <stp>##V3_BDHV12</stp>
        <stp>RCOM IN Equity</stp>
        <stp>IS_DISPOSAL_ASSETS_AFTER_TAX</stp>
        <stp>FY 2014</stp>
        <stp>FY 2014</stp>
        <stp>[FA1_ymffleas.xlsx]Reconciliation!R38C7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8" s="12"/>
      </tp>
      <tp>
        <v>1650</v>
        <stp/>
        <stp>##V3_BDHV12</stp>
        <stp>RCOM IN Equity</stp>
        <stp>ARDR_RENTAL_EXP_BEYOND_YR5</stp>
        <stp>FY 2012</stp>
        <stp>FY 2012</stp>
        <stp>[FA1_ymffleas.xlsx]Bal Sheet - As Reported!R107C6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7" s="17"/>
      </tp>
      <tp>
        <v>1650</v>
        <stp/>
        <stp>##V3_BDHV12</stp>
        <stp>RCOM IN Equity</stp>
        <stp>ARDR_RENTAL_EXP_BEYOND_YR5</stp>
        <stp>FY 2013</stp>
        <stp>FY 2013</stp>
        <stp>[FA1_ymffleas.xlsx]Bal Sheet - As Reported!R107C7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7" s="17"/>
      </tp>
      <tp>
        <v>21221.9</v>
        <stp/>
        <stp>##V3_BDHV12</stp>
        <stp>RCOM IN Equity</stp>
        <stp>ARDR_RENTAL_EXP_BEYOND_YR5</stp>
        <stp>FY 2010</stp>
        <stp>FY 2010</stp>
        <stp>[FA1_ymffleas.xlsx]Bal Sheet - As Reported!R107C4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7" s="17"/>
      </tp>
      <tp>
        <v>1660</v>
        <stp/>
        <stp>##V3_BDHV12</stp>
        <stp>RCOM IN Equity</stp>
        <stp>ARDR_RENTAL_EXP_BEYOND_YR5</stp>
        <stp>FY 2011</stp>
        <stp>FY 2011</stp>
        <stp>[FA1_ymffleas.xlsx]Bal Sheet - As Reported!R107C5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7" s="17"/>
      </tp>
      <tp>
        <v>1667.2</v>
        <stp/>
        <stp>##V3_BDHV12</stp>
        <stp>RCOM IN Equity</stp>
        <stp>ARDR_RENTAL_EXP_BEYOND_YR5</stp>
        <stp>FY 2009</stp>
        <stp>FY 2009</stp>
        <stp>[FA1_ymffleas.xlsx]Bal Sheet - As Reported!R107C3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7" s="17"/>
      </tp>
      <tp>
        <v>80</v>
        <stp/>
        <stp>##V3_BDHV12</stp>
        <stp>RCOM IN Equity</stp>
        <stp>ARDR_RENTAL_EXP_BEYOND_YR5</stp>
        <stp>FY 2014</stp>
        <stp>FY 2014</stp>
        <stp>[FA1_ymffleas.xlsx]Bal Sheet - As Reported!R107C8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7" s="17"/>
      </tp>
      <tp>
        <v>50</v>
        <stp/>
        <stp>##V3_BDHV12</stp>
        <stp>RCOM IN Equity</stp>
        <stp>ARDR_RENTAL_EXP_BEYOND_YR5</stp>
        <stp>FY 2015</stp>
        <stp>FY 2015</stp>
        <stp>[FA1_ymffleas.xlsx]Bal Sheet - As Reported!R107C9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7" s="17"/>
      </tp>
      <tp>
        <v>-30</v>
        <stp/>
        <stp>##V3_BDHV12</stp>
        <stp>RCOM IN Equity</stp>
        <stp>PRETAX_INC</stp>
        <stp>FY 2018</stp>
        <stp>FY 2018</stp>
        <stp>[FA1_ymffleas.xlsx]Income - GAAP!R53C11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53" s="10"/>
      </tp>
      <tp>
        <v>1550</v>
        <stp/>
        <stp>##V3_BDHV12</stp>
        <stp>RCOM IN Equity</stp>
        <stp>PRETAX_INC</stp>
        <stp>FY 2017</stp>
        <stp>FY 2017</stp>
        <stp>[FA1_ymffleas.xlsx]Income - GAAP!R53C10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53" s="10"/>
      </tp>
      <tp>
        <v>210</v>
        <stp/>
        <stp>##V3_BDHV12</stp>
        <stp>RCOM IN Equity</stp>
        <stp>MIN_NONCONTROL_INTEREST_CREDITS</stp>
        <stp>FY 2016</stp>
        <stp>FY 2016</stp>
        <stp>[FA1_ymffleas.xlsx]Income - Adjusted!R97C9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97" s="9"/>
      </tp>
      <tp>
        <v>-910</v>
        <stp/>
        <stp>##V3_BDHV12</stp>
        <stp>RCOM IN Equity</stp>
        <stp>MIN_NONCONTROL_INTEREST_CREDITS</stp>
        <stp>FY 2015</stp>
        <stp>FY 2015</stp>
        <stp>[FA1_ymffleas.xlsx]Income - Adjusted!R97C8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97" s="9"/>
      </tp>
      <tp>
        <v>610</v>
        <stp/>
        <stp>##V3_BDHV12</stp>
        <stp>RCOM IN Equity</stp>
        <stp>MIN_NONCONTROL_INTEREST_CREDITS</stp>
        <stp>FY 2012</stp>
        <stp>FY 2012</stp>
        <stp>[FA1_ymffleas.xlsx]Income - Adjusted!R97C5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97" s="9"/>
      </tp>
      <tp>
        <v>1500</v>
        <stp/>
        <stp>##V3_BDHV12</stp>
        <stp>RCOM IN Equity</stp>
        <stp>MIN_NONCONTROL_INTEREST_CREDITS</stp>
        <stp>FY 2011</stp>
        <stp>FY 2011</stp>
        <stp>[FA1_ymffleas.xlsx]Income - Adjusted!R97C4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97" s="9"/>
      </tp>
      <tp>
        <v>920</v>
        <stp/>
        <stp>##V3_BDHV12</stp>
        <stp>RCOM IN Equity</stp>
        <stp>MIN_NONCONTROL_INTEREST_CREDITS</stp>
        <stp>FY 2014</stp>
        <stp>FY 2014</stp>
        <stp>[FA1_ymffleas.xlsx]Income - Adjusted!R97C7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97" s="9"/>
      </tp>
      <tp>
        <v>7210</v>
        <stp/>
        <stp>##V3_BDHV12</stp>
        <stp>RCOM IN Equity</stp>
        <stp>IS_DEPRECIATION_AND_AMORTIZATION</stp>
        <stp>FY 2018</stp>
        <stp>FY 2018</stp>
        <stp>[FA1_ymffleas.xlsx]Income - Adjusted!R29C11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29" s="9"/>
      </tp>
      <tp>
        <v>730</v>
        <stp/>
        <stp>##V3_BDHV12</stp>
        <stp>RCOM IN Equity</stp>
        <stp>MIN_NONCONTROL_INTEREST_CREDITS</stp>
        <stp>FY 2013</stp>
        <stp>FY 2013</stp>
        <stp>[FA1_ymffleas.xlsx]Income - Adjusted!R97C6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97" s="9"/>
      </tp>
      <tp>
        <v>8210</v>
        <stp/>
        <stp>##V3_BDHV12</stp>
        <stp>RCOM IN Equity</stp>
        <stp>IS_DEPRECIATION_AND_AMORTIZATION</stp>
        <stp>FY 2017</stp>
        <stp>FY 2017</stp>
        <stp>[FA1_ymffleas.xlsx]Income - Adjusted!R29C10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29" s="9"/>
      </tp>
      <tp>
        <v>3950.2</v>
        <stp/>
        <stp>##V3_BDHV12</stp>
        <stp>RCOM IN Equity</stp>
        <stp>BS_CURR_RENTAL_EXPENSE</stp>
        <stp>FY 2010</stp>
        <stp>FY 2010</stp>
        <stp>[FA1_ymffleas.xlsx]Income - GAAP!R111C3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1" s="10"/>
      </tp>
      <tp>
        <v>3420</v>
        <stp/>
        <stp>##V3_BDHV12</stp>
        <stp>RCOM IN Equity</stp>
        <stp>BS_CURR_RENTAL_EXPENSE</stp>
        <stp>FY 2011</stp>
        <stp>FY 2011</stp>
        <stp>[FA1_ymffleas.xlsx]Income - GAAP!R111C4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1" s="10"/>
      </tp>
      <tp>
        <v>3040</v>
        <stp/>
        <stp>##V3_BDHV12</stp>
        <stp>RCOM IN Equity</stp>
        <stp>BS_CURR_RENTAL_EXPENSE</stp>
        <stp>FY 2012</stp>
        <stp>FY 2012</stp>
        <stp>[FA1_ymffleas.xlsx]Income - GAAP!R111C5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1" s="10"/>
      </tp>
      <tp>
        <v>3640</v>
        <stp/>
        <stp>##V3_BDHV12</stp>
        <stp>RCOM IN Equity</stp>
        <stp>BS_CURR_RENTAL_EXPENSE</stp>
        <stp>FY 2013</stp>
        <stp>FY 2013</stp>
        <stp>[FA1_ymffleas.xlsx]Income - GAAP!R111C6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1" s="10"/>
      </tp>
      <tp>
        <v>2250</v>
        <stp/>
        <stp>##V3_BDHV12</stp>
        <stp>RCOM IN Equity</stp>
        <stp>BS_CURR_RENTAL_EXPENSE</stp>
        <stp>FY 2014</stp>
        <stp>FY 2014</stp>
        <stp>[FA1_ymffleas.xlsx]Income - GAAP!R111C7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1" s="10"/>
      </tp>
      <tp>
        <v>2110</v>
        <stp/>
        <stp>##V3_BDHV12</stp>
        <stp>RCOM IN Equity</stp>
        <stp>BS_CURR_RENTAL_EXPENSE</stp>
        <stp>FY 2015</stp>
        <stp>FY 2015</stp>
        <stp>[FA1_ymffleas.xlsx]Income - GAAP!R111C8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1" s="10"/>
      </tp>
      <tp>
        <v>800</v>
        <stp/>
        <stp>##V3_BDHV12</stp>
        <stp>RCOM IN Equity</stp>
        <stp>BS_CURR_RENTAL_EXPENSE</stp>
        <stp>FY 2016</stp>
        <stp>FY 2016</stp>
        <stp>[FA1_ymffleas.xlsx]Income - GAAP!R111C9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1" s="10"/>
      </tp>
      <tp>
        <v>1192.5</v>
        <stp/>
        <stp>##V3_BDHV12</stp>
        <stp>RCOM IN Equity</stp>
        <stp>MIN_NONCONTROL_INTEREST_CREDITS</stp>
        <stp>FY 2010</stp>
        <stp>FY 2010</stp>
        <stp>[FA1_ymffleas.xlsx]Income - Adjusted!R97C3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97" s="9"/>
      </tp>
      <tp t="s">
        <v>—</v>
        <stp/>
        <stp>##V3_BDHV12</stp>
        <stp>RCOM IN Equity</stp>
        <stp>PX_TO_TANG_BV_PER_SH</stp>
        <stp>FY 2018</stp>
        <stp>FY 2018</stp>
        <stp>[FA1_ymffleas.xlsx]Multiples!R16C11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" s="6"/>
      </tp>
      <tp>
        <v>1.4562999999999999</v>
        <stp/>
        <stp>##V3_BDHV12</stp>
        <stp>RCOM IN Equity</stp>
        <stp>PX_TO_TANG_BV_PER_SH</stp>
        <stp>FY 2017</stp>
        <stp>FY 2017</stp>
        <stp>[FA1_ymffleas.xlsx]Multiples!R16C10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" s="6"/>
      </tp>
      <tp>
        <v>32510</v>
        <stp/>
        <stp>##V3_BDHV12</stp>
        <stp>RCOM IN Equity</stp>
        <stp>ARD_ACCTS_RECEIVABLE_TRADE</stp>
        <stp>FY 2017</stp>
        <stp>FY 2017</stp>
        <stp>[FA1_ymffleas.xlsx]Bal Sheet - As Reported!R40C11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0" s="17"/>
      </tp>
      <tp>
        <v>29810</v>
        <stp/>
        <stp>##V3_BDHV12</stp>
        <stp>RCOM IN Equity</stp>
        <stp>ARD_ACCTS_RECEIVABLE_TRADE</stp>
        <stp>FY 2016</stp>
        <stp>FY 2016</stp>
        <stp>[FA1_ymffleas.xlsx]Bal Sheet - As Reported!R40C10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0" s="17"/>
      </tp>
      <tp>
        <v>21330</v>
        <stp/>
        <stp>##V3_BDHV12</stp>
        <stp>RCOM IN Equity</stp>
        <stp>ARD_ACCTS_RECEIVABLE_TRADE</stp>
        <stp>FY 2018</stp>
        <stp>FY 2018</stp>
        <stp>[FA1_ymffleas.xlsx]Bal Sheet - As Reported!R40C12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0" s="17"/>
      </tp>
      <tp>
        <v>384480</v>
        <stp/>
        <stp>##V3_BDHV12</stp>
        <stp>RCOM IN Equity</stp>
        <stp>ARD_TOTAL_SHAREHOLDERS_EQUITY</stp>
        <stp>FY 2015</stp>
        <stp>FY 2015</stp>
        <stp>[FA1_ymffleas.xlsx]Bal Sheet - As Reported!R9C9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" s="17"/>
      </tp>
      <tp>
        <v>335390</v>
        <stp/>
        <stp>##V3_BDHV12</stp>
        <stp>RCOM IN Equity</stp>
        <stp>ARD_TOTAL_SHAREHOLDERS_EQUITY</stp>
        <stp>FY 2014</stp>
        <stp>FY 2014</stp>
        <stp>[FA1_ymffleas.xlsx]Bal Sheet - As Reported!R9C8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" s="17"/>
      </tp>
      <tp>
        <v>429352.4</v>
        <stp/>
        <stp>##V3_BDHV12</stp>
        <stp>RCOM IN Equity</stp>
        <stp>ARD_TOTAL_SHAREHOLDERS_EQUITY</stp>
        <stp>FY 2009</stp>
        <stp>FY 2009</stp>
        <stp>[FA1_ymffleas.xlsx]Bal Sheet - As Reported!R9C3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" s="17"/>
      </tp>
      <tp>
        <v>413230</v>
        <stp/>
        <stp>##V3_BDHV12</stp>
        <stp>RCOM IN Equity</stp>
        <stp>ARD_TOTAL_SHAREHOLDERS_EQUITY</stp>
        <stp>FY 2011</stp>
        <stp>FY 2011</stp>
        <stp>[FA1_ymffleas.xlsx]Bal Sheet - As Reported!R9C5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" s="17"/>
      </tp>
      <tp>
        <v>440190.3</v>
        <stp/>
        <stp>##V3_BDHV12</stp>
        <stp>RCOM IN Equity</stp>
        <stp>ARD_TOTAL_SHAREHOLDERS_EQUITY</stp>
        <stp>FY 2010</stp>
        <stp>FY 2010</stp>
        <stp>[FA1_ymffleas.xlsx]Bal Sheet - As Reported!R9C4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" s="17"/>
      </tp>
      <tp>
        <v>345750</v>
        <stp/>
        <stp>##V3_BDHV12</stp>
        <stp>RCOM IN Equity</stp>
        <stp>ARD_TOTAL_SHAREHOLDERS_EQUITY</stp>
        <stp>FY 2013</stp>
        <stp>FY 2013</stp>
        <stp>[FA1_ymffleas.xlsx]Bal Sheet - As Reported!R9C7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" s="17"/>
      </tp>
      <tp>
        <v>371560</v>
        <stp/>
        <stp>##V3_BDHV12</stp>
        <stp>RCOM IN Equity</stp>
        <stp>ARD_TOTAL_SHAREHOLDERS_EQUITY</stp>
        <stp>FY 2012</stp>
        <stp>FY 2012</stp>
        <stp>[FA1_ymffleas.xlsx]Bal Sheet - As Reported!R9C6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" s="17"/>
      </tp>
      <tp>
        <v>12700</v>
        <stp/>
        <stp>##V3_BDHV12</stp>
        <stp>RCOM IN Equity</stp>
        <stp>BS_MKT_SEC_OTHER_ST_INVEST</stp>
        <stp>FY 2015</stp>
        <stp>FY 2015</stp>
        <stp>[FA1_ymffleas.xlsx]Bal Sheet - Standardized!R11C9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" s="16"/>
      </tp>
      <tp>
        <v>6050</v>
        <stp/>
        <stp>##V3_BDHV12</stp>
        <stp>RCOM IN Equity</stp>
        <stp>BS_MKT_SEC_OTHER_ST_INVEST</stp>
        <stp>FY 2014</stp>
        <stp>FY 2014</stp>
        <stp>[FA1_ymffleas.xlsx]Bal Sheet - Standardized!R11C8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" s="16"/>
      </tp>
      <tp>
        <v>5510</v>
        <stp/>
        <stp>##V3_BDHV12</stp>
        <stp>RCOM IN Equity</stp>
        <stp>BS_MKT_SEC_OTHER_ST_INVEST</stp>
        <stp>FY 2013</stp>
        <stp>FY 2013</stp>
        <stp>[FA1_ymffleas.xlsx]Bal Sheet - Standardized!R11C7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" s="16"/>
      </tp>
      <tp>
        <v>5190</v>
        <stp/>
        <stp>##V3_BDHV12</stp>
        <stp>RCOM IN Equity</stp>
        <stp>BS_MKT_SEC_OTHER_ST_INVEST</stp>
        <stp>FY 2012</stp>
        <stp>FY 2012</stp>
        <stp>[FA1_ymffleas.xlsx]Bal Sheet - Standardized!R11C6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" s="16"/>
      </tp>
      <tp>
        <v>4520</v>
        <stp/>
        <stp>##V3_BDHV12</stp>
        <stp>RCOM IN Equity</stp>
        <stp>BS_MKT_SEC_OTHER_ST_INVEST</stp>
        <stp>FY 2011</stp>
        <stp>FY 2011</stp>
        <stp>[FA1_ymffleas.xlsx]Bal Sheet - Standardized!R11C5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" s="16"/>
      </tp>
      <tp>
        <v>40399.4</v>
        <stp/>
        <stp>##V3_BDHV12</stp>
        <stp>RCOM IN Equity</stp>
        <stp>BS_MKT_SEC_OTHER_ST_INVEST</stp>
        <stp>FY 2010</stp>
        <stp>FY 2010</stp>
        <stp>[FA1_ymffleas.xlsx]Bal Sheet - Standardized!R11C4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" s="16"/>
      </tp>
      <tp>
        <v>92842.3</v>
        <stp/>
        <stp>##V3_BDHV12</stp>
        <stp>RCOM IN Equity</stp>
        <stp>BS_MKT_SEC_OTHER_ST_INVEST</stp>
        <stp>FY 2009</stp>
        <stp>FY 2009</stp>
        <stp>[FA1_ymffleas.xlsx]Bal Sheet - Standardized!R11C3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" s="16"/>
      </tp>
      <tp>
        <v>0</v>
        <stp/>
        <stp>##V3_BDHV12</stp>
        <stp>RCOM IN Equity</stp>
        <stp>IS_COST_OF_REVENUE_ADJUSTMENTS</stp>
        <stp>FY 2017</stp>
        <stp>FY 2017</stp>
        <stp>[FA1_ymffleas.xlsx]Reconciliation!R9C10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" s="12"/>
      </tp>
      <tp>
        <v>0</v>
        <stp/>
        <stp>##V3_BDHV12</stp>
        <stp>RCOM IN Equity</stp>
        <stp>IS_COST_OF_REVENUE_ADJUSTMENTS</stp>
        <stp>FY 2018</stp>
        <stp>FY 2018</stp>
        <stp>[FA1_ymffleas.xlsx]Reconciliation!R9C11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" s="12"/>
      </tp>
      <tp>
        <v>0</v>
        <stp/>
        <stp>##V3_BDHV12</stp>
        <stp>RCOM IN Equity</stp>
        <stp>TRAIL_12M_COM_DVD</stp>
        <stp>FY 2015</stp>
        <stp>FY 2015</stp>
        <stp>[FA1_ymffleas.xlsx]Dividend Summary!R15C9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" s="31"/>
      </tp>
      <tp>
        <v>0</v>
        <stp/>
        <stp>##V3_BDHV12</stp>
        <stp>RCOM IN Equity</stp>
        <stp>TRAIL_12M_COM_DVD</stp>
        <stp>FY 2014</stp>
        <stp>FY 2014</stp>
        <stp>[FA1_ymffleas.xlsx]Dividend Summary!R15C8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" s="31"/>
      </tp>
      <tp>
        <v>1651.2</v>
        <stp/>
        <stp>##V3_BDHV12</stp>
        <stp>RCOM IN Equity</stp>
        <stp>TRAIL_12M_COM_DVD</stp>
        <stp>FY 2009</stp>
        <stp>FY 2009</stp>
        <stp>[FA1_ymffleas.xlsx]Dividend Summary!R15C3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" s="31"/>
      </tp>
      <tp>
        <v>53300</v>
        <stp/>
        <stp>##V3_BDHV12</stp>
        <stp>RCOM IN Equity</stp>
        <stp>ARDR_DUE_TO_BANKS_ST</stp>
        <stp>FY 2018</stp>
        <stp>FY 2018</stp>
        <stp>[FA1_ymffleas.xlsx]Bal Sheet - As Reported!R175C12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5" s="17"/>
      </tp>
      <tp>
        <v>1030</v>
        <stp/>
        <stp>##V3_BDHV12</stp>
        <stp>RCOM IN Equity</stp>
        <stp>TRAIL_12M_COM_DVD</stp>
        <stp>FY 2011</stp>
        <stp>FY 2011</stp>
        <stp>[FA1_ymffleas.xlsx]Dividend Summary!R15C5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" s="31"/>
      </tp>
      <tp>
        <v>1754.4</v>
        <stp/>
        <stp>##V3_BDHV12</stp>
        <stp>RCOM IN Equity</stp>
        <stp>TRAIL_12M_COM_DVD</stp>
        <stp>FY 2010</stp>
        <stp>FY 2010</stp>
        <stp>[FA1_ymffleas.xlsx]Dividend Summary!R15C4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" s="31"/>
      </tp>
      <tp>
        <v>42540</v>
        <stp/>
        <stp>##V3_BDHV12</stp>
        <stp>RCOM IN Equity</stp>
        <stp>ARDR_DUE_TO_BANKS_ST</stp>
        <stp>FY 2016</stp>
        <stp>FY 2016</stp>
        <stp>[FA1_ymffleas.xlsx]Bal Sheet - As Reported!R175C10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5" s="17"/>
      </tp>
      <tp>
        <v>520</v>
        <stp/>
        <stp>##V3_BDHV12</stp>
        <stp>RCOM IN Equity</stp>
        <stp>TRAIL_12M_COM_DVD</stp>
        <stp>FY 2013</stp>
        <stp>FY 2013</stp>
        <stp>[FA1_ymffleas.xlsx]Dividend Summary!R15C7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" s="31"/>
      </tp>
      <tp>
        <v>62500</v>
        <stp/>
        <stp>##V3_BDHV12</stp>
        <stp>RCOM IN Equity</stp>
        <stp>ARDR_DUE_TO_BANKS_ST</stp>
        <stp>FY 2017</stp>
        <stp>FY 2017</stp>
        <stp>[FA1_ymffleas.xlsx]Bal Sheet - As Reported!R175C11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5" s="17"/>
      </tp>
      <tp>
        <v>520</v>
        <stp/>
        <stp>##V3_BDHV12</stp>
        <stp>RCOM IN Equity</stp>
        <stp>TRAIL_12M_COM_DVD</stp>
        <stp>FY 2012</stp>
        <stp>FY 2012</stp>
        <stp>[FA1_ymffleas.xlsx]Dividend Summary!R15C6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" s="31"/>
      </tp>
      <tp>
        <v>8520</v>
        <stp/>
        <stp>##V3_BDHV12</stp>
        <stp>RCOM IN Equity</stp>
        <stp>ARDR_DEFERRED_UNEARNED_REV_LT</stp>
        <stp>FY 2012</stp>
        <stp>FY 2012</stp>
        <stp>[FA1_ymffleas.xlsx]Bal Sheet - As Reported!R92C6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2" s="17"/>
      </tp>
      <tp>
        <v>7460</v>
        <stp/>
        <stp>##V3_BDHV12</stp>
        <stp>RCOM IN Equity</stp>
        <stp>ARDR_DEFERRED_UNEARNED_REV_LT</stp>
        <stp>FY 2013</stp>
        <stp>FY 2013</stp>
        <stp>[FA1_ymffleas.xlsx]Bal Sheet - As Reported!R92C7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2" s="17"/>
      </tp>
      <tp t="s">
        <v>—</v>
        <stp/>
        <stp>##V3_BDHV12</stp>
        <stp>RCOM IN Equity</stp>
        <stp>ARDR_DEFERRED_UNEARNED_REV_LT</stp>
        <stp>FY 2010</stp>
        <stp>FY 2010</stp>
        <stp>[FA1_ymffleas.xlsx]Bal Sheet - As Reported!R92C4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2" s="17"/>
      </tp>
      <tp>
        <v>9240</v>
        <stp/>
        <stp>##V3_BDHV12</stp>
        <stp>RCOM IN Equity</stp>
        <stp>ARDR_DEFERRED_UNEARNED_REV_LT</stp>
        <stp>FY 2011</stp>
        <stp>FY 2011</stp>
        <stp>[FA1_ymffleas.xlsx]Bal Sheet - As Reported!R92C5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2" s="17"/>
      </tp>
      <tp t="s">
        <v>—</v>
        <stp/>
        <stp>##V3_BDHV12</stp>
        <stp>RCOM IN Equity</stp>
        <stp>ARDR_DEFERRED_UNEARNED_REV_LT</stp>
        <stp>FY 2009</stp>
        <stp>FY 2009</stp>
        <stp>[FA1_ymffleas.xlsx]Bal Sheet - As Reported!R92C3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2" s="17"/>
      </tp>
      <tp>
        <v>3970</v>
        <stp/>
        <stp>##V3_BDHV12</stp>
        <stp>RCOM IN Equity</stp>
        <stp>ARDR_DEFERRED_UNEARNED_REV_LT</stp>
        <stp>FY 2014</stp>
        <stp>FY 2014</stp>
        <stp>[FA1_ymffleas.xlsx]Bal Sheet - As Reported!R92C8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2" s="17"/>
      </tp>
      <tp>
        <v>3490</v>
        <stp/>
        <stp>##V3_BDHV12</stp>
        <stp>RCOM IN Equity</stp>
        <stp>ARDR_DEFERRED_UNEARNED_REV_LT</stp>
        <stp>FY 2015</stp>
        <stp>FY 2015</stp>
        <stp>[FA1_ymffleas.xlsx]Bal Sheet - As Reported!R92C9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2" s="17"/>
      </tp>
      <tp>
        <v>2765.5331000000001</v>
        <stp/>
        <stp>##V3_BDHV12</stp>
        <stp>RCOM IN Equity</stp>
        <stp>BS_SH_OUT</stp>
        <stp>FY 2018</stp>
        <stp>FY 2018</stp>
        <stp>[FA1_ymffleas.xlsx]Addl - Overview!R10C11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0" s="29"/>
      </tp>
      <tp>
        <v>2488.9796999999999</v>
        <stp/>
        <stp>##V3_BDHV12</stp>
        <stp>RCOM IN Equity</stp>
        <stp>BS_SH_OUT</stp>
        <stp>FY 2017</stp>
        <stp>FY 2017</stp>
        <stp>[FA1_ymffleas.xlsx]Addl - Overview!R10C10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0" s="29"/>
      </tp>
      <tp>
        <v>-3250</v>
        <stp/>
        <stp>##V3_BDHV12</stp>
        <stp>RCOM IN Equity</stp>
        <stp>INCREMENTAL_OPERATING_MARGIN</stp>
        <stp>FY 2010</stp>
        <stp>FY 2010</stp>
        <stp>[FA1_ymffleas.xlsx]Profitability!R15C4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5" s="21"/>
      </tp>
      <tp t="s">
        <v>—</v>
        <stp/>
        <stp>##V3_BDHV12</stp>
        <stp>RCOM IN Equity</stp>
        <stp>ACCOUNTS_PAYABLE_TURNOVER</stp>
        <stp>FY 2014</stp>
        <stp>FY 2014</stp>
        <stp>[FA1_ymffleas.xlsx]Working Capital!R10C8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0" s="25"/>
      </tp>
      <tp>
        <v>0</v>
        <stp/>
        <stp>##V3_BDHV12</stp>
        <stp>RCOM IN Equity</stp>
        <stp>ARDR_STK_BASED_COMPENSATION_EXP</stp>
        <stp>FY 2017</stp>
        <stp>FY 2017</stp>
        <stp>[FA1_ymffleas.xlsx]Income - As Reported!R86C11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6" s="11"/>
      </tp>
      <tp>
        <v>0</v>
        <stp/>
        <stp>##V3_BDHV12</stp>
        <stp>RCOM IN Equity</stp>
        <stp>ARDR_STK_BASED_COMPENSATION_EXP</stp>
        <stp>FY 2016</stp>
        <stp>FY 2016</stp>
        <stp>[FA1_ymffleas.xlsx]Income - As Reported!R86C10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6" s="11"/>
      </tp>
      <tp>
        <v>10</v>
        <stp/>
        <stp>##V3_BDHV12</stp>
        <stp>RCOM IN Equity</stp>
        <stp>ARDR_STK_BASED_COMPENSATION_EXP</stp>
        <stp>FY 2018</stp>
        <stp>FY 2018</stp>
        <stp>[FA1_ymffleas.xlsx]Income - As Reported!R86C12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6" s="11"/>
      </tp>
      <tp>
        <v>24150</v>
        <stp/>
        <stp>##V3_BDHV12</stp>
        <stp>RCOM IN Equity</stp>
        <stp>ARDR_BUILDING</stp>
        <stp>FY 2014</stp>
        <stp>FY 2014</stp>
        <stp>[FA1_ymffleas.xlsx]Bal Sheet - As Reported!R68C8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8" s="17"/>
      </tp>
      <tp>
        <v>24190</v>
        <stp/>
        <stp>##V3_BDHV12</stp>
        <stp>RCOM IN Equity</stp>
        <stp>ARDR_BUILDING</stp>
        <stp>FY 2015</stp>
        <stp>FY 2015</stp>
        <stp>[FA1_ymffleas.xlsx]Bal Sheet - As Reported!R68C9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8" s="17"/>
      </tp>
      <tp>
        <v>22388.7</v>
        <stp/>
        <stp>##V3_BDHV12</stp>
        <stp>RCOM IN Equity</stp>
        <stp>ARDR_BUILDING</stp>
        <stp>FY 2009</stp>
        <stp>FY 2009</stp>
        <stp>[FA1_ymffleas.xlsx]Bal Sheet - As Reported!R68C3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8" s="17"/>
      </tp>
      <tp>
        <v>23960</v>
        <stp/>
        <stp>##V3_BDHV12</stp>
        <stp>RCOM IN Equity</stp>
        <stp>ARDR_BUILDING</stp>
        <stp>FY 2012</stp>
        <stp>FY 2012</stp>
        <stp>[FA1_ymffleas.xlsx]Bal Sheet - As Reported!R68C6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8" s="17"/>
      </tp>
      <tp>
        <v>24040</v>
        <stp/>
        <stp>##V3_BDHV12</stp>
        <stp>RCOM IN Equity</stp>
        <stp>ARDR_BUILDING</stp>
        <stp>FY 2013</stp>
        <stp>FY 2013</stp>
        <stp>[FA1_ymffleas.xlsx]Bal Sheet - As Reported!R68C7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8" s="17"/>
      </tp>
      <tp>
        <v>23055.7</v>
        <stp/>
        <stp>##V3_BDHV12</stp>
        <stp>RCOM IN Equity</stp>
        <stp>ARDR_BUILDING</stp>
        <stp>FY 2010</stp>
        <stp>FY 2010</stp>
        <stp>[FA1_ymffleas.xlsx]Bal Sheet - As Reported!R68C4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8" s="17"/>
      </tp>
      <tp>
        <v>23890</v>
        <stp/>
        <stp>##V3_BDHV12</stp>
        <stp>RCOM IN Equity</stp>
        <stp>ARDR_BUILDING</stp>
        <stp>FY 2011</stp>
        <stp>FY 2011</stp>
        <stp>[FA1_ymffleas.xlsx]Bal Sheet - As Reported!R68C5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8" s="17"/>
      </tp>
      <tp>
        <v>0.5353</v>
        <stp/>
        <stp>##V3_BDHV12</stp>
        <stp>RCOM IN Equity</stp>
        <stp>LOW_CLOSING_PRICE_TO_CASH_FLOW</stp>
        <stp>FY 2017</stp>
        <stp>FY 2017</stp>
        <stp>[FA1_ymffleas.xlsx]Multiples!R29C10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9" s="6"/>
      </tp>
      <tp t="s">
        <v>—</v>
        <stp/>
        <stp>##V3_BDHV12</stp>
        <stp>RCOM IN Equity</stp>
        <stp>LOW_CLOSING_PRICE_TO_CASH_FLOW</stp>
        <stp>FY 2018</stp>
        <stp>FY 2018</stp>
        <stp>[FA1_ymffleas.xlsx]Multiples!R29C11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9" s="6"/>
      </tp>
      <tp>
        <v>8.2928999999999995</v>
        <stp/>
        <stp>##V3_BDHV12</stp>
        <stp>RCOM IN Equity</stp>
        <stp>EV_TO_T12M_SALES</stp>
        <stp>FY 2017</stp>
        <stp>FY 2017</stp>
        <stp>[FA1_ymffleas.xlsx]Enterprise Value!R17C10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7" s="5"/>
      </tp>
      <tp>
        <v>360895.10009999998</v>
        <stp/>
        <stp>##V3_BDHV12</stp>
        <stp>RCOM IN Equity</stp>
        <stp>HISTORICAL_MARKET_CAP</stp>
        <stp>FY 2009</stp>
        <stp>FY 2009</stp>
        <stp>[FA1_ymffleas.xlsx]Yield Analysis!R19C3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" s="26"/>
      </tp>
      <tp>
        <v>350781.36839999998</v>
        <stp/>
        <stp>##V3_BDHV12</stp>
        <stp>RCOM IN Equity</stp>
        <stp>HISTORICAL_MARKET_CAP</stp>
        <stp>FY 2010</stp>
        <stp>FY 2010</stp>
        <stp>[FA1_ymffleas.xlsx]Yield Analysis!R19C4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" s="26"/>
      </tp>
      <tp>
        <v>222192.49369999999</v>
        <stp/>
        <stp>##V3_BDHV12</stp>
        <stp>RCOM IN Equity</stp>
        <stp>HISTORICAL_MARKET_CAP</stp>
        <stp>FY 2011</stp>
        <stp>FY 2011</stp>
        <stp>[FA1_ymffleas.xlsx]Yield Analysis!R19C5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" s="26"/>
      </tp>
      <tp>
        <v>173481.45929999999</v>
        <stp/>
        <stp>##V3_BDHV12</stp>
        <stp>RCOM IN Equity</stp>
        <stp>HISTORICAL_MARKET_CAP</stp>
        <stp>FY 2012</stp>
        <stp>FY 2012</stp>
        <stp>[FA1_ymffleas.xlsx]Yield Analysis!R19C6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" s="26"/>
      </tp>
      <tp>
        <v>114140.6865</v>
        <stp/>
        <stp>##V3_BDHV12</stp>
        <stp>RCOM IN Equity</stp>
        <stp>HISTORICAL_MARKET_CAP</stp>
        <stp>FY 2013</stp>
        <stp>FY 2013</stp>
        <stp>[FA1_ymffleas.xlsx]Yield Analysis!R19C7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" s="26"/>
      </tp>
      <tp>
        <v>266053.065</v>
        <stp/>
        <stp>##V3_BDHV12</stp>
        <stp>RCOM IN Equity</stp>
        <stp>HISTORICAL_MARKET_CAP</stp>
        <stp>FY 2014</stp>
        <stp>FY 2014</stp>
        <stp>[FA1_ymffleas.xlsx]Yield Analysis!R19C8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" s="26"/>
      </tp>
      <tp>
        <v>147472.04990000001</v>
        <stp/>
        <stp>##V3_BDHV12</stp>
        <stp>RCOM IN Equity</stp>
        <stp>HISTORICAL_MARKET_CAP</stp>
        <stp>FY 2015</stp>
        <stp>FY 2015</stp>
        <stp>[FA1_ymffleas.xlsx]Yield Analysis!R19C9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" s="26"/>
      </tp>
      <tp>
        <v>0</v>
        <stp/>
        <stp>##V3_BDHV12</stp>
        <stp>RCOM IN Equity</stp>
        <stp>IS_STK_BASED_COMP_AFT_TAX</stp>
        <stp>FY 2016</stp>
        <stp>FY 2016</stp>
        <stp>[FA1_ymffleas.xlsx]SBC &amp; Amort!R16C10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" s="13"/>
      </tp>
      <tp>
        <v>0</v>
        <stp/>
        <stp>##V3_BDHV12</stp>
        <stp>RCOM IN Equity</stp>
        <stp>IS_STK_BASED_COMP_AFT_TAX</stp>
        <stp>FY 2017</stp>
        <stp>FY 2017</stp>
        <stp>[FA1_ymffleas.xlsx]SBC &amp; Amort!R16C11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" s="13"/>
      </tp>
      <tp>
        <v>7</v>
        <stp/>
        <stp>##V3_BDHV12</stp>
        <stp>RCOM IN Equity</stp>
        <stp>IS_STK_BASED_COMP_AFT_TAX</stp>
        <stp>FY 2018</stp>
        <stp>FY 2018</stp>
        <stp>[FA1_ymffleas.xlsx]SBC &amp; Amort!R16C12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" s="13"/>
      </tp>
      <tp>
        <v>543266.06209999998</v>
        <stp/>
        <stp>##V3_BDHV12</stp>
        <stp>RCOM IN Equity</stp>
        <stp>AVERAGE_ENTERPRISE_VALUE</stp>
        <stp>FY 2016</stp>
        <stp>FY 2016</stp>
        <stp>[FA1_ymffleas.xlsx]Multiples!R56C9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6" s="6"/>
      </tp>
      <tp>
        <v>665374.81059999997</v>
        <stp/>
        <stp>##V3_BDHV12</stp>
        <stp>RCOM IN Equity</stp>
        <stp>AVERAGE_ENTERPRISE_VALUE</stp>
        <stp>FY 2015</stp>
        <stp>FY 2015</stp>
        <stp>[FA1_ymffleas.xlsx]Multiples!R56C8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6" s="6"/>
      </tp>
      <tp>
        <v>760974.83600000001</v>
        <stp/>
        <stp>##V3_BDHV12</stp>
        <stp>RCOM IN Equity</stp>
        <stp>AVERAGE_ENTERPRISE_VALUE</stp>
        <stp>FY 2010</stp>
        <stp>FY 2010</stp>
        <stp>[FA1_ymffleas.xlsx]Multiples!R56C3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6" s="6"/>
      </tp>
      <tp>
        <v>667679.84329999995</v>
        <stp/>
        <stp>##V3_BDHV12</stp>
        <stp>RCOM IN Equity</stp>
        <stp>AVERAGE_ENTERPRISE_VALUE</stp>
        <stp>FY 2014</stp>
        <stp>FY 2014</stp>
        <stp>[FA1_ymffleas.xlsx]Multiples!R56C7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6" s="6"/>
      </tp>
      <tp>
        <v>518927.57209999999</v>
        <stp/>
        <stp>##V3_BDHV12</stp>
        <stp>RCOM IN Equity</stp>
        <stp>AVERAGE_ENTERPRISE_VALUE</stp>
        <stp>FY 2013</stp>
        <stp>FY 2013</stp>
        <stp>[FA1_ymffleas.xlsx]Multiples!R56C6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6" s="6"/>
      </tp>
      <tp>
        <v>526226.22069999995</v>
        <stp/>
        <stp>##V3_BDHV12</stp>
        <stp>RCOM IN Equity</stp>
        <stp>AVERAGE_ENTERPRISE_VALUE</stp>
        <stp>FY 2012</stp>
        <stp>FY 2012</stp>
        <stp>[FA1_ymffleas.xlsx]Multiples!R56C5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6" s="6"/>
      </tp>
      <tp>
        <v>570684.55889999995</v>
        <stp/>
        <stp>##V3_BDHV12</stp>
        <stp>RCOM IN Equity</stp>
        <stp>AVERAGE_ENTERPRISE_VALUE</stp>
        <stp>FY 2011</stp>
        <stp>FY 2011</stp>
        <stp>[FA1_ymffleas.xlsx]Multiples!R56C4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6" s="6"/>
      </tp>
      <tp>
        <v>50</v>
        <stp/>
        <stp>##V3_BDHV12</stp>
        <stp>RCOM IN Equity</stp>
        <stp>ARDR_RESTRICTED_CASH_ST</stp>
        <stp>FY 2017</stp>
        <stp>FY 2017</stp>
        <stp>[FA1_ymffleas.xlsx]Bal Sheet - As Reported!R64C11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4" s="17"/>
      </tp>
      <tp>
        <v>70</v>
        <stp/>
        <stp>##V3_BDHV12</stp>
        <stp>RCOM IN Equity</stp>
        <stp>ARDR_RESTRICTED_CASH_ST</stp>
        <stp>FY 2016</stp>
        <stp>FY 2016</stp>
        <stp>[FA1_ymffleas.xlsx]Bal Sheet - As Reported!R64C10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4" s="17"/>
      </tp>
      <tp>
        <v>30</v>
        <stp/>
        <stp>##V3_BDHV12</stp>
        <stp>RCOM IN Equity</stp>
        <stp>ARDR_RESTRICTED_CASH_ST</stp>
        <stp>FY 2018</stp>
        <stp>FY 2018</stp>
        <stp>[FA1_ymffleas.xlsx]Bal Sheet - As Reported!R64C12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4" s="17"/>
      </tp>
      <tp>
        <v>7500</v>
        <stp/>
        <stp>##V3_BDHV12</stp>
        <stp>RCOM IN Equity</stp>
        <stp>ARDR_PATENTS_TRADEMRK_COPYRIGHT</stp>
        <stp>FY 2018</stp>
        <stp>FY 2018</stp>
        <stp>[FA1_ymffleas.xlsx]Bal Sheet - As Reported!R78C12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8" s="17"/>
      </tp>
      <tp>
        <v>8880</v>
        <stp/>
        <stp>##V3_BDHV12</stp>
        <stp>RCOM IN Equity</stp>
        <stp>ARDR_PATENTS_TRADEMRK_COPYRIGHT</stp>
        <stp>FY 2016</stp>
        <stp>FY 2016</stp>
        <stp>[FA1_ymffleas.xlsx]Bal Sheet - As Reported!R78C10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8" s="17"/>
      </tp>
      <tp>
        <v>8250</v>
        <stp/>
        <stp>##V3_BDHV12</stp>
        <stp>RCOM IN Equity</stp>
        <stp>ARDR_PATENTS_TRADEMRK_COPYRIGHT</stp>
        <stp>FY 2017</stp>
        <stp>FY 2017</stp>
        <stp>[FA1_ymffleas.xlsx]Bal Sheet - As Reported!R78C11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8" s="17"/>
      </tp>
      <tp t="s">
        <v>—</v>
        <stp/>
        <stp>##V3_BDHV12</stp>
        <stp>RCOM IN Equity</stp>
        <stp>FCF_TO_FIRM_SEQUENTIAL_GROWTH</stp>
        <stp>FY 2018</stp>
        <stp>FY 2018</stp>
        <stp>[FA1_ymffleas.xlsx]Growth!R87C12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87" s="22"/>
      </tp>
      <tp t="s">
        <v>—</v>
        <stp/>
        <stp>##V3_BDHV12</stp>
        <stp>RCOM IN Equity</stp>
        <stp>ARD_ACCTS_REC_OTHER_REC</stp>
        <stp>FY 2018</stp>
        <stp>FY 2018</stp>
        <stp>[FA1_ymffleas.xlsx]Bal Sheet - As Reported!R45C12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5" s="17"/>
      </tp>
      <tp t="s">
        <v>—</v>
        <stp/>
        <stp>##V3_BDHV12</stp>
        <stp>RCOM IN Equity</stp>
        <stp>ARD_ACCTS_REC_OTHER_REC</stp>
        <stp>FY 2017</stp>
        <stp>FY 2017</stp>
        <stp>[FA1_ymffleas.xlsx]Bal Sheet - As Reported!R45C11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5" s="17"/>
      </tp>
      <tp t="s">
        <v>—</v>
        <stp/>
        <stp>##V3_BDHV12</stp>
        <stp>RCOM IN Equity</stp>
        <stp>ARD_ACCTS_REC_OTHER_REC</stp>
        <stp>FY 2016</stp>
        <stp>FY 2016</stp>
        <stp>[FA1_ymffleas.xlsx]Bal Sheet - As Reported!R45C10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5" s="17"/>
      </tp>
      <tp>
        <v>685073.06499999994</v>
        <stp/>
        <stp>##V3_BDHV12</stp>
        <stp>RCOM IN Equity</stp>
        <stp>ENTERPRISE_VALUE</stp>
        <stp>FY 2014</stp>
        <stp>FY 2014</stp>
        <stp>[FA1_ymffleas.xlsx]Yield Analysis!R33C8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3" s="26"/>
      </tp>
      <tp>
        <v>525452.04989999998</v>
        <stp/>
        <stp>##V3_BDHV12</stp>
        <stp>RCOM IN Equity</stp>
        <stp>ENTERPRISE_VALUE</stp>
        <stp>FY 2015</stp>
        <stp>FY 2015</stp>
        <stp>[FA1_ymffleas.xlsx]Yield Analysis!R33C9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3" s="26"/>
      </tp>
      <tp>
        <v>649395.50009999995</v>
        <stp/>
        <stp>##V3_BDHV12</stp>
        <stp>RCOM IN Equity</stp>
        <stp>ENTERPRISE_VALUE</stp>
        <stp>FY 2009</stp>
        <stp>FY 2009</stp>
        <stp>[FA1_ymffleas.xlsx]Yield Analysis!R33C3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3" s="26"/>
      </tp>
      <tp>
        <v>554421.45929999999</v>
        <stp/>
        <stp>##V3_BDHV12</stp>
        <stp>RCOM IN Equity</stp>
        <stp>ENTERPRISE_VALUE</stp>
        <stp>FY 2012</stp>
        <stp>FY 2012</stp>
        <stp>[FA1_ymffleas.xlsx]Yield Analysis!R33C6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3" s="26"/>
      </tp>
      <tp>
        <v>524040.68650000001</v>
        <stp/>
        <stp>##V3_BDHV12</stp>
        <stp>RCOM IN Equity</stp>
        <stp>ENTERPRISE_VALUE</stp>
        <stp>FY 2013</stp>
        <stp>FY 2013</stp>
        <stp>[FA1_ymffleas.xlsx]Yield Analysis!R33C7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3" s="26"/>
      </tp>
      <tp>
        <v>605934.66839999997</v>
        <stp/>
        <stp>##V3_BDHV12</stp>
        <stp>RCOM IN Equity</stp>
        <stp>ENTERPRISE_VALUE</stp>
        <stp>FY 2010</stp>
        <stp>FY 2010</stp>
        <stp>[FA1_ymffleas.xlsx]Yield Analysis!R33C4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3" s="26"/>
      </tp>
      <tp>
        <v>567962.49369999999</v>
        <stp/>
        <stp>##V3_BDHV12</stp>
        <stp>RCOM IN Equity</stp>
        <stp>ENTERPRISE_VALUE</stp>
        <stp>FY 2011</stp>
        <stp>FY 2011</stp>
        <stp>[FA1_ymffleas.xlsx]Yield Analysis!R33C5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3" s="26"/>
      </tp>
      <tp>
        <v>33.54</v>
        <stp/>
        <stp>##V3_BDHV12</stp>
        <stp>RCOM IN Equity</stp>
        <stp>ARDR_EBITDA_MARGIN</stp>
        <stp>FY 2016</stp>
        <stp>FY 2016</stp>
        <stp>[FA1_ymffleas.xlsx]Income - As Reported!R133C10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33" s="11"/>
      </tp>
      <tp t="s">
        <v>—</v>
        <stp/>
        <stp>##V3_BDHV12</stp>
        <stp>RCOM IN Equity</stp>
        <stp>ARDR_EBITDA_MARGIN</stp>
        <stp>FY 2017</stp>
        <stp>FY 2017</stp>
        <stp>[FA1_ymffleas.xlsx]Income - As Reported!R133C11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33" s="11"/>
      </tp>
      <tp>
        <v>19.2</v>
        <stp/>
        <stp>##V3_BDHV12</stp>
        <stp>RCOM IN Equity</stp>
        <stp>ARDR_EBITDA_MARGIN</stp>
        <stp>FY 2018</stp>
        <stp>FY 2018</stp>
        <stp>[FA1_ymffleas.xlsx]Income - As Reported!R133C12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33" s="11"/>
      </tp>
      <tp>
        <v>2.5215999999999998</v>
        <stp/>
        <stp>##V3_BDHV12</stp>
        <stp>RCOM IN Equity</stp>
        <stp>EV_TO_T12M_SALES</stp>
        <stp>FY 2016</stp>
        <stp>FY 2016</stp>
        <stp>[FA1_ymffleas.xlsx]Enterprise Value!R17C9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7" s="5"/>
      </tp>
      <tp>
        <v>3.0663999999999998</v>
        <stp/>
        <stp>##V3_BDHV12</stp>
        <stp>RCOM IN Equity</stp>
        <stp>RETURN_ON_INV_CAPITAL</stp>
        <stp>FY 2016</stp>
        <stp>FY 2016</stp>
        <stp>[FA1_ymffleas.xlsx]Profitability!R10C10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0" s="21"/>
      </tp>
      <tp>
        <v>160</v>
        <stp/>
        <stp>##V3_BDHV12</stp>
        <stp>RCOM IN Equity</stp>
        <stp>ARDR_FOREIGN_EXCH_GL</stp>
        <stp>FY 2015</stp>
        <stp>FY 2015</stp>
        <stp>[FA1_ymffleas.xlsx]Income - As Reported!R89C9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9" s="11"/>
      </tp>
      <tp>
        <v>630</v>
        <stp/>
        <stp>##V3_BDHV12</stp>
        <stp>RCOM IN Equity</stp>
        <stp>ARDR_FOREIGN_EXCH_GL</stp>
        <stp>FY 2014</stp>
        <stp>FY 2014</stp>
        <stp>[FA1_ymffleas.xlsx]Income - As Reported!R89C8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9" s="11"/>
      </tp>
      <tp>
        <v>-10</v>
        <stp/>
        <stp>##V3_BDHV12</stp>
        <stp>RCOM IN Equity</stp>
        <stp>ARDR_FOREIGN_EXCH_GL</stp>
        <stp>FY 2013</stp>
        <stp>FY 2013</stp>
        <stp>[FA1_ymffleas.xlsx]Income - As Reported!R89C7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9" s="11"/>
      </tp>
      <tp>
        <v>100</v>
        <stp/>
        <stp>##V3_BDHV12</stp>
        <stp>RCOM IN Equity</stp>
        <stp>ARDR_FOREIGN_EXCH_GL</stp>
        <stp>FY 2012</stp>
        <stp>FY 2012</stp>
        <stp>[FA1_ymffleas.xlsx]Income - As Reported!R89C6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9" s="11"/>
      </tp>
      <tp>
        <v>-350</v>
        <stp/>
        <stp>##V3_BDHV12</stp>
        <stp>RCOM IN Equity</stp>
        <stp>ARDR_FOREIGN_EXCH_GL</stp>
        <stp>FY 2011</stp>
        <stp>FY 2011</stp>
        <stp>[FA1_ymffleas.xlsx]Income - As Reported!R89C5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9" s="11"/>
      </tp>
      <tp>
        <v>-1955.4</v>
        <stp/>
        <stp>##V3_BDHV12</stp>
        <stp>RCOM IN Equity</stp>
        <stp>ARDR_FOREIGN_EXCH_GL</stp>
        <stp>FY 2010</stp>
        <stp>FY 2010</stp>
        <stp>[FA1_ymffleas.xlsx]Income - As Reported!R89C4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9" s="11"/>
      </tp>
      <tp>
        <v>1236.5999999999999</v>
        <stp/>
        <stp>##V3_BDHV12</stp>
        <stp>RCOM IN Equity</stp>
        <stp>ARDR_FOREIGN_EXCH_GL</stp>
        <stp>FY 2009</stp>
        <stp>FY 2009</stp>
        <stp>[FA1_ymffleas.xlsx]Income - As Reported!R89C3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9" s="11"/>
      </tp>
      <tp t="s">
        <v>—</v>
        <stp/>
        <stp>##V3_BDHV12</stp>
        <stp>RCOM IN Equity</stp>
        <stp>HIGH_PRICE_TO_FREE_CASH_FLOW</stp>
        <stp>FY 2018</stp>
        <stp>FY 2018</stp>
        <stp>[FA1_ymffleas.xlsx]Multiples!R33C11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3" s="6"/>
      </tp>
      <tp t="s">
        <v>—</v>
        <stp/>
        <stp>##V3_BDHV12</stp>
        <stp>RCOM IN Equity</stp>
        <stp>HIGH_PRICE_TO_FREE_CASH_FLOW</stp>
        <stp>FY 2017</stp>
        <stp>FY 2017</stp>
        <stp>[FA1_ymffleas.xlsx]Multiples!R33C10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3" s="6"/>
      </tp>
      <tp>
        <v>2430</v>
        <stp/>
        <stp>##V3_BDHV12</stp>
        <stp>RCOM IN Equity</stp>
        <stp>IS_OPER_INC</stp>
        <stp>FY 2018</stp>
        <stp>FY 2018</stp>
        <stp>[FA1_ymffleas.xlsx]Reconciliation!R24C11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24" s="12"/>
      </tp>
      <tp>
        <v>4400</v>
        <stp/>
        <stp>##V3_BDHV12</stp>
        <stp>RCOM IN Equity</stp>
        <stp>IS_OPER_INC</stp>
        <stp>FY 2017</stp>
        <stp>FY 2017</stp>
        <stp>[FA1_ymffleas.xlsx]Reconciliation!R24C10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24" s="12"/>
      </tp>
      <tp>
        <v>390</v>
        <stp/>
        <stp>##V3_BDHV12</stp>
        <stp>RCOM IN Equity</stp>
        <stp>IS_SELLING_EXPENSES</stp>
        <stp>FY 2018</stp>
        <stp>FY 2018</stp>
        <stp>[FA1_ymffleas.xlsx]Income - Adjusted!R23C11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23" s="9"/>
      </tp>
      <tp>
        <v>4400</v>
        <stp/>
        <stp>##V3_BDHV12</stp>
        <stp>RCOM IN Equity</stp>
        <stp>IS_OPER_INC</stp>
        <stp>FY 2017</stp>
        <stp>FY 2017</stp>
        <stp>[FA1_ymffleas.xlsx]Reconciliation!R16C10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6" s="12"/>
      </tp>
      <tp>
        <v>810</v>
        <stp/>
        <stp>##V3_BDHV12</stp>
        <stp>RCOM IN Equity</stp>
        <stp>IS_SELLING_EXPENSES</stp>
        <stp>FY 2017</stp>
        <stp>FY 2017</stp>
        <stp>[FA1_ymffleas.xlsx]Income - Adjusted!R23C10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23" s="9"/>
      </tp>
      <tp>
        <v>2430</v>
        <stp/>
        <stp>##V3_BDHV12</stp>
        <stp>RCOM IN Equity</stp>
        <stp>IS_OPER_INC</stp>
        <stp>FY 2018</stp>
        <stp>FY 2018</stp>
        <stp>[FA1_ymffleas.xlsx]Reconciliation!R16C11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6" s="12"/>
      </tp>
      <tp>
        <v>285690</v>
        <stp/>
        <stp>##V3_BDHV12</stp>
        <stp>RCOM IN Equity</stp>
        <stp>EQTY_BEF_MINORITY_INT_DETAILED</stp>
        <stp>FY 2017</stp>
        <stp>FY 2017</stp>
        <stp>[FA1_ymffleas.xlsx]Bal Sheet - Standardized!R147C11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7" s="16"/>
      </tp>
      <tp>
        <v>315830</v>
        <stp/>
        <stp>##V3_BDHV12</stp>
        <stp>RCOM IN Equity</stp>
        <stp>EQTY_BEF_MINORITY_INT_DETAILED</stp>
        <stp>FY 2016</stp>
        <stp>FY 2016</stp>
        <stp>[FA1_ymffleas.xlsx]Bal Sheet - Standardized!R147C10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7" s="16"/>
      </tp>
      <tp>
        <v>27830</v>
        <stp/>
        <stp>##V3_BDHV12</stp>
        <stp>RCOM IN Equity</stp>
        <stp>EQTY_BEF_MINORITY_INT_DETAILED</stp>
        <stp>FY 2018</stp>
        <stp>FY 2018</stp>
        <stp>[FA1_ymffleas.xlsx]Bal Sheet - Standardized!R147C12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7" s="16"/>
      </tp>
      <tp>
        <v>48.2699</v>
        <stp/>
        <stp>##V3_BDHV12</stp>
        <stp>RCOM IN Equity</stp>
        <stp>INCREMENTAL_OPERATING_MARGIN</stp>
        <stp>FY 2013</stp>
        <stp>FY 2013</stp>
        <stp>[FA1_ymffleas.xlsx]Profitability!R15C7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5" s="21"/>
      </tp>
      <tp>
        <v>680</v>
        <stp/>
        <stp>##V3_BDHV12</stp>
        <stp>RCOM IN Equity</stp>
        <stp>ARD_COMPREHENSIVE_INC_ATTRIB_MI</stp>
        <stp>FY 2018</stp>
        <stp>FY 2018</stp>
        <stp>[FA1_ymffleas.xlsx]Income - As Reported!R58C12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8" s="11"/>
      </tp>
      <tp>
        <v>210</v>
        <stp/>
        <stp>##V3_BDHV12</stp>
        <stp>RCOM IN Equity</stp>
        <stp>ARD_COMPREHENSIVE_INC_ATTRIB_MI</stp>
        <stp>FY 2016</stp>
        <stp>FY 2016</stp>
        <stp>[FA1_ymffleas.xlsx]Income - As Reported!R58C10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8" s="11"/>
      </tp>
      <tp>
        <v>1200</v>
        <stp/>
        <stp>##V3_BDHV12</stp>
        <stp>RCOM IN Equity</stp>
        <stp>ARD_COMPREHENSIVE_INC_ATTRIB_MI</stp>
        <stp>FY 2017</stp>
        <stp>FY 2017</stp>
        <stp>[FA1_ymffleas.xlsx]Income - As Reported!R58C11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8" s="11"/>
      </tp>
      <tp t="s">
        <v>—</v>
        <stp/>
        <stp>##V3_BDHV12</stp>
        <stp>RCOM IN Equity</stp>
        <stp>ARDR_ST_CAP_LEASE_OBLIGATIONS</stp>
        <stp>FY 2010</stp>
        <stp>FY 2010</stp>
        <stp>[FA1_ymffleas.xlsx]Bal Sheet - As Reported!R82C4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2" s="17"/>
      </tp>
      <tp t="s">
        <v>—</v>
        <stp/>
        <stp>##V3_BDHV12</stp>
        <stp>RCOM IN Equity</stp>
        <stp>ARDR_ST_CAP_LEASE_OBLIGATIONS</stp>
        <stp>FY 2011</stp>
        <stp>FY 2011</stp>
        <stp>[FA1_ymffleas.xlsx]Bal Sheet - As Reported!R82C5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2" s="17"/>
      </tp>
      <tp t="s">
        <v>—</v>
        <stp/>
        <stp>##V3_BDHV12</stp>
        <stp>RCOM IN Equity</stp>
        <stp>ARDR_ST_CAP_LEASE_OBLIGATIONS</stp>
        <stp>FY 2012</stp>
        <stp>FY 2012</stp>
        <stp>[FA1_ymffleas.xlsx]Bal Sheet - As Reported!R82C6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2" s="17"/>
      </tp>
      <tp t="s">
        <v>—</v>
        <stp/>
        <stp>##V3_BDHV12</stp>
        <stp>RCOM IN Equity</stp>
        <stp>ARDR_ST_CAP_LEASE_OBLIGATIONS</stp>
        <stp>FY 2013</stp>
        <stp>FY 2013</stp>
        <stp>[FA1_ymffleas.xlsx]Bal Sheet - As Reported!R82C7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2" s="17"/>
      </tp>
      <tp t="s">
        <v>—</v>
        <stp/>
        <stp>##V3_BDHV12</stp>
        <stp>RCOM IN Equity</stp>
        <stp>ARDR_ST_CAP_LEASE_OBLIGATIONS</stp>
        <stp>FY 2009</stp>
        <stp>FY 2009</stp>
        <stp>[FA1_ymffleas.xlsx]Bal Sheet - As Reported!R82C3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2" s="17"/>
      </tp>
      <tp>
        <v>200</v>
        <stp/>
        <stp>##V3_BDHV12</stp>
        <stp>RCOM IN Equity</stp>
        <stp>ARDR_ST_CAP_LEASE_OBLIGATIONS</stp>
        <stp>FY 2014</stp>
        <stp>FY 2014</stp>
        <stp>[FA1_ymffleas.xlsx]Bal Sheet - As Reported!R82C8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2" s="17"/>
      </tp>
      <tp>
        <v>110</v>
        <stp/>
        <stp>##V3_BDHV12</stp>
        <stp>RCOM IN Equity</stp>
        <stp>ARDR_ST_CAP_LEASE_OBLIGATIONS</stp>
        <stp>FY 2015</stp>
        <stp>FY 2015</stp>
        <stp>[FA1_ymffleas.xlsx]Bal Sheet - As Reported!R82C9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2" s="17"/>
      </tp>
      <tp>
        <v>0</v>
        <stp/>
        <stp>##V3_BDHV12</stp>
        <stp>RCOM IN Equity</stp>
        <stp>IS_TOT_CASH_PFD_DVD</stp>
        <stp>FY 2017</stp>
        <stp>FY 2017</stp>
        <stp>[FA1_ymffleas.xlsx]Income - GAAP!R79C10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9" s="10"/>
      </tp>
      <tp>
        <v>0</v>
        <stp/>
        <stp>##V3_BDHV12</stp>
        <stp>RCOM IN Equity</stp>
        <stp>IS_TOT_CASH_PFD_DVD</stp>
        <stp>FY 2018</stp>
        <stp>FY 2018</stp>
        <stp>[FA1_ymffleas.xlsx]Income - GAAP!R79C11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9" s="10"/>
      </tp>
      <tp t="s">
        <v>—</v>
        <stp/>
        <stp>##V3_BDHV12</stp>
        <stp>RCOM IN Equity</stp>
        <stp>DEPR_EXP_TO_NET_FIX_ASSET</stp>
        <stp>FY 2014</stp>
        <stp>FY 2014</stp>
        <stp>[FA1_ymffleas.xlsx]CAPEX &amp; Depreciation!R8C8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" s="28"/>
      </tp>
      <tp t="s">
        <v>—</v>
        <stp/>
        <stp>##V3_BDHV12</stp>
        <stp>RCOM IN Equity</stp>
        <stp>DEPR_EXP_TO_NET_FIX_ASSET</stp>
        <stp>FY 2015</stp>
        <stp>FY 2015</stp>
        <stp>[FA1_ymffleas.xlsx]CAPEX &amp; Depreciation!R8C9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" s="28"/>
      </tp>
      <tp>
        <v>50040</v>
        <stp/>
        <stp>##V3_BDHV12</stp>
        <stp>RCOM IN Equity</stp>
        <stp>ARDR_TOTAL_CONTIGENT_PAYABLE</stp>
        <stp>FY 2014</stp>
        <stp>FY 2014</stp>
        <stp>[FA1_ymffleas.xlsx]Bal Sheet - As Reported!R139C8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9" s="17"/>
      </tp>
      <tp>
        <v>75210</v>
        <stp/>
        <stp>##V3_BDHV12</stp>
        <stp>RCOM IN Equity</stp>
        <stp>ARDR_TOTAL_CONTIGENT_PAYABLE</stp>
        <stp>FY 2015</stp>
        <stp>FY 2015</stp>
        <stp>[FA1_ymffleas.xlsx]Bal Sheet - As Reported!R139C9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9" s="17"/>
      </tp>
      <tp>
        <v>31829.1</v>
        <stp/>
        <stp>##V3_BDHV12</stp>
        <stp>RCOM IN Equity</stp>
        <stp>ARDR_TOTAL_CONTIGENT_PAYABLE</stp>
        <stp>FY 2010</stp>
        <stp>FY 2010</stp>
        <stp>[FA1_ymffleas.xlsx]Bal Sheet - As Reported!R139C4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9" s="17"/>
      </tp>
      <tp>
        <v>24610</v>
        <stp/>
        <stp>##V3_BDHV12</stp>
        <stp>RCOM IN Equity</stp>
        <stp>ARDR_TOTAL_CONTIGENT_PAYABLE</stp>
        <stp>FY 2011</stp>
        <stp>FY 2011</stp>
        <stp>[FA1_ymffleas.xlsx]Bal Sheet - As Reported!R139C5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9" s="17"/>
      </tp>
      <tp>
        <v>14090</v>
        <stp/>
        <stp>##V3_BDHV12</stp>
        <stp>RCOM IN Equity</stp>
        <stp>ARDR_TOTAL_CONTIGENT_PAYABLE</stp>
        <stp>FY 2012</stp>
        <stp>FY 2012</stp>
        <stp>[FA1_ymffleas.xlsx]Bal Sheet - As Reported!R139C6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9" s="17"/>
      </tp>
      <tp>
        <v>32050</v>
        <stp/>
        <stp>##V3_BDHV12</stp>
        <stp>RCOM IN Equity</stp>
        <stp>ARDR_TOTAL_CONTIGENT_PAYABLE</stp>
        <stp>FY 2013</stp>
        <stp>FY 2013</stp>
        <stp>[FA1_ymffleas.xlsx]Bal Sheet - As Reported!R139C7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9" s="17"/>
      </tp>
      <tp>
        <v>36422.800000000003</v>
        <stp/>
        <stp>##V3_BDHV12</stp>
        <stp>RCOM IN Equity</stp>
        <stp>ARDR_TOTAL_CONTIGENT_PAYABLE</stp>
        <stp>FY 2009</stp>
        <stp>FY 2009</stp>
        <stp>[FA1_ymffleas.xlsx]Bal Sheet - As Reported!R139C3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9" s="17"/>
      </tp>
      <tp>
        <v>6.4299999999999996E-2</v>
        <stp/>
        <stp>##V3_BDHV12</stp>
        <stp>RCOM IN Equity</stp>
        <stp>DEPR_EXP_TO_NET_FIX_ASSET</stp>
        <stp>FY 2009</stp>
        <stp>FY 2009</stp>
        <stp>[FA1_ymffleas.xlsx]CAPEX &amp; Depreciation!R8C3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" s="28"/>
      </tp>
      <tp>
        <v>5.3800000000000001E-2</v>
        <stp/>
        <stp>##V3_BDHV12</stp>
        <stp>RCOM IN Equity</stp>
        <stp>DEPR_EXP_TO_NET_FIX_ASSET</stp>
        <stp>FY 2010</stp>
        <stp>FY 2010</stp>
        <stp>[FA1_ymffleas.xlsx]CAPEX &amp; Depreciation!R8C4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" s="28"/>
      </tp>
      <tp>
        <v>6.8500000000000005E-2</v>
        <stp/>
        <stp>##V3_BDHV12</stp>
        <stp>RCOM IN Equity</stp>
        <stp>DEPR_EXP_TO_NET_FIX_ASSET</stp>
        <stp>FY 2011</stp>
        <stp>FY 2011</stp>
        <stp>[FA1_ymffleas.xlsx]CAPEX &amp; Depreciation!R8C5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" s="28"/>
      </tp>
      <tp>
        <v>-91.232799999999997</v>
        <stp/>
        <stp>##V3_BDHV12</stp>
        <stp>RCOM IN Equity</stp>
        <stp>BVPS_GROWTH</stp>
        <stp>FY 2018</stp>
        <stp>FY 2018</stp>
        <stp>[FA1_ymffleas.xlsx]Growth!R28C12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8" s="22"/>
      </tp>
      <tp>
        <v>3.1300000000000001E-2</v>
        <stp/>
        <stp>##V3_BDHV12</stp>
        <stp>RCOM IN Equity</stp>
        <stp>DEPR_EXP_TO_NET_FIX_ASSET</stp>
        <stp>FY 2012</stp>
        <stp>FY 2012</stp>
        <stp>[FA1_ymffleas.xlsx]CAPEX &amp; Depreciation!R8C6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" s="28"/>
      </tp>
      <tp>
        <v>-9.5431000000000008</v>
        <stp/>
        <stp>##V3_BDHV12</stp>
        <stp>RCOM IN Equity</stp>
        <stp>BVPS_GROWTH</stp>
        <stp>FY 2017</stp>
        <stp>FY 2017</stp>
        <stp>[FA1_ymffleas.xlsx]Growth!R28C11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8" s="22"/>
      </tp>
      <tp>
        <v>3.9399999999999998E-2</v>
        <stp/>
        <stp>##V3_BDHV12</stp>
        <stp>RCOM IN Equity</stp>
        <stp>DEPR_EXP_TO_NET_FIX_ASSET</stp>
        <stp>FY 2013</stp>
        <stp>FY 2013</stp>
        <stp>[FA1_ymffleas.xlsx]CAPEX &amp; Depreciation!R8C7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" s="28"/>
      </tp>
      <tp>
        <v>-16.746600000000001</v>
        <stp/>
        <stp>##V3_BDHV12</stp>
        <stp>RCOM IN Equity</stp>
        <stp>BVPS_GROWTH</stp>
        <stp>FY 2016</stp>
        <stp>FY 2016</stp>
        <stp>[FA1_ymffleas.xlsx]Growth!R28C10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8" s="22"/>
      </tp>
      <tp t="s">
        <v>—</v>
        <stp/>
        <stp>##V3_BDHV12</stp>
        <stp>RCOM IN Equity</stp>
        <stp>EMPL_GROWTH</stp>
        <stp>FY 2016</stp>
        <stp>FY 2016</stp>
        <stp>[FA1_ymffleas.xlsx]Growth!R22C10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2" s="22"/>
      </tp>
      <tp t="s">
        <v>—</v>
        <stp/>
        <stp>##V3_BDHV12</stp>
        <stp>RCOM IN Equity</stp>
        <stp>EMPL_GROWTH</stp>
        <stp>FY 2017</stp>
        <stp>FY 2017</stp>
        <stp>[FA1_ymffleas.xlsx]Growth!R22C11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2" s="22"/>
      </tp>
      <tp t="s">
        <v>—</v>
        <stp/>
        <stp>##V3_BDHV12</stp>
        <stp>RCOM IN Equity</stp>
        <stp>EMPL_GROWTH</stp>
        <stp>FY 2018</stp>
        <stp>FY 2018</stp>
        <stp>[FA1_ymffleas.xlsx]Growth!R22C12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2" s="22"/>
      </tp>
      <tp t="s">
        <v>—</v>
        <stp/>
        <stp>##V3_BDHV12</stp>
        <stp>RCOM IN Equity</stp>
        <stp>FCF_TO_FIRM_SEQUENTIAL_GROWTH</stp>
        <stp>FY 2017</stp>
        <stp>FY 2017</stp>
        <stp>[FA1_ymffleas.xlsx]Growth!R87C11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87" s="22"/>
      </tp>
      <tp>
        <v>548268.98730000004</v>
        <stp/>
        <stp>##V3_BDHV12</stp>
        <stp>RCOM IN Equity</stp>
        <stp>ENTERPRISE_VALUE</stp>
        <stp>FY 2016</stp>
        <stp>FY 2016</stp>
        <stp>[FA1_ymffleas.xlsx]Multiples!R55C9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5" s="6"/>
      </tp>
      <tp>
        <v>525452.04989999998</v>
        <stp/>
        <stp>##V3_BDHV12</stp>
        <stp>RCOM IN Equity</stp>
        <stp>ENTERPRISE_VALUE</stp>
        <stp>FY 2015</stp>
        <stp>FY 2015</stp>
        <stp>[FA1_ymffleas.xlsx]Multiples!R55C8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5" s="6"/>
      </tp>
      <tp>
        <v>605934.66839999997</v>
        <stp/>
        <stp>##V3_BDHV12</stp>
        <stp>RCOM IN Equity</stp>
        <stp>ENTERPRISE_VALUE</stp>
        <stp>FY 2010</stp>
        <stp>FY 2010</stp>
        <stp>[FA1_ymffleas.xlsx]Multiples!R55C3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5" s="6"/>
      </tp>
      <tp>
        <v>685073.06499999994</v>
        <stp/>
        <stp>##V3_BDHV12</stp>
        <stp>RCOM IN Equity</stp>
        <stp>ENTERPRISE_VALUE</stp>
        <stp>FY 2014</stp>
        <stp>FY 2014</stp>
        <stp>[FA1_ymffleas.xlsx]Multiples!R55C7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5" s="6"/>
      </tp>
      <tp>
        <v>524040.68650000001</v>
        <stp/>
        <stp>##V3_BDHV12</stp>
        <stp>RCOM IN Equity</stp>
        <stp>ENTERPRISE_VALUE</stp>
        <stp>FY 2013</stp>
        <stp>FY 2013</stp>
        <stp>[FA1_ymffleas.xlsx]Multiples!R55C6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5" s="6"/>
      </tp>
      <tp>
        <v>554421.45929999999</v>
        <stp/>
        <stp>##V3_BDHV12</stp>
        <stp>RCOM IN Equity</stp>
        <stp>ENTERPRISE_VALUE</stp>
        <stp>FY 2012</stp>
        <stp>FY 2012</stp>
        <stp>[FA1_ymffleas.xlsx]Multiples!R55C5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5" s="6"/>
      </tp>
      <tp>
        <v>567962.49369999999</v>
        <stp/>
        <stp>##V3_BDHV12</stp>
        <stp>RCOM IN Equity</stp>
        <stp>ENTERPRISE_VALUE</stp>
        <stp>FY 2011</stp>
        <stp>FY 2011</stp>
        <stp>[FA1_ymffleas.xlsx]Multiples!R55C4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5" s="6"/>
      </tp>
      <tp>
        <v>685073.06499999994</v>
        <stp/>
        <stp>##V3_BDHV12</stp>
        <stp>RCOM IN Equity</stp>
        <stp>ENTERPRISE_VALUE</stp>
        <stp>FY 2014</stp>
        <stp>FY 2014</stp>
        <stp>[FA1_ymffleas.xlsx]Yield Analysis!R42C8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2" s="26"/>
      </tp>
      <tp>
        <v>525452.04989999998</v>
        <stp/>
        <stp>##V3_BDHV12</stp>
        <stp>RCOM IN Equity</stp>
        <stp>ENTERPRISE_VALUE</stp>
        <stp>FY 2015</stp>
        <stp>FY 2015</stp>
        <stp>[FA1_ymffleas.xlsx]Yield Analysis!R42C9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2" s="26"/>
      </tp>
      <tp>
        <v>649395.50009999995</v>
        <stp/>
        <stp>##V3_BDHV12</stp>
        <stp>RCOM IN Equity</stp>
        <stp>ENTERPRISE_VALUE</stp>
        <stp>FY 2009</stp>
        <stp>FY 2009</stp>
        <stp>[FA1_ymffleas.xlsx]Yield Analysis!R42C3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2" s="26"/>
      </tp>
      <tp>
        <v>554421.45929999999</v>
        <stp/>
        <stp>##V3_BDHV12</stp>
        <stp>RCOM IN Equity</stp>
        <stp>ENTERPRISE_VALUE</stp>
        <stp>FY 2012</stp>
        <stp>FY 2012</stp>
        <stp>[FA1_ymffleas.xlsx]Yield Analysis!R42C6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2" s="26"/>
      </tp>
      <tp>
        <v>524040.68650000001</v>
        <stp/>
        <stp>##V3_BDHV12</stp>
        <stp>RCOM IN Equity</stp>
        <stp>ENTERPRISE_VALUE</stp>
        <stp>FY 2013</stp>
        <stp>FY 2013</stp>
        <stp>[FA1_ymffleas.xlsx]Yield Analysis!R42C7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2" s="26"/>
      </tp>
      <tp>
        <v>605934.66839999997</v>
        <stp/>
        <stp>##V3_BDHV12</stp>
        <stp>RCOM IN Equity</stp>
        <stp>ENTERPRISE_VALUE</stp>
        <stp>FY 2010</stp>
        <stp>FY 2010</stp>
        <stp>[FA1_ymffleas.xlsx]Yield Analysis!R42C4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2" s="26"/>
      </tp>
      <tp>
        <v>567962.49369999999</v>
        <stp/>
        <stp>##V3_BDHV12</stp>
        <stp>RCOM IN Equity</stp>
        <stp>ENTERPRISE_VALUE</stp>
        <stp>FY 2011</stp>
        <stp>FY 2011</stp>
        <stp>[FA1_ymffleas.xlsx]Yield Analysis!R42C5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2" s="26"/>
      </tp>
      <tp t="s">
        <v>—</v>
        <stp/>
        <stp>##V3_BDHV12</stp>
        <stp>RCOM IN Equity</stp>
        <stp>ARDR_MIN_NONCONTROL_INT_SE</stp>
        <stp>FY 2018</stp>
        <stp>FY 2018</stp>
        <stp>[FA1_ymffleas.xlsx]Bal Sheet - As Reported!R94C12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4" s="17"/>
      </tp>
      <tp t="s">
        <v>—</v>
        <stp/>
        <stp>##V3_BDHV12</stp>
        <stp>RCOM IN Equity</stp>
        <stp>ARDR_MIN_NONCONTROL_INT_SE</stp>
        <stp>FY 2016</stp>
        <stp>FY 2016</stp>
        <stp>[FA1_ymffleas.xlsx]Bal Sheet - As Reported!R94C10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4" s="17"/>
      </tp>
      <tp t="s">
        <v>—</v>
        <stp/>
        <stp>##V3_BDHV12</stp>
        <stp>RCOM IN Equity</stp>
        <stp>ARDR_MIN_NONCONTROL_INT_SE</stp>
        <stp>FY 2017</stp>
        <stp>FY 2017</stp>
        <stp>[FA1_ymffleas.xlsx]Bal Sheet - As Reported!R94C11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4" s="17"/>
      </tp>
      <tp>
        <v>2467.7006999999999</v>
        <stp/>
        <stp>##V3_BDHV12</stp>
        <stp>RCOM IN Equity</stp>
        <stp>IS_SH_FOR_DILUTED_EPS</stp>
        <stp>FY 2017</stp>
        <stp>FY 2017</stp>
        <stp>[FA1_ymffleas.xlsx]Per Share!R7C10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" s="7"/>
      </tp>
      <tp>
        <v>2582.8681000000001</v>
        <stp/>
        <stp>##V3_BDHV12</stp>
        <stp>RCOM IN Equity</stp>
        <stp>IS_SH_FOR_DILUTED_EPS</stp>
        <stp>FY 2018</stp>
        <stp>FY 2018</stp>
        <stp>[FA1_ymffleas.xlsx]Per Share!R7C11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" s="7"/>
      </tp>
      <tp>
        <v>2.4527000000000001</v>
        <stp/>
        <stp>##V3_BDHV12</stp>
        <stp>RCOM IN Equity</stp>
        <stp>EV_TO_T12M_SALES</stp>
        <stp>FY 2015</stp>
        <stp>FY 2015</stp>
        <stp>[FA1_ymffleas.xlsx]Enterprise Value!R17C8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7" s="5"/>
      </tp>
      <tp>
        <v>0.67569999999999997</v>
        <stp/>
        <stp>##V3_BDHV12</stp>
        <stp>RCOM IN Equity</stp>
        <stp>RETURN_ON_INV_CAPITAL</stp>
        <stp>FY 2017</stp>
        <stp>FY 2017</stp>
        <stp>[FA1_ymffleas.xlsx]Profitability!R10C11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0" s="21"/>
      </tp>
      <tp>
        <v>-25.220800000000001</v>
        <stp/>
        <stp>##V3_BDHV12</stp>
        <stp>RCOM IN Equity</stp>
        <stp>TOTAL_ASSETS_SEQUENTIAL_GROWTH</stp>
        <stp>FY 2018</stp>
        <stp>FY 2018</stp>
        <stp>[FA1_ymffleas.xlsx]Growth!R72C12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2" s="22"/>
      </tp>
      <tp>
        <v>11.214600000000001</v>
        <stp/>
        <stp>##V3_BDHV12</stp>
        <stp>RCOM IN Equity</stp>
        <stp>TOTAL_ASSETS_SEQUENTIAL_GROWTH</stp>
        <stp>FY 2016</stp>
        <stp>FY 2016</stp>
        <stp>[FA1_ymffleas.xlsx]Growth!R72C10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2" s="22"/>
      </tp>
      <tp>
        <v>-3.5987</v>
        <stp/>
        <stp>##V3_BDHV12</stp>
        <stp>RCOM IN Equity</stp>
        <stp>TOTAL_ASSETS_SEQUENTIAL_GROWTH</stp>
        <stp>FY 2017</stp>
        <stp>FY 2017</stp>
        <stp>[FA1_ymffleas.xlsx]Growth!R72C11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2" s="22"/>
      </tp>
      <tp t="s">
        <v>—</v>
        <stp/>
        <stp>##V3_BDHV12</stp>
        <stp>RCOM IN Equity</stp>
        <stp>ARD_NET_CHG_IN_WORKING_CAPITAL</stp>
        <stp>FY 2016</stp>
        <stp>FY 2016</stp>
        <stp>[FA1_ymffleas.xlsx]Cash Flow - As Reported!R14C10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" s="20"/>
      </tp>
      <tp t="s">
        <v>—</v>
        <stp/>
        <stp>##V3_BDHV12</stp>
        <stp>RCOM IN Equity</stp>
        <stp>ARD_NET_CHG_IN_WORKING_CAPITAL</stp>
        <stp>FY 2017</stp>
        <stp>FY 2017</stp>
        <stp>[FA1_ymffleas.xlsx]Cash Flow - As Reported!R14C11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" s="20"/>
      </tp>
      <tp t="s">
        <v>—</v>
        <stp/>
        <stp>##V3_BDHV12</stp>
        <stp>RCOM IN Equity</stp>
        <stp>ARD_NET_CHG_IN_WORKING_CAPITAL</stp>
        <stp>FY 2018</stp>
        <stp>FY 2018</stp>
        <stp>[FA1_ymffleas.xlsx]Cash Flow - As Reported!R14C12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" s="20"/>
      </tp>
      <tp>
        <v>-1.6306</v>
        <stp/>
        <stp>##V3_BDHV12</stp>
        <stp>RCOM IN Equity</stp>
        <stp>INCREMENTAL_OPERATING_MARGIN</stp>
        <stp>FY 2012</stp>
        <stp>FY 2012</stp>
        <stp>[FA1_ymffleas.xlsx]Profitability!R15C6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5" s="21"/>
      </tp>
      <tp t="s">
        <v>—</v>
        <stp/>
        <stp>##V3_BDHV12</stp>
        <stp>RCOM IN Equity</stp>
        <stp>ARDR_CAPITAL_LEASE_YEAR_1</stp>
        <stp>FY 2009</stp>
        <stp>FY 2009</stp>
        <stp>[FA1_ymffleas.xlsx]Bal Sheet - As Reported!R199C3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9" s="17"/>
      </tp>
      <tp t="s">
        <v>—</v>
        <stp/>
        <stp>##V3_BDHV12</stp>
        <stp>RCOM IN Equity</stp>
        <stp>ARDR_CAPITAL_LEASE_YEAR_1</stp>
        <stp>FY 2010</stp>
        <stp>FY 2010</stp>
        <stp>[FA1_ymffleas.xlsx]Bal Sheet - As Reported!R199C4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9" s="17"/>
      </tp>
      <tp t="s">
        <v>—</v>
        <stp/>
        <stp>##V3_BDHV12</stp>
        <stp>RCOM IN Equity</stp>
        <stp>ARDR_CAPITAL_LEASE_YEAR_1</stp>
        <stp>FY 2011</stp>
        <stp>FY 2011</stp>
        <stp>[FA1_ymffleas.xlsx]Bal Sheet - As Reported!R199C5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9" s="17"/>
      </tp>
      <tp t="s">
        <v>—</v>
        <stp/>
        <stp>##V3_BDHV12</stp>
        <stp>RCOM IN Equity</stp>
        <stp>ARDR_CAPITAL_LEASE_YEAR_1</stp>
        <stp>FY 2012</stp>
        <stp>FY 2012</stp>
        <stp>[FA1_ymffleas.xlsx]Bal Sheet - As Reported!R199C6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9" s="17"/>
      </tp>
      <tp t="s">
        <v>—</v>
        <stp/>
        <stp>##V3_BDHV12</stp>
        <stp>RCOM IN Equity</stp>
        <stp>ARDR_CAPITAL_LEASE_YEAR_1</stp>
        <stp>FY 2013</stp>
        <stp>FY 2013</stp>
        <stp>[FA1_ymffleas.xlsx]Bal Sheet - As Reported!R199C7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9" s="17"/>
      </tp>
      <tp>
        <v>370</v>
        <stp/>
        <stp>##V3_BDHV12</stp>
        <stp>RCOM IN Equity</stp>
        <stp>ARDR_CAPITAL_LEASE_YEAR_1</stp>
        <stp>FY 2014</stp>
        <stp>FY 2014</stp>
        <stp>[FA1_ymffleas.xlsx]Bal Sheet - As Reported!R199C8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9" s="17"/>
      </tp>
      <tp>
        <v>210</v>
        <stp/>
        <stp>##V3_BDHV12</stp>
        <stp>RCOM IN Equity</stp>
        <stp>ARDR_CAPITAL_LEASE_YEAR_1</stp>
        <stp>FY 2015</stp>
        <stp>FY 2015</stp>
        <stp>[FA1_ymffleas.xlsx]Bal Sheet - As Reported!R199C9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9" s="17"/>
      </tp>
      <tp>
        <v>4550</v>
        <stp/>
        <stp>##V3_BDHV12</stp>
        <stp>RCOM IN Equity</stp>
        <stp>ARDR_GENERAL_ADMINISTRATIVE_EXP</stp>
        <stp>FY 2016</stp>
        <stp>FY 2016</stp>
        <stp>[FA1_ymffleas.xlsx]Income - As Reported!R75C10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5" s="11"/>
      </tp>
      <tp>
        <v>5530</v>
        <stp/>
        <stp>##V3_BDHV12</stp>
        <stp>RCOM IN Equity</stp>
        <stp>ARDR_GENERAL_ADMINISTRATIVE_EXP</stp>
        <stp>FY 2017</stp>
        <stp>FY 2017</stp>
        <stp>[FA1_ymffleas.xlsx]Income - As Reported!R75C11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5" s="11"/>
      </tp>
      <tp>
        <v>4920</v>
        <stp/>
        <stp>##V3_BDHV12</stp>
        <stp>RCOM IN Equity</stp>
        <stp>ARDR_GENERAL_ADMINISTRATIVE_EXP</stp>
        <stp>FY 2018</stp>
        <stp>FY 2018</stp>
        <stp>[FA1_ymffleas.xlsx]Income - As Reported!R75C12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5" s="11"/>
      </tp>
      <tp>
        <v>214230</v>
        <stp/>
        <stp>##V3_BDHV12</stp>
        <stp>RCOM IN Equity</stp>
        <stp>SALES_REV_TURN</stp>
        <stp>FY 2015</stp>
        <stp>FY 2015</stp>
        <stp>[FA1_ymffleas.xlsx]Adj %!R6C8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6" s="14"/>
      </tp>
      <tp>
        <v>217430</v>
        <stp/>
        <stp>##V3_BDHV12</stp>
        <stp>RCOM IN Equity</stp>
        <stp>SALES_REV_TURN</stp>
        <stp>FY 2016</stp>
        <stp>FY 2016</stp>
        <stp>[FA1_ymffleas.xlsx]Adj %!R6C9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6" s="14"/>
      </tp>
      <tp>
        <v>220890</v>
        <stp/>
        <stp>##V3_BDHV12</stp>
        <stp>RCOM IN Equity</stp>
        <stp>SALES_REV_TURN</stp>
        <stp>FY 2011</stp>
        <stp>FY 2011</stp>
        <stp>[FA1_ymffleas.xlsx]Adj %!R6C4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6" s="14"/>
      </tp>
      <tp>
        <v>187160</v>
        <stp/>
        <stp>##V3_BDHV12</stp>
        <stp>RCOM IN Equity</stp>
        <stp>SALES_REV_TURN</stp>
        <stp>FY 2012</stp>
        <stp>FY 2012</stp>
        <stp>[FA1_ymffleas.xlsx]Adj %!R6C5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6" s="14"/>
      </tp>
      <tp>
        <v>192940</v>
        <stp/>
        <stp>##V3_BDHV12</stp>
        <stp>RCOM IN Equity</stp>
        <stp>SALES_REV_TURN</stp>
        <stp>FY 2013</stp>
        <stp>FY 2013</stp>
        <stp>[FA1_ymffleas.xlsx]Adj %!R6C6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6" s="14"/>
      </tp>
      <tp>
        <v>209400</v>
        <stp/>
        <stp>##V3_BDHV12</stp>
        <stp>RCOM IN Equity</stp>
        <stp>SALES_REV_TURN</stp>
        <stp>FY 2014</stp>
        <stp>FY 2014</stp>
        <stp>[FA1_ymffleas.xlsx]Adj %!R6C7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6" s="14"/>
      </tp>
      <tp>
        <v>950</v>
        <stp/>
        <stp>##V3_BDHV12</stp>
        <stp>RCOM IN Equity</stp>
        <stp>ARDR_PV_OF_CAPITAL_LEASE_YRS_2_5</stp>
        <stp>FY 2014</stp>
        <stp>FY 2014</stp>
        <stp>[FA1_ymffleas.xlsx]Bal Sheet - As Reported!R215C8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15" s="17"/>
      </tp>
      <tp>
        <v>530</v>
        <stp/>
        <stp>##V3_BDHV12</stp>
        <stp>RCOM IN Equity</stp>
        <stp>ARDR_PV_OF_CAPITAL_LEASE_YRS_2_5</stp>
        <stp>FY 2015</stp>
        <stp>FY 2015</stp>
        <stp>[FA1_ymffleas.xlsx]Bal Sheet - As Reported!R215C9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15" s="17"/>
      </tp>
      <tp t="s">
        <v>—</v>
        <stp/>
        <stp>##V3_BDHV12</stp>
        <stp>RCOM IN Equity</stp>
        <stp>ARDR_PV_OF_CAPITAL_LEASE_YRS_2_5</stp>
        <stp>FY 2012</stp>
        <stp>FY 2012</stp>
        <stp>[FA1_ymffleas.xlsx]Bal Sheet - As Reported!R215C6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15" s="17"/>
      </tp>
      <tp t="s">
        <v>—</v>
        <stp/>
        <stp>##V3_BDHV12</stp>
        <stp>RCOM IN Equity</stp>
        <stp>ARDR_PV_OF_CAPITAL_LEASE_YRS_2_5</stp>
        <stp>FY 2013</stp>
        <stp>FY 2013</stp>
        <stp>[FA1_ymffleas.xlsx]Bal Sheet - As Reported!R215C7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15" s="17"/>
      </tp>
      <tp t="s">
        <v>—</v>
        <stp/>
        <stp>##V3_BDHV12</stp>
        <stp>RCOM IN Equity</stp>
        <stp>ARDR_PV_OF_CAPITAL_LEASE_YRS_2_5</stp>
        <stp>FY 2010</stp>
        <stp>FY 2010</stp>
        <stp>[FA1_ymffleas.xlsx]Bal Sheet - As Reported!R215C4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15" s="17"/>
      </tp>
      <tp t="s">
        <v>—</v>
        <stp/>
        <stp>##V3_BDHV12</stp>
        <stp>RCOM IN Equity</stp>
        <stp>ARDR_PV_OF_CAPITAL_LEASE_YRS_2_5</stp>
        <stp>FY 2011</stp>
        <stp>FY 2011</stp>
        <stp>[FA1_ymffleas.xlsx]Bal Sheet - As Reported!R215C5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15" s="17"/>
      </tp>
      <tp t="s">
        <v>—</v>
        <stp/>
        <stp>##V3_BDHV12</stp>
        <stp>RCOM IN Equity</stp>
        <stp>ARDR_PV_OF_CAPITAL_LEASE_YRS_2_5</stp>
        <stp>FY 2009</stp>
        <stp>FY 2009</stp>
        <stp>[FA1_ymffleas.xlsx]Bal Sheet - As Reported!R215C3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15" s="17"/>
      </tp>
      <tp>
        <v>206850.5</v>
        <stp/>
        <stp>##V3_BDHV12</stp>
        <stp>RCOM IN Equity</stp>
        <stp>SALES_REV_TURN</stp>
        <stp>FY 2010</stp>
        <stp>FY 2010</stp>
        <stp>[FA1_ymffleas.xlsx]Adj %!R6C3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6" s="14"/>
      </tp>
      <tp>
        <v>997310</v>
        <stp/>
        <stp>##V3_BDHV12</stp>
        <stp>RCOM IN Equity</stp>
        <stp>ARD_TOT_LIAB_AND_SHAREHOLDER_EQY</stp>
        <stp>FY 2017</stp>
        <stp>FY 2017</stp>
        <stp>[FA1_ymffleas.xlsx]Bal Sheet - As Reported!R14C11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" s="17"/>
      </tp>
      <tp>
        <v>1034540</v>
        <stp/>
        <stp>##V3_BDHV12</stp>
        <stp>RCOM IN Equity</stp>
        <stp>ARD_TOT_LIAB_AND_SHAREHOLDER_EQY</stp>
        <stp>FY 2016</stp>
        <stp>FY 2016</stp>
        <stp>[FA1_ymffleas.xlsx]Bal Sheet - As Reported!R14C10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" s="17"/>
      </tp>
      <tp>
        <v>559490</v>
        <stp/>
        <stp>##V3_BDHV12</stp>
        <stp>RCOM IN Equity</stp>
        <stp>ARD_TOT_LIAB_AND_SHAREHOLDER_EQY</stp>
        <stp>FY 2018</stp>
        <stp>FY 2018</stp>
        <stp>[FA1_ymffleas.xlsx]Bal Sheet - As Reported!R14C12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" s="17"/>
      </tp>
      <tp t="s">
        <v>—</v>
        <stp/>
        <stp>##V3_BDHV12</stp>
        <stp>RCOM IN Equity</stp>
        <stp>TRAIL_12M_CASH_FLOW_FIRM</stp>
        <stp>FY 2014</stp>
        <stp>FY 2014</stp>
        <stp>[FA1_ymffleas.xlsx]Enterprise Value!R32C7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2" s="5"/>
      </tp>
      <tp>
        <v>34376.809800000003</v>
        <stp/>
        <stp>##V3_BDHV12</stp>
        <stp>RCOM IN Equity</stp>
        <stp>TRAIL_12M_CASH_FLOW_FIRM</stp>
        <stp>FY 2013</stp>
        <stp>FY 2013</stp>
        <stp>[FA1_ymffleas.xlsx]Enterprise Value!R32C6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2" s="5"/>
      </tp>
      <tp t="s">
        <v>—</v>
        <stp/>
        <stp>##V3_BDHV12</stp>
        <stp>RCOM IN Equity</stp>
        <stp>TRAIL_12M_CASH_FLOW_FIRM</stp>
        <stp>FY 2012</stp>
        <stp>FY 2012</stp>
        <stp>[FA1_ymffleas.xlsx]Enterprise Value!R32C5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2" s="5"/>
      </tp>
      <tp>
        <v>19668.6486</v>
        <stp/>
        <stp>##V3_BDHV12</stp>
        <stp>RCOM IN Equity</stp>
        <stp>TRAIL_12M_CASH_FLOW_FIRM</stp>
        <stp>FY 2011</stp>
        <stp>FY 2011</stp>
        <stp>[FA1_ymffleas.xlsx]Enterprise Value!R32C4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2" s="5"/>
      </tp>
      <tp>
        <v>94033.805099999998</v>
        <stp/>
        <stp>##V3_BDHV12</stp>
        <stp>RCOM IN Equity</stp>
        <stp>TRAIL_12M_CASH_FLOW_FIRM</stp>
        <stp>FY 2010</stp>
        <stp>FY 2010</stp>
        <stp>[FA1_ymffleas.xlsx]Enterprise Value!R32C3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2" s="5"/>
      </tp>
      <tp>
        <v>7140</v>
        <stp/>
        <stp>##V3_BDHV12</stp>
        <stp>RCOM IN Equity</stp>
        <stp>IS_COMP_NET_INCOME_ADJUST</stp>
        <stp>FY 2015</stp>
        <stp>FY 2015</stp>
        <stp>[FA1_ymffleas.xlsx]Earnings!R43C9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3" s="4"/>
      </tp>
      <tp>
        <v>10470</v>
        <stp/>
        <stp>##V3_BDHV12</stp>
        <stp>RCOM IN Equity</stp>
        <stp>IS_COMP_NET_INCOME_ADJUST</stp>
        <stp>FY 2014</stp>
        <stp>FY 2014</stp>
        <stp>[FA1_ymffleas.xlsx]Earnings!R43C8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3" s="4"/>
      </tp>
      <tp>
        <v>13456.5</v>
        <stp/>
        <stp>##V3_BDHV12</stp>
        <stp>RCOM IN Equity</stp>
        <stp>IS_COMP_NET_INCOME_ADJUST</stp>
        <stp>FY 2011</stp>
        <stp>FY 2011</stp>
        <stp>[FA1_ymffleas.xlsx]Earnings!R43C5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3" s="4"/>
      </tp>
      <tp>
        <v>46550</v>
        <stp/>
        <stp>##V3_BDHV12</stp>
        <stp>RCOM IN Equity</stp>
        <stp>IS_COMP_NET_INCOME_ADJUST</stp>
        <stp>FY 2010</stp>
        <stp>FY 2010</stp>
        <stp>[FA1_ymffleas.xlsx]Earnings!R43C4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3" s="4"/>
      </tp>
      <tp>
        <v>6720</v>
        <stp/>
        <stp>##V3_BDHV12</stp>
        <stp>RCOM IN Equity</stp>
        <stp>IS_COMP_NET_INCOME_ADJUST</stp>
        <stp>FY 2013</stp>
        <stp>FY 2013</stp>
        <stp>[FA1_ymffleas.xlsx]Earnings!R43C7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3" s="4"/>
      </tp>
      <tp>
        <v>9280</v>
        <stp/>
        <stp>##V3_BDHV12</stp>
        <stp>RCOM IN Equity</stp>
        <stp>IS_COMP_NET_INCOME_ADJUST</stp>
        <stp>FY 2012</stp>
        <stp>FY 2012</stp>
        <stp>[FA1_ymffleas.xlsx]Earnings!R43C6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3" s="4"/>
      </tp>
      <tp>
        <v>59075.5</v>
        <stp/>
        <stp>##V3_BDHV12</stp>
        <stp>RCOM IN Equity</stp>
        <stp>IS_COMP_NET_INCOME_ADJUST</stp>
        <stp>FY 2009</stp>
        <stp>FY 2009</stp>
        <stp>[FA1_ymffleas.xlsx]Earnings!R43C3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3" s="4"/>
      </tp>
      <tp t="s">
        <v>—</v>
        <stp/>
        <stp>##V3_BDHV12</stp>
        <stp>RCOM IN Equity</stp>
        <stp>TRAIL_12M_CASH_FLOW_FIRM</stp>
        <stp>FY 2016</stp>
        <stp>FY 2016</stp>
        <stp>[FA1_ymffleas.xlsx]Enterprise Value!R32C9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2" s="5"/>
      </tp>
      <tp>
        <v>20995.7294</v>
        <stp/>
        <stp>##V3_BDHV12</stp>
        <stp>RCOM IN Equity</stp>
        <stp>TRAIL_12M_CASH_FLOW_FIRM</stp>
        <stp>FY 2015</stp>
        <stp>FY 2015</stp>
        <stp>[FA1_ymffleas.xlsx]Enterprise Value!R32C8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2" s="5"/>
      </tp>
      <tp t="s">
        <v>—</v>
        <stp/>
        <stp>##V3_BDHV12</stp>
        <stp>RCOM IN Equity</stp>
        <stp>ARDR_OTHER_FINANCIAL_LIAB_LT</stp>
        <stp>FY 2010</stp>
        <stp>FY 2010</stp>
        <stp>[FA1_ymffleas.xlsx]Bal Sheet - As Reported!R187C4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7" s="17"/>
      </tp>
      <tp t="s">
        <v>—</v>
        <stp/>
        <stp>##V3_BDHV12</stp>
        <stp>RCOM IN Equity</stp>
        <stp>ARDR_OTHER_FINANCIAL_LIAB_LT</stp>
        <stp>FY 2011</stp>
        <stp>FY 2011</stp>
        <stp>[FA1_ymffleas.xlsx]Bal Sheet - As Reported!R187C5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7" s="17"/>
      </tp>
      <tp t="s">
        <v>—</v>
        <stp/>
        <stp>##V3_BDHV12</stp>
        <stp>RCOM IN Equity</stp>
        <stp>ARDR_OTHER_FINANCIAL_LIAB_LT</stp>
        <stp>FY 2012</stp>
        <stp>FY 2012</stp>
        <stp>[FA1_ymffleas.xlsx]Bal Sheet - As Reported!R187C6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7" s="17"/>
      </tp>
      <tp t="s">
        <v>—</v>
        <stp/>
        <stp>##V3_BDHV12</stp>
        <stp>RCOM IN Equity</stp>
        <stp>ARDR_OTHER_FINANCIAL_LIAB_LT</stp>
        <stp>FY 2013</stp>
        <stp>FY 2013</stp>
        <stp>[FA1_ymffleas.xlsx]Bal Sheet - As Reported!R187C7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7" s="17"/>
      </tp>
      <tp t="s">
        <v>—</v>
        <stp/>
        <stp>##V3_BDHV12</stp>
        <stp>RCOM IN Equity</stp>
        <stp>ARDR_OTHER_FINANCIAL_LIAB_LT</stp>
        <stp>FY 2009</stp>
        <stp>FY 2009</stp>
        <stp>[FA1_ymffleas.xlsx]Bal Sheet - As Reported!R187C3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7" s="17"/>
      </tp>
      <tp t="s">
        <v>—</v>
        <stp/>
        <stp>##V3_BDHV12</stp>
        <stp>RCOM IN Equity</stp>
        <stp>ARDR_OTHER_FINANCIAL_LIAB_LT</stp>
        <stp>FY 2014</stp>
        <stp>FY 2014</stp>
        <stp>[FA1_ymffleas.xlsx]Bal Sheet - As Reported!R187C8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7" s="17"/>
      </tp>
      <tp t="s">
        <v>—</v>
        <stp/>
        <stp>##V3_BDHV12</stp>
        <stp>RCOM IN Equity</stp>
        <stp>ARDR_OTHER_FINANCIAL_LIAB_LT</stp>
        <stp>FY 2015</stp>
        <stp>FY 2015</stp>
        <stp>[FA1_ymffleas.xlsx]Bal Sheet - As Reported!R187C9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7" s="17"/>
      </tp>
      <tp>
        <v>0.52380000000000004</v>
        <stp/>
        <stp>##V3_BDHV12</stp>
        <stp>RCOM IN Equity</stp>
        <stp>CUR_RATIO</stp>
        <stp>FY 2014</stp>
        <stp>FY 2014</stp>
        <stp>[FA1_ymffleas.xlsx]Bal Sheet - Standardized!R170C8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70" s="16"/>
      </tp>
      <tp>
        <v>0.89810000000000001</v>
        <stp/>
        <stp>##V3_BDHV12</stp>
        <stp>RCOM IN Equity</stp>
        <stp>CUR_RATIO</stp>
        <stp>FY 2015</stp>
        <stp>FY 2015</stp>
        <stp>[FA1_ymffleas.xlsx]Bal Sheet - Standardized!R170C9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70" s="16"/>
      </tp>
      <tp t="s">
        <v>—</v>
        <stp/>
        <stp>##V3_BDHV12</stp>
        <stp>RCOM IN Equity</stp>
        <stp>FCF_TO_FIRM_SEQUENTIAL_GROWTH</stp>
        <stp>FY 2016</stp>
        <stp>FY 2016</stp>
        <stp>[FA1_ymffleas.xlsx]Growth!R87C10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87" s="22"/>
      </tp>
      <tp>
        <v>-20</v>
        <stp/>
        <stp>##V3_BDHV12</stp>
        <stp>RCOM IN Equity</stp>
        <stp>INCOME_LOSS_FROM_AFFILIATES</stp>
        <stp>FY 2016</stp>
        <stp>FY 2016</stp>
        <stp>[FA1_ymffleas.xlsx]Income - Adjusted!R49C9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49" s="9"/>
      </tp>
      <tp>
        <v>0</v>
        <stp/>
        <stp>##V3_BDHV12</stp>
        <stp>RCOM IN Equity</stp>
        <stp>INCOME_LOSS_FROM_AFFILIATES</stp>
        <stp>FY 2015</stp>
        <stp>FY 2015</stp>
        <stp>[FA1_ymffleas.xlsx]Income - Adjusted!R49C8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49" s="9"/>
      </tp>
      <tp>
        <v>0</v>
        <stp/>
        <stp>##V3_BDHV12</stp>
        <stp>RCOM IN Equity</stp>
        <stp>INCOME_LOSS_FROM_AFFILIATES</stp>
        <stp>FY 2014</stp>
        <stp>FY 2014</stp>
        <stp>[FA1_ymffleas.xlsx]Income - Adjusted!R49C7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49" s="9"/>
      </tp>
      <tp t="s">
        <v>—</v>
        <stp/>
        <stp>##V3_BDHV12</stp>
        <stp>RCOM IN Equity</stp>
        <stp>INCOME_LOSS_FROM_AFFILIATES</stp>
        <stp>FY 2013</stp>
        <stp>FY 2013</stp>
        <stp>[FA1_ymffleas.xlsx]Income - Adjusted!R49C6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49" s="9"/>
      </tp>
      <tp>
        <v>0.75109999999999999</v>
        <stp/>
        <stp>##V3_BDHV12</stp>
        <stp>RCOM IN Equity</stp>
        <stp>CUR_RATIO</stp>
        <stp>FY 2009</stp>
        <stp>FY 2009</stp>
        <stp>[FA1_ymffleas.xlsx]Bal Sheet - Standardized!R170C3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70" s="16"/>
      </tp>
      <tp t="s">
        <v>—</v>
        <stp/>
        <stp>##V3_BDHV12</stp>
        <stp>RCOM IN Equity</stp>
        <stp>INCOME_LOSS_FROM_AFFILIATES</stp>
        <stp>FY 2012</stp>
        <stp>FY 2012</stp>
        <stp>[FA1_ymffleas.xlsx]Income - Adjusted!R49C5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49" s="9"/>
      </tp>
      <tp t="s">
        <v>—</v>
        <stp/>
        <stp>##V3_BDHV12</stp>
        <stp>RCOM IN Equity</stp>
        <stp>INCOME_LOSS_FROM_AFFILIATES</stp>
        <stp>FY 2011</stp>
        <stp>FY 2011</stp>
        <stp>[FA1_ymffleas.xlsx]Income - Adjusted!R49C4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49" s="9"/>
      </tp>
      <tp t="s">
        <v>—</v>
        <stp/>
        <stp>##V3_BDHV12</stp>
        <stp>RCOM IN Equity</stp>
        <stp>INCOME_LOSS_FROM_AFFILIATES</stp>
        <stp>FY 2010</stp>
        <stp>FY 2010</stp>
        <stp>[FA1_ymffleas.xlsx]Income - Adjusted!R49C3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49" s="9"/>
      </tp>
      <tp>
        <v>0.55989999999999995</v>
        <stp/>
        <stp>##V3_BDHV12</stp>
        <stp>RCOM IN Equity</stp>
        <stp>CUR_RATIO</stp>
        <stp>FY 2012</stp>
        <stp>FY 2012</stp>
        <stp>[FA1_ymffleas.xlsx]Bal Sheet - Standardized!R170C6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70" s="16"/>
      </tp>
      <tp>
        <v>0.52310000000000001</v>
        <stp/>
        <stp>##V3_BDHV12</stp>
        <stp>RCOM IN Equity</stp>
        <stp>CUR_RATIO</stp>
        <stp>FY 2013</stp>
        <stp>FY 2013</stp>
        <stp>[FA1_ymffleas.xlsx]Bal Sheet - Standardized!R170C7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70" s="16"/>
      </tp>
      <tp>
        <v>0.55469999999999997</v>
        <stp/>
        <stp>##V3_BDHV12</stp>
        <stp>RCOM IN Equity</stp>
        <stp>CUR_RATIO</stp>
        <stp>FY 2010</stp>
        <stp>FY 2010</stp>
        <stp>[FA1_ymffleas.xlsx]Bal Sheet - Standardized!R170C4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70" s="16"/>
      </tp>
      <tp>
        <v>0.50919999999999999</v>
        <stp/>
        <stp>##V3_BDHV12</stp>
        <stp>RCOM IN Equity</stp>
        <stp>CUR_RATIO</stp>
        <stp>FY 2011</stp>
        <stp>FY 2011</stp>
        <stp>[FA1_ymffleas.xlsx]Bal Sheet - Standardized!R170C5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70" s="16"/>
      </tp>
      <tp t="s">
        <v>—</v>
        <stp/>
        <stp>##V3_BDHV12</stp>
        <stp>RCOM IN Equity</stp>
        <stp>INVTRY_IN_PROGRESS</stp>
        <stp>FY 2010</stp>
        <stp>FY 2010</stp>
        <stp>[FA1_ymffleas.xlsx]Bal Sheet - Standardized!R25C4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5" s="16"/>
      </tp>
      <tp t="s">
        <v>—</v>
        <stp/>
        <stp>##V3_BDHV12</stp>
        <stp>RCOM IN Equity</stp>
        <stp>INVTRY_IN_PROGRESS</stp>
        <stp>FY 2011</stp>
        <stp>FY 2011</stp>
        <stp>[FA1_ymffleas.xlsx]Bal Sheet - Standardized!R25C5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5" s="16"/>
      </tp>
      <tp t="s">
        <v>—</v>
        <stp/>
        <stp>##V3_BDHV12</stp>
        <stp>RCOM IN Equity</stp>
        <stp>INVTRY_IN_PROGRESS</stp>
        <stp>FY 2012</stp>
        <stp>FY 2012</stp>
        <stp>[FA1_ymffleas.xlsx]Bal Sheet - Standardized!R25C6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5" s="16"/>
      </tp>
      <tp t="s">
        <v>—</v>
        <stp/>
        <stp>##V3_BDHV12</stp>
        <stp>RCOM IN Equity</stp>
        <stp>INVTRY_IN_PROGRESS</stp>
        <stp>FY 2013</stp>
        <stp>FY 2013</stp>
        <stp>[FA1_ymffleas.xlsx]Bal Sheet - Standardized!R25C7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5" s="16"/>
      </tp>
      <tp t="s">
        <v>—</v>
        <stp/>
        <stp>##V3_BDHV12</stp>
        <stp>RCOM IN Equity</stp>
        <stp>INVTRY_IN_PROGRESS</stp>
        <stp>FY 2009</stp>
        <stp>FY 2009</stp>
        <stp>[FA1_ymffleas.xlsx]Bal Sheet - Standardized!R25C3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5" s="16"/>
      </tp>
      <tp t="s">
        <v>—</v>
        <stp/>
        <stp>##V3_BDHV12</stp>
        <stp>RCOM IN Equity</stp>
        <stp>INVTRY_IN_PROGRESS</stp>
        <stp>FY 2014</stp>
        <stp>FY 2014</stp>
        <stp>[FA1_ymffleas.xlsx]Bal Sheet - Standardized!R25C8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5" s="16"/>
      </tp>
      <tp>
        <v>0</v>
        <stp/>
        <stp>##V3_BDHV12</stp>
        <stp>RCOM IN Equity</stp>
        <stp>INVTRY_IN_PROGRESS</stp>
        <stp>FY 2015</stp>
        <stp>FY 2015</stp>
        <stp>[FA1_ymffleas.xlsx]Bal Sheet - Standardized!R25C9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5" s="16"/>
      </tp>
      <tp>
        <v>-9980</v>
        <stp/>
        <stp>##V3_BDHV12</stp>
        <stp>RCOM IN Equity</stp>
        <stp>CF_FREE_CASH_FLOW</stp>
        <stp>FY 2018</stp>
        <stp>FY 2018</stp>
        <stp>[FA1_ymffleas.xlsx]Addl - Overview!R35C11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5" s="29"/>
      </tp>
      <tp>
        <v>-74800</v>
        <stp/>
        <stp>##V3_BDHV12</stp>
        <stp>RCOM IN Equity</stp>
        <stp>CF_FREE_CASH_FLOW</stp>
        <stp>FY 2017</stp>
        <stp>FY 2017</stp>
        <stp>[FA1_ymffleas.xlsx]Addl - Overview!R35C10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5" s="29"/>
      </tp>
      <tp>
        <v>0</v>
        <stp/>
        <stp>##V3_BDHV12</stp>
        <stp>RCOM IN Equity</stp>
        <stp>PROC_FR_REPURCH_EQTY_DETAILED</stp>
        <stp>FY 2017</stp>
        <stp>FY 2017</stp>
        <stp>[FA1_ymffleas.xlsx]Cash Flow - Standardized!R43C10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3" s="19"/>
      </tp>
      <tp>
        <v>0</v>
        <stp/>
        <stp>##V3_BDHV12</stp>
        <stp>RCOM IN Equity</stp>
        <stp>PROC_FR_REPURCH_EQTY_DETAILED</stp>
        <stp>FY 2018</stp>
        <stp>FY 2018</stp>
        <stp>[FA1_ymffleas.xlsx]Cash Flow - Standardized!R43C11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3" s="19"/>
      </tp>
      <tp>
        <v>6.7290999999999999</v>
        <stp/>
        <stp>##V3_BDHV12</stp>
        <stp>RCOM IN Equity</stp>
        <stp>RETURN_ON_ASSET</stp>
        <stp>FY 2009</stp>
        <stp>FY 2009</stp>
        <stp>[FA1_ymffleas.xlsx]Profitability!R8C3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8" s="21"/>
      </tp>
      <tp>
        <v>-2120</v>
        <stp/>
        <stp>##V3_BDHV12</stp>
        <stp>RCOM IN Equity</stp>
        <stp>IS_GAIN_LOSS_DISPOSAL_ASSETS</stp>
        <stp>FY 2016</stp>
        <stp>FY 2016</stp>
        <stp>[FA1_ymffleas.xlsx]Income - Adjusted!R60C9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0" s="9"/>
      </tp>
      <tp>
        <v>-20</v>
        <stp/>
        <stp>##V3_BDHV12</stp>
        <stp>RCOM IN Equity</stp>
        <stp>IS_GAIN_LOSS_DISPOSAL_ASSETS</stp>
        <stp>FY 2015</stp>
        <stp>FY 2015</stp>
        <stp>[FA1_ymffleas.xlsx]Income - Adjusted!R60C8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0" s="9"/>
      </tp>
      <tp>
        <v>14.9</v>
        <stp/>
        <stp>##V3_BDHV12</stp>
        <stp>RCOM IN Equity</stp>
        <stp>IS_GAIN_LOSS_DISPOSAL_ASSETS</stp>
        <stp>FY 2010</stp>
        <stp>FY 2010</stp>
        <stp>[FA1_ymffleas.xlsx]Income - Adjusted!R60C3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0" s="9"/>
      </tp>
      <tp>
        <v>-70</v>
        <stp/>
        <stp>##V3_BDHV12</stp>
        <stp>RCOM IN Equity</stp>
        <stp>IS_GAIN_LOSS_DISPOSAL_ASSETS</stp>
        <stp>FY 2012</stp>
        <stp>FY 2012</stp>
        <stp>[FA1_ymffleas.xlsx]Income - Adjusted!R60C5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0" s="9"/>
      </tp>
      <tp>
        <v>-3309.2</v>
        <stp/>
        <stp>##V3_BDHV12</stp>
        <stp>RCOM IN Equity</stp>
        <stp>IS_GAIN_LOSS_DISPOSAL_ASSETS</stp>
        <stp>FY 2011</stp>
        <stp>FY 2011</stp>
        <stp>[FA1_ymffleas.xlsx]Income - Adjusted!R60C4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0" s="9"/>
      </tp>
      <tp>
        <v>200</v>
        <stp/>
        <stp>##V3_BDHV12</stp>
        <stp>RCOM IN Equity</stp>
        <stp>IS_GAIN_LOSS_DISPOSAL_ASSETS</stp>
        <stp>FY 2014</stp>
        <stp>FY 2014</stp>
        <stp>[FA1_ymffleas.xlsx]Income - Adjusted!R60C7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0" s="9"/>
      </tp>
      <tp>
        <v>300</v>
        <stp/>
        <stp>##V3_BDHV12</stp>
        <stp>RCOM IN Equity</stp>
        <stp>IS_GAIN_LOSS_DISPOSAL_ASSETS</stp>
        <stp>FY 2013</stp>
        <stp>FY 2013</stp>
        <stp>[FA1_ymffleas.xlsx]Income - Adjusted!R60C6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0" s="9"/>
      </tp>
      <tp>
        <v>15.712199999999999</v>
        <stp/>
        <stp>##V3_BDHV12</stp>
        <stp>RCOM IN Equity</stp>
        <stp>TOTAL_DEBT_TO_EBIT</stp>
        <stp>FY 2016</stp>
        <stp>FY 2016</stp>
        <stp>[FA1_ymffleas.xlsx]Credit!R13C10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3" s="23"/>
      </tp>
      <tp>
        <v>-230</v>
        <stp/>
        <stp>##V3_BDHV12</stp>
        <stp>RCOM IN Equity</stp>
        <stp>ARD_FOREIGN_EXCHANGE_GAIN_LOSS</stp>
        <stp>FY 2016</stp>
        <stp>FY 2016</stp>
        <stp>[FA1_ymffleas.xlsx]Cash Flow - As Reported!R19C10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" s="20"/>
      </tp>
      <tp>
        <v>70</v>
        <stp/>
        <stp>##V3_BDHV12</stp>
        <stp>RCOM IN Equity</stp>
        <stp>ARD_FOREIGN_EXCHANGE_GAIN_LOSS</stp>
        <stp>FY 2017</stp>
        <stp>FY 2017</stp>
        <stp>[FA1_ymffleas.xlsx]Cash Flow - As Reported!R19C11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" s="20"/>
      </tp>
      <tp>
        <v>1160</v>
        <stp/>
        <stp>##V3_BDHV12</stp>
        <stp>RCOM IN Equity</stp>
        <stp>ARD_FOREIGN_EXCHANGE_GAIN_LOSS</stp>
        <stp>FY 2018</stp>
        <stp>FY 2018</stp>
        <stp>[FA1_ymffleas.xlsx]Cash Flow - As Reported!R19C12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" s="20"/>
      </tp>
      <tp>
        <v>0</v>
        <stp/>
        <stp>##V3_BDHV12</stp>
        <stp>RCOM IN Equity</stp>
        <stp>DVD_PAYOUT_RATIO</stp>
        <stp>FY 2015</stp>
        <stp>FY 2015</stp>
        <stp>[FA1_ymffleas.xlsx]Dividend Summary!R9C9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9" s="31"/>
      </tp>
      <tp>
        <v>1.0059</v>
        <stp/>
        <stp>##V3_BDHV12</stp>
        <stp>RCOM IN Equity</stp>
        <stp>PX_TO_SALES_RATIO</stp>
        <stp>FY 2011</stp>
        <stp>FY 2011</stp>
        <stp>[FA1_ymffleas.xlsx]Multiples!R21C4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1" s="6"/>
      </tp>
      <tp>
        <v>25.249300000000002</v>
        <stp/>
        <stp>##V3_BDHV12</stp>
        <stp>RCOM IN Equity</stp>
        <stp>PRETAX_INC_TO_NET_SALES</stp>
        <stp>FY 2010</stp>
        <stp>FY 2010</stp>
        <stp>[FA1_ymffleas.xlsx]Profitability!R16C4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6" s="21"/>
      </tp>
      <tp>
        <v>-182.86850000000001</v>
        <stp/>
        <stp>##V3_BDHV12</stp>
        <stp>RCOM IN Equity</stp>
        <stp>NET_CHANGE_IN_CASH_SEQ_GROWTH</stp>
        <stp>FY 2018</stp>
        <stp>FY 2018</stp>
        <stp>[FA1_ymffleas.xlsx]Growth!R84C12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4" s="22"/>
      </tp>
      <tp>
        <v>-147.88730000000001</v>
        <stp/>
        <stp>##V3_BDHV12</stp>
        <stp>RCOM IN Equity</stp>
        <stp>NET_CHANGE_IN_CASH_SEQ_GROWTH</stp>
        <stp>FY 2016</stp>
        <stp>FY 2016</stp>
        <stp>[FA1_ymffleas.xlsx]Growth!R84C10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4" s="22"/>
      </tp>
      <tp t="s">
        <v>—</v>
        <stp/>
        <stp>##V3_BDHV12</stp>
        <stp>RCOM IN Equity</stp>
        <stp>NET_CHANGE_IN_CASH_SEQ_GROWTH</stp>
        <stp>FY 2017</stp>
        <stp>FY 2017</stp>
        <stp>[FA1_ymffleas.xlsx]Growth!R84C11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4" s="22"/>
      </tp>
      <tp>
        <v>0</v>
        <stp/>
        <stp>##V3_BDHV12</stp>
        <stp>RCOM IN Equity</stp>
        <stp>IS_UNREALIZED_GAIN_LOSS_COMP_INC</stp>
        <stp>FY 2018</stp>
        <stp>FY 2018</stp>
        <stp>[FA1_ymffleas.xlsx]Comprehensive Income!R8C11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33"/>
      </tp>
      <tp>
        <v>0</v>
        <stp/>
        <stp>##V3_BDHV12</stp>
        <stp>RCOM IN Equity</stp>
        <stp>IS_UNREALIZED_GAIN_LOSS_COMP_INC</stp>
        <stp>FY 2017</stp>
        <stp>FY 2017</stp>
        <stp>[FA1_ymffleas.xlsx]Comprehensive Income!R8C10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33"/>
      </tp>
      <tp>
        <v>6.5164</v>
        <stp/>
        <stp>##V3_BDHV12</stp>
        <stp>RCOM IN Equity</stp>
        <stp>IS_EPS</stp>
        <stp>FY 2011</stp>
        <stp>FY 2011</stp>
        <stp>[FA1_ymffleas.xlsx]Comprehensive Income!R15C4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5" s="33"/>
      </tp>
      <tp>
        <v>46610</v>
        <stp/>
        <stp>##V3_BDHV12</stp>
        <stp>RCOM IN Equity</stp>
        <stp>EBITDA</stp>
        <stp>FY 2017</stp>
        <stp>FY 2017</stp>
        <stp>[FA1_ymffleas.xlsx]Reconciliation!R18C10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8" s="12"/>
      </tp>
      <tp>
        <v>31100</v>
        <stp/>
        <stp>##V3_BDHV12</stp>
        <stp>RCOM IN Equity</stp>
        <stp>EBITDA</stp>
        <stp>FY 2018</stp>
        <stp>FY 2018</stp>
        <stp>[FA1_ymffleas.xlsx]Reconciliation!R18C11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8" s="12"/>
      </tp>
      <tp>
        <v>399640</v>
        <stp/>
        <stp>##V3_BDHV12</stp>
        <stp>RCOM IN Equity</stp>
        <stp>SHORT_AND_LONG_TERM_DEBT</stp>
        <stp>FY 2015</stp>
        <stp>FY 2015</stp>
        <stp>[FA1_ymffleas.xlsx]Enterprise Value!R10C8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" s="5"/>
      </tp>
      <tp>
        <v>436170</v>
        <stp/>
        <stp>##V3_BDHV12</stp>
        <stp>RCOM IN Equity</stp>
        <stp>SHORT_AND_LONG_TERM_DEBT</stp>
        <stp>FY 2016</stp>
        <stp>FY 2016</stp>
        <stp>[FA1_ymffleas.xlsx]Enterprise Value!R10C9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" s="5"/>
      </tp>
      <tp>
        <v>390710</v>
        <stp/>
        <stp>##V3_BDHV12</stp>
        <stp>RCOM IN Equity</stp>
        <stp>SHORT_AND_LONG_TERM_DEBT</stp>
        <stp>FY 2011</stp>
        <stp>FY 2011</stp>
        <stp>[FA1_ymffleas.xlsx]Enterprise Value!R10C4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" s="5"/>
      </tp>
      <tp>
        <v>383030</v>
        <stp/>
        <stp>##V3_BDHV12</stp>
        <stp>RCOM IN Equity</stp>
        <stp>SHORT_AND_LONG_TERM_DEBT</stp>
        <stp>FY 2012</stp>
        <stp>FY 2012</stp>
        <stp>[FA1_ymffleas.xlsx]Enterprise Value!R10C5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" s="5"/>
      </tp>
      <tp>
        <v>415470</v>
        <stp/>
        <stp>##V3_BDHV12</stp>
        <stp>RCOM IN Equity</stp>
        <stp>SHORT_AND_LONG_TERM_DEBT</stp>
        <stp>FY 2013</stp>
        <stp>FY 2013</stp>
        <stp>[FA1_ymffleas.xlsx]Enterprise Value!R10C6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" s="5"/>
      </tp>
      <tp>
        <v>422680</v>
        <stp/>
        <stp>##V3_BDHV12</stp>
        <stp>RCOM IN Equity</stp>
        <stp>SHORT_AND_LONG_TERM_DEBT</stp>
        <stp>FY 2014</stp>
        <stp>FY 2014</stp>
        <stp>[FA1_ymffleas.xlsx]Enterprise Value!R10C7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" s="5"/>
      </tp>
      <tp>
        <v>297154.2</v>
        <stp/>
        <stp>##V3_BDHV12</stp>
        <stp>RCOM IN Equity</stp>
        <stp>SHORT_AND_LONG_TERM_DEBT</stp>
        <stp>FY 2010</stp>
        <stp>FY 2010</stp>
        <stp>[FA1_ymffleas.xlsx]Enterprise Value!R10C3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" s="5"/>
      </tp>
      <tp>
        <v>21870</v>
        <stp/>
        <stp>##V3_BDHV12</stp>
        <stp>RCOM IN Equity</stp>
        <stp>IS_OPER_INC</stp>
        <stp>FY 2012</stp>
        <stp>FY 2012</stp>
        <stp>[FA1_ymffleas.xlsx]Income - Adjusted!R35C5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35" s="9"/>
      </tp>
      <tp>
        <v>18720.8</v>
        <stp/>
        <stp>##V3_BDHV12</stp>
        <stp>RCOM IN Equity</stp>
        <stp>IS_OPER_INC</stp>
        <stp>FY 2011</stp>
        <stp>FY 2011</stp>
        <stp>[FA1_ymffleas.xlsx]Income - Adjusted!R35C4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35" s="9"/>
      </tp>
      <tp>
        <v>21910</v>
        <stp/>
        <stp>##V3_BDHV12</stp>
        <stp>RCOM IN Equity</stp>
        <stp>IS_OPER_INC</stp>
        <stp>FY 2014</stp>
        <stp>FY 2014</stp>
        <stp>[FA1_ymffleas.xlsx]Income - Adjusted!R35C7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35" s="9"/>
      </tp>
      <tp>
        <v>21260</v>
        <stp/>
        <stp>##V3_BDHV12</stp>
        <stp>RCOM IN Equity</stp>
        <stp>IS_OPER_INC</stp>
        <stp>FY 2013</stp>
        <stp>FY 2013</stp>
        <stp>[FA1_ymffleas.xlsx]Income - Adjusted!R35C6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35" s="9"/>
      </tp>
      <tp>
        <v>35489.9</v>
        <stp/>
        <stp>##V3_BDHV12</stp>
        <stp>RCOM IN Equity</stp>
        <stp>IS_OPER_INC</stp>
        <stp>FY 2010</stp>
        <stp>FY 2010</stp>
        <stp>[FA1_ymffleas.xlsx]Income - Adjusted!R35C3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35" s="9"/>
      </tp>
      <tp>
        <v>27920</v>
        <stp/>
        <stp>##V3_BDHV12</stp>
        <stp>RCOM IN Equity</stp>
        <stp>IS_OPER_INC</stp>
        <stp>FY 2016</stp>
        <stp>FY 2016</stp>
        <stp>[FA1_ymffleas.xlsx]Income - Adjusted!R35C9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35" s="9"/>
      </tp>
      <tp>
        <v>33930</v>
        <stp/>
        <stp>##V3_BDHV12</stp>
        <stp>RCOM IN Equity</stp>
        <stp>IS_OPER_INC</stp>
        <stp>FY 2015</stp>
        <stp>FY 2015</stp>
        <stp>[FA1_ymffleas.xlsx]Income - Adjusted!R35C8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35" s="9"/>
      </tp>
      <tp>
        <v>29.6875</v>
        <stp/>
        <stp>##V3_BDHV12</stp>
        <stp>RCOM IN Equity</stp>
        <stp>SOCIAL_DISCLOSURE_SCORE</stp>
        <stp>FY 2018</stp>
        <stp>FY 2018</stp>
        <stp>[FA1_ymffleas.xlsx]ESG - Overview!R14C12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4" s="34"/>
      </tp>
      <tp>
        <v>29.6875</v>
        <stp/>
        <stp>##V3_BDHV12</stp>
        <stp>RCOM IN Equity</stp>
        <stp>SOCIAL_DISCLOSURE_SCORE</stp>
        <stp>FY 2017</stp>
        <stp>FY 2017</stp>
        <stp>[FA1_ymffleas.xlsx]ESG - Overview!R14C11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4" s="34"/>
      </tp>
      <tp>
        <v>9.375</v>
        <stp/>
        <stp>##V3_BDHV12</stp>
        <stp>RCOM IN Equity</stp>
        <stp>SOCIAL_DISCLOSURE_SCORE</stp>
        <stp>FY 2016</stp>
        <stp>FY 2016</stp>
        <stp>[FA1_ymffleas.xlsx]ESG - Overview!R14C10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4" s="34"/>
      </tp>
      <tp t="s">
        <v>—</v>
        <stp/>
        <stp>##V3_BDHV12</stp>
        <stp>RCOM IN Equity</stp>
        <stp>ARDR_TOTAL_INTANGIBLE_ASSET_NET</stp>
        <stp>FY 2016</stp>
        <stp>FY 2016</stp>
        <stp>[FA1_ymffleas.xlsx]Bal Sheet - As Reported!R75C10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5" s="17"/>
      </tp>
      <tp t="s">
        <v>—</v>
        <stp/>
        <stp>##V3_BDHV12</stp>
        <stp>RCOM IN Equity</stp>
        <stp>ARDR_TOTAL_INTANGIBLE_ASSET_NET</stp>
        <stp>FY 2017</stp>
        <stp>FY 2017</stp>
        <stp>[FA1_ymffleas.xlsx]Bal Sheet - As Reported!R75C11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5" s="17"/>
      </tp>
      <tp t="s">
        <v>—</v>
        <stp/>
        <stp>##V3_BDHV12</stp>
        <stp>RCOM IN Equity</stp>
        <stp>ARDR_TOTAL_INTANGIBLE_ASSET_NET</stp>
        <stp>FY 2018</stp>
        <stp>FY 2018</stp>
        <stp>[FA1_ymffleas.xlsx]Bal Sheet - As Reported!R75C12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5" s="17"/>
      </tp>
      <tp>
        <v>2162.1577000000002</v>
        <stp/>
        <stp>##V3_BDHV12</stp>
        <stp>RCOM IN Equity</stp>
        <stp>INV_TO_CASH_DAYS</stp>
        <stp>FY 2012</stp>
        <stp>FY 2012</stp>
        <stp>[FA1_ymffleas.xlsx]Working Capital!R14C6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4" s="25"/>
      </tp>
      <tp t="s">
        <v>—</v>
        <stp/>
        <stp>##V3_BDHV12</stp>
        <stp>RCOM IN Equity</stp>
        <stp>IS_DEPR_EXP</stp>
        <stp>FY 2016</stp>
        <stp>FY 2016</stp>
        <stp>[FA1_ymffleas.xlsx]Income - Adjusted!R132C9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2" s="9"/>
      </tp>
      <tp t="s">
        <v>—</v>
        <stp/>
        <stp>##V3_BDHV12</stp>
        <stp>RCOM IN Equity</stp>
        <stp>IS_DEPR_EXP</stp>
        <stp>FY 2015</stp>
        <stp>FY 2015</stp>
        <stp>[FA1_ymffleas.xlsx]Income - Adjusted!R132C8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2" s="9"/>
      </tp>
      <tp>
        <v>16370</v>
        <stp/>
        <stp>##V3_BDHV12</stp>
        <stp>RCOM IN Equity</stp>
        <stp>IS_DEPR_EXP</stp>
        <stp>FY 2012</stp>
        <stp>FY 2012</stp>
        <stp>[FA1_ymffleas.xlsx]Income - Adjusted!R132C5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2" s="9"/>
      </tp>
      <tp>
        <v>37440</v>
        <stp/>
        <stp>##V3_BDHV12</stp>
        <stp>RCOM IN Equity</stp>
        <stp>IS_DEPR_EXP</stp>
        <stp>FY 2011</stp>
        <stp>FY 2011</stp>
        <stp>[FA1_ymffleas.xlsx]Income - Adjusted!R132C4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2" s="9"/>
      </tp>
      <tp t="s">
        <v>—</v>
        <stp/>
        <stp>##V3_BDHV12</stp>
        <stp>RCOM IN Equity</stp>
        <stp>IS_DEPR_EXP</stp>
        <stp>FY 2014</stp>
        <stp>FY 2014</stp>
        <stp>[FA1_ymffleas.xlsx]Income - Adjusted!R132C7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2" s="9"/>
      </tp>
      <tp>
        <v>19080</v>
        <stp/>
        <stp>##V3_BDHV12</stp>
        <stp>RCOM IN Equity</stp>
        <stp>IS_DEPR_EXP</stp>
        <stp>FY 2013</stp>
        <stp>FY 2013</stp>
        <stp>[FA1_ymffleas.xlsx]Income - Adjusted!R132C6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2" s="9"/>
      </tp>
      <tp>
        <v>28646</v>
        <stp/>
        <stp>##V3_BDHV12</stp>
        <stp>RCOM IN Equity</stp>
        <stp>IS_DEPR_EXP</stp>
        <stp>FY 2010</stp>
        <stp>FY 2010</stp>
        <stp>[FA1_ymffleas.xlsx]Income - Adjusted!R132C3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2" s="9"/>
      </tp>
      <tp>
        <v>7.4560000000000004</v>
        <stp/>
        <stp>##V3_BDHV12</stp>
        <stp>RCOM IN Equity</stp>
        <stp>EBITDA_SEQUENTIAL_GROWTH</stp>
        <stp>FY 2015</stp>
        <stp>FY 2015</stp>
        <stp>[FA1_ymffleas.xlsx]Growth!R61C9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61" s="22"/>
      </tp>
      <tp>
        <v>12.9808</v>
        <stp/>
        <stp>##V3_BDHV12</stp>
        <stp>RCOM IN Equity</stp>
        <stp>INVENTORY_SEQUENTIAL_GROWTH</stp>
        <stp>FY 2017</stp>
        <stp>FY 2017</stp>
        <stp>[FA1_ymffleas.xlsx]Growth!R70C11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0" s="22"/>
      </tp>
      <tp>
        <v>-48.1297</v>
        <stp/>
        <stp>##V3_BDHV12</stp>
        <stp>RCOM IN Equity</stp>
        <stp>INVENTORY_SEQUENTIAL_GROWTH</stp>
        <stp>FY 2016</stp>
        <stp>FY 2016</stp>
        <stp>[FA1_ymffleas.xlsx]Growth!R70C10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0" s="22"/>
      </tp>
      <tp>
        <v>-66.382999999999996</v>
        <stp/>
        <stp>##V3_BDHV12</stp>
        <stp>RCOM IN Equity</stp>
        <stp>INVENTORY_SEQUENTIAL_GROWTH</stp>
        <stp>FY 2018</stp>
        <stp>FY 2018</stp>
        <stp>[FA1_ymffleas.xlsx]Growth!R70C12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0" s="22"/>
      </tp>
      <tp>
        <v>96520</v>
        <stp/>
        <stp>##V3_BDHV12</stp>
        <stp>RCOM IN Equity</stp>
        <stp>ARD_OTHER_OPERATING_EXPENSES</stp>
        <stp>FY 2012</stp>
        <stp>FY 2012</stp>
        <stp>[FA1_ymffleas.xlsx]Income - As Reported!R18C6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" s="11"/>
      </tp>
      <tp>
        <v>103680</v>
        <stp/>
        <stp>##V3_BDHV12</stp>
        <stp>RCOM IN Equity</stp>
        <stp>ARD_OTHER_OPERATING_EXPENSES</stp>
        <stp>FY 2013</stp>
        <stp>FY 2013</stp>
        <stp>[FA1_ymffleas.xlsx]Income - As Reported!R18C7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" s="11"/>
      </tp>
      <tp>
        <v>92788.9</v>
        <stp/>
        <stp>##V3_BDHV12</stp>
        <stp>RCOM IN Equity</stp>
        <stp>ARD_OTHER_OPERATING_EXPENSES</stp>
        <stp>FY 2010</stp>
        <stp>FY 2010</stp>
        <stp>[FA1_ymffleas.xlsx]Income - As Reported!R18C4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" s="11"/>
      </tp>
      <tp>
        <v>92760</v>
        <stp/>
        <stp>##V3_BDHV12</stp>
        <stp>RCOM IN Equity</stp>
        <stp>ARD_OTHER_OPERATING_EXPENSES</stp>
        <stp>FY 2011</stp>
        <stp>FY 2011</stp>
        <stp>[FA1_ymffleas.xlsx]Income - As Reported!R18C5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" s="11"/>
      </tp>
      <tp>
        <v>79807.199999999997</v>
        <stp/>
        <stp>##V3_BDHV12</stp>
        <stp>RCOM IN Equity</stp>
        <stp>ARD_OTHER_OPERATING_EXPENSES</stp>
        <stp>FY 2009</stp>
        <stp>FY 2009</stp>
        <stp>[FA1_ymffleas.xlsx]Income - As Reported!R18C3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" s="11"/>
      </tp>
      <tp>
        <v>105500</v>
        <stp/>
        <stp>##V3_BDHV12</stp>
        <stp>RCOM IN Equity</stp>
        <stp>ARD_OTHER_OPERATING_EXPENSES</stp>
        <stp>FY 2014</stp>
        <stp>FY 2014</stp>
        <stp>[FA1_ymffleas.xlsx]Income - As Reported!R18C8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" s="11"/>
      </tp>
      <tp>
        <v>108750</v>
        <stp/>
        <stp>##V3_BDHV12</stp>
        <stp>RCOM IN Equity</stp>
        <stp>ARD_OTHER_OPERATING_EXPENSES</stp>
        <stp>FY 2015</stp>
        <stp>FY 2015</stp>
        <stp>[FA1_ymffleas.xlsx]Income - As Reported!R18C9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" s="11"/>
      </tp>
      <tp>
        <v>13230</v>
        <stp/>
        <stp>##V3_BDHV12</stp>
        <stp>RCOM IN Equity</stp>
        <stp>ARDR_OTHER_FINANCIAL_LIAB_ST</stp>
        <stp>FY 2018</stp>
        <stp>FY 2018</stp>
        <stp>[FA1_ymffleas.xlsx]Bal Sheet - As Reported!R182C12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2" s="17"/>
      </tp>
      <tp>
        <v>24070</v>
        <stp/>
        <stp>##V3_BDHV12</stp>
        <stp>RCOM IN Equity</stp>
        <stp>ARDR_OTHER_FINANCIAL_LIAB_ST</stp>
        <stp>FY 2017</stp>
        <stp>FY 2017</stp>
        <stp>[FA1_ymffleas.xlsx]Bal Sheet - As Reported!R182C11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2" s="17"/>
      </tp>
      <tp>
        <v>20010</v>
        <stp/>
        <stp>##V3_BDHV12</stp>
        <stp>RCOM IN Equity</stp>
        <stp>ARDR_OTHER_FINANCIAL_LIAB_ST</stp>
        <stp>FY 2016</stp>
        <stp>FY 2016</stp>
        <stp>[FA1_ymffleas.xlsx]Bal Sheet - As Reported!R182C10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2" s="17"/>
      </tp>
      <tp>
        <v>4490</v>
        <stp/>
        <stp>##V3_BDHV12</stp>
        <stp>RCOM IN Equity</stp>
        <stp>ARDR_OTHER_FINANCIAL_LIAB_LT</stp>
        <stp>FY 2016</stp>
        <stp>FY 2016</stp>
        <stp>[FA1_ymffleas.xlsx]Bal Sheet - As Reported!R187C10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7" s="17"/>
      </tp>
      <tp>
        <v>3820</v>
        <stp/>
        <stp>##V3_BDHV12</stp>
        <stp>RCOM IN Equity</stp>
        <stp>ARDR_OTHER_FINANCIAL_LIAB_LT</stp>
        <stp>FY 2017</stp>
        <stp>FY 2017</stp>
        <stp>[FA1_ymffleas.xlsx]Bal Sheet - As Reported!R187C11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7" s="17"/>
      </tp>
      <tp>
        <v>0</v>
        <stp/>
        <stp>##V3_BDHV12</stp>
        <stp>RCOM IN Equity</stp>
        <stp>ARDR_OTHER_FINANCIAL_LIAB_LT</stp>
        <stp>FY 2018</stp>
        <stp>FY 2018</stp>
        <stp>[FA1_ymffleas.xlsx]Bal Sheet - As Reported!R187C12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7" s="17"/>
      </tp>
      <tp>
        <v>520</v>
        <stp/>
        <stp>##V3_BDHV12</stp>
        <stp>RCOM IN Equity</stp>
        <stp>ARDR_PROPOSED_FINAL_DIVIDEND</stp>
        <stp>FY 2012</stp>
        <stp>FY 2012</stp>
        <stp>[FA1_ymffleas.xlsx]Income - As Reported!R115C6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5" s="11"/>
      </tp>
      <tp t="s">
        <v>—</v>
        <stp/>
        <stp>##V3_BDHV12</stp>
        <stp>RCOM IN Equity</stp>
        <stp>ARDR_PROPOSED_FINAL_DIVIDEND</stp>
        <stp>FY 2013</stp>
        <stp>FY 2013</stp>
        <stp>[FA1_ymffleas.xlsx]Income - As Reported!R115C7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5" s="11"/>
      </tp>
      <tp t="s">
        <v>—</v>
        <stp/>
        <stp>##V3_BDHV12</stp>
        <stp>RCOM IN Equity</stp>
        <stp>ARDR_PROPOSED_FINAL_DIVIDEND</stp>
        <stp>FY 2010</stp>
        <stp>FY 2010</stp>
        <stp>[FA1_ymffleas.xlsx]Income - As Reported!R115C4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5" s="11"/>
      </tp>
      <tp t="s">
        <v>—</v>
        <stp/>
        <stp>##V3_BDHV12</stp>
        <stp>RCOM IN Equity</stp>
        <stp>ARDR_PROPOSED_FINAL_DIVIDEND</stp>
        <stp>FY 2011</stp>
        <stp>FY 2011</stp>
        <stp>[FA1_ymffleas.xlsx]Income - As Reported!R115C5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5" s="11"/>
      </tp>
      <tp t="s">
        <v>—</v>
        <stp/>
        <stp>##V3_BDHV12</stp>
        <stp>RCOM IN Equity</stp>
        <stp>ARDR_PROPOSED_FINAL_DIVIDEND</stp>
        <stp>FY 2009</stp>
        <stp>FY 2009</stp>
        <stp>[FA1_ymffleas.xlsx]Income - As Reported!R115C3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5" s="11"/>
      </tp>
      <tp t="s">
        <v>—</v>
        <stp/>
        <stp>##V3_BDHV12</stp>
        <stp>RCOM IN Equity</stp>
        <stp>ARDR_PROPOSED_FINAL_DIVIDEND</stp>
        <stp>FY 2014</stp>
        <stp>FY 2014</stp>
        <stp>[FA1_ymffleas.xlsx]Income - As Reported!R115C8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5" s="11"/>
      </tp>
      <tp t="s">
        <v>—</v>
        <stp/>
        <stp>##V3_BDHV12</stp>
        <stp>RCOM IN Equity</stp>
        <stp>ARDR_PROPOSED_FINAL_DIVIDEND</stp>
        <stp>FY 2015</stp>
        <stp>FY 2015</stp>
        <stp>[FA1_ymffleas.xlsx]Income - As Reported!R115C9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5" s="11"/>
      </tp>
      <tp>
        <v>103.93859999999999</v>
        <stp/>
        <stp>##V3_BDHV12</stp>
        <stp>RCOM IN Equity</stp>
        <stp>TOTAL_DEBT_TO_EBIT</stp>
        <stp>FY 2017</stp>
        <stp>FY 2017</stp>
        <stp>[FA1_ymffleas.xlsx]Credit!R13C11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3" s="23"/>
      </tp>
      <tp t="s">
        <v>—</v>
        <stp/>
        <stp>##V3_BDHV12</stp>
        <stp>RCOM IN Equity</stp>
        <stp>ARD_DEPRECIATION_EXP</stp>
        <stp>FY 2009</stp>
        <stp>FY 2009</stp>
        <stp>[FA1_ymffleas.xlsx]Income - As Reported!R15C3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" s="11"/>
      </tp>
      <tp t="s">
        <v>—</v>
        <stp/>
        <stp>##V3_BDHV12</stp>
        <stp>RCOM IN Equity</stp>
        <stp>ARD_DEPRECIATION_EXP</stp>
        <stp>FY 2010</stp>
        <stp>FY 2010</stp>
        <stp>[FA1_ymffleas.xlsx]Income - As Reported!R15C4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" s="11"/>
      </tp>
      <tp t="s">
        <v>—</v>
        <stp/>
        <stp>##V3_BDHV12</stp>
        <stp>RCOM IN Equity</stp>
        <stp>ARD_DEPRECIATION_EXP</stp>
        <stp>FY 2011</stp>
        <stp>FY 2011</stp>
        <stp>[FA1_ymffleas.xlsx]Income - As Reported!R15C5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" s="11"/>
      </tp>
      <tp>
        <v>39780</v>
        <stp/>
        <stp>##V3_BDHV12</stp>
        <stp>RCOM IN Equity</stp>
        <stp>ARD_DEPRECIATION_EXP</stp>
        <stp>FY 2012</stp>
        <stp>FY 2012</stp>
        <stp>[FA1_ymffleas.xlsx]Income - As Reported!R15C6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" s="11"/>
      </tp>
      <tp t="s">
        <v>—</v>
        <stp/>
        <stp>##V3_BDHV12</stp>
        <stp>RCOM IN Equity</stp>
        <stp>ARD_DEPRECIATION_EXP</stp>
        <stp>FY 2013</stp>
        <stp>FY 2013</stp>
        <stp>[FA1_ymffleas.xlsx]Income - As Reported!R15C7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" s="11"/>
      </tp>
      <tp t="s">
        <v>—</v>
        <stp/>
        <stp>##V3_BDHV12</stp>
        <stp>RCOM IN Equity</stp>
        <stp>ARD_DEPRECIATION_EXP</stp>
        <stp>FY 2014</stp>
        <stp>FY 2014</stp>
        <stp>[FA1_ymffleas.xlsx]Income - As Reported!R15C8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" s="11"/>
      </tp>
      <tp t="s">
        <v>—</v>
        <stp/>
        <stp>##V3_BDHV12</stp>
        <stp>RCOM IN Equity</stp>
        <stp>ARD_DEPRECIATION_EXP</stp>
        <stp>FY 2015</stp>
        <stp>FY 2015</stp>
        <stp>[FA1_ymffleas.xlsx]Income - As Reported!R15C9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" s="11"/>
      </tp>
      <tp>
        <v>6050</v>
        <stp/>
        <stp>##V3_BDHV12</stp>
        <stp>RCOM IN Equity</stp>
        <stp>ARD_ST_INVEST</stp>
        <stp>FY 2014</stp>
        <stp>FY 2014</stp>
        <stp>[FA1_ymffleas.xlsx]Bal Sheet - As Reported!R44C8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4" s="17"/>
      </tp>
      <tp>
        <v>12700</v>
        <stp/>
        <stp>##V3_BDHV12</stp>
        <stp>RCOM IN Equity</stp>
        <stp>ARD_ST_INVEST</stp>
        <stp>FY 2015</stp>
        <stp>FY 2015</stp>
        <stp>[FA1_ymffleas.xlsx]Bal Sheet - As Reported!R44C9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4" s="17"/>
      </tp>
      <tp>
        <v>5190</v>
        <stp/>
        <stp>##V3_BDHV12</stp>
        <stp>RCOM IN Equity</stp>
        <stp>ARD_ST_INVEST</stp>
        <stp>FY 2012</stp>
        <stp>FY 2012</stp>
        <stp>[FA1_ymffleas.xlsx]Bal Sheet - As Reported!R44C6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4" s="17"/>
      </tp>
      <tp>
        <v>5510</v>
        <stp/>
        <stp>##V3_BDHV12</stp>
        <stp>RCOM IN Equity</stp>
        <stp>ARD_ST_INVEST</stp>
        <stp>FY 2013</stp>
        <stp>FY 2013</stp>
        <stp>[FA1_ymffleas.xlsx]Bal Sheet - As Reported!R44C7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4" s="17"/>
      </tp>
      <tp t="s">
        <v>—</v>
        <stp/>
        <stp>##V3_BDHV12</stp>
        <stp>RCOM IN Equity</stp>
        <stp>ARD_ST_INVEST</stp>
        <stp>FY 2010</stp>
        <stp>FY 2010</stp>
        <stp>[FA1_ymffleas.xlsx]Bal Sheet - As Reported!R44C4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4" s="17"/>
      </tp>
      <tp>
        <v>4520</v>
        <stp/>
        <stp>##V3_BDHV12</stp>
        <stp>RCOM IN Equity</stp>
        <stp>ARD_ST_INVEST</stp>
        <stp>FY 2011</stp>
        <stp>FY 2011</stp>
        <stp>[FA1_ymffleas.xlsx]Bal Sheet - As Reported!R44C5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4" s="17"/>
      </tp>
      <tp t="s">
        <v>—</v>
        <stp/>
        <stp>##V3_BDHV12</stp>
        <stp>RCOM IN Equity</stp>
        <stp>ARD_ST_INVEST</stp>
        <stp>FY 2009</stp>
        <stp>FY 2009</stp>
        <stp>[FA1_ymffleas.xlsx]Bal Sheet - As Reported!R44C3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4" s="17"/>
      </tp>
      <tp t="s">
        <v>—</v>
        <stp/>
        <stp>##V3_BDHV12</stp>
        <stp>RCOM IN Equity</stp>
        <stp>ARD_DISCONTINUED_OPS_OPERATING</stp>
        <stp>FY 2016</stp>
        <stp>FY 2016</stp>
        <stp>[FA1_ymffleas.xlsx]Cash Flow - As Reported!R10C10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" s="20"/>
      </tp>
      <tp>
        <v>-25420</v>
        <stp/>
        <stp>##V3_BDHV12</stp>
        <stp>RCOM IN Equity</stp>
        <stp>ARD_DISCONTINUED_OPS_OPERATING</stp>
        <stp>FY 2017</stp>
        <stp>FY 2017</stp>
        <stp>[FA1_ymffleas.xlsx]Cash Flow - As Reported!R10C11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" s="20"/>
      </tp>
      <tp>
        <v>-258110</v>
        <stp/>
        <stp>##V3_BDHV12</stp>
        <stp>RCOM IN Equity</stp>
        <stp>ARD_DISCONTINUED_OPS_OPERATING</stp>
        <stp>FY 2018</stp>
        <stp>FY 2018</stp>
        <stp>[FA1_ymffleas.xlsx]Cash Flow - As Reported!R10C12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" s="20"/>
      </tp>
      <tp>
        <v>810</v>
        <stp/>
        <stp>##V3_BDHV12</stp>
        <stp>RCOM IN Equity</stp>
        <stp>IS_SELLING_EXPENSES</stp>
        <stp>FY 2017</stp>
        <stp>FY 2017</stp>
        <stp>[FA1_ymffleas.xlsx]Income - GAAP!R23C10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23" s="10"/>
      </tp>
      <tp>
        <v>390</v>
        <stp/>
        <stp>##V3_BDHV12</stp>
        <stp>RCOM IN Equity</stp>
        <stp>IS_SELLING_EXPENSES</stp>
        <stp>FY 2018</stp>
        <stp>FY 2018</stp>
        <stp>[FA1_ymffleas.xlsx]Income - GAAP!R23C11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23" s="10"/>
      </tp>
      <tp>
        <v>0</v>
        <stp/>
        <stp>##V3_BDHV12</stp>
        <stp>RCOM IN Equity</stp>
        <stp>DVD_PAYOUT_RATIO</stp>
        <stp>FY 2014</stp>
        <stp>FY 2014</stp>
        <stp>[FA1_ymffleas.xlsx]Dividend Summary!R9C8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9" s="31"/>
      </tp>
      <tp t="s">
        <v>—</v>
        <stp/>
        <stp>##V3_BDHV12</stp>
        <stp>RCOM IN Equity</stp>
        <stp>ARDR_CAPITAL_LEASE_YR_2_5</stp>
        <stp>FY 2009</stp>
        <stp>FY 2009</stp>
        <stp>[FA1_ymffleas.xlsx]Bal Sheet - As Reported!R204C3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4" s="17"/>
      </tp>
      <tp t="s">
        <v>—</v>
        <stp/>
        <stp>##V3_BDHV12</stp>
        <stp>RCOM IN Equity</stp>
        <stp>ARDR_CAPITAL_LEASE_YR_2_5</stp>
        <stp>FY 2013</stp>
        <stp>FY 2013</stp>
        <stp>[FA1_ymffleas.xlsx]Bal Sheet - As Reported!R204C7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4" s="17"/>
      </tp>
      <tp t="s">
        <v>—</v>
        <stp/>
        <stp>##V3_BDHV12</stp>
        <stp>RCOM IN Equity</stp>
        <stp>ARDR_CAPITAL_LEASE_YR_2_5</stp>
        <stp>FY 2012</stp>
        <stp>FY 2012</stp>
        <stp>[FA1_ymffleas.xlsx]Bal Sheet - As Reported!R204C6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4" s="17"/>
      </tp>
      <tp t="s">
        <v>—</v>
        <stp/>
        <stp>##V3_BDHV12</stp>
        <stp>RCOM IN Equity</stp>
        <stp>ARDR_CAPITAL_LEASE_YR_2_5</stp>
        <stp>FY 2011</stp>
        <stp>FY 2011</stp>
        <stp>[FA1_ymffleas.xlsx]Bal Sheet - As Reported!R204C5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4" s="17"/>
      </tp>
      <tp t="s">
        <v>—</v>
        <stp/>
        <stp>##V3_BDHV12</stp>
        <stp>RCOM IN Equity</stp>
        <stp>ARDR_CAPITAL_LEASE_YR_2_5</stp>
        <stp>FY 2010</stp>
        <stp>FY 2010</stp>
        <stp>[FA1_ymffleas.xlsx]Bal Sheet - As Reported!R204C4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4" s="17"/>
      </tp>
      <tp>
        <v>820</v>
        <stp/>
        <stp>##V3_BDHV12</stp>
        <stp>RCOM IN Equity</stp>
        <stp>ARDR_CAPITAL_LEASE_YR_2_5</stp>
        <stp>FY 2015</stp>
        <stp>FY 2015</stp>
        <stp>[FA1_ymffleas.xlsx]Bal Sheet - As Reported!R204C9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4" s="17"/>
      </tp>
      <tp>
        <v>1490</v>
        <stp/>
        <stp>##V3_BDHV12</stp>
        <stp>RCOM IN Equity</stp>
        <stp>ARDR_CAPITAL_LEASE_YR_2_5</stp>
        <stp>FY 2014</stp>
        <stp>FY 2014</stp>
        <stp>[FA1_ymffleas.xlsx]Bal Sheet - As Reported!R204C8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4" s="17"/>
      </tp>
      <tp>
        <v>0</v>
        <stp/>
        <stp>##V3_BDHV12</stp>
        <stp>RCOM IN Equity</stp>
        <stp>XO_GL_NET_OF_TAX</stp>
        <stp>FY 2015</stp>
        <stp>FY 2015</stp>
        <stp>[FA1_ymffleas.xlsx]Income - GAAP!R67C8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7" s="10"/>
      </tp>
      <tp>
        <v>0</v>
        <stp/>
        <stp>##V3_BDHV12</stp>
        <stp>RCOM IN Equity</stp>
        <stp>XO_GL_NET_OF_TAX</stp>
        <stp>FY 2016</stp>
        <stp>FY 2016</stp>
        <stp>[FA1_ymffleas.xlsx]Income - GAAP!R67C9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7" s="10"/>
      </tp>
      <tp>
        <v>0</v>
        <stp/>
        <stp>##V3_BDHV12</stp>
        <stp>RCOM IN Equity</stp>
        <stp>XO_GL_NET_OF_TAX</stp>
        <stp>FY 2010</stp>
        <stp>FY 2010</stp>
        <stp>[FA1_ymffleas.xlsx]Income - GAAP!R67C3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7" s="10"/>
      </tp>
      <tp>
        <v>0</v>
        <stp/>
        <stp>##V3_BDHV12</stp>
        <stp>RCOM IN Equity</stp>
        <stp>XO_GL_NET_OF_TAX</stp>
        <stp>FY 2013</stp>
        <stp>FY 2013</stp>
        <stp>[FA1_ymffleas.xlsx]Income - GAAP!R67C6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7" s="10"/>
      </tp>
      <tp>
        <v>0</v>
        <stp/>
        <stp>##V3_BDHV12</stp>
        <stp>RCOM IN Equity</stp>
        <stp>XO_GL_NET_OF_TAX</stp>
        <stp>FY 2014</stp>
        <stp>FY 2014</stp>
        <stp>[FA1_ymffleas.xlsx]Income - GAAP!R67C7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7" s="10"/>
      </tp>
      <tp>
        <v>0</v>
        <stp/>
        <stp>##V3_BDHV12</stp>
        <stp>RCOM IN Equity</stp>
        <stp>XO_GL_NET_OF_TAX</stp>
        <stp>FY 2011</stp>
        <stp>FY 2011</stp>
        <stp>[FA1_ymffleas.xlsx]Income - GAAP!R67C4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7" s="10"/>
      </tp>
      <tp>
        <v>0</v>
        <stp/>
        <stp>##V3_BDHV12</stp>
        <stp>RCOM IN Equity</stp>
        <stp>XO_GL_NET_OF_TAX</stp>
        <stp>FY 2012</stp>
        <stp>FY 2012</stp>
        <stp>[FA1_ymffleas.xlsx]Income - GAAP!R67C5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7" s="10"/>
      </tp>
      <tp>
        <v>0.92689999999999995</v>
        <stp/>
        <stp>##V3_BDHV12</stp>
        <stp>RCOM IN Equity</stp>
        <stp>PX_TO_SALES_RATIO</stp>
        <stp>FY 2012</stp>
        <stp>FY 2012</stp>
        <stp>[FA1_ymffleas.xlsx]Multiples!R21C5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1" s="6"/>
      </tp>
      <tp>
        <v>0</v>
        <stp/>
        <stp>##V3_BDHV12</stp>
        <stp>RCOM IN Equity</stp>
        <stp>OTHER_ADJUSTMENTS</stp>
        <stp>FY 2012</stp>
        <stp>FY 2012</stp>
        <stp>[FA1_ymffleas.xlsx]Income - Adjusted!R102C5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2" s="9"/>
      </tp>
      <tp>
        <v>0</v>
        <stp/>
        <stp>##V3_BDHV12</stp>
        <stp>RCOM IN Equity</stp>
        <stp>OTHER_ADJUSTMENTS</stp>
        <stp>FY 2011</stp>
        <stp>FY 2011</stp>
        <stp>[FA1_ymffleas.xlsx]Income - Adjusted!R102C4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2" s="9"/>
      </tp>
      <tp>
        <v>0</v>
        <stp/>
        <stp>##V3_BDHV12</stp>
        <stp>RCOM IN Equity</stp>
        <stp>OTHER_ADJUSTMENTS</stp>
        <stp>FY 2014</stp>
        <stp>FY 2014</stp>
        <stp>[FA1_ymffleas.xlsx]Income - Adjusted!R102C7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2" s="9"/>
      </tp>
      <tp>
        <v>0</v>
        <stp/>
        <stp>##V3_BDHV12</stp>
        <stp>RCOM IN Equity</stp>
        <stp>OTHER_ADJUSTMENTS</stp>
        <stp>FY 2013</stp>
        <stp>FY 2013</stp>
        <stp>[FA1_ymffleas.xlsx]Income - Adjusted!R102C6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2" s="9"/>
      </tp>
      <tp>
        <v>0</v>
        <stp/>
        <stp>##V3_BDHV12</stp>
        <stp>RCOM IN Equity</stp>
        <stp>OTHER_ADJUSTMENTS</stp>
        <stp>FY 2010</stp>
        <stp>FY 2010</stp>
        <stp>[FA1_ymffleas.xlsx]Income - Adjusted!R102C3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2" s="9"/>
      </tp>
      <tp>
        <v>0</v>
        <stp/>
        <stp>##V3_BDHV12</stp>
        <stp>RCOM IN Equity</stp>
        <stp>OTHER_ADJUSTMENTS</stp>
        <stp>FY 2016</stp>
        <stp>FY 2016</stp>
        <stp>[FA1_ymffleas.xlsx]Income - Adjusted!R102C9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2" s="9"/>
      </tp>
      <tp>
        <v>0</v>
        <stp/>
        <stp>##V3_BDHV12</stp>
        <stp>RCOM IN Equity</stp>
        <stp>OTHER_ADJUSTMENTS</stp>
        <stp>FY 2015</stp>
        <stp>FY 2015</stp>
        <stp>[FA1_ymffleas.xlsx]Income - Adjusted!R102C8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2" s="9"/>
      </tp>
      <tp>
        <v>6.8677000000000001</v>
        <stp/>
        <stp>##V3_BDHV12</stp>
        <stp>RCOM IN Equity</stp>
        <stp>PRETAX_INC_TO_NET_SALES</stp>
        <stp>FY 2011</stp>
        <stp>FY 2011</stp>
        <stp>[FA1_ymffleas.xlsx]Profitability!R16C5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6" s="21"/>
      </tp>
      <tp t="s">
        <v>—</v>
        <stp/>
        <stp>##V3_BDHV12</stp>
        <stp>RCOM IN Equity</stp>
        <stp>IS_EXPORT_SALES</stp>
        <stp>FY 2018</stp>
        <stp>FY 2018</stp>
        <stp>[FA1_ymffleas.xlsx]Income - GAAP!R109C11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9" s="10"/>
      </tp>
      <tp t="s">
        <v>—</v>
        <stp/>
        <stp>##V3_BDHV12</stp>
        <stp>RCOM IN Equity</stp>
        <stp>IS_EXPORT_SALES</stp>
        <stp>FY 2017</stp>
        <stp>FY 2017</stp>
        <stp>[FA1_ymffleas.xlsx]Income - GAAP!R109C10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9" s="10"/>
      </tp>
      <tp>
        <v>1140</v>
        <stp/>
        <stp>##V3_BDHV12</stp>
        <stp>RCOM IN Equity</stp>
        <stp>IS_CURRENT_INCOME_TAX_BENEFIT</stp>
        <stp>FY 2015</stp>
        <stp>FY 2015</stp>
        <stp>[FA1_ymffleas.xlsx]Income - Adjusted!R79C8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9" s="9"/>
      </tp>
      <tp>
        <v>140</v>
        <stp/>
        <stp>##V3_BDHV12</stp>
        <stp>RCOM IN Equity</stp>
        <stp>IS_CURRENT_INCOME_TAX_BENEFIT</stp>
        <stp>FY 2016</stp>
        <stp>FY 2016</stp>
        <stp>[FA1_ymffleas.xlsx]Income - Adjusted!R79C9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9" s="9"/>
      </tp>
      <tp>
        <v>-2800</v>
        <stp/>
        <stp>##V3_BDHV12</stp>
        <stp>RCOM IN Equity</stp>
        <stp>IS_CURRENT_INCOME_TAX_BENEFIT</stp>
        <stp>FY 2011</stp>
        <stp>FY 2011</stp>
        <stp>[FA1_ymffleas.xlsx]Income - Adjusted!R79C4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9" s="9"/>
      </tp>
      <tp>
        <v>-1060</v>
        <stp/>
        <stp>##V3_BDHV12</stp>
        <stp>RCOM IN Equity</stp>
        <stp>IS_CURRENT_INCOME_TAX_BENEFIT</stp>
        <stp>FY 2012</stp>
        <stp>FY 2012</stp>
        <stp>[FA1_ymffleas.xlsx]Income - Adjusted!R79C5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9" s="9"/>
      </tp>
      <tp>
        <v>710</v>
        <stp/>
        <stp>##V3_BDHV12</stp>
        <stp>RCOM IN Equity</stp>
        <stp>IS_CURRENT_INCOME_TAX_BENEFIT</stp>
        <stp>FY 2013</stp>
        <stp>FY 2013</stp>
        <stp>[FA1_ymffleas.xlsx]Income - Adjusted!R79C6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9" s="9"/>
      </tp>
      <tp>
        <v>360</v>
        <stp/>
        <stp>##V3_BDHV12</stp>
        <stp>RCOM IN Equity</stp>
        <stp>IS_CURRENT_INCOME_TAX_BENEFIT</stp>
        <stp>FY 2014</stp>
        <stp>FY 2014</stp>
        <stp>[FA1_ymffleas.xlsx]Income - Adjusted!R79C7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9" s="9"/>
      </tp>
      <tp>
        <v>3725</v>
        <stp/>
        <stp>##V3_BDHV12</stp>
        <stp>RCOM IN Equity</stp>
        <stp>IS_CURRENT_INCOME_TAX_BENEFIT</stp>
        <stp>FY 2010</stp>
        <stp>FY 2010</stp>
        <stp>[FA1_ymffleas.xlsx]Income - Adjusted!R79C3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9" s="9"/>
      </tp>
      <tp>
        <v>4.5</v>
        <stp/>
        <stp>##V3_BDHV12</stp>
        <stp>RCOM IN Equity</stp>
        <stp>IS_EPS</stp>
        <stp>FY 2012</stp>
        <stp>FY 2012</stp>
        <stp>[FA1_ymffleas.xlsx]Comprehensive Income!R15C5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5" s="33"/>
      </tp>
      <tp t="s">
        <v>—</v>
        <stp/>
        <stp>##V3_BDHV12</stp>
        <stp>RCOM IN Equity</stp>
        <stp>DPS_SEQUENTIAL_GROWTH</stp>
        <stp>FY 2017</stp>
        <stp>FY 2017</stp>
        <stp>[FA1_ymffleas.xlsx]Growth!R67C11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7" s="22"/>
      </tp>
      <tp t="s">
        <v>—</v>
        <stp/>
        <stp>##V3_BDHV12</stp>
        <stp>RCOM IN Equity</stp>
        <stp>DPS_SEQUENTIAL_GROWTH</stp>
        <stp>FY 2016</stp>
        <stp>FY 2016</stp>
        <stp>[FA1_ymffleas.xlsx]Growth!R67C10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7" s="22"/>
      </tp>
      <tp>
        <v>13830</v>
        <stp/>
        <stp>##V3_BDHV12</stp>
        <stp>RCOM IN Equity</stp>
        <stp>ARDR_COMMON_STOCK</stp>
        <stp>FY 2018</stp>
        <stp>FY 2018</stp>
        <stp>[FA1_ymffleas.xlsx]Bal Sheet - As Reported!R95C12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5" s="17"/>
      </tp>
      <tp>
        <v>12440</v>
        <stp/>
        <stp>##V3_BDHV12</stp>
        <stp>RCOM IN Equity</stp>
        <stp>ARDR_COMMON_STOCK</stp>
        <stp>FY 2016</stp>
        <stp>FY 2016</stp>
        <stp>[FA1_ymffleas.xlsx]Bal Sheet - As Reported!R95C10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5" s="17"/>
      </tp>
      <tp>
        <v>12440</v>
        <stp/>
        <stp>##V3_BDHV12</stp>
        <stp>RCOM IN Equity</stp>
        <stp>ARDR_COMMON_STOCK</stp>
        <stp>FY 2017</stp>
        <stp>FY 2017</stp>
        <stp>[FA1_ymffleas.xlsx]Bal Sheet - As Reported!R95C11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5" s="17"/>
      </tp>
      <tp t="s">
        <v>—</v>
        <stp/>
        <stp>##V3_BDHV12</stp>
        <stp>RCOM IN Equity</stp>
        <stp>DPS_SEQUENTIAL_GROWTH</stp>
        <stp>FY 2018</stp>
        <stp>FY 2018</stp>
        <stp>[FA1_ymffleas.xlsx]Growth!R67C12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67" s="22"/>
      </tp>
      <tp>
        <v>-44470</v>
        <stp/>
        <stp>##V3_BDHV12</stp>
        <stp>RCOM IN Equity</stp>
        <stp>FREE_CASH_FLOW_EQUITY</stp>
        <stp>FY 2015</stp>
        <stp>FY 2015</stp>
        <stp>[FA1_ymffleas.xlsx]Cash Flow - Standardized!R63C8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3" s="19"/>
      </tp>
      <tp>
        <v>26260</v>
        <stp/>
        <stp>##V3_BDHV12</stp>
        <stp>RCOM IN Equity</stp>
        <stp>FREE_CASH_FLOW_EQUITY</stp>
        <stp>FY 2016</stp>
        <stp>FY 2016</stp>
        <stp>[FA1_ymffleas.xlsx]Cash Flow - Standardized!R63C9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3" s="19"/>
      </tp>
      <tp>
        <v>5860</v>
        <stp/>
        <stp>##V3_BDHV12</stp>
        <stp>RCOM IN Equity</stp>
        <stp>FREE_CASH_FLOW_EQUITY</stp>
        <stp>FY 2011</stp>
        <stp>FY 2011</stp>
        <stp>[FA1_ymffleas.xlsx]Cash Flow - Standardized!R63C4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3" s="19"/>
      </tp>
      <tp>
        <v>-38770</v>
        <stp/>
        <stp>##V3_BDHV12</stp>
        <stp>RCOM IN Equity</stp>
        <stp>FREE_CASH_FLOW_EQUITY</stp>
        <stp>FY 2012</stp>
        <stp>FY 2012</stp>
        <stp>[FA1_ymffleas.xlsx]Cash Flow - Standardized!R63C5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3" s="19"/>
      </tp>
      <tp>
        <v>14710</v>
        <stp/>
        <stp>##V3_BDHV12</stp>
        <stp>RCOM IN Equity</stp>
        <stp>FREE_CASH_FLOW_EQUITY</stp>
        <stp>FY 2013</stp>
        <stp>FY 2013</stp>
        <stp>[FA1_ymffleas.xlsx]Cash Flow - Standardized!R63C6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3" s="19"/>
      </tp>
      <tp>
        <v>3410</v>
        <stp/>
        <stp>##V3_BDHV12</stp>
        <stp>RCOM IN Equity</stp>
        <stp>FREE_CASH_FLOW_EQUITY</stp>
        <stp>FY 2014</stp>
        <stp>FY 2014</stp>
        <stp>[FA1_ymffleas.xlsx]Cash Flow - Standardized!R63C7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3" s="19"/>
      </tp>
      <tp>
        <v>-63100.9</v>
        <stp/>
        <stp>##V3_BDHV12</stp>
        <stp>RCOM IN Equity</stp>
        <stp>FREE_CASH_FLOW_EQUITY</stp>
        <stp>FY 2010</stp>
        <stp>FY 2010</stp>
        <stp>[FA1_ymffleas.xlsx]Cash Flow - Standardized!R63C3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3" s="19"/>
      </tp>
      <tp t="s">
        <v>—</v>
        <stp/>
        <stp>##V3_BDHV12</stp>
        <stp>RCOM IN Equity</stp>
        <stp>INV_TO_CASH_DAYS</stp>
        <stp>FY 2013</stp>
        <stp>FY 2013</stp>
        <stp>[FA1_ymffleas.xlsx]Working Capital!R14C7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4" s="25"/>
      </tp>
      <tp t="s">
        <v>—</v>
        <stp/>
        <stp>##V3_BDHV12</stp>
        <stp>RCOM IN Equity</stp>
        <stp>ARD_BASIC_EPS_BEF_XO_ITEMS</stp>
        <stp>FY 2015</stp>
        <stp>FY 2015</stp>
        <stp>[FA1_ymffleas.xlsx]Income - As Reported!R42C9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2" s="11"/>
      </tp>
      <tp t="s">
        <v>—</v>
        <stp/>
        <stp>##V3_BDHV12</stp>
        <stp>RCOM IN Equity</stp>
        <stp>ARD_BASIC_EPS_BEF_XO_ITEMS</stp>
        <stp>FY 2014</stp>
        <stp>FY 2014</stp>
        <stp>[FA1_ymffleas.xlsx]Income - As Reported!R42C8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2" s="11"/>
      </tp>
      <tp>
        <v>12459.4</v>
        <stp/>
        <stp>##V3_BDHV12</stp>
        <stp>RCOM IN Equity</stp>
        <stp>ARDR_TRADE_RECEIVABLES_GROSS</stp>
        <stp>FY 2009</stp>
        <stp>FY 2009</stp>
        <stp>[FA1_ymffleas.xlsx]Bal Sheet - As Reported!R152C3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2" s="17"/>
      </tp>
      <tp>
        <v>28800</v>
        <stp/>
        <stp>##V3_BDHV12</stp>
        <stp>RCOM IN Equity</stp>
        <stp>ARDR_TRADE_RECEIVABLES_GROSS</stp>
        <stp>FY 2012</stp>
        <stp>FY 2012</stp>
        <stp>[FA1_ymffleas.xlsx]Bal Sheet - As Reported!R152C6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2" s="17"/>
      </tp>
      <tp>
        <v>28270</v>
        <stp/>
        <stp>##V3_BDHV12</stp>
        <stp>RCOM IN Equity</stp>
        <stp>ARDR_TRADE_RECEIVABLES_GROSS</stp>
        <stp>FY 2013</stp>
        <stp>FY 2013</stp>
        <stp>[FA1_ymffleas.xlsx]Bal Sheet - As Reported!R152C7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2" s="17"/>
      </tp>
      <tp>
        <v>15504.2</v>
        <stp/>
        <stp>##V3_BDHV12</stp>
        <stp>RCOM IN Equity</stp>
        <stp>ARDR_TRADE_RECEIVABLES_GROSS</stp>
        <stp>FY 2010</stp>
        <stp>FY 2010</stp>
        <stp>[FA1_ymffleas.xlsx]Bal Sheet - As Reported!R152C4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2" s="17"/>
      </tp>
      <tp>
        <v>19740</v>
        <stp/>
        <stp>##V3_BDHV12</stp>
        <stp>RCOM IN Equity</stp>
        <stp>ARDR_TRADE_RECEIVABLES_GROSS</stp>
        <stp>FY 2011</stp>
        <stp>FY 2011</stp>
        <stp>[FA1_ymffleas.xlsx]Bal Sheet - As Reported!R152C5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2" s="17"/>
      </tp>
      <tp>
        <v>26360</v>
        <stp/>
        <stp>##V3_BDHV12</stp>
        <stp>RCOM IN Equity</stp>
        <stp>ARDR_TRADE_RECEIVABLES_GROSS</stp>
        <stp>FY 2014</stp>
        <stp>FY 2014</stp>
        <stp>[FA1_ymffleas.xlsx]Bal Sheet - As Reported!R152C8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2" s="17"/>
      </tp>
      <tp>
        <v>27600</v>
        <stp/>
        <stp>##V3_BDHV12</stp>
        <stp>RCOM IN Equity</stp>
        <stp>ARDR_TRADE_RECEIVABLES_GROSS</stp>
        <stp>FY 2015</stp>
        <stp>FY 2015</stp>
        <stp>[FA1_ymffleas.xlsx]Bal Sheet - As Reported!R152C9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2" s="17"/>
      </tp>
      <tp>
        <v>12.8766</v>
        <stp/>
        <stp>##V3_BDHV12</stp>
        <stp>RCOM IN Equity</stp>
        <stp>EBITDA_SEQUENTIAL_GROWTH</stp>
        <stp>FY 2014</stp>
        <stp>FY 2014</stp>
        <stp>[FA1_ymffleas.xlsx]Growth!R61C8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61" s="22"/>
      </tp>
      <tp t="s">
        <v>—</v>
        <stp/>
        <stp>##V3_BDHV12</stp>
        <stp>RCOM IN Equity</stp>
        <stp>ARD_BASIC_EPS_BEF_XO_ITEMS</stp>
        <stp>FY 2009</stp>
        <stp>FY 2009</stp>
        <stp>[FA1_ymffleas.xlsx]Income - As Reported!R42C3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2" s="11"/>
      </tp>
      <tp>
        <v>3.26</v>
        <stp/>
        <stp>##V3_BDHV12</stp>
        <stp>RCOM IN Equity</stp>
        <stp>ARD_BASIC_EPS_BEF_XO_ITEMS</stp>
        <stp>FY 2013</stp>
        <stp>FY 2013</stp>
        <stp>[FA1_ymffleas.xlsx]Income - As Reported!R42C7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2" s="11"/>
      </tp>
      <tp>
        <v>-92.296599999999998</v>
        <stp/>
        <stp>##V3_BDHV12</stp>
        <stp>RCOM IN Equity</stp>
        <stp>IS_DILUTED_EPS</stp>
        <stp>FY 2018</stp>
        <stp>FY 2018</stp>
        <stp>[FA1_ymffleas.xlsx]Earnings!R15C12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5" s="4"/>
      </tp>
      <tp>
        <v>4.5</v>
        <stp/>
        <stp>##V3_BDHV12</stp>
        <stp>RCOM IN Equity</stp>
        <stp>ARD_BASIC_EPS_BEF_XO_ITEMS</stp>
        <stp>FY 2012</stp>
        <stp>FY 2012</stp>
        <stp>[FA1_ymffleas.xlsx]Income - As Reported!R42C6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2" s="11"/>
      </tp>
      <tp t="s">
        <v>—</v>
        <stp/>
        <stp>##V3_BDHV12</stp>
        <stp>RCOM IN Equity</stp>
        <stp>ARD_BASIC_EPS_BEF_XO_ITEMS</stp>
        <stp>FY 2011</stp>
        <stp>FY 2011</stp>
        <stp>[FA1_ymffleas.xlsx]Income - As Reported!R42C5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2" s="11"/>
      </tp>
      <tp t="s">
        <v>—</v>
        <stp/>
        <stp>##V3_BDHV12</stp>
        <stp>RCOM IN Equity</stp>
        <stp>ARD_BASIC_EPS_BEF_XO_ITEMS</stp>
        <stp>FY 2010</stp>
        <stp>FY 2010</stp>
        <stp>[FA1_ymffleas.xlsx]Income - As Reported!R42C4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2" s="11"/>
      </tp>
      <tp>
        <v>-3670</v>
        <stp/>
        <stp>##V3_BDHV12</stp>
        <stp>RCOM IN Equity</stp>
        <stp>FREE_CASH_FLOW_EQUITY</stp>
        <stp>FY 2018</stp>
        <stp>FY 2018</stp>
        <stp>[FA1_ymffleas.xlsx]Cash Flow - Standardized!R63C11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3" s="19"/>
      </tp>
      <tp>
        <v>-41660</v>
        <stp/>
        <stp>##V3_BDHV12</stp>
        <stp>RCOM IN Equity</stp>
        <stp>FREE_CASH_FLOW_EQUITY</stp>
        <stp>FY 2017</stp>
        <stp>FY 2017</stp>
        <stp>[FA1_ymffleas.xlsx]Cash Flow - Standardized!R63C10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3" s="19"/>
      </tp>
      <tp>
        <v>-238390</v>
        <stp/>
        <stp>##V3_BDHV12</stp>
        <stp>RCOM IN Equity</stp>
        <stp>NET_INCOME</stp>
        <stp>FY 2018</stp>
        <stp>FY 2018</stp>
        <stp>[FA1_ymffleas.xlsx]Addl - Overview!R16C11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16" s="29"/>
      </tp>
      <tp>
        <v>-14030</v>
        <stp/>
        <stp>##V3_BDHV12</stp>
        <stp>RCOM IN Equity</stp>
        <stp>NET_INCOME</stp>
        <stp>FY 2017</stp>
        <stp>FY 2017</stp>
        <stp>[FA1_ymffleas.xlsx]Addl - Overview!R16C10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16" s="29"/>
      </tp>
      <tp>
        <v>9.0573999999999995</v>
        <stp/>
        <stp>##V3_BDHV12</stp>
        <stp>RCOM IN Equity</stp>
        <stp>ACCOUNTS_RECEIVABLE_SEQ_GROWTH</stp>
        <stp>FY 2017</stp>
        <stp>FY 2017</stp>
        <stp>[FA1_ymffleas.xlsx]Growth!R69C11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9" s="22"/>
      </tp>
      <tp>
        <v>149.66499999999999</v>
        <stp/>
        <stp>##V3_BDHV12</stp>
        <stp>RCOM IN Equity</stp>
        <stp>ACCOUNTS_RECEIVABLE_SEQ_GROWTH</stp>
        <stp>FY 2016</stp>
        <stp>FY 2016</stp>
        <stp>[FA1_ymffleas.xlsx]Growth!R69C10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9" s="22"/>
      </tp>
      <tp>
        <v>-34.389400000000002</v>
        <stp/>
        <stp>##V3_BDHV12</stp>
        <stp>RCOM IN Equity</stp>
        <stp>ACCOUNTS_RECEIVABLE_SEQ_GROWTH</stp>
        <stp>FY 2018</stp>
        <stp>FY 2018</stp>
        <stp>[FA1_ymffleas.xlsx]Growth!R69C12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69" s="22"/>
      </tp>
      <tp t="s">
        <v>—</v>
        <stp/>
        <stp>##V3_BDHV12</stp>
        <stp>RCOM IN Equity</stp>
        <stp>ARDR_SHORT_TERM_LOAN_SECURED</stp>
        <stp>FY 2016</stp>
        <stp>FY 2016</stp>
        <stp>[FA1_ymffleas.xlsx]Bal Sheet - As Reported!R193C10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3" s="17"/>
      </tp>
      <tp t="s">
        <v>—</v>
        <stp/>
        <stp>##V3_BDHV12</stp>
        <stp>RCOM IN Equity</stp>
        <stp>ARDR_SHORT_TERM_LOAN_SECURED</stp>
        <stp>FY 2017</stp>
        <stp>FY 2017</stp>
        <stp>[FA1_ymffleas.xlsx]Bal Sheet - As Reported!R193C11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3" s="17"/>
      </tp>
      <tp t="s">
        <v>—</v>
        <stp/>
        <stp>##V3_BDHV12</stp>
        <stp>RCOM IN Equity</stp>
        <stp>ARDR_SHORT_TERM_LOAN_SECURED</stp>
        <stp>FY 2018</stp>
        <stp>FY 2018</stp>
        <stp>[FA1_ymffleas.xlsx]Bal Sheet - As Reported!R193C12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3" s="17"/>
      </tp>
      <tp t="s">
        <v>—</v>
        <stp/>
        <stp>##V3_BDHV12</stp>
        <stp>RCOM IN Equity</stp>
        <stp>ARD_BASIC_EPS</stp>
        <stp>FY 2009</stp>
        <stp>FY 2009</stp>
        <stp>[FA1_ymffleas.xlsx]Income - As Reported!R43C3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3" s="11"/>
      </tp>
      <tp t="s">
        <v>—</v>
        <stp/>
        <stp>##V3_BDHV12</stp>
        <stp>RCOM IN Equity</stp>
        <stp>ARD_BASIC_EPS</stp>
        <stp>FY 2010</stp>
        <stp>FY 2010</stp>
        <stp>[FA1_ymffleas.xlsx]Income - As Reported!R43C4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3" s="11"/>
      </tp>
      <tp t="s">
        <v>—</v>
        <stp/>
        <stp>##V3_BDHV12</stp>
        <stp>RCOM IN Equity</stp>
        <stp>ARD_BASIC_EPS</stp>
        <stp>FY 2011</stp>
        <stp>FY 2011</stp>
        <stp>[FA1_ymffleas.xlsx]Income - As Reported!R43C5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3" s="11"/>
      </tp>
      <tp>
        <v>4.5</v>
        <stp/>
        <stp>##V3_BDHV12</stp>
        <stp>RCOM IN Equity</stp>
        <stp>ARD_BASIC_EPS</stp>
        <stp>FY 2012</stp>
        <stp>FY 2012</stp>
        <stp>[FA1_ymffleas.xlsx]Income - As Reported!R43C6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3" s="11"/>
      </tp>
      <tp>
        <v>3.26</v>
        <stp/>
        <stp>##V3_BDHV12</stp>
        <stp>RCOM IN Equity</stp>
        <stp>ARD_BASIC_EPS</stp>
        <stp>FY 2013</stp>
        <stp>FY 2013</stp>
        <stp>[FA1_ymffleas.xlsx]Income - As Reported!R43C7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3" s="11"/>
      </tp>
      <tp>
        <v>5.07</v>
        <stp/>
        <stp>##V3_BDHV12</stp>
        <stp>RCOM IN Equity</stp>
        <stp>ARD_BASIC_EPS</stp>
        <stp>FY 2014</stp>
        <stp>FY 2014</stp>
        <stp>[FA1_ymffleas.xlsx]Income - As Reported!R43C8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3" s="11"/>
      </tp>
      <tp>
        <v>3.05</v>
        <stp/>
        <stp>##V3_BDHV12</stp>
        <stp>RCOM IN Equity</stp>
        <stp>ARD_BASIC_EPS</stp>
        <stp>FY 2015</stp>
        <stp>FY 2015</stp>
        <stp>[FA1_ymffleas.xlsx]Income - As Reported!R43C9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3" s="11"/>
      </tp>
      <tp>
        <v>194.58019999999999</v>
        <stp/>
        <stp>##V3_BDHV12</stp>
        <stp>RCOM IN Equity</stp>
        <stp>TOTAL_DEBT_TO_EBIT</stp>
        <stp>FY 2018</stp>
        <stp>FY 2018</stp>
        <stp>[FA1_ymffleas.xlsx]Credit!R13C12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3" s="23"/>
      </tp>
      <tp>
        <v>-14030</v>
        <stp/>
        <stp>##V3_BDHV12</stp>
        <stp>RCOM IN Equity</stp>
        <stp>EARN_FOR_COMMON</stp>
        <stp>FY 2017</stp>
        <stp>FY 2017</stp>
        <stp>[FA1_ymffleas.xlsx]Reconciliation!R34C10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4" s="12"/>
      </tp>
      <tp>
        <v>-238390</v>
        <stp/>
        <stp>##V3_BDHV12</stp>
        <stp>RCOM IN Equity</stp>
        <stp>EARN_FOR_COMMON</stp>
        <stp>FY 2018</stp>
        <stp>FY 2018</stp>
        <stp>[FA1_ymffleas.xlsx]Reconciliation!R34C11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4" s="12"/>
      </tp>
      <tp>
        <v>109130</v>
        <stp/>
        <stp>##V3_BDHV12</stp>
        <stp>RCOM IN Equity</stp>
        <stp>BS_CURR_PORTION_LT_DEBT</stp>
        <stp>FY 2018</stp>
        <stp>FY 2018</stp>
        <stp>[FA1_ymffleas.xlsx]Bal Sheet - Standardized!R91C12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1" s="16"/>
      </tp>
      <tp>
        <v>101290</v>
        <stp/>
        <stp>##V3_BDHV12</stp>
        <stp>RCOM IN Equity</stp>
        <stp>BS_CURR_PORTION_LT_DEBT</stp>
        <stp>FY 2016</stp>
        <stp>FY 2016</stp>
        <stp>[FA1_ymffleas.xlsx]Bal Sheet - Standardized!R91C10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1" s="16"/>
      </tp>
      <tp>
        <v>136840</v>
        <stp/>
        <stp>##V3_BDHV12</stp>
        <stp>RCOM IN Equity</stp>
        <stp>BS_CURR_PORTION_LT_DEBT</stp>
        <stp>FY 2017</stp>
        <stp>FY 2017</stp>
        <stp>[FA1_ymffleas.xlsx]Bal Sheet - Standardized!R91C11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1" s="16"/>
      </tp>
      <tp>
        <v>2890</v>
        <stp/>
        <stp>##V3_BDHV12</stp>
        <stp>RCOM IN Equity</stp>
        <stp>ARD_PROVISION_DOUBTFUL_ACCT_CF</stp>
        <stp>FY 2014</stp>
        <stp>FY 2014</stp>
        <stp>[FA1_ymffleas.xlsx]Cash Flow - As Reported!R9C8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" s="20"/>
      </tp>
      <tp>
        <v>1160</v>
        <stp/>
        <stp>##V3_BDHV12</stp>
        <stp>RCOM IN Equity</stp>
        <stp>ARD_PROVISION_DOUBTFUL_ACCT_CF</stp>
        <stp>FY 2015</stp>
        <stp>FY 2015</stp>
        <stp>[FA1_ymffleas.xlsx]Cash Flow - As Reported!R9C9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" s="20"/>
      </tp>
      <tp>
        <v>600</v>
        <stp/>
        <stp>##V3_BDHV12</stp>
        <stp>RCOM IN Equity</stp>
        <stp>ARD_PROVISION_DOUBTFUL_ACCT_CF</stp>
        <stp>FY 2012</stp>
        <stp>FY 2012</stp>
        <stp>[FA1_ymffleas.xlsx]Cash Flow - As Reported!R9C6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" s="20"/>
      </tp>
      <tp>
        <v>1080</v>
        <stp/>
        <stp>##V3_BDHV12</stp>
        <stp>RCOM IN Equity</stp>
        <stp>ARD_PROVISION_DOUBTFUL_ACCT_CF</stp>
        <stp>FY 2013</stp>
        <stp>FY 2013</stp>
        <stp>[FA1_ymffleas.xlsx]Cash Flow - As Reported!R9C7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" s="20"/>
      </tp>
      <tp>
        <v>1982.8</v>
        <stp/>
        <stp>##V3_BDHV12</stp>
        <stp>RCOM IN Equity</stp>
        <stp>ARD_PROVISION_DOUBTFUL_ACCT_CF</stp>
        <stp>FY 2010</stp>
        <stp>FY 2010</stp>
        <stp>[FA1_ymffleas.xlsx]Cash Flow - As Reported!R9C4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" s="20"/>
      </tp>
      <tp>
        <v>930</v>
        <stp/>
        <stp>##V3_BDHV12</stp>
        <stp>RCOM IN Equity</stp>
        <stp>ARD_PROVISION_DOUBTFUL_ACCT_CF</stp>
        <stp>FY 2011</stp>
        <stp>FY 2011</stp>
        <stp>[FA1_ymffleas.xlsx]Cash Flow - As Reported!R9C5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" s="20"/>
      </tp>
      <tp>
        <v>1368.1</v>
        <stp/>
        <stp>##V3_BDHV12</stp>
        <stp>RCOM IN Equity</stp>
        <stp>ARD_PROVISION_DOUBTFUL_ACCT_CF</stp>
        <stp>FY 2009</stp>
        <stp>FY 2009</stp>
        <stp>[FA1_ymffleas.xlsx]Cash Flow - As Reported!R9C3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" s="20"/>
      </tp>
      <tp>
        <v>3.9238</v>
        <stp/>
        <stp>##V3_BDHV12</stp>
        <stp>RCOM IN Equity</stp>
        <stp>RETURN_ON_CAP</stp>
        <stp>FY 2014</stp>
        <stp>FY 2014</stp>
        <stp>[FA1_ymffleas.xlsx]Profitability!R9C8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9" s="21"/>
      </tp>
      <tp>
        <v>17.0077</v>
        <stp/>
        <stp>##V3_BDHV12</stp>
        <stp>RCOM IN Equity</stp>
        <stp>HIGH_EV_TO_T12M_EBITDA</stp>
        <stp>FY 2018</stp>
        <stp>FY 2018</stp>
        <stp>[FA1_ymffleas.xlsx]Multiples!R43C11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43" s="6"/>
      </tp>
      <tp t="s">
        <v>—</v>
        <stp/>
        <stp>##V3_BDHV12</stp>
        <stp>RCOM IN Equity</stp>
        <stp>ARDR_PROPERTY_PLANT_EQUIP_NET</stp>
        <stp>FY 2012</stp>
        <stp>FY 2012</stp>
        <stp>[FA1_ymffleas.xlsx]Bal Sheet - As Reported!R74C6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4" s="17"/>
      </tp>
      <tp t="s">
        <v>—</v>
        <stp/>
        <stp>##V3_BDHV12</stp>
        <stp>RCOM IN Equity</stp>
        <stp>ARDR_PROPERTY_PLANT_EQUIP_NET</stp>
        <stp>FY 2013</stp>
        <stp>FY 2013</stp>
        <stp>[FA1_ymffleas.xlsx]Bal Sheet - As Reported!R74C7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4" s="17"/>
      </tp>
      <tp t="s">
        <v>—</v>
        <stp/>
        <stp>##V3_BDHV12</stp>
        <stp>RCOM IN Equity</stp>
        <stp>ARDR_PROPERTY_PLANT_EQUIP_NET</stp>
        <stp>FY 2010</stp>
        <stp>FY 2010</stp>
        <stp>[FA1_ymffleas.xlsx]Bal Sheet - As Reported!R74C4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4" s="17"/>
      </tp>
      <tp t="s">
        <v>—</v>
        <stp/>
        <stp>##V3_BDHV12</stp>
        <stp>RCOM IN Equity</stp>
        <stp>ARDR_PROPERTY_PLANT_EQUIP_NET</stp>
        <stp>FY 2011</stp>
        <stp>FY 2011</stp>
        <stp>[FA1_ymffleas.xlsx]Bal Sheet - As Reported!R74C5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4" s="17"/>
      </tp>
      <tp t="s">
        <v>—</v>
        <stp/>
        <stp>##V3_BDHV12</stp>
        <stp>RCOM IN Equity</stp>
        <stp>ARDR_PROPERTY_PLANT_EQUIP_NET</stp>
        <stp>FY 2009</stp>
        <stp>FY 2009</stp>
        <stp>[FA1_ymffleas.xlsx]Bal Sheet - As Reported!R74C3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4" s="17"/>
      </tp>
      <tp>
        <v>1180</v>
        <stp/>
        <stp>##V3_BDHV12</stp>
        <stp>RCOM IN Equity</stp>
        <stp>ARD_LT_INVEST</stp>
        <stp>FY 2014</stp>
        <stp>FY 2014</stp>
        <stp>[FA1_ymffleas.xlsx]Bal Sheet - As Reported!R27C8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7" s="17"/>
      </tp>
      <tp>
        <v>1250</v>
        <stp/>
        <stp>##V3_BDHV12</stp>
        <stp>RCOM IN Equity</stp>
        <stp>ARD_LT_INVEST</stp>
        <stp>FY 2015</stp>
        <stp>FY 2015</stp>
        <stp>[FA1_ymffleas.xlsx]Bal Sheet - As Reported!R27C9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7" s="17"/>
      </tp>
      <tp>
        <v>1330</v>
        <stp/>
        <stp>##V3_BDHV12</stp>
        <stp>RCOM IN Equity</stp>
        <stp>ARD_LT_INVEST</stp>
        <stp>FY 2012</stp>
        <stp>FY 2012</stp>
        <stp>[FA1_ymffleas.xlsx]Bal Sheet - As Reported!R27C6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7" s="17"/>
      </tp>
      <tp>
        <v>1110</v>
        <stp/>
        <stp>##V3_BDHV12</stp>
        <stp>RCOM IN Equity</stp>
        <stp>ARD_LT_INVEST</stp>
        <stp>FY 2013</stp>
        <stp>FY 2013</stp>
        <stp>[FA1_ymffleas.xlsx]Bal Sheet - As Reported!R27C7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7" s="17"/>
      </tp>
      <tp>
        <v>41598.9</v>
        <stp/>
        <stp>##V3_BDHV12</stp>
        <stp>RCOM IN Equity</stp>
        <stp>ARD_LT_INVEST</stp>
        <stp>FY 2010</stp>
        <stp>FY 2010</stp>
        <stp>[FA1_ymffleas.xlsx]Bal Sheet - As Reported!R27C4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7" s="17"/>
      </tp>
      <tp>
        <v>1180</v>
        <stp/>
        <stp>##V3_BDHV12</stp>
        <stp>RCOM IN Equity</stp>
        <stp>ARD_LT_INVEST</stp>
        <stp>FY 2011</stp>
        <stp>FY 2011</stp>
        <stp>[FA1_ymffleas.xlsx]Bal Sheet - As Reported!R27C5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7" s="17"/>
      </tp>
      <tp>
        <v>95657</v>
        <stp/>
        <stp>##V3_BDHV12</stp>
        <stp>RCOM IN Equity</stp>
        <stp>ARD_LT_INVEST</stp>
        <stp>FY 2009</stp>
        <stp>FY 2009</stp>
        <stp>[FA1_ymffleas.xlsx]Bal Sheet - As Reported!R27C3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7" s="17"/>
      </tp>
      <tp t="s">
        <v>—</v>
        <stp/>
        <stp>##V3_BDHV12</stp>
        <stp>RCOM IN Equity</stp>
        <stp>ARDR_PROPERTY_PLANT_EQUIP_NET</stp>
        <stp>FY 2014</stp>
        <stp>FY 2014</stp>
        <stp>[FA1_ymffleas.xlsx]Bal Sheet - As Reported!R74C8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4" s="17"/>
      </tp>
      <tp>
        <v>425900</v>
        <stp/>
        <stp>##V3_BDHV12</stp>
        <stp>RCOM IN Equity</stp>
        <stp>ARDR_PROPERTY_PLANT_EQUIP_NET</stp>
        <stp>FY 2015</stp>
        <stp>FY 2015</stp>
        <stp>[FA1_ymffleas.xlsx]Bal Sheet - As Reported!R74C9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4" s="17"/>
      </tp>
      <tp>
        <v>0.59160000000000001</v>
        <stp/>
        <stp>##V3_BDHV12</stp>
        <stp>RCOM IN Equity</stp>
        <stp>PX_TO_SALES_RATIO</stp>
        <stp>FY 2013</stp>
        <stp>FY 2013</stp>
        <stp>[FA1_ymffleas.xlsx]Multiples!R21C6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1" s="6"/>
      </tp>
      <tp>
        <v>0</v>
        <stp/>
        <stp>##V3_BDHV12</stp>
        <stp>RCOM IN Equity</stp>
        <stp>OTHER_NONCURRENT_ASSETS_DETAILED</stp>
        <stp>FY 2010</stp>
        <stp>FY 2010</stp>
        <stp>[FA1_ymffleas.xlsx]Bal Sheet - Standardized!R67C4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7" s="16"/>
      </tp>
      <tp>
        <v>5660</v>
        <stp/>
        <stp>##V3_BDHV12</stp>
        <stp>RCOM IN Equity</stp>
        <stp>OTHER_NONCURRENT_ASSETS_DETAILED</stp>
        <stp>FY 2011</stp>
        <stp>FY 2011</stp>
        <stp>[FA1_ymffleas.xlsx]Bal Sheet - Standardized!R67C5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7" s="16"/>
      </tp>
      <tp>
        <v>17000</v>
        <stp/>
        <stp>##V3_BDHV12</stp>
        <stp>RCOM IN Equity</stp>
        <stp>OTHER_NONCURRENT_ASSETS_DETAILED</stp>
        <stp>FY 2012</stp>
        <stp>FY 2012</stp>
        <stp>[FA1_ymffleas.xlsx]Bal Sheet - Standardized!R67C6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7" s="16"/>
      </tp>
      <tp>
        <v>13460</v>
        <stp/>
        <stp>##V3_BDHV12</stp>
        <stp>RCOM IN Equity</stp>
        <stp>OTHER_NONCURRENT_ASSETS_DETAILED</stp>
        <stp>FY 2013</stp>
        <stp>FY 2013</stp>
        <stp>[FA1_ymffleas.xlsx]Bal Sheet - Standardized!R67C7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7" s="16"/>
      </tp>
      <tp>
        <v>0</v>
        <stp/>
        <stp>##V3_BDHV12</stp>
        <stp>RCOM IN Equity</stp>
        <stp>OTHER_NONCURRENT_ASSETS_DETAILED</stp>
        <stp>FY 2009</stp>
        <stp>FY 2009</stp>
        <stp>[FA1_ymffleas.xlsx]Bal Sheet - Standardized!R67C3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7" s="16"/>
      </tp>
      <tp>
        <v>15700</v>
        <stp/>
        <stp>##V3_BDHV12</stp>
        <stp>RCOM IN Equity</stp>
        <stp>OTHER_NONCURRENT_ASSETS_DETAILED</stp>
        <stp>FY 2014</stp>
        <stp>FY 2014</stp>
        <stp>[FA1_ymffleas.xlsx]Bal Sheet - Standardized!R67C8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7" s="16"/>
      </tp>
      <tp>
        <v>62360</v>
        <stp/>
        <stp>##V3_BDHV12</stp>
        <stp>RCOM IN Equity</stp>
        <stp>OTHER_NONCURRENT_ASSETS_DETAILED</stp>
        <stp>FY 2015</stp>
        <stp>FY 2015</stp>
        <stp>[FA1_ymffleas.xlsx]Bal Sheet - Standardized!R67C9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7" s="16"/>
      </tp>
      <tp>
        <v>4.7125000000000004</v>
        <stp/>
        <stp>##V3_BDHV12</stp>
        <stp>RCOM IN Equity</stp>
        <stp>PRETAX_INC_TO_NET_SALES</stp>
        <stp>FY 2012</stp>
        <stp>FY 2012</stp>
        <stp>[FA1_ymffleas.xlsx]Profitability!R16C6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6" s="21"/>
      </tp>
      <tp>
        <v>160350</v>
        <stp/>
        <stp>##V3_BDHV12</stp>
        <stp>RCOM IN Equity</stp>
        <stp>ARDR_DEBT_IN_FOREIGN_CURRENCY</stp>
        <stp>FY 2017</stp>
        <stp>FY 2017</stp>
        <stp>[FA1_ymffleas.xlsx]Bal Sheet - As Reported!R177C11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7" s="17"/>
      </tp>
      <tp>
        <v>200250</v>
        <stp/>
        <stp>##V3_BDHV12</stp>
        <stp>RCOM IN Equity</stp>
        <stp>ARDR_DEBT_IN_FOREIGN_CURRENCY</stp>
        <stp>FY 2016</stp>
        <stp>FY 2016</stp>
        <stp>[FA1_ymffleas.xlsx]Bal Sheet - As Reported!R177C10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7" s="17"/>
      </tp>
      <tp>
        <v>19660</v>
        <stp/>
        <stp>##V3_BDHV12</stp>
        <stp>RCOM IN Equity</stp>
        <stp>ARDR_DEBT_IN_FOREIGN_CURRENCY</stp>
        <stp>FY 2018</stp>
        <stp>FY 2018</stp>
        <stp>[FA1_ymffleas.xlsx]Bal Sheet - As Reported!R177C12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7" s="17"/>
      </tp>
      <tp>
        <v>22.881499999999999</v>
        <stp/>
        <stp>##V3_BDHV12</stp>
        <stp>RCOM IN Equity</stp>
        <stp>ACCUM_DEPR_TO_TOT_ASSET</stp>
        <stp>FY 2011</stp>
        <stp>FY 2011</stp>
        <stp>[FA1_ymffleas.xlsx]CAPEX &amp; Depreciation!R9C5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" s="28"/>
      </tp>
      <tp>
        <v>17.363600000000002</v>
        <stp/>
        <stp>##V3_BDHV12</stp>
        <stp>RCOM IN Equity</stp>
        <stp>ACCUM_DEPR_TO_TOT_ASSET</stp>
        <stp>FY 2010</stp>
        <stp>FY 2010</stp>
        <stp>[FA1_ymffleas.xlsx]CAPEX &amp; Depreciation!R9C4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" s="28"/>
      </tp>
      <tp>
        <v>32.520899999999997</v>
        <stp/>
        <stp>##V3_BDHV12</stp>
        <stp>RCOM IN Equity</stp>
        <stp>ACCUM_DEPR_TO_TOT_ASSET</stp>
        <stp>FY 2013</stp>
        <stp>FY 2013</stp>
        <stp>[FA1_ymffleas.xlsx]CAPEX &amp; Depreciation!R9C7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" s="28"/>
      </tp>
      <tp>
        <v>27.400400000000001</v>
        <stp/>
        <stp>##V3_BDHV12</stp>
        <stp>RCOM IN Equity</stp>
        <stp>ACCUM_DEPR_TO_TOT_ASSET</stp>
        <stp>FY 2012</stp>
        <stp>FY 2012</stp>
        <stp>[FA1_ymffleas.xlsx]CAPEX &amp; Depreciation!R9C6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" s="28"/>
      </tp>
      <tp>
        <v>12.558299999999999</v>
        <stp/>
        <stp>##V3_BDHV12</stp>
        <stp>RCOM IN Equity</stp>
        <stp>ACCUM_DEPR_TO_TOT_ASSET</stp>
        <stp>FY 2009</stp>
        <stp>FY 2009</stp>
        <stp>[FA1_ymffleas.xlsx]CAPEX &amp; Depreciation!R9C3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" s="28"/>
      </tp>
      <tp>
        <v>-39200</v>
        <stp/>
        <stp>##V3_BDHV12</stp>
        <stp>RCOM IN Equity</stp>
        <stp>ACQUIS_FXD_&amp;_INTANG_DETAILED</stp>
        <stp>FY 2017</stp>
        <stp>FY 2017</stp>
        <stp>[FA1_ymffleas.xlsx]Cash Flow - Standardized!R23C10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3" s="19"/>
      </tp>
      <tp>
        <v>-5910</v>
        <stp/>
        <stp>##V3_BDHV12</stp>
        <stp>RCOM IN Equity</stp>
        <stp>ACQUIS_FXD_&amp;_INTANG_DETAILED</stp>
        <stp>FY 2018</stp>
        <stp>FY 2018</stp>
        <stp>[FA1_ymffleas.xlsx]Cash Flow - Standardized!R23C11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3" s="19"/>
      </tp>
      <tp>
        <v>3.26</v>
        <stp/>
        <stp>##V3_BDHV12</stp>
        <stp>RCOM IN Equity</stp>
        <stp>IS_EPS</stp>
        <stp>FY 2013</stp>
        <stp>FY 2013</stp>
        <stp>[FA1_ymffleas.xlsx]Comprehensive Income!R15C6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5" s="33"/>
      </tp>
      <tp>
        <v>40.835500000000003</v>
        <stp/>
        <stp>##V3_BDHV12</stp>
        <stp>RCOM IN Equity</stp>
        <stp>ACCUM_DEPR_TO_TOT_ASSET</stp>
        <stp>FY 2015</stp>
        <stp>FY 2015</stp>
        <stp>[FA1_ymffleas.xlsx]CAPEX &amp; Depreciation!R9C9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" s="28"/>
      </tp>
      <tp>
        <v>38.03</v>
        <stp/>
        <stp>##V3_BDHV12</stp>
        <stp>RCOM IN Equity</stp>
        <stp>ACCUM_DEPR_TO_TOT_ASSET</stp>
        <stp>FY 2014</stp>
        <stp>FY 2014</stp>
        <stp>[FA1_ymffleas.xlsx]CAPEX &amp; Depreciation!R9C8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" s="28"/>
      </tp>
      <tp>
        <v>1754.4</v>
        <stp/>
        <stp>##V3_BDHV12</stp>
        <stp>RCOM IN Equity</stp>
        <stp>IS_TOT_CASH_COM_DVD</stp>
        <stp>FY 2010</stp>
        <stp>FY 2010</stp>
        <stp>[FA1_ymffleas.xlsx]Income - Adjusted!R129C3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9" s="9"/>
      </tp>
      <tp>
        <v>520</v>
        <stp/>
        <stp>##V3_BDHV12</stp>
        <stp>RCOM IN Equity</stp>
        <stp>IS_TOT_CASH_COM_DVD</stp>
        <stp>FY 2012</stp>
        <stp>FY 2012</stp>
        <stp>[FA1_ymffleas.xlsx]Income - Adjusted!R129C5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9" s="9"/>
      </tp>
      <tp>
        <v>1030</v>
        <stp/>
        <stp>##V3_BDHV12</stp>
        <stp>RCOM IN Equity</stp>
        <stp>IS_TOT_CASH_COM_DVD</stp>
        <stp>FY 2011</stp>
        <stp>FY 2011</stp>
        <stp>[FA1_ymffleas.xlsx]Income - Adjusted!R129C4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9" s="9"/>
      </tp>
      <tp>
        <v>0</v>
        <stp/>
        <stp>##V3_BDHV12</stp>
        <stp>RCOM IN Equity</stp>
        <stp>IS_TOT_CASH_COM_DVD</stp>
        <stp>FY 2014</stp>
        <stp>FY 2014</stp>
        <stp>[FA1_ymffleas.xlsx]Income - Adjusted!R129C7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9" s="9"/>
      </tp>
      <tp>
        <v>520</v>
        <stp/>
        <stp>##V3_BDHV12</stp>
        <stp>RCOM IN Equity</stp>
        <stp>IS_TOT_CASH_COM_DVD</stp>
        <stp>FY 2013</stp>
        <stp>FY 2013</stp>
        <stp>[FA1_ymffleas.xlsx]Income - Adjusted!R129C6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9" s="9"/>
      </tp>
      <tp>
        <v>0</v>
        <stp/>
        <stp>##V3_BDHV12</stp>
        <stp>RCOM IN Equity</stp>
        <stp>IS_TOT_CASH_COM_DVD</stp>
        <stp>FY 2016</stp>
        <stp>FY 2016</stp>
        <stp>[FA1_ymffleas.xlsx]Income - Adjusted!R129C9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9" s="9"/>
      </tp>
      <tp>
        <v>0</v>
        <stp/>
        <stp>##V3_BDHV12</stp>
        <stp>RCOM IN Equity</stp>
        <stp>IS_TOT_CASH_COM_DVD</stp>
        <stp>FY 2015</stp>
        <stp>FY 2015</stp>
        <stp>[FA1_ymffleas.xlsx]Income - Adjusted!R129C8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9" s="9"/>
      </tp>
      <tp>
        <v>2467.7006999999999</v>
        <stp/>
        <stp>##V3_BDHV12</stp>
        <stp>RCOM IN Equity</stp>
        <stp>ARDR_WEIGHTED_AVG_SHARES_BASIC</stp>
        <stp>FY 2016</stp>
        <stp>FY 2016</stp>
        <stp>[FA1_ymffleas.xlsx]Income - As Reported!R81C10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1" s="11"/>
      </tp>
      <tp>
        <v>2467.7006999999999</v>
        <stp/>
        <stp>##V3_BDHV12</stp>
        <stp>RCOM IN Equity</stp>
        <stp>ARDR_WEIGHTED_AVG_SHARES_BASIC</stp>
        <stp>FY 2017</stp>
        <stp>FY 2017</stp>
        <stp>[FA1_ymffleas.xlsx]Income - As Reported!R81C11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1" s="11"/>
      </tp>
      <tp>
        <v>2582.8681000000001</v>
        <stp/>
        <stp>##V3_BDHV12</stp>
        <stp>RCOM IN Equity</stp>
        <stp>ARDR_WEIGHTED_AVG_SHARES_BASIC</stp>
        <stp>FY 2018</stp>
        <stp>FY 2018</stp>
        <stp>[FA1_ymffleas.xlsx]Income - As Reported!R81C12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1" s="11"/>
      </tp>
      <tp>
        <v>0</v>
        <stp/>
        <stp>##V3_BDHV12</stp>
        <stp>RCOM IN Equity</stp>
        <stp>PCT_EMPLOYEES_UNIONIZED</stp>
        <stp>FY 2018</stp>
        <stp>FY 2018</stp>
        <stp>[FA1_ymffleas.xlsx]ESG - Overview!R16C12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" s="34"/>
      </tp>
      <tp t="s">
        <v>—</v>
        <stp/>
        <stp>##V3_BDHV12</stp>
        <stp>RCOM IN Equity</stp>
        <stp>PCT_EMPLOYEES_UNIONIZED</stp>
        <stp>FY 2016</stp>
        <stp>FY 2016</stp>
        <stp>[FA1_ymffleas.xlsx]ESG - Overview!R16C10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" s="34"/>
      </tp>
      <tp>
        <v>0</v>
        <stp/>
        <stp>##V3_BDHV12</stp>
        <stp>RCOM IN Equity</stp>
        <stp>PCT_EMPLOYEES_UNIONIZED</stp>
        <stp>FY 2017</stp>
        <stp>FY 2017</stp>
        <stp>[FA1_ymffleas.xlsx]ESG - Overview!R16C11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" s="34"/>
      </tp>
      <tp>
        <v>11.0021</v>
        <stp/>
        <stp>##V3_BDHV12</stp>
        <stp>RCOM IN Equity</stp>
        <stp>NET_DEBT_TO_EBIT</stp>
        <stp>FY 2015</stp>
        <stp>FY 2015</stp>
        <stp>[FA1_ymffleas.xlsx]Credit!R14C9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4" s="23"/>
      </tp>
      <tp t="s">
        <v>—</v>
        <stp/>
        <stp>##V3_BDHV12</stp>
        <stp>RCOM IN Equity</stp>
        <stp>INV_TO_CASH_DAYS</stp>
        <stp>FY 2010</stp>
        <stp>FY 2010</stp>
        <stp>[FA1_ymffleas.xlsx]Working Capital!R14C4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4" s="25"/>
      </tp>
      <tp t="s">
        <v>—</v>
        <stp/>
        <stp>##V3_BDHV12</stp>
        <stp>RCOM IN Equity</stp>
        <stp>IS_SH_PRO_EQY_MT_INV_NET_OF_TAX</stp>
        <stp>FY 2016</stp>
        <stp>FY 2016</stp>
        <stp>[FA1_ymffleas.xlsx]Income - Adjusted!R85C9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85" s="9"/>
      </tp>
      <tp>
        <v>-30</v>
        <stp/>
        <stp>##V3_BDHV12</stp>
        <stp>RCOM IN Equity</stp>
        <stp>IS_SH_PRO_EQY_MT_INV_NET_OF_TAX</stp>
        <stp>FY 2015</stp>
        <stp>FY 2015</stp>
        <stp>[FA1_ymffleas.xlsx]Income - Adjusted!R85C8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85" s="9"/>
      </tp>
      <tp>
        <v>-10</v>
        <stp/>
        <stp>##V3_BDHV12</stp>
        <stp>RCOM IN Equity</stp>
        <stp>IS_SH_PRO_EQY_MT_INV_NET_OF_TAX</stp>
        <stp>FY 2012</stp>
        <stp>FY 2012</stp>
        <stp>[FA1_ymffleas.xlsx]Income - Adjusted!R85C5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85" s="9"/>
      </tp>
      <tp>
        <v>100</v>
        <stp/>
        <stp>##V3_BDHV12</stp>
        <stp>RCOM IN Equity</stp>
        <stp>IS_SH_PRO_EQY_MT_INV_NET_OF_TAX</stp>
        <stp>FY 2011</stp>
        <stp>FY 2011</stp>
        <stp>[FA1_ymffleas.xlsx]Income - Adjusted!R85C4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85" s="9"/>
      </tp>
      <tp>
        <v>-20</v>
        <stp/>
        <stp>##V3_BDHV12</stp>
        <stp>RCOM IN Equity</stp>
        <stp>IS_SH_PRO_EQY_MT_INV_NET_OF_TAX</stp>
        <stp>FY 2014</stp>
        <stp>FY 2014</stp>
        <stp>[FA1_ymffleas.xlsx]Income - Adjusted!R85C7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85" s="9"/>
      </tp>
      <tp>
        <v>-10</v>
        <stp/>
        <stp>##V3_BDHV12</stp>
        <stp>RCOM IN Equity</stp>
        <stp>IS_SH_PRO_EQY_MT_INV_NET_OF_TAX</stp>
        <stp>FY 2013</stp>
        <stp>FY 2013</stp>
        <stp>[FA1_ymffleas.xlsx]Income - Adjusted!R85C6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85" s="9"/>
      </tp>
      <tp>
        <v>-5.6855000000000002</v>
        <stp/>
        <stp>##V3_BDHV12</stp>
        <stp>RCOM IN Equity</stp>
        <stp>IS_DILUTED_EPS</stp>
        <stp>FY 2017</stp>
        <stp>FY 2017</stp>
        <stp>[FA1_ymffleas.xlsx]Earnings!R15C11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5" s="4"/>
      </tp>
      <tp>
        <v>31.9</v>
        <stp/>
        <stp>##V3_BDHV12</stp>
        <stp>RCOM IN Equity</stp>
        <stp>IS_SH_PRO_EQY_MT_INV_NET_OF_TAX</stp>
        <stp>FY 2010</stp>
        <stp>FY 2010</stp>
        <stp>[FA1_ymffleas.xlsx]Income - Adjusted!R85C3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85" s="9"/>
      </tp>
      <tp>
        <v>-4070</v>
        <stp/>
        <stp>##V3_BDHV12</stp>
        <stp>RCOM IN Equity</stp>
        <stp>TRAIL_12M_CASH_FROM_OPER</stp>
        <stp>FY 2018</stp>
        <stp>FY 2018</stp>
        <stp>[FA1_ymffleas.xlsx]Yield Analysis!R29C12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9" s="26"/>
      </tp>
      <tp>
        <v>142210</v>
        <stp/>
        <stp>##V3_BDHV12</stp>
        <stp>RCOM IN Equity</stp>
        <stp>TRAIL_12M_CASH_FROM_OPER</stp>
        <stp>FY 2016</stp>
        <stp>FY 2016</stp>
        <stp>[FA1_ymffleas.xlsx]Yield Analysis!R29C10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9" s="26"/>
      </tp>
      <tp>
        <v>-35600</v>
        <stp/>
        <stp>##V3_BDHV12</stp>
        <stp>RCOM IN Equity</stp>
        <stp>TRAIL_12M_CASH_FROM_OPER</stp>
        <stp>FY 2017</stp>
        <stp>FY 2017</stp>
        <stp>[FA1_ymffleas.xlsx]Yield Analysis!R29C11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9" s="26"/>
      </tp>
      <tp>
        <v>3.7317</v>
        <stp/>
        <stp>##V3_BDHV12</stp>
        <stp>RCOM IN Equity</stp>
        <stp>COM_EQY_TO_TOT_ASSET</stp>
        <stp>FY 2018</stp>
        <stp>FY 2018</stp>
        <stp>[FA1_ymffleas.xlsx]Liquidity!R10C12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0" s="24"/>
      </tp>
      <tp>
        <v>30.528500000000001</v>
        <stp/>
        <stp>##V3_BDHV12</stp>
        <stp>RCOM IN Equity</stp>
        <stp>COM_EQY_TO_TOT_ASSET</stp>
        <stp>FY 2016</stp>
        <stp>FY 2016</stp>
        <stp>[FA1_ymffleas.xlsx]Liquidity!R10C10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0" s="24"/>
      </tp>
      <tp>
        <v>28.646100000000001</v>
        <stp/>
        <stp>##V3_BDHV12</stp>
        <stp>RCOM IN Equity</stp>
        <stp>COM_EQY_TO_TOT_ASSET</stp>
        <stp>FY 2017</stp>
        <stp>FY 2017</stp>
        <stp>[FA1_ymffleas.xlsx]Liquidity!R10C11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0" s="24"/>
      </tp>
      <tp>
        <v>13140</v>
        <stp/>
        <stp>##V3_BDHV12</stp>
        <stp>RCOM IN Equity</stp>
        <stp>CASH_AND_MARKETABLE_SECURITIES</stp>
        <stp>FY 2017</stp>
        <stp>FY 2017</stp>
        <stp>[FA1_ymffleas.xlsx]Adj Highlights!R7C10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" s="2"/>
      </tp>
      <tp>
        <v>7360</v>
        <stp/>
        <stp>##V3_BDHV12</stp>
        <stp>RCOM IN Equity</stp>
        <stp>CASH_AND_MARKETABLE_SECURITIES</stp>
        <stp>FY 2018</stp>
        <stp>FY 2018</stp>
        <stp>[FA1_ymffleas.xlsx]Adj Highlights!R7C11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" s="2"/>
      </tp>
      <tp>
        <v>0</v>
        <stp/>
        <stp>##V3_BDHV12</stp>
        <stp>RCOM IN Equity</stp>
        <stp>CF_DECR_INVEST</stp>
        <stp>FY 2010</stp>
        <stp>FY 2010</stp>
        <stp>[FA1_ymffleas.xlsx]Cash Flow - Standardized!R27C3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7" s="19"/>
      </tp>
      <tp>
        <v>0</v>
        <stp/>
        <stp>##V3_BDHV12</stp>
        <stp>RCOM IN Equity</stp>
        <stp>CF_DECR_INVEST</stp>
        <stp>FY 2013</stp>
        <stp>FY 2013</stp>
        <stp>[FA1_ymffleas.xlsx]Cash Flow - Standardized!R27C6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7" s="19"/>
      </tp>
      <tp>
        <v>0</v>
        <stp/>
        <stp>##V3_BDHV12</stp>
        <stp>RCOM IN Equity</stp>
        <stp>CF_DECR_INVEST</stp>
        <stp>FY 2014</stp>
        <stp>FY 2014</stp>
        <stp>[FA1_ymffleas.xlsx]Cash Flow - Standardized!R27C7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7" s="19"/>
      </tp>
      <tp>
        <v>0</v>
        <stp/>
        <stp>##V3_BDHV12</stp>
        <stp>RCOM IN Equity</stp>
        <stp>CF_DECR_INVEST</stp>
        <stp>FY 2011</stp>
        <stp>FY 2011</stp>
        <stp>[FA1_ymffleas.xlsx]Cash Flow - Standardized!R27C4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7" s="19"/>
      </tp>
      <tp>
        <v>0</v>
        <stp/>
        <stp>##V3_BDHV12</stp>
        <stp>RCOM IN Equity</stp>
        <stp>CF_DECR_INVEST</stp>
        <stp>FY 2012</stp>
        <stp>FY 2012</stp>
        <stp>[FA1_ymffleas.xlsx]Cash Flow - Standardized!R27C5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7" s="19"/>
      </tp>
      <tp>
        <v>0</v>
        <stp/>
        <stp>##V3_BDHV12</stp>
        <stp>RCOM IN Equity</stp>
        <stp>CF_DECR_INVEST</stp>
        <stp>FY 2015</stp>
        <stp>FY 2015</stp>
        <stp>[FA1_ymffleas.xlsx]Cash Flow - Standardized!R27C8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7" s="19"/>
      </tp>
      <tp>
        <v>0</v>
        <stp/>
        <stp>##V3_BDHV12</stp>
        <stp>RCOM IN Equity</stp>
        <stp>CF_DECR_INVEST</stp>
        <stp>FY 2016</stp>
        <stp>FY 2016</stp>
        <stp>[FA1_ymffleas.xlsx]Cash Flow - Standardized!R27C9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7" s="19"/>
      </tp>
      <tp>
        <v>170</v>
        <stp/>
        <stp>##V3_BDHV12</stp>
        <stp>RCOM IN Equity</stp>
        <stp>ARDR_INSUR_CLAIMS_EXPENSES</stp>
        <stp>FY 2014</stp>
        <stp>FY 2014</stp>
        <stp>[FA1_ymffleas.xlsx]Income - As Reported!R118C8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8" s="11"/>
      </tp>
      <tp>
        <v>210</v>
        <stp/>
        <stp>##V3_BDHV12</stp>
        <stp>RCOM IN Equity</stp>
        <stp>ARDR_INSUR_CLAIMS_EXPENSES</stp>
        <stp>FY 2015</stp>
        <stp>FY 2015</stp>
        <stp>[FA1_ymffleas.xlsx]Income - As Reported!R118C9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8" s="11"/>
      </tp>
      <tp>
        <v>304.7</v>
        <stp/>
        <stp>##V3_BDHV12</stp>
        <stp>RCOM IN Equity</stp>
        <stp>ARDR_INSUR_CLAIMS_EXPENSES</stp>
        <stp>FY 2010</stp>
        <stp>FY 2010</stp>
        <stp>[FA1_ymffleas.xlsx]Income - As Reported!R118C4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8" s="11"/>
      </tp>
      <tp>
        <v>130</v>
        <stp/>
        <stp>##V3_BDHV12</stp>
        <stp>RCOM IN Equity</stp>
        <stp>ARDR_INSUR_CLAIMS_EXPENSES</stp>
        <stp>FY 2011</stp>
        <stp>FY 2011</stp>
        <stp>[FA1_ymffleas.xlsx]Income - As Reported!R118C5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8" s="11"/>
      </tp>
      <tp>
        <v>180</v>
        <stp/>
        <stp>##V3_BDHV12</stp>
        <stp>RCOM IN Equity</stp>
        <stp>ARDR_INSUR_CLAIMS_EXPENSES</stp>
        <stp>FY 2012</stp>
        <stp>FY 2012</stp>
        <stp>[FA1_ymffleas.xlsx]Income - As Reported!R118C6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8" s="11"/>
      </tp>
      <tp>
        <v>170</v>
        <stp/>
        <stp>##V3_BDHV12</stp>
        <stp>RCOM IN Equity</stp>
        <stp>ARDR_INSUR_CLAIMS_EXPENSES</stp>
        <stp>FY 2013</stp>
        <stp>FY 2013</stp>
        <stp>[FA1_ymffleas.xlsx]Income - As Reported!R118C7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8" s="11"/>
      </tp>
      <tp>
        <v>353</v>
        <stp/>
        <stp>##V3_BDHV12</stp>
        <stp>RCOM IN Equity</stp>
        <stp>ARDR_INSUR_CLAIMS_EXPENSES</stp>
        <stp>FY 2009</stp>
        <stp>FY 2009</stp>
        <stp>[FA1_ymffleas.xlsx]Income - As Reported!R118C3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8" s="11"/>
      </tp>
      <tp>
        <v>2.9005000000000001</v>
        <stp/>
        <stp>##V3_BDHV12</stp>
        <stp>RCOM IN Equity</stp>
        <stp>RETURN_ON_CAP</stp>
        <stp>FY 2015</stp>
        <stp>FY 2015</stp>
        <stp>[FA1_ymffleas.xlsx]Profitability!R9C9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9" s="21"/>
      </tp>
      <tp>
        <v>-1.8599999999999998E-2</v>
        <stp/>
        <stp>##V3_BDHV12</stp>
        <stp>RCOM IN Equity</stp>
        <stp>ALTMAN_Z_SCORE</stp>
        <stp>FY 2017</stp>
        <stp>FY 2017</stp>
        <stp>[FA1_ymffleas.xlsx]Liquidity!R22C11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2" s="24"/>
      </tp>
      <tp>
        <v>0.44009999999999999</v>
        <stp/>
        <stp>##V3_BDHV12</stp>
        <stp>RCOM IN Equity</stp>
        <stp>ALTMAN_Z_SCORE</stp>
        <stp>FY 2016</stp>
        <stp>FY 2016</stp>
        <stp>[FA1_ymffleas.xlsx]Liquidity!R22C10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2" s="24"/>
      </tp>
      <tp>
        <v>25170</v>
        <stp/>
        <stp>##V3_BDHV12</stp>
        <stp>RCOM IN Equity</stp>
        <stp>BS_DEFERRED_TAX_LIABILITIES_LT</stp>
        <stp>FY 2018</stp>
        <stp>FY 2018</stp>
        <stp>[FA1_ymffleas.xlsx]Bal Sheet - Standardized!R123C12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3" s="16"/>
      </tp>
      <tp>
        <v>45500</v>
        <stp/>
        <stp>##V3_BDHV12</stp>
        <stp>RCOM IN Equity</stp>
        <stp>BS_DEFERRED_TAX_LIABILITIES_LT</stp>
        <stp>FY 2017</stp>
        <stp>FY 2017</stp>
        <stp>[FA1_ymffleas.xlsx]Bal Sheet - Standardized!R123C11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3" s="16"/>
      </tp>
      <tp>
        <v>38880</v>
        <stp/>
        <stp>##V3_BDHV12</stp>
        <stp>RCOM IN Equity</stp>
        <stp>BS_DEFERRED_TAX_LIABILITIES_LT</stp>
        <stp>FY 2016</stp>
        <stp>FY 2016</stp>
        <stp>[FA1_ymffleas.xlsx]Bal Sheet - Standardized!R123C10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3" s="16"/>
      </tp>
      <tp>
        <v>-0.2984</v>
        <stp/>
        <stp>##V3_BDHV12</stp>
        <stp>RCOM IN Equity</stp>
        <stp>ALTMAN_Z_SCORE</stp>
        <stp>FY 2018</stp>
        <stp>FY 2018</stp>
        <stp>[FA1_ymffleas.xlsx]Liquidity!R22C12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2" s="24"/>
      </tp>
      <tp>
        <v>11.661</v>
        <stp/>
        <stp>##V3_BDHV12</stp>
        <stp>RCOM IN Equity</stp>
        <stp>HIGH_EV_TO_T12M_EBITDA</stp>
        <stp>FY 2017</stp>
        <stp>FY 2017</stp>
        <stp>[FA1_ymffleas.xlsx]Multiples!R43C10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43" s="6"/>
      </tp>
      <tp>
        <v>0</v>
        <stp/>
        <stp>##V3_BDHV12</stp>
        <stp>RCOM IN Equity</stp>
        <stp>XO_GL_NET_OF_TAX</stp>
        <stp>FY 2015</stp>
        <stp>FY 2015</stp>
        <stp>[FA1_ymffleas.xlsx]Income - GAAP!R85C8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5" s="10"/>
      </tp>
      <tp>
        <v>0</v>
        <stp/>
        <stp>##V3_BDHV12</stp>
        <stp>RCOM IN Equity</stp>
        <stp>XO_GL_NET_OF_TAX</stp>
        <stp>FY 2016</stp>
        <stp>FY 2016</stp>
        <stp>[FA1_ymffleas.xlsx]Income - GAAP!R85C9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5" s="10"/>
      </tp>
      <tp>
        <v>0</v>
        <stp/>
        <stp>##V3_BDHV12</stp>
        <stp>RCOM IN Equity</stp>
        <stp>XO_GL_NET_OF_TAX</stp>
        <stp>FY 2010</stp>
        <stp>FY 2010</stp>
        <stp>[FA1_ymffleas.xlsx]Income - GAAP!R85C3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5" s="10"/>
      </tp>
      <tp>
        <v>0</v>
        <stp/>
        <stp>##V3_BDHV12</stp>
        <stp>RCOM IN Equity</stp>
        <stp>XO_GL_NET_OF_TAX</stp>
        <stp>FY 2013</stp>
        <stp>FY 2013</stp>
        <stp>[FA1_ymffleas.xlsx]Income - GAAP!R85C6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5" s="10"/>
      </tp>
      <tp>
        <v>0</v>
        <stp/>
        <stp>##V3_BDHV12</stp>
        <stp>RCOM IN Equity</stp>
        <stp>XO_GL_NET_OF_TAX</stp>
        <stp>FY 2014</stp>
        <stp>FY 2014</stp>
        <stp>[FA1_ymffleas.xlsx]Income - GAAP!R85C7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5" s="10"/>
      </tp>
      <tp>
        <v>0</v>
        <stp/>
        <stp>##V3_BDHV12</stp>
        <stp>RCOM IN Equity</stp>
        <stp>XO_GL_NET_OF_TAX</stp>
        <stp>FY 2011</stp>
        <stp>FY 2011</stp>
        <stp>[FA1_ymffleas.xlsx]Income - GAAP!R85C4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5" s="10"/>
      </tp>
      <tp>
        <v>0</v>
        <stp/>
        <stp>##V3_BDHV12</stp>
        <stp>RCOM IN Equity</stp>
        <stp>XO_GL_NET_OF_TAX</stp>
        <stp>FY 2012</stp>
        <stp>FY 2012</stp>
        <stp>[FA1_ymffleas.xlsx]Income - GAAP!R85C5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5" s="10"/>
      </tp>
      <tp t="s">
        <v>—</v>
        <stp/>
        <stp>##V3_BDHV12</stp>
        <stp>RCOM IN Equity</stp>
        <stp>T12M_FCF_TO_FIRM_YIELD</stp>
        <stp>FY 2009</stp>
        <stp>FY 2009</stp>
        <stp>[FA1_ymffleas.xlsx]Yield Analysis!R34C3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34" s="26"/>
      </tp>
      <tp>
        <v>1.2705</v>
        <stp/>
        <stp>##V3_BDHV12</stp>
        <stp>RCOM IN Equity</stp>
        <stp>PX_TO_SALES_RATIO</stp>
        <stp>FY 2014</stp>
        <stp>FY 2014</stp>
        <stp>[FA1_ymffleas.xlsx]Multiples!R21C7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1" s="6"/>
      </tp>
      <tp>
        <v>4.2241</v>
        <stp/>
        <stp>##V3_BDHV12</stp>
        <stp>RCOM IN Equity</stp>
        <stp>PRETAX_INC_TO_NET_SALES</stp>
        <stp>FY 2013</stp>
        <stp>FY 2013</stp>
        <stp>[FA1_ymffleas.xlsx]Profitability!R16C7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6" s="21"/>
      </tp>
      <tp>
        <v>1140</v>
        <stp/>
        <stp>##V3_BDHV12</stp>
        <stp>RCOM IN Equity</stp>
        <stp>ARDR_TOOLS_FURNITURE_FIXTURES</stp>
        <stp>FY 2018</stp>
        <stp>FY 2018</stp>
        <stp>[FA1_ymffleas.xlsx]Bal Sheet - As Reported!R189C12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9" s="17"/>
      </tp>
      <tp>
        <v>1280</v>
        <stp/>
        <stp>##V3_BDHV12</stp>
        <stp>RCOM IN Equity</stp>
        <stp>ARDR_TOOLS_FURNITURE_FIXTURES</stp>
        <stp>FY 2017</stp>
        <stp>FY 2017</stp>
        <stp>[FA1_ymffleas.xlsx]Bal Sheet - As Reported!R189C11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9" s="17"/>
      </tp>
      <tp>
        <v>1320</v>
        <stp/>
        <stp>##V3_BDHV12</stp>
        <stp>RCOM IN Equity</stp>
        <stp>ARDR_TOOLS_FURNITURE_FIXTURES</stp>
        <stp>FY 2016</stp>
        <stp>FY 2016</stp>
        <stp>[FA1_ymffleas.xlsx]Bal Sheet - As Reported!R189C10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9" s="17"/>
      </tp>
      <tp t="s">
        <v>—</v>
        <stp/>
        <stp>##V3_BDHV12</stp>
        <stp>RCOM IN Equity</stp>
        <stp>ARDR_SHARE_BASED_COMPENSATION</stp>
        <stp>FY 2009</stp>
        <stp>FY 2009</stp>
        <stp>[FA1_ymffleas.xlsx]Income - As Reported!R109C3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9" s="11"/>
      </tp>
      <tp>
        <v>-50</v>
        <stp/>
        <stp>##V3_BDHV12</stp>
        <stp>RCOM IN Equity</stp>
        <stp>ARDR_SHARE_BASED_COMPENSATION</stp>
        <stp>FY 2012</stp>
        <stp>FY 2012</stp>
        <stp>[FA1_ymffleas.xlsx]Income - As Reported!R109C6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9" s="11"/>
      </tp>
      <tp>
        <v>-20</v>
        <stp/>
        <stp>##V3_BDHV12</stp>
        <stp>RCOM IN Equity</stp>
        <stp>ARDR_SHARE_BASED_COMPENSATION</stp>
        <stp>FY 2013</stp>
        <stp>FY 2013</stp>
        <stp>[FA1_ymffleas.xlsx]Income - As Reported!R109C7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9" s="11"/>
      </tp>
      <tp t="s">
        <v>—</v>
        <stp/>
        <stp>##V3_BDHV12</stp>
        <stp>RCOM IN Equity</stp>
        <stp>ARDR_SHARE_BASED_COMPENSATION</stp>
        <stp>FY 2010</stp>
        <stp>FY 2010</stp>
        <stp>[FA1_ymffleas.xlsx]Income - As Reported!R109C4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9" s="11"/>
      </tp>
      <tp>
        <v>-70</v>
        <stp/>
        <stp>##V3_BDHV12</stp>
        <stp>RCOM IN Equity</stp>
        <stp>ARDR_SHARE_BASED_COMPENSATION</stp>
        <stp>FY 2011</stp>
        <stp>FY 2011</stp>
        <stp>[FA1_ymffleas.xlsx]Income - As Reported!R109C5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9" s="11"/>
      </tp>
      <tp>
        <v>-10</v>
        <stp/>
        <stp>##V3_BDHV12</stp>
        <stp>RCOM IN Equity</stp>
        <stp>ARDR_SHARE_BASED_COMPENSATION</stp>
        <stp>FY 2014</stp>
        <stp>FY 2014</stp>
        <stp>[FA1_ymffleas.xlsx]Income - As Reported!R109C8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9" s="11"/>
      </tp>
      <tp>
        <v>-20</v>
        <stp/>
        <stp>##V3_BDHV12</stp>
        <stp>RCOM IN Equity</stp>
        <stp>ARDR_SHARE_BASED_COMPENSATION</stp>
        <stp>FY 2015</stp>
        <stp>FY 2015</stp>
        <stp>[FA1_ymffleas.xlsx]Income - As Reported!R109C9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9" s="11"/>
      </tp>
      <tp>
        <v>0</v>
        <stp/>
        <stp>##V3_BDHV12</stp>
        <stp>RCOM IN Equity</stp>
        <stp>BS_PFD_EQTY_&amp;_HYBRID_CPTL</stp>
        <stp>FY 2015</stp>
        <stp>FY 2015</stp>
        <stp>[FA1_ymffleas.xlsx]Enterprise Value!R8C8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5"/>
      </tp>
      <tp>
        <v>0</v>
        <stp/>
        <stp>##V3_BDHV12</stp>
        <stp>RCOM IN Equity</stp>
        <stp>BS_PFD_EQTY_&amp;_HYBRID_CPTL</stp>
        <stp>FY 2016</stp>
        <stp>FY 2016</stp>
        <stp>[FA1_ymffleas.xlsx]Enterprise Value!R8C9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5"/>
      </tp>
      <tp>
        <v>0</v>
        <stp/>
        <stp>##V3_BDHV12</stp>
        <stp>RCOM IN Equity</stp>
        <stp>BS_PFD_EQTY_&amp;_HYBRID_CPTL</stp>
        <stp>FY 2010</stp>
        <stp>FY 2010</stp>
        <stp>[FA1_ymffleas.xlsx]Enterprise Value!R8C3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5"/>
      </tp>
      <tp>
        <v>0</v>
        <stp/>
        <stp>##V3_BDHV12</stp>
        <stp>RCOM IN Equity</stp>
        <stp>BS_PFD_EQTY_&amp;_HYBRID_CPTL</stp>
        <stp>FY 2011</stp>
        <stp>FY 2011</stp>
        <stp>[FA1_ymffleas.xlsx]Enterprise Value!R8C4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5"/>
      </tp>
      <tp>
        <v>0</v>
        <stp/>
        <stp>##V3_BDHV12</stp>
        <stp>RCOM IN Equity</stp>
        <stp>BS_PFD_EQTY_&amp;_HYBRID_CPTL</stp>
        <stp>FY 2012</stp>
        <stp>FY 2012</stp>
        <stp>[FA1_ymffleas.xlsx]Enterprise Value!R8C5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5"/>
      </tp>
      <tp>
        <v>0</v>
        <stp/>
        <stp>##V3_BDHV12</stp>
        <stp>RCOM IN Equity</stp>
        <stp>BS_PFD_EQTY_&amp;_HYBRID_CPTL</stp>
        <stp>FY 2013</stp>
        <stp>FY 2013</stp>
        <stp>[FA1_ymffleas.xlsx]Enterprise Value!R8C6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5"/>
      </tp>
      <tp>
        <v>0</v>
        <stp/>
        <stp>##V3_BDHV12</stp>
        <stp>RCOM IN Equity</stp>
        <stp>BS_PFD_EQTY_&amp;_HYBRID_CPTL</stp>
        <stp>FY 2014</stp>
        <stp>FY 2014</stp>
        <stp>[FA1_ymffleas.xlsx]Enterprise Value!R8C7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5"/>
      </tp>
      <tp>
        <v>49536.1</v>
        <stp/>
        <stp>##V3_BDHV12</stp>
        <stp>RCOM IN Equity</stp>
        <stp>ACCT_PAYABLE_&amp;_ACCRUALS_DETAILED</stp>
        <stp>FY 2010</stp>
        <stp>FY 2010</stp>
        <stp>[FA1_ymffleas.xlsx]Bal Sheet - Standardized!R75C4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5" s="16"/>
      </tp>
      <tp>
        <v>59920</v>
        <stp/>
        <stp>##V3_BDHV12</stp>
        <stp>RCOM IN Equity</stp>
        <stp>ACCT_PAYABLE_&amp;_ACCRUALS_DETAILED</stp>
        <stp>FY 2011</stp>
        <stp>FY 2011</stp>
        <stp>[FA1_ymffleas.xlsx]Bal Sheet - Standardized!R75C5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5" s="16"/>
      </tp>
      <tp>
        <v>81870</v>
        <stp/>
        <stp>##V3_BDHV12</stp>
        <stp>RCOM IN Equity</stp>
        <stp>ACCT_PAYABLE_&amp;_ACCRUALS_DETAILED</stp>
        <stp>FY 2012</stp>
        <stp>FY 2012</stp>
        <stp>[FA1_ymffleas.xlsx]Bal Sheet - Standardized!R75C6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5" s="16"/>
      </tp>
      <tp>
        <v>67560</v>
        <stp/>
        <stp>##V3_BDHV12</stp>
        <stp>RCOM IN Equity</stp>
        <stp>ACCT_PAYABLE_&amp;_ACCRUALS_DETAILED</stp>
        <stp>FY 2013</stp>
        <stp>FY 2013</stp>
        <stp>[FA1_ymffleas.xlsx]Bal Sheet - Standardized!R75C7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5" s="16"/>
      </tp>
      <tp>
        <v>53139</v>
        <stp/>
        <stp>##V3_BDHV12</stp>
        <stp>RCOM IN Equity</stp>
        <stp>ACCT_PAYABLE_&amp;_ACCRUALS_DETAILED</stp>
        <stp>FY 2009</stp>
        <stp>FY 2009</stp>
        <stp>[FA1_ymffleas.xlsx]Bal Sheet - Standardized!R75C3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5" s="16"/>
      </tp>
      <tp>
        <v>84340</v>
        <stp/>
        <stp>##V3_BDHV12</stp>
        <stp>RCOM IN Equity</stp>
        <stp>ACCT_PAYABLE_&amp;_ACCRUALS_DETAILED</stp>
        <stp>FY 2014</stp>
        <stp>FY 2014</stp>
        <stp>[FA1_ymffleas.xlsx]Bal Sheet - Standardized!R75C8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5" s="16"/>
      </tp>
      <tp>
        <v>85800</v>
        <stp/>
        <stp>##V3_BDHV12</stp>
        <stp>RCOM IN Equity</stp>
        <stp>ACCT_PAYABLE_&amp;_ACCRUALS_DETAILED</stp>
        <stp>FY 2015</stp>
        <stp>FY 2015</stp>
        <stp>[FA1_ymffleas.xlsx]Bal Sheet - Standardized!R75C9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5" s="16"/>
      </tp>
      <tp>
        <v>5.07</v>
        <stp/>
        <stp>##V3_BDHV12</stp>
        <stp>RCOM IN Equity</stp>
        <stp>IS_EPS</stp>
        <stp>FY 2014</stp>
        <stp>FY 2014</stp>
        <stp>[FA1_ymffleas.xlsx]Comprehensive Income!R15C7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5" s="33"/>
      </tp>
      <tp>
        <v>48.654299999999999</v>
        <stp/>
        <stp>##V3_BDHV12</stp>
        <stp>RCOM IN Equity</stp>
        <stp>ST_DEBT_SEQUENTIAL_GROWTH</stp>
        <stp>FY 2013</stp>
        <stp>FY 2013</stp>
        <stp>[FA1_ymffleas.xlsx]Growth!R76C7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6" s="22"/>
      </tp>
      <tp>
        <v>-56.184800000000003</v>
        <stp/>
        <stp>##V3_BDHV12</stp>
        <stp>RCOM IN Equity</stp>
        <stp>ST_DEBT_SEQUENTIAL_GROWTH</stp>
        <stp>FY 2012</stp>
        <stp>FY 2012</stp>
        <stp>[FA1_ymffleas.xlsx]Growth!R76C6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6" s="22"/>
      </tp>
      <tp>
        <v>88.825999999999993</v>
        <stp/>
        <stp>##V3_BDHV12</stp>
        <stp>RCOM IN Equity</stp>
        <stp>ST_DEBT_SEQUENTIAL_GROWTH</stp>
        <stp>FY 2011</stp>
        <stp>FY 2011</stp>
        <stp>[FA1_ymffleas.xlsx]Growth!R76C5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6" s="22"/>
      </tp>
      <tp>
        <v>-11.8604</v>
        <stp/>
        <stp>##V3_BDHV12</stp>
        <stp>RCOM IN Equity</stp>
        <stp>ST_DEBT_SEQUENTIAL_GROWTH</stp>
        <stp>FY 2010</stp>
        <stp>FY 2010</stp>
        <stp>[FA1_ymffleas.xlsx]Growth!R76C4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6" s="22"/>
      </tp>
      <tp>
        <v>1.3486</v>
        <stp/>
        <stp>##V3_BDHV12</stp>
        <stp>RCOM IN Equity</stp>
        <stp>ST_DEBT_SEQUENTIAL_GROWTH</stp>
        <stp>FY 2009</stp>
        <stp>FY 2009</stp>
        <stp>[FA1_ymffleas.xlsx]Growth!R76C3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6" s="22"/>
      </tp>
      <tp>
        <v>1550</v>
        <stp/>
        <stp>##V3_BDHV12</stp>
        <stp>RCOM IN Equity</stp>
        <stp>PRETAX_INC</stp>
        <stp>FY 2017</stp>
        <stp>FY 2017</stp>
        <stp>[FA1_ymffleas.xlsx]Income - Adjusted!R53C10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53" s="9"/>
      </tp>
      <tp>
        <v>-30</v>
        <stp/>
        <stp>##V3_BDHV12</stp>
        <stp>RCOM IN Equity</stp>
        <stp>PRETAX_INC</stp>
        <stp>FY 2018</stp>
        <stp>FY 2018</stp>
        <stp>[FA1_ymffleas.xlsx]Income - Adjusted!R53C11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53" s="9"/>
      </tp>
      <tp>
        <v>-32.673099999999998</v>
        <stp/>
        <stp>##V3_BDHV12</stp>
        <stp>RCOM IN Equity</stp>
        <stp>ST_DEBT_SEQUENTIAL_GROWTH</stp>
        <stp>FY 2015</stp>
        <stp>FY 2015</stp>
        <stp>[FA1_ymffleas.xlsx]Growth!R76C9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6" s="22"/>
      </tp>
      <tp>
        <v>9.4490999999999996</v>
        <stp/>
        <stp>##V3_BDHV12</stp>
        <stp>RCOM IN Equity</stp>
        <stp>ST_DEBT_SEQUENTIAL_GROWTH</stp>
        <stp>FY 2014</stp>
        <stp>FY 2014</stp>
        <stp>[FA1_ymffleas.xlsx]Growth!R76C8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6" s="22"/>
      </tp>
      <tp>
        <v>8210</v>
        <stp/>
        <stp>##V3_BDHV12</stp>
        <stp>RCOM IN Equity</stp>
        <stp>IS_DEPRECIATION_AND_AMORTIZATION</stp>
        <stp>FY 2017</stp>
        <stp>FY 2017</stp>
        <stp>[FA1_ymffleas.xlsx]Income - GAAP!R29C10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29" s="10"/>
      </tp>
      <tp>
        <v>18.958500000000001</v>
        <stp/>
        <stp>##V3_BDHV12</stp>
        <stp>RCOM IN Equity</stp>
        <stp>NET_DEBT_TO_EBIT</stp>
        <stp>FY 2014</stp>
        <stp>FY 2014</stp>
        <stp>[FA1_ymffleas.xlsx]Credit!R14C8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4" s="23"/>
      </tp>
      <tp>
        <v>7210</v>
        <stp/>
        <stp>##V3_BDHV12</stp>
        <stp>RCOM IN Equity</stp>
        <stp>IS_DEPRECIATION_AND_AMORTIZATION</stp>
        <stp>FY 2018</stp>
        <stp>FY 2018</stp>
        <stp>[FA1_ymffleas.xlsx]Income - GAAP!R29C11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29" s="10"/>
      </tp>
      <tp t="s">
        <v>—</v>
        <stp/>
        <stp>##V3_BDHV12</stp>
        <stp>RCOM IN Equity</stp>
        <stp>INV_TO_CASH_DAYS</stp>
        <stp>FY 2011</stp>
        <stp>FY 2011</stp>
        <stp>[FA1_ymffleas.xlsx]Working Capital!R14C5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4" s="25"/>
      </tp>
      <tp>
        <v>9983.4</v>
        <stp/>
        <stp>##V3_BDHV12</stp>
        <stp>RCOM IN Equity</stp>
        <stp>ARDR_CASH_AND_DUE_FROM_BANKS</stp>
        <stp>FY 2009</stp>
        <stp>FY 2009</stp>
        <stp>[FA1_ymffleas.xlsx]Bal Sheet - As Reported!R119C3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9" s="17"/>
      </tp>
      <tp>
        <v>4630</v>
        <stp/>
        <stp>##V3_BDHV12</stp>
        <stp>RCOM IN Equity</stp>
        <stp>ARDR_CASH_AND_DUE_FROM_BANKS</stp>
        <stp>FY 2012</stp>
        <stp>FY 2012</stp>
        <stp>[FA1_ymffleas.xlsx]Bal Sheet - As Reported!R119C6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9" s="17"/>
      </tp>
      <tp>
        <v>6490</v>
        <stp/>
        <stp>##V3_BDHV12</stp>
        <stp>RCOM IN Equity</stp>
        <stp>ARDR_CASH_AND_DUE_FROM_BANKS</stp>
        <stp>FY 2013</stp>
        <stp>FY 2013</stp>
        <stp>[FA1_ymffleas.xlsx]Bal Sheet - As Reported!R119C7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9" s="17"/>
      </tp>
      <tp>
        <v>4903.8999999999996</v>
        <stp/>
        <stp>##V3_BDHV12</stp>
        <stp>RCOM IN Equity</stp>
        <stp>ARDR_CASH_AND_DUE_FROM_BANKS</stp>
        <stp>FY 2010</stp>
        <stp>FY 2010</stp>
        <stp>[FA1_ymffleas.xlsx]Bal Sheet - As Reported!R119C4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9" s="17"/>
      </tp>
      <tp>
        <v>47840</v>
        <stp/>
        <stp>##V3_BDHV12</stp>
        <stp>RCOM IN Equity</stp>
        <stp>ARDR_CASH_AND_DUE_FROM_BANKS</stp>
        <stp>FY 2011</stp>
        <stp>FY 2011</stp>
        <stp>[FA1_ymffleas.xlsx]Bal Sheet - As Reported!R119C5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9" s="17"/>
      </tp>
      <tp>
        <v>4180</v>
        <stp/>
        <stp>##V3_BDHV12</stp>
        <stp>RCOM IN Equity</stp>
        <stp>ARDR_CASH_AND_DUE_FROM_BANKS</stp>
        <stp>FY 2014</stp>
        <stp>FY 2014</stp>
        <stp>[FA1_ymffleas.xlsx]Bal Sheet - As Reported!R119C8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9" s="17"/>
      </tp>
      <tp>
        <v>5150</v>
        <stp/>
        <stp>##V3_BDHV12</stp>
        <stp>RCOM IN Equity</stp>
        <stp>ARDR_CASH_AND_DUE_FROM_BANKS</stp>
        <stp>FY 2015</stp>
        <stp>FY 2015</stp>
        <stp>[FA1_ymffleas.xlsx]Bal Sheet - As Reported!R119C9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9" s="17"/>
      </tp>
      <tp>
        <v>2.59</v>
        <stp/>
        <stp>##V3_BDHV12</stp>
        <stp>RCOM IN Equity</stp>
        <stp>IS_DILUTED_EPS</stp>
        <stp>FY 2016</stp>
        <stp>FY 2016</stp>
        <stp>[FA1_ymffleas.xlsx]Earnings!R15C10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5" s="4"/>
      </tp>
      <tp>
        <v>192518.2</v>
        <stp/>
        <stp>##V3_BDHV12</stp>
        <stp>RCOM IN Equity</stp>
        <stp>BS_LT_BORROW</stp>
        <stp>FY 2010</stp>
        <stp>FY 2010</stp>
        <stp>[FA1_ymffleas.xlsx]Bal Sheet - Standardized!R103C4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3" s="16"/>
      </tp>
      <tp>
        <v>193130</v>
        <stp/>
        <stp>##V3_BDHV12</stp>
        <stp>RCOM IN Equity</stp>
        <stp>BS_LT_BORROW</stp>
        <stp>FY 2011</stp>
        <stp>FY 2011</stp>
        <stp>[FA1_ymffleas.xlsx]Bal Sheet - Standardized!R103C5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3" s="16"/>
      </tp>
      <tp>
        <v>296460</v>
        <stp/>
        <stp>##V3_BDHV12</stp>
        <stp>RCOM IN Equity</stp>
        <stp>BS_LT_BORROW</stp>
        <stp>FY 2012</stp>
        <stp>FY 2012</stp>
        <stp>[FA1_ymffleas.xlsx]Bal Sheet - Standardized!R103C6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3" s="16"/>
      </tp>
      <tp>
        <v>286780</v>
        <stp/>
        <stp>##V3_BDHV12</stp>
        <stp>RCOM IN Equity</stp>
        <stp>BS_LT_BORROW</stp>
        <stp>FY 2013</stp>
        <stp>FY 2013</stp>
        <stp>[FA1_ymffleas.xlsx]Bal Sheet - Standardized!R103C7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3" s="16"/>
      </tp>
      <tp>
        <v>272906.3</v>
        <stp/>
        <stp>##V3_BDHV12</stp>
        <stp>RCOM IN Equity</stp>
        <stp>BS_LT_BORROW</stp>
        <stp>FY 2009</stp>
        <stp>FY 2009</stp>
        <stp>[FA1_ymffleas.xlsx]Bal Sheet - Standardized!R103C3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3" s="16"/>
      </tp>
      <tp>
        <v>281830</v>
        <stp/>
        <stp>##V3_BDHV12</stp>
        <stp>RCOM IN Equity</stp>
        <stp>BS_LT_BORROW</stp>
        <stp>FY 2014</stp>
        <stp>FY 2014</stp>
        <stp>[FA1_ymffleas.xlsx]Bal Sheet - Standardized!R103C8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3" s="16"/>
      </tp>
      <tp>
        <v>304810</v>
        <stp/>
        <stp>##V3_BDHV12</stp>
        <stp>RCOM IN Equity</stp>
        <stp>BS_LT_BORROW</stp>
        <stp>FY 2015</stp>
        <stp>FY 2015</stp>
        <stp>[FA1_ymffleas.xlsx]Bal Sheet - Standardized!R103C9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3" s="16"/>
      </tp>
      <tp>
        <v>209400</v>
        <stp/>
        <stp>##V3_BDHV12</stp>
        <stp>RCOM IN Equity</stp>
        <stp>ARDR_SERVICE_REVENUE</stp>
        <stp>FY 2014</stp>
        <stp>FY 2014</stp>
        <stp>[FA1_ymffleas.xlsx]Income - As Reported!R94C8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4" s="11"/>
      </tp>
      <tp>
        <v>214230</v>
        <stp/>
        <stp>##V3_BDHV12</stp>
        <stp>RCOM IN Equity</stp>
        <stp>ARDR_SERVICE_REVENUE</stp>
        <stp>FY 2015</stp>
        <stp>FY 2015</stp>
        <stp>[FA1_ymffleas.xlsx]Income - As Reported!R94C9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4" s="11"/>
      </tp>
      <tp>
        <v>206850.5</v>
        <stp/>
        <stp>##V3_BDHV12</stp>
        <stp>RCOM IN Equity</stp>
        <stp>ARDR_SERVICE_REVENUE</stp>
        <stp>FY 2010</stp>
        <stp>FY 2010</stp>
        <stp>[FA1_ymffleas.xlsx]Income - As Reported!R94C4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4" s="11"/>
      </tp>
      <tp>
        <v>220890</v>
        <stp/>
        <stp>##V3_BDHV12</stp>
        <stp>RCOM IN Equity</stp>
        <stp>ARDR_SERVICE_REVENUE</stp>
        <stp>FY 2011</stp>
        <stp>FY 2011</stp>
        <stp>[FA1_ymffleas.xlsx]Income - As Reported!R94C5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4" s="11"/>
      </tp>
      <tp>
        <v>187160</v>
        <stp/>
        <stp>##V3_BDHV12</stp>
        <stp>RCOM IN Equity</stp>
        <stp>ARDR_SERVICE_REVENUE</stp>
        <stp>FY 2012</stp>
        <stp>FY 2012</stp>
        <stp>[FA1_ymffleas.xlsx]Income - As Reported!R94C6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4" s="11"/>
      </tp>
      <tp>
        <v>192940</v>
        <stp/>
        <stp>##V3_BDHV12</stp>
        <stp>RCOM IN Equity</stp>
        <stp>ARDR_SERVICE_REVENUE</stp>
        <stp>FY 2013</stp>
        <stp>FY 2013</stp>
        <stp>[FA1_ymffleas.xlsx]Income - As Reported!R94C7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4" s="11"/>
      </tp>
      <tp>
        <v>207429.1</v>
        <stp/>
        <stp>##V3_BDHV12</stp>
        <stp>RCOM IN Equity</stp>
        <stp>ARDR_SERVICE_REVENUE</stp>
        <stp>FY 2009</stp>
        <stp>FY 2009</stp>
        <stp>[FA1_ymffleas.xlsx]Income - As Reported!R94C3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4" s="11"/>
      </tp>
      <tp>
        <v>620</v>
        <stp/>
        <stp>##V3_BDHV12</stp>
        <stp>RCOM IN Equity</stp>
        <stp>ARDR_TRAVEL_EXPENSES</stp>
        <stp>FY 2014</stp>
        <stp>FY 2014</stp>
        <stp>[FA1_ymffleas.xlsx]Income - As Reported!R117C8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7" s="11"/>
      </tp>
      <tp>
        <v>750</v>
        <stp/>
        <stp>##V3_BDHV12</stp>
        <stp>RCOM IN Equity</stp>
        <stp>ARDR_TRAVEL_EXPENSES</stp>
        <stp>FY 2015</stp>
        <stp>FY 2015</stp>
        <stp>[FA1_ymffleas.xlsx]Income - As Reported!R117C9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7" s="11"/>
      </tp>
      <tp>
        <v>580</v>
        <stp/>
        <stp>##V3_BDHV12</stp>
        <stp>RCOM IN Equity</stp>
        <stp>ARDR_TRAVEL_EXPENSES</stp>
        <stp>FY 2012</stp>
        <stp>FY 2012</stp>
        <stp>[FA1_ymffleas.xlsx]Income - As Reported!R117C6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7" s="11"/>
      </tp>
      <tp>
        <v>560</v>
        <stp/>
        <stp>##V3_BDHV12</stp>
        <stp>RCOM IN Equity</stp>
        <stp>ARDR_TRAVEL_EXPENSES</stp>
        <stp>FY 2013</stp>
        <stp>FY 2013</stp>
        <stp>[FA1_ymffleas.xlsx]Income - As Reported!R117C7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7" s="11"/>
      </tp>
      <tp>
        <v>707.7</v>
        <stp/>
        <stp>##V3_BDHV12</stp>
        <stp>RCOM IN Equity</stp>
        <stp>ARDR_TRAVEL_EXPENSES</stp>
        <stp>FY 2010</stp>
        <stp>FY 2010</stp>
        <stp>[FA1_ymffleas.xlsx]Income - As Reported!R117C4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7" s="11"/>
      </tp>
      <tp>
        <v>710</v>
        <stp/>
        <stp>##V3_BDHV12</stp>
        <stp>RCOM IN Equity</stp>
        <stp>ARDR_TRAVEL_EXPENSES</stp>
        <stp>FY 2011</stp>
        <stp>FY 2011</stp>
        <stp>[FA1_ymffleas.xlsx]Income - As Reported!R117C5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7" s="11"/>
      </tp>
      <tp>
        <v>1162.5999999999999</v>
        <stp/>
        <stp>##V3_BDHV12</stp>
        <stp>RCOM IN Equity</stp>
        <stp>ARDR_TRAVEL_EXPENSES</stp>
        <stp>FY 2009</stp>
        <stp>FY 2009</stp>
        <stp>[FA1_ymffleas.xlsx]Income - As Reported!R117C3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7" s="11"/>
      </tp>
      <tp>
        <v>0.73670000000000002</v>
        <stp/>
        <stp>##V3_BDHV12</stp>
        <stp>RCOM IN Equity</stp>
        <stp>RETURN_ON_ASSET</stp>
        <stp>FY 2013</stp>
        <stp>FY 2013</stp>
        <stp>[FA1_ymffleas.xlsx]Profitability!R8C7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8" s="21"/>
      </tp>
      <tp>
        <v>93120</v>
        <stp/>
        <stp>##V3_BDHV12</stp>
        <stp>RCOM IN Equity</stp>
        <stp>ARDR_TOTAL_CONTIGENT_PAYABLE</stp>
        <stp>FY 2018</stp>
        <stp>FY 2018</stp>
        <stp>[FA1_ymffleas.xlsx]Bal Sheet - As Reported!R139C12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9" s="17"/>
      </tp>
      <tp>
        <v>45720</v>
        <stp/>
        <stp>##V3_BDHV12</stp>
        <stp>RCOM IN Equity</stp>
        <stp>ARDR_TOTAL_CONTIGENT_PAYABLE</stp>
        <stp>FY 2016</stp>
        <stp>FY 2016</stp>
        <stp>[FA1_ymffleas.xlsx]Bal Sheet - As Reported!R139C10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9" s="17"/>
      </tp>
      <tp>
        <v>52650</v>
        <stp/>
        <stp>##V3_BDHV12</stp>
        <stp>RCOM IN Equity</stp>
        <stp>ARDR_TOTAL_CONTIGENT_PAYABLE</stp>
        <stp>FY 2017</stp>
        <stp>FY 2017</stp>
        <stp>[FA1_ymffleas.xlsx]Bal Sheet - As Reported!R139C11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9" s="17"/>
      </tp>
      <tp>
        <v>0</v>
        <stp/>
        <stp>##V3_BDHV12</stp>
        <stp>RCOM IN Equity</stp>
        <stp>ARDR_BONDS_PAYABLE</stp>
        <stp>FY 2018</stp>
        <stp>FY 2018</stp>
        <stp>[FA1_ymffleas.xlsx]Bal Sheet - As Reported!R161C12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1" s="17"/>
      </tp>
      <tp>
        <v>33750</v>
        <stp/>
        <stp>##V3_BDHV12</stp>
        <stp>RCOM IN Equity</stp>
        <stp>ARDR_BONDS_PAYABLE</stp>
        <stp>FY 2017</stp>
        <stp>FY 2017</stp>
        <stp>[FA1_ymffleas.xlsx]Bal Sheet - As Reported!R161C11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1" s="17"/>
      </tp>
      <tp>
        <v>37500</v>
        <stp/>
        <stp>##V3_BDHV12</stp>
        <stp>RCOM IN Equity</stp>
        <stp>ARDR_BONDS_PAYABLE</stp>
        <stp>FY 2016</stp>
        <stp>FY 2016</stp>
        <stp>[FA1_ymffleas.xlsx]Bal Sheet - As Reported!R161C10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1" s="17"/>
      </tp>
      <tp>
        <v>113096</v>
        <stp/>
        <stp>##V3_BDHV12</stp>
        <stp>RCOM IN Equity</stp>
        <stp>ARDR_CONSTRUCTION_IN_PROGRESS</stp>
        <stp>FY 2009</stp>
        <stp>FY 2009</stp>
        <stp>[FA1_ymffleas.xlsx]Bal Sheet - As Reported!R70C3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0" s="17"/>
      </tp>
      <tp>
        <v>50260</v>
        <stp/>
        <stp>##V3_BDHV12</stp>
        <stp>RCOM IN Equity</stp>
        <stp>ARDR_CONSTRUCTION_IN_PROGRESS</stp>
        <stp>FY 2012</stp>
        <stp>FY 2012</stp>
        <stp>[FA1_ymffleas.xlsx]Bal Sheet - As Reported!R70C6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0" s="17"/>
      </tp>
      <tp>
        <v>38640</v>
        <stp/>
        <stp>##V3_BDHV12</stp>
        <stp>RCOM IN Equity</stp>
        <stp>ARDR_CONSTRUCTION_IN_PROGRESS</stp>
        <stp>FY 2013</stp>
        <stp>FY 2013</stp>
        <stp>[FA1_ymffleas.xlsx]Bal Sheet - As Reported!R70C7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0" s="17"/>
      </tp>
      <tp>
        <v>116556.5</v>
        <stp/>
        <stp>##V3_BDHV12</stp>
        <stp>RCOM IN Equity</stp>
        <stp>ARDR_CONSTRUCTION_IN_PROGRESS</stp>
        <stp>FY 2010</stp>
        <stp>FY 2010</stp>
        <stp>[FA1_ymffleas.xlsx]Bal Sheet - As Reported!R70C4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0" s="17"/>
      </tp>
      <tp>
        <v>166000</v>
        <stp/>
        <stp>##V3_BDHV12</stp>
        <stp>RCOM IN Equity</stp>
        <stp>ARDR_CONSTRUCTION_IN_PROGRESS</stp>
        <stp>FY 2011</stp>
        <stp>FY 2011</stp>
        <stp>[FA1_ymffleas.xlsx]Bal Sheet - As Reported!R70C5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0" s="17"/>
      </tp>
      <tp>
        <v>31900</v>
        <stp/>
        <stp>##V3_BDHV12</stp>
        <stp>RCOM IN Equity</stp>
        <stp>ARDR_CONSTRUCTION_IN_PROGRESS</stp>
        <stp>FY 2014</stp>
        <stp>FY 2014</stp>
        <stp>[FA1_ymffleas.xlsx]Bal Sheet - As Reported!R70C8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0" s="17"/>
      </tp>
      <tp t="s">
        <v>—</v>
        <stp/>
        <stp>##V3_BDHV12</stp>
        <stp>RCOM IN Equity</stp>
        <stp>ARDR_CONSTRUCTION_IN_PROGRESS</stp>
        <stp>FY 2015</stp>
        <stp>FY 2015</stp>
        <stp>[FA1_ymffleas.xlsx]Bal Sheet - As Reported!R70C9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0" s="17"/>
      </tp>
      <tp>
        <v>-519.029</v>
        <stp/>
        <stp>##V3_BDHV12</stp>
        <stp>RCOM IN Equity</stp>
        <stp>PROF_MARGIN</stp>
        <stp>FY 2018</stp>
        <stp>FY 2018</stp>
        <stp>[FA1_ymffleas.xlsx]Profitability!R18C12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8" s="21"/>
      </tp>
      <tp>
        <v>3.1478000000000002</v>
        <stp/>
        <stp>##V3_BDHV12</stp>
        <stp>RCOM IN Equity</stp>
        <stp>T12M_FCF_TO_FIRM_YIELD</stp>
        <stp>FY 2010</stp>
        <stp>FY 2010</stp>
        <stp>[FA1_ymffleas.xlsx]Yield Analysis!R34C4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34" s="26"/>
      </tp>
      <tp>
        <v>-0.79520000000000002</v>
        <stp/>
        <stp>##V3_BDHV12</stp>
        <stp>RCOM IN Equity</stp>
        <stp>CAPITAL_YIELD</stp>
        <stp>FY 2016</stp>
        <stp>FY 2016</stp>
        <stp>[FA1_ymffleas.xlsx]Yield Analysis!R43C10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3" s="26"/>
      </tp>
      <tp>
        <v>-5.7919</v>
        <stp/>
        <stp>##V3_BDHV12</stp>
        <stp>RCOM IN Equity</stp>
        <stp>CAPITAL_YIELD</stp>
        <stp>FY 2017</stp>
        <stp>FY 2017</stp>
        <stp>[FA1_ymffleas.xlsx]Yield Analysis!R43C11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3" s="26"/>
      </tp>
      <tp>
        <v>-1.0568</v>
        <stp/>
        <stp>##V3_BDHV12</stp>
        <stp>RCOM IN Equity</stp>
        <stp>CAPITAL_YIELD</stp>
        <stp>FY 2018</stp>
        <stp>FY 2018</stp>
        <stp>[FA1_ymffleas.xlsx]Yield Analysis!R43C12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3" s="26"/>
      </tp>
      <tp>
        <v>-30</v>
        <stp/>
        <stp>##V3_BDHV12</stp>
        <stp>RCOM IN Equity</stp>
        <stp>PRETAX_INC</stp>
        <stp>FY 2018</stp>
        <stp>FY 2018</stp>
        <stp>[FA1_ymffleas.xlsx]Reconciliation!R27C11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27" s="12"/>
      </tp>
      <tp>
        <v>-1910.6</v>
        <stp/>
        <stp>##V3_BDHV12</stp>
        <stp>RCOM IN Equity</stp>
        <stp>CF_DVD_PAID</stp>
        <stp>FY 2010</stp>
        <stp>FY 2010</stp>
        <stp>[FA1_ymffleas.xlsx]Cash Flow - Standardized!R38C3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8" s="19"/>
      </tp>
      <tp>
        <v>-2020</v>
        <stp/>
        <stp>##V3_BDHV12</stp>
        <stp>RCOM IN Equity</stp>
        <stp>CF_DVD_PAID</stp>
        <stp>FY 2011</stp>
        <stp>FY 2011</stp>
        <stp>[FA1_ymffleas.xlsx]Cash Flow - Standardized!R38C4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8" s="19"/>
      </tp>
      <tp>
        <v>-1190</v>
        <stp/>
        <stp>##V3_BDHV12</stp>
        <stp>RCOM IN Equity</stp>
        <stp>CF_DVD_PAID</stp>
        <stp>FY 2012</stp>
        <stp>FY 2012</stp>
        <stp>[FA1_ymffleas.xlsx]Cash Flow - Standardized!R38C5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8" s="19"/>
      </tp>
      <tp>
        <v>-600</v>
        <stp/>
        <stp>##V3_BDHV12</stp>
        <stp>RCOM IN Equity</stp>
        <stp>CF_DVD_PAID</stp>
        <stp>FY 2013</stp>
        <stp>FY 2013</stp>
        <stp>[FA1_ymffleas.xlsx]Cash Flow - Standardized!R38C6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8" s="19"/>
      </tp>
      <tp>
        <v>-610</v>
        <stp/>
        <stp>##V3_BDHV12</stp>
        <stp>RCOM IN Equity</stp>
        <stp>CF_DVD_PAID</stp>
        <stp>FY 2014</stp>
        <stp>FY 2014</stp>
        <stp>[FA1_ymffleas.xlsx]Cash Flow - Standardized!R38C7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8" s="19"/>
      </tp>
      <tp>
        <v>-10</v>
        <stp/>
        <stp>##V3_BDHV12</stp>
        <stp>RCOM IN Equity</stp>
        <stp>CF_DVD_PAID</stp>
        <stp>FY 2015</stp>
        <stp>FY 2015</stp>
        <stp>[FA1_ymffleas.xlsx]Cash Flow - Standardized!R38C8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8" s="19"/>
      </tp>
      <tp>
        <v>-20</v>
        <stp/>
        <stp>##V3_BDHV12</stp>
        <stp>RCOM IN Equity</stp>
        <stp>CF_DVD_PAID</stp>
        <stp>FY 2016</stp>
        <stp>FY 2016</stp>
        <stp>[FA1_ymffleas.xlsx]Cash Flow - Standardized!R38C9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8" s="19"/>
      </tp>
      <tp>
        <v>1550</v>
        <stp/>
        <stp>##V3_BDHV12</stp>
        <stp>RCOM IN Equity</stp>
        <stp>PRETAX_INC</stp>
        <stp>FY 2017</stp>
        <stp>FY 2017</stp>
        <stp>[FA1_ymffleas.xlsx]Reconciliation!R27C10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27" s="12"/>
      </tp>
      <tp>
        <v>45930</v>
        <stp/>
        <stp>##V3_BDHV12</stp>
        <stp>RCOM IN Equity</stp>
        <stp>SALES_REV_TURN</stp>
        <stp>FY 2018</stp>
        <stp>FY 2018</stp>
        <stp>[FA1_ymffleas.xlsx]Earnings!R10C12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10" s="4"/>
      </tp>
      <tp>
        <v>217430</v>
        <stp/>
        <stp>##V3_BDHV12</stp>
        <stp>RCOM IN Equity</stp>
        <stp>SALES_REV_TURN</stp>
        <stp>FY 2016</stp>
        <stp>FY 2016</stp>
        <stp>[FA1_ymffleas.xlsx]Earnings!R10C10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10" s="4"/>
      </tp>
      <tp>
        <v>65540</v>
        <stp/>
        <stp>##V3_BDHV12</stp>
        <stp>RCOM IN Equity</stp>
        <stp>SALES_REV_TURN</stp>
        <stp>FY 2017</stp>
        <stp>FY 2017</stp>
        <stp>[FA1_ymffleas.xlsx]Earnings!R10C11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10" s="4"/>
      </tp>
      <tp>
        <v>80</v>
        <stp/>
        <stp>##V3_BDHV12</stp>
        <stp>RCOM IN Equity</stp>
        <stp>ARDR_TOT_FEES_PAID_AUDIT_FIRMS</stp>
        <stp>FY 2017</stp>
        <stp>FY 2017</stp>
        <stp>[FA1_ymffleas.xlsx]Income - As Reported!R110C11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0" s="11"/>
      </tp>
      <tp>
        <v>90</v>
        <stp/>
        <stp>##V3_BDHV12</stp>
        <stp>RCOM IN Equity</stp>
        <stp>ARDR_TOT_FEES_PAID_AUDIT_FIRMS</stp>
        <stp>FY 2016</stp>
        <stp>FY 2016</stp>
        <stp>[FA1_ymffleas.xlsx]Income - As Reported!R110C10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0" s="11"/>
      </tp>
      <tp>
        <v>50</v>
        <stp/>
        <stp>##V3_BDHV12</stp>
        <stp>RCOM IN Equity</stp>
        <stp>ARDR_TOT_FEES_PAID_AUDIT_FIRMS</stp>
        <stp>FY 2018</stp>
        <stp>FY 2018</stp>
        <stp>[FA1_ymffleas.xlsx]Income - As Reported!R110C12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0" s="11"/>
      </tp>
      <tp t="s">
        <v>—</v>
        <stp/>
        <stp>##V3_BDHV12</stp>
        <stp>RCOM IN Equity</stp>
        <stp>ARDR_FOREIGN_EXCHANGE_EARNINGS</stp>
        <stp>FY 2018</stp>
        <stp>FY 2018</stp>
        <stp>[FA1_ymffleas.xlsx]Income - As Reported!R123C12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3" s="11"/>
      </tp>
      <tp>
        <v>0</v>
        <stp/>
        <stp>##V3_BDHV12</stp>
        <stp>RCOM IN Equity</stp>
        <stp>IS_TOT_CASH_COM_DVD</stp>
        <stp>FY 2018</stp>
        <stp>FY 2018</stp>
        <stp>[FA1_ymffleas.xlsx]Income - Adjusted!R129C11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9" s="9"/>
      </tp>
      <tp t="s">
        <v>—</v>
        <stp/>
        <stp>##V3_BDHV12</stp>
        <stp>RCOM IN Equity</stp>
        <stp>ARDR_FOREIGN_EXCHANGE_EARNINGS</stp>
        <stp>FY 2017</stp>
        <stp>FY 2017</stp>
        <stp>[FA1_ymffleas.xlsx]Income - As Reported!R123C11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3" s="11"/>
      </tp>
      <tp>
        <v>0</v>
        <stp/>
        <stp>##V3_BDHV12</stp>
        <stp>RCOM IN Equity</stp>
        <stp>IS_TOT_CASH_COM_DVD</stp>
        <stp>FY 2017</stp>
        <stp>FY 2017</stp>
        <stp>[FA1_ymffleas.xlsx]Income - Adjusted!R129C10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9" s="9"/>
      </tp>
      <tp t="s">
        <v>—</v>
        <stp/>
        <stp>##V3_BDHV12</stp>
        <stp>RCOM IN Equity</stp>
        <stp>ARDR_FOREIGN_EXCHANGE_EARNINGS</stp>
        <stp>FY 2016</stp>
        <stp>FY 2016</stp>
        <stp>[FA1_ymffleas.xlsx]Income - As Reported!R123C10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3" s="11"/>
      </tp>
      <tp>
        <v>101290</v>
        <stp/>
        <stp>##V3_BDHV12</stp>
        <stp>RCOM IN Equity</stp>
        <stp>ARDR_CURRENT_PORTION_OF_LT_DEBT</stp>
        <stp>FY 2016</stp>
        <stp>FY 2016</stp>
        <stp>[FA1_ymffleas.xlsx]Bal Sheet - As Reported!R81C10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1" s="17"/>
      </tp>
      <tp>
        <v>136840</v>
        <stp/>
        <stp>##V3_BDHV12</stp>
        <stp>RCOM IN Equity</stp>
        <stp>ARDR_CURRENT_PORTION_OF_LT_DEBT</stp>
        <stp>FY 2017</stp>
        <stp>FY 2017</stp>
        <stp>[FA1_ymffleas.xlsx]Bal Sheet - As Reported!R81C11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1" s="17"/>
      </tp>
      <tp>
        <v>109130</v>
        <stp/>
        <stp>##V3_BDHV12</stp>
        <stp>RCOM IN Equity</stp>
        <stp>ARDR_CURRENT_PORTION_OF_LT_DEBT</stp>
        <stp>FY 2018</stp>
        <stp>FY 2018</stp>
        <stp>[FA1_ymffleas.xlsx]Bal Sheet - As Reported!R81C12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1" s="17"/>
      </tp>
      <tp>
        <v>207429.1</v>
        <stp/>
        <stp>##V3_BDHV12</stp>
        <stp>RCOM IN Equity</stp>
        <stp>SALES_REV_TURN</stp>
        <stp>FY 2009</stp>
        <stp>FY 2009</stp>
        <stp>[FA1_ymffleas.xlsx]Earnings!R10C3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10" s="4"/>
      </tp>
      <tp>
        <v>220890</v>
        <stp/>
        <stp>##V3_BDHV12</stp>
        <stp>RCOM IN Equity</stp>
        <stp>SALES_REV_TURN</stp>
        <stp>FY 2011</stp>
        <stp>FY 2011</stp>
        <stp>[FA1_ymffleas.xlsx]Earnings!R10C5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10" s="4"/>
      </tp>
      <tp>
        <v>206850.5</v>
        <stp/>
        <stp>##V3_BDHV12</stp>
        <stp>RCOM IN Equity</stp>
        <stp>SALES_REV_TURN</stp>
        <stp>FY 2010</stp>
        <stp>FY 2010</stp>
        <stp>[FA1_ymffleas.xlsx]Earnings!R10C4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10" s="4"/>
      </tp>
      <tp>
        <v>192940</v>
        <stp/>
        <stp>##V3_BDHV12</stp>
        <stp>RCOM IN Equity</stp>
        <stp>SALES_REV_TURN</stp>
        <stp>FY 2013</stp>
        <stp>FY 2013</stp>
        <stp>[FA1_ymffleas.xlsx]Earnings!R10C7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10" s="4"/>
      </tp>
      <tp>
        <v>187160</v>
        <stp/>
        <stp>##V3_BDHV12</stp>
        <stp>RCOM IN Equity</stp>
        <stp>SALES_REV_TURN</stp>
        <stp>FY 2012</stp>
        <stp>FY 2012</stp>
        <stp>[FA1_ymffleas.xlsx]Earnings!R10C6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10" s="4"/>
      </tp>
      <tp>
        <v>214230</v>
        <stp/>
        <stp>##V3_BDHV12</stp>
        <stp>RCOM IN Equity</stp>
        <stp>SALES_REV_TURN</stp>
        <stp>FY 2015</stp>
        <stp>FY 2015</stp>
        <stp>[FA1_ymffleas.xlsx]Earnings!R10C9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10" s="4"/>
      </tp>
      <tp>
        <v>209400</v>
        <stp/>
        <stp>##V3_BDHV12</stp>
        <stp>RCOM IN Equity</stp>
        <stp>SALES_REV_TURN</stp>
        <stp>FY 2014</stp>
        <stp>FY 2014</stp>
        <stp>[FA1_ymffleas.xlsx]Earnings!R10C8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10" s="4"/>
      </tp>
      <tp>
        <v>21710</v>
        <stp/>
        <stp>##V3_BDHV12</stp>
        <stp>RCOM IN Equity</stp>
        <stp>IS_OPER_INC</stp>
        <stp>FY 2014</stp>
        <stp>FY 2014</stp>
        <stp>[FA1_ymffleas.xlsx]GAAP Highlights!R7C8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7" s="3"/>
      </tp>
      <tp>
        <v>33890</v>
        <stp/>
        <stp>##V3_BDHV12</stp>
        <stp>RCOM IN Equity</stp>
        <stp>IS_OPER_INC</stp>
        <stp>FY 2015</stp>
        <stp>FY 2015</stp>
        <stp>[FA1_ymffleas.xlsx]GAAP Highlights!R7C9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7" s="3"/>
      </tp>
      <tp>
        <v>7.3734000000000002</v>
        <stp/>
        <stp>##V3_BDHV12</stp>
        <stp>RCOM IN Equity</stp>
        <stp>AVG_EV_TO_T12M_EBITDA</stp>
        <stp>FY 2017</stp>
        <stp>FY 2017</stp>
        <stp>[FA1_ymffleas.xlsx]Multiples!R42C10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42" s="6"/>
      </tp>
      <tp>
        <v>2488.9796999999999</v>
        <stp/>
        <stp>##V3_BDHV12</stp>
        <stp>RCOM IN Equity</stp>
        <stp>BS_SH_OUT</stp>
        <stp>FY 2016</stp>
        <stp>FY 2016</stp>
        <stp>[FA1_ymffleas.xlsx]GAAP Highlights!R20C10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0" s="3"/>
      </tp>
      <tp>
        <v>32425.3</v>
        <stp/>
        <stp>##V3_BDHV12</stp>
        <stp>RCOM IN Equity</stp>
        <stp>IS_OPER_INC</stp>
        <stp>FY 2010</stp>
        <stp>FY 2010</stp>
        <stp>[FA1_ymffleas.xlsx]GAAP Highlights!R7C4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7" s="3"/>
      </tp>
      <tp>
        <v>2488.9796999999999</v>
        <stp/>
        <stp>##V3_BDHV12</stp>
        <stp>RCOM IN Equity</stp>
        <stp>BS_SH_OUT</stp>
        <stp>FY 2017</stp>
        <stp>FY 2017</stp>
        <stp>[FA1_ymffleas.xlsx]GAAP Highlights!R20C11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0" s="3"/>
      </tp>
      <tp>
        <v>18720</v>
        <stp/>
        <stp>##V3_BDHV12</stp>
        <stp>RCOM IN Equity</stp>
        <stp>IS_OPER_INC</stp>
        <stp>FY 2011</stp>
        <stp>FY 2011</stp>
        <stp>[FA1_ymffleas.xlsx]GAAP Highlights!R7C5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7" s="3"/>
      </tp>
      <tp>
        <v>2765.5331000000001</v>
        <stp/>
        <stp>##V3_BDHV12</stp>
        <stp>RCOM IN Equity</stp>
        <stp>BS_SH_OUT</stp>
        <stp>FY 2018</stp>
        <stp>FY 2018</stp>
        <stp>[FA1_ymffleas.xlsx]GAAP Highlights!R20C12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0" s="3"/>
      </tp>
      <tp>
        <v>18170</v>
        <stp/>
        <stp>##V3_BDHV12</stp>
        <stp>RCOM IN Equity</stp>
        <stp>IS_OPER_INC</stp>
        <stp>FY 2012</stp>
        <stp>FY 2012</stp>
        <stp>[FA1_ymffleas.xlsx]GAAP Highlights!R7C6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7" s="3"/>
      </tp>
      <tp>
        <v>20960</v>
        <stp/>
        <stp>##V3_BDHV12</stp>
        <stp>RCOM IN Equity</stp>
        <stp>IS_OPER_INC</stp>
        <stp>FY 2013</stp>
        <stp>FY 2013</stp>
        <stp>[FA1_ymffleas.xlsx]GAAP Highlights!R7C7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7" s="3"/>
      </tp>
      <tp>
        <v>51229.8</v>
        <stp/>
        <stp>##V3_BDHV12</stp>
        <stp>RCOM IN Equity</stp>
        <stp>IS_OPER_INC</stp>
        <stp>FY 2009</stp>
        <stp>FY 2009</stp>
        <stp>[FA1_ymffleas.xlsx]GAAP Highlights!R7C3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7" s="3"/>
      </tp>
      <tp t="s">
        <v>—</v>
        <stp/>
        <stp>##V3_BDHV12</stp>
        <stp>RCOM IN Equity</stp>
        <stp>EBIT_TO_CASH_INTEREST_PAID</stp>
        <stp>FY 2018</stp>
        <stp>FY 2018</stp>
        <stp>[FA1_ymffleas.xlsx]Credit!R22C12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22" s="23"/>
      </tp>
      <tp t="s">
        <v>—</v>
        <stp/>
        <stp>##V3_BDHV12</stp>
        <stp>RCOM IN Equity</stp>
        <stp>BS_TOT_COM_PAPER_ISSUED</stp>
        <stp>FY 2018</stp>
        <stp>FY 2018</stp>
        <stp>[FA1_ymffleas.xlsx]Liquidity!R25C12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5" s="24"/>
      </tp>
      <tp t="s">
        <v>—</v>
        <stp/>
        <stp>##V3_BDHV12</stp>
        <stp>RCOM IN Equity</stp>
        <stp>BS_TOT_COM_PAPER_ISSUED</stp>
        <stp>FY 2016</stp>
        <stp>FY 2016</stp>
        <stp>[FA1_ymffleas.xlsx]Liquidity!R25C10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5" s="24"/>
      </tp>
      <tp t="s">
        <v>—</v>
        <stp/>
        <stp>##V3_BDHV12</stp>
        <stp>RCOM IN Equity</stp>
        <stp>BS_TOT_COM_PAPER_ISSUED</stp>
        <stp>FY 2017</stp>
        <stp>FY 2017</stp>
        <stp>[FA1_ymffleas.xlsx]Liquidity!R25C11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5" s="24"/>
      </tp>
      <tp>
        <v>-3.2000000000000002E-3</v>
        <stp/>
        <stp>##V3_BDHV12</stp>
        <stp>RCOM IN Equity</stp>
        <stp>IS_STK_BASED_COMP_PER_DIL_SH</stp>
        <stp>FY 2014</stp>
        <stp>FY 2014</stp>
        <stp>[FA1_ymffleas.xlsx]SBC &amp; Amort!R18C8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8" s="13"/>
      </tp>
      <tp>
        <v>-5.5999999999999999E-3</v>
        <stp/>
        <stp>##V3_BDHV12</stp>
        <stp>RCOM IN Equity</stp>
        <stp>IS_STK_BASED_COMP_PER_DIL_SH</stp>
        <stp>FY 2015</stp>
        <stp>FY 2015</stp>
        <stp>[FA1_ymffleas.xlsx]SBC &amp; Amort!R18C9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8" s="13"/>
      </tp>
      <tp t="s">
        <v>—</v>
        <stp/>
        <stp>##V3_BDHV12</stp>
        <stp>RCOM IN Equity</stp>
        <stp>ARDR_OTHER_MISC_NON_OPER_INC</stp>
        <stp>FY 2014</stp>
        <stp>FY 2014</stp>
        <stp>[FA1_ymffleas.xlsx]Income - As Reported!R119C8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9" s="11"/>
      </tp>
      <tp t="s">
        <v>—</v>
        <stp/>
        <stp>##V3_BDHV12</stp>
        <stp>RCOM IN Equity</stp>
        <stp>ARDR_OTHER_MISC_NON_OPER_INC</stp>
        <stp>FY 2015</stp>
        <stp>FY 2015</stp>
        <stp>[FA1_ymffleas.xlsx]Income - As Reported!R119C9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9" s="11"/>
      </tp>
      <tp t="s">
        <v>—</v>
        <stp/>
        <stp>##V3_BDHV12</stp>
        <stp>RCOM IN Equity</stp>
        <stp>ARDR_OTHER_MISC_NON_OPER_INC</stp>
        <stp>FY 2009</stp>
        <stp>FY 2009</stp>
        <stp>[FA1_ymffleas.xlsx]Income - As Reported!R119C3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9" s="11"/>
      </tp>
      <tp t="s">
        <v>—</v>
        <stp/>
        <stp>##V3_BDHV12</stp>
        <stp>RCOM IN Equity</stp>
        <stp>ARDR_OTHER_MISC_NON_OPER_INC</stp>
        <stp>FY 2010</stp>
        <stp>FY 2010</stp>
        <stp>[FA1_ymffleas.xlsx]Income - As Reported!R119C4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9" s="11"/>
      </tp>
      <tp t="s">
        <v>—</v>
        <stp/>
        <stp>##V3_BDHV12</stp>
        <stp>RCOM IN Equity</stp>
        <stp>ARDR_OTHER_MISC_NON_OPER_INC</stp>
        <stp>FY 2011</stp>
        <stp>FY 2011</stp>
        <stp>[FA1_ymffleas.xlsx]Income - As Reported!R119C5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9" s="11"/>
      </tp>
      <tp t="s">
        <v>—</v>
        <stp/>
        <stp>##V3_BDHV12</stp>
        <stp>RCOM IN Equity</stp>
        <stp>ARDR_OTHER_MISC_NON_OPER_INC</stp>
        <stp>FY 2012</stp>
        <stp>FY 2012</stp>
        <stp>[FA1_ymffleas.xlsx]Income - As Reported!R119C6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9" s="11"/>
      </tp>
      <tp t="s">
        <v>—</v>
        <stp/>
        <stp>##V3_BDHV12</stp>
        <stp>RCOM IN Equity</stp>
        <stp>ARDR_OTHER_MISC_NON_OPER_INC</stp>
        <stp>FY 2013</stp>
        <stp>FY 2013</stp>
        <stp>[FA1_ymffleas.xlsx]Income - As Reported!R119C7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9" s="11"/>
      </tp>
      <tp>
        <v>-1.61E-2</v>
        <stp/>
        <stp>##V3_BDHV12</stp>
        <stp>RCOM IN Equity</stp>
        <stp>IS_STK_BASED_COMP_PER_DIL_SH</stp>
        <stp>FY 2012</stp>
        <stp>FY 2012</stp>
        <stp>[FA1_ymffleas.xlsx]SBC &amp; Amort!R18C6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8" s="13"/>
      </tp>
      <tp>
        <v>0</v>
        <stp/>
        <stp>##V3_BDHV12</stp>
        <stp>RCOM IN Equity</stp>
        <stp>IS_STK_BASED_COMP_PER_DIL_SH</stp>
        <stp>FY 2013</stp>
        <stp>FY 2013</stp>
        <stp>[FA1_ymffleas.xlsx]SBC &amp; Amort!R18C7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8" s="13"/>
      </tp>
      <tp>
        <v>-2.0400000000000001E-2</v>
        <stp/>
        <stp>##V3_BDHV12</stp>
        <stp>RCOM IN Equity</stp>
        <stp>IS_STK_BASED_COMP_PER_DIL_SH</stp>
        <stp>FY 2010</stp>
        <stp>FY 2010</stp>
        <stp>[FA1_ymffleas.xlsx]SBC &amp; Amort!R18C4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8" s="13"/>
      </tp>
      <tp>
        <v>-2.1999999999999999E-2</v>
        <stp/>
        <stp>##V3_BDHV12</stp>
        <stp>RCOM IN Equity</stp>
        <stp>IS_STK_BASED_COMP_PER_DIL_SH</stp>
        <stp>FY 2011</stp>
        <stp>FY 2011</stp>
        <stp>[FA1_ymffleas.xlsx]SBC &amp; Amort!R18C5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8" s="13"/>
      </tp>
      <tp>
        <v>0</v>
        <stp/>
        <stp>##V3_BDHV12</stp>
        <stp>RCOM IN Equity</stp>
        <stp>IS_FOREIGN_CRNCY_TRANS_ADJ</stp>
        <stp>FY 2018</stp>
        <stp>FY 2018</stp>
        <stp>[FA1_ymffleas.xlsx]Comprehensive Income!R7C11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" s="33"/>
      </tp>
      <tp>
        <v>0</v>
        <stp/>
        <stp>##V3_BDHV12</stp>
        <stp>RCOM IN Equity</stp>
        <stp>IS_FOREIGN_CRNCY_TRANS_ADJ</stp>
        <stp>FY 2017</stp>
        <stp>FY 2017</stp>
        <stp>[FA1_ymffleas.xlsx]Comprehensive Income!R7C10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" s="33"/>
      </tp>
      <tp>
        <v>2.29E-2</v>
        <stp/>
        <stp>##V3_BDHV12</stp>
        <stp>RCOM IN Equity</stp>
        <stp>IS_STK_BASED_COMP_PER_DIL_SH</stp>
        <stp>FY 2009</stp>
        <stp>FY 2009</stp>
        <stp>[FA1_ymffleas.xlsx]SBC &amp; Amort!R18C3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8" s="13"/>
      </tp>
      <tp>
        <v>0.99260000000000004</v>
        <stp/>
        <stp>##V3_BDHV12</stp>
        <stp>RCOM IN Equity</stp>
        <stp>RETURN_ON_ASSET</stp>
        <stp>FY 2012</stp>
        <stp>FY 2012</stp>
        <stp>[FA1_ymffleas.xlsx]Profitability!R8C6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8" s="21"/>
      </tp>
      <tp>
        <v>490</v>
        <stp/>
        <stp>##V3_BDHV12</stp>
        <stp>RCOM IN Equity</stp>
        <stp>INC_BEF_XO_LESS_MIN_INT_PREF_DVD</stp>
        <stp>FY 2018</stp>
        <stp>FY 2018</stp>
        <stp>[FA1_ymffleas.xlsx]Reconciliation!R37C11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7" s="12"/>
      </tp>
      <tp>
        <v>1250</v>
        <stp/>
        <stp>##V3_BDHV12</stp>
        <stp>RCOM IN Equity</stp>
        <stp>INC_BEF_XO_LESS_MIN_INT_PREF_DVD</stp>
        <stp>FY 2017</stp>
        <stp>FY 2017</stp>
        <stp>[FA1_ymffleas.xlsx]Reconciliation!R37C10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7" s="12"/>
      </tp>
      <tp>
        <v>180</v>
        <stp/>
        <stp>##V3_BDHV12</stp>
        <stp>RCOM IN Equity</stp>
        <stp>ARDR_EMPLOYEE_ENTITLE_NONCUR</stp>
        <stp>FY 2018</stp>
        <stp>FY 2018</stp>
        <stp>[FA1_ymffleas.xlsx]Bal Sheet - As Reported!R167C12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7" s="17"/>
      </tp>
      <tp>
        <v>700</v>
        <stp/>
        <stp>##V3_BDHV12</stp>
        <stp>RCOM IN Equity</stp>
        <stp>ARDR_EMPLOYEE_ENTITLE_NONCUR</stp>
        <stp>FY 2016</stp>
        <stp>FY 2016</stp>
        <stp>[FA1_ymffleas.xlsx]Bal Sheet - As Reported!R167C10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7" s="17"/>
      </tp>
      <tp>
        <v>1060</v>
        <stp/>
        <stp>##V3_BDHV12</stp>
        <stp>RCOM IN Equity</stp>
        <stp>ARDR_EMPLOYEE_ENTITLE_NONCUR</stp>
        <stp>FY 2017</stp>
        <stp>FY 2017</stp>
        <stp>[FA1_ymffleas.xlsx]Bal Sheet - As Reported!R167C11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7" s="17"/>
      </tp>
      <tp t="s">
        <v>—</v>
        <stp/>
        <stp>##V3_BDHV12</stp>
        <stp>RCOM IN Equity</stp>
        <stp>CF_ACT_CASH_PAID_FOR_INT_DEBT</stp>
        <stp>FY 2017</stp>
        <stp>FY 2017</stp>
        <stp>[FA1_ymffleas.xlsx]Cash Flow - Standardized!R55C10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5" s="19"/>
      </tp>
      <tp t="s">
        <v>—</v>
        <stp/>
        <stp>##V3_BDHV12</stp>
        <stp>RCOM IN Equity</stp>
        <stp>CF_ACT_CASH_PAID_FOR_INT_DEBT</stp>
        <stp>FY 2018</stp>
        <stp>FY 2018</stp>
        <stp>[FA1_ymffleas.xlsx]Cash Flow - Standardized!R55C11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5" s="19"/>
      </tp>
      <tp>
        <v>-100</v>
        <stp/>
        <stp>##V3_BDHV12</stp>
        <stp>RCOM IN Equity</stp>
        <stp>GEO_GROW_DVD_PER_SH</stp>
        <stp>FY 2016</stp>
        <stp>FY 2016</stp>
        <stp>[FA1_ymffleas.xlsx]Dividend Summary!R7C10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" s="31"/>
      </tp>
      <tp>
        <v>7360</v>
        <stp/>
        <stp>##V3_BDHV12</stp>
        <stp>RCOM IN Equity</stp>
        <stp>CASH_AND_MARKETABLE_SECURITIES</stp>
        <stp>FY 2018</stp>
        <stp>FY 2018</stp>
        <stp>[FA1_ymffleas.xlsx]Enterprise Value!R7C11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" s="5"/>
      </tp>
      <tp>
        <v>13140</v>
        <stp/>
        <stp>##V3_BDHV12</stp>
        <stp>RCOM IN Equity</stp>
        <stp>CASH_AND_MARKETABLE_SECURITIES</stp>
        <stp>FY 2017</stp>
        <stp>FY 2017</stp>
        <stp>[FA1_ymffleas.xlsx]Enterprise Value!R7C10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" s="5"/>
      </tp>
      <tp>
        <v>-100</v>
        <stp/>
        <stp>##V3_BDHV12</stp>
        <stp>RCOM IN Equity</stp>
        <stp>GEO_GROW_DVD_PER_SH</stp>
        <stp>FY 2017</stp>
        <stp>FY 2017</stp>
        <stp>[FA1_ymffleas.xlsx]Dividend Summary!R7C11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" s="31"/>
      </tp>
      <tp>
        <v>-100</v>
        <stp/>
        <stp>##V3_BDHV12</stp>
        <stp>RCOM IN Equity</stp>
        <stp>GEO_GROW_DVD_PER_SH</stp>
        <stp>FY 2018</stp>
        <stp>FY 2018</stp>
        <stp>[FA1_ymffleas.xlsx]Dividend Summary!R7C12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" s="31"/>
      </tp>
      <tp>
        <v>920</v>
        <stp/>
        <stp>##V3_BDHV12</stp>
        <stp>RCOM IN Equity</stp>
        <stp>ARD_INT_REC_FROM_INVESTING_ACT</stp>
        <stp>FY 2018</stp>
        <stp>FY 2018</stp>
        <stp>[FA1_ymffleas.xlsx]Cash Flow - As Reported!R49C12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9" s="20"/>
      </tp>
      <tp>
        <v>1490</v>
        <stp/>
        <stp>##V3_BDHV12</stp>
        <stp>RCOM IN Equity</stp>
        <stp>ARD_INT_REC_FROM_INVESTING_ACT</stp>
        <stp>FY 2017</stp>
        <stp>FY 2017</stp>
        <stp>[FA1_ymffleas.xlsx]Cash Flow - As Reported!R49C11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9" s="20"/>
      </tp>
      <tp>
        <v>1150</v>
        <stp/>
        <stp>##V3_BDHV12</stp>
        <stp>RCOM IN Equity</stp>
        <stp>ARD_INT_REC_FROM_INVESTING_ACT</stp>
        <stp>FY 2016</stp>
        <stp>FY 2016</stp>
        <stp>[FA1_ymffleas.xlsx]Cash Flow - As Reported!R49C10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9" s="20"/>
      </tp>
      <tp>
        <v>0</v>
        <stp/>
        <stp>##V3_BDHV12</stp>
        <stp>RCOM IN Equity</stp>
        <stp>INVTRY_RAW_MATERIALS</stp>
        <stp>FY 2016</stp>
        <stp>FY 2016</stp>
        <stp>[FA1_ymffleas.xlsx]Working Capital!R17C10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" s="25"/>
      </tp>
      <tp>
        <v>0</v>
        <stp/>
        <stp>##V3_BDHV12</stp>
        <stp>RCOM IN Equity</stp>
        <stp>INVTRY_RAW_MATERIALS</stp>
        <stp>FY 2017</stp>
        <stp>FY 2017</stp>
        <stp>[FA1_ymffleas.xlsx]Working Capital!R17C11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" s="25"/>
      </tp>
      <tp>
        <v>0</v>
        <stp/>
        <stp>##V3_BDHV12</stp>
        <stp>RCOM IN Equity</stp>
        <stp>INVTRY_RAW_MATERIALS</stp>
        <stp>FY 2018</stp>
        <stp>FY 2018</stp>
        <stp>[FA1_ymffleas.xlsx]Working Capital!R17C12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" s="25"/>
      </tp>
      <tp>
        <v>-14.7195</v>
        <stp/>
        <stp>##V3_BDHV12</stp>
        <stp>RCOM IN Equity</stp>
        <stp>T12M_FCF_TO_FIRM_YIELD</stp>
        <stp>FY 2011</stp>
        <stp>FY 2011</stp>
        <stp>[FA1_ymffleas.xlsx]Yield Analysis!R34C5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34" s="26"/>
      </tp>
      <tp>
        <v>15280</v>
        <stp/>
        <stp>##V3_BDHV12</stp>
        <stp>RCOM IN Equity</stp>
        <stp>XO_GL_NET_OF_TAX</stp>
        <stp>FY 2017</stp>
        <stp>FY 2017</stp>
        <stp>[FA1_ymffleas.xlsx]Income - Adjusted!R107C10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7" s="9"/>
      </tp>
      <tp>
        <v>238880</v>
        <stp/>
        <stp>##V3_BDHV12</stp>
        <stp>RCOM IN Equity</stp>
        <stp>XO_GL_NET_OF_TAX</stp>
        <stp>FY 2018</stp>
        <stp>FY 2018</stp>
        <stp>[FA1_ymffleas.xlsx]Income - Adjusted!R107C11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7" s="9"/>
      </tp>
      <tp>
        <v>-3.7366999999999999</v>
        <stp/>
        <stp>##V3_BDHV12</stp>
        <stp>RCOM IN Equity</stp>
        <stp>GROWTH_IN_CAP</stp>
        <stp>FY 2016</stp>
        <stp>FY 2016</stp>
        <stp>[FA1_ymffleas.xlsx]Growth!R27C10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7" s="22"/>
      </tp>
      <tp>
        <v>-1.0334000000000001</v>
        <stp/>
        <stp>##V3_BDHV12</stp>
        <stp>RCOM IN Equity</stp>
        <stp>GROWTH_IN_CAP</stp>
        <stp>FY 2017</stp>
        <stp>FY 2017</stp>
        <stp>[FA1_ymffleas.xlsx]Growth!R27C11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7" s="22"/>
      </tp>
      <tp>
        <v>-32.534599999999998</v>
        <stp/>
        <stp>##V3_BDHV12</stp>
        <stp>RCOM IN Equity</stp>
        <stp>GROWTH_IN_CAP</stp>
        <stp>FY 2018</stp>
        <stp>FY 2018</stp>
        <stp>[FA1_ymffleas.xlsx]Growth!R27C12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7" s="22"/>
      </tp>
      <tp>
        <v>24230</v>
        <stp/>
        <stp>##V3_BDHV12</stp>
        <stp>RCOM IN Equity</stp>
        <stp>ARDR_GENERAL_RESERVES</stp>
        <stp>FY 2017</stp>
        <stp>FY 2017</stp>
        <stp>[FA1_ymffleas.xlsx]Bal Sheet - As Reported!R168C11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8" s="17"/>
      </tp>
      <tp>
        <v>43410</v>
        <stp/>
        <stp>##V3_BDHV12</stp>
        <stp>RCOM IN Equity</stp>
        <stp>ARDR_GENERAL_RESERVES</stp>
        <stp>FY 2016</stp>
        <stp>FY 2016</stp>
        <stp>[FA1_ymffleas.xlsx]Bal Sheet - As Reported!R168C10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8" s="17"/>
      </tp>
      <tp>
        <v>340</v>
        <stp/>
        <stp>##V3_BDHV12</stp>
        <stp>RCOM IN Equity</stp>
        <stp>ARDR_GENERAL_RESERVES</stp>
        <stp>FY 2018</stp>
        <stp>FY 2018</stp>
        <stp>[FA1_ymffleas.xlsx]Bal Sheet - As Reported!R168C12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8" s="17"/>
      </tp>
      <tp>
        <v>-3600</v>
        <stp/>
        <stp>##V3_BDHV12</stp>
        <stp>RCOM IN Equity</stp>
        <stp>CF_CASH_FROM_INV_ACT</stp>
        <stp>FY 2018</stp>
        <stp>FY 2018</stp>
        <stp>[FA1_ymffleas.xlsx]Cash Flow - Standardized!R35C11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5" s="19"/>
      </tp>
      <tp>
        <v>6630</v>
        <stp/>
        <stp>##V3_BDHV12</stp>
        <stp>RCOM IN Equity</stp>
        <stp>CF_CASH_FROM_INV_ACT</stp>
        <stp>FY 2017</stp>
        <stp>FY 2017</stp>
        <stp>[FA1_ymffleas.xlsx]Cash Flow - Standardized!R35C10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5" s="19"/>
      </tp>
      <tp>
        <v>303390</v>
        <stp/>
        <stp>##V3_BDHV12</stp>
        <stp>RCOM IN Equity</stp>
        <stp>ARD_TOTAL_RESERVE</stp>
        <stp>FY 2016</stp>
        <stp>FY 2016</stp>
        <stp>[FA1_ymffleas.xlsx]Bal Sheet - As Reported!R10C10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" s="17"/>
      </tp>
      <tp>
        <v>273250</v>
        <stp/>
        <stp>##V3_BDHV12</stp>
        <stp>RCOM IN Equity</stp>
        <stp>ARD_TOTAL_RESERVE</stp>
        <stp>FY 2017</stp>
        <stp>FY 2017</stp>
        <stp>[FA1_ymffleas.xlsx]Bal Sheet - As Reported!R10C11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" s="17"/>
      </tp>
      <tp>
        <v>14000</v>
        <stp/>
        <stp>##V3_BDHV12</stp>
        <stp>RCOM IN Equity</stp>
        <stp>ARD_TOTAL_RESERVE</stp>
        <stp>FY 2018</stp>
        <stp>FY 2018</stp>
        <stp>[FA1_ymffleas.xlsx]Bal Sheet - As Reported!R10C12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" s="17"/>
      </tp>
      <tp>
        <v>-37.937899999999999</v>
        <stp/>
        <stp>##V3_BDHV12</stp>
        <stp>RCOM IN Equity</stp>
        <stp>GEO_GROW_DILUTED_EPS_CONT_OPS</stp>
        <stp>FY 2017</stp>
        <stp>FY 2017</stp>
        <stp>[FA1_ymffleas.xlsx]Growth!R42C11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2" s="22"/>
      </tp>
      <tp>
        <v>-16.678899999999999</v>
        <stp/>
        <stp>##V3_BDHV12</stp>
        <stp>RCOM IN Equity</stp>
        <stp>GEO_GROW_DILUTED_EPS_CONT_OPS</stp>
        <stp>FY 2016</stp>
        <stp>FY 2016</stp>
        <stp>[FA1_ymffleas.xlsx]Growth!R42C10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2" s="22"/>
      </tp>
      <tp>
        <v>-43.308799999999998</v>
        <stp/>
        <stp>##V3_BDHV12</stp>
        <stp>RCOM IN Equity</stp>
        <stp>GEO_GROW_DILUTED_EPS_CONT_OPS</stp>
        <stp>FY 2018</stp>
        <stp>FY 2018</stp>
        <stp>[FA1_ymffleas.xlsx]Growth!R42C12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2" s="22"/>
      </tp>
      <tp>
        <v>0</v>
        <stp/>
        <stp>##V3_BDHV12</stp>
        <stp>RCOM IN Equity</stp>
        <stp>IS_EXTRAORD_ITEMS_&amp;_ACCTG_CHNG</stp>
        <stp>FY 2017</stp>
        <stp>FY 2017</stp>
        <stp>[FA1_ymffleas.xlsx]Income - Adjusted!R93C10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3" s="9"/>
      </tp>
      <tp>
        <v>0</v>
        <stp/>
        <stp>##V3_BDHV12</stp>
        <stp>RCOM IN Equity</stp>
        <stp>IS_EXTRAORD_ITEMS_&amp;_ACCTG_CHNG</stp>
        <stp>FY 2018</stp>
        <stp>FY 2018</stp>
        <stp>[FA1_ymffleas.xlsx]Income - Adjusted!R93C11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3" s="9"/>
      </tp>
      <tp>
        <v>0</v>
        <stp/>
        <stp>##V3_BDHV12</stp>
        <stp>RCOM IN Equity</stp>
        <stp>OTHER_ADJUSTMENTS</stp>
        <stp>FY 2017</stp>
        <stp>FY 2017</stp>
        <stp>[FA1_ymffleas.xlsx]Income - GAAP!R80C10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0" s="10"/>
      </tp>
      <tp>
        <v>0</v>
        <stp/>
        <stp>##V3_BDHV12</stp>
        <stp>RCOM IN Equity</stp>
        <stp>OTHER_ADJUSTMENTS</stp>
        <stp>FY 2018</stp>
        <stp>FY 2018</stp>
        <stp>[FA1_ymffleas.xlsx]Income - GAAP!R80C11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0" s="10"/>
      </tp>
      <tp t="s">
        <v>—</v>
        <stp/>
        <stp>##V3_BDHV12</stp>
        <stp>RCOM IN Equity</stp>
        <stp>INV_TO_CASH_DAYS</stp>
        <stp>FY 2009</stp>
        <stp>FY 2009</stp>
        <stp>[FA1_ymffleas.xlsx]Working Capital!R14C3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4" s="25"/>
      </tp>
      <tp>
        <v>118570</v>
        <stp/>
        <stp>##V3_BDHV12</stp>
        <stp>RCOM IN Equity</stp>
        <stp>IS_OTHER_OPERATING_EXPENSES</stp>
        <stp>FY 2015</stp>
        <stp>FY 2015</stp>
        <stp>[FA1_ymffleas.xlsx]Income - Adjusted!R33C8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33" s="9"/>
      </tp>
      <tp>
        <v>124610</v>
        <stp/>
        <stp>##V3_BDHV12</stp>
        <stp>RCOM IN Equity</stp>
        <stp>IS_OTHER_OPERATING_EXPENSES</stp>
        <stp>FY 2016</stp>
        <stp>FY 2016</stp>
        <stp>[FA1_ymffleas.xlsx]Income - Adjusted!R33C9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33" s="9"/>
      </tp>
      <tp>
        <v>10.9176</v>
        <stp/>
        <stp>##V3_BDHV12</stp>
        <stp>RCOM IN Equity</stp>
        <stp>AVG_EV_TO_T12M_EBITDA</stp>
        <stp>FY 2018</stp>
        <stp>FY 2018</stp>
        <stp>[FA1_ymffleas.xlsx]Multiples!R42C11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42" s="6"/>
      </tp>
      <tp>
        <v>40730</v>
        <stp/>
        <stp>##V3_BDHV12</stp>
        <stp>RCOM IN Equity</stp>
        <stp>CF_CASH_FROM_OPER</stp>
        <stp>FY 2012</stp>
        <stp>FY 2012</stp>
        <stp>[FA1_ymffleas.xlsx]Addl - Overview!R33C5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3" s="29"/>
      </tp>
      <tp>
        <v>10720</v>
        <stp/>
        <stp>##V3_BDHV12</stp>
        <stp>RCOM IN Equity</stp>
        <stp>CF_CASH_FROM_OPER</stp>
        <stp>FY 2011</stp>
        <stp>FY 2011</stp>
        <stp>[FA1_ymffleas.xlsx]Addl - Overview!R33C4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3" s="29"/>
      </tp>
      <tp>
        <v>38700</v>
        <stp/>
        <stp>##V3_BDHV12</stp>
        <stp>RCOM IN Equity</stp>
        <stp>CF_CASH_FROM_OPER</stp>
        <stp>FY 2014</stp>
        <stp>FY 2014</stp>
        <stp>[FA1_ymffleas.xlsx]Addl - Overview!R33C7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3" s="29"/>
      </tp>
      <tp>
        <v>13700</v>
        <stp/>
        <stp>##V3_BDHV12</stp>
        <stp>RCOM IN Equity</stp>
        <stp>CF_CASH_FROM_OPER</stp>
        <stp>FY 2013</stp>
        <stp>FY 2013</stp>
        <stp>[FA1_ymffleas.xlsx]Addl - Overview!R33C6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3" s="29"/>
      </tp>
      <tp>
        <v>81756.399999999994</v>
        <stp/>
        <stp>##V3_BDHV12</stp>
        <stp>RCOM IN Equity</stp>
        <stp>CF_CASH_FROM_OPER</stp>
        <stp>FY 2010</stp>
        <stp>FY 2010</stp>
        <stp>[FA1_ymffleas.xlsx]Addl - Overview!R33C3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3" s="29"/>
      </tp>
      <tp>
        <v>142210</v>
        <stp/>
        <stp>##V3_BDHV12</stp>
        <stp>RCOM IN Equity</stp>
        <stp>CF_CASH_FROM_OPER</stp>
        <stp>FY 2016</stp>
        <stp>FY 2016</stp>
        <stp>[FA1_ymffleas.xlsx]Addl - Overview!R33C9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3" s="29"/>
      </tp>
      <tp>
        <v>4860</v>
        <stp/>
        <stp>##V3_BDHV12</stp>
        <stp>RCOM IN Equity</stp>
        <stp>CF_CASH_FROM_OPER</stp>
        <stp>FY 2015</stp>
        <stp>FY 2015</stp>
        <stp>[FA1_ymffleas.xlsx]Addl - Overview!R33C8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3" s="29"/>
      </tp>
      <tp>
        <v>109744.8</v>
        <stp/>
        <stp>##V3_BDHV12</stp>
        <stp>RCOM IN Equity</stp>
        <stp>IS_OTHER_OPERATING_EXPENSES</stp>
        <stp>FY 2010</stp>
        <stp>FY 2010</stp>
        <stp>[FA1_ymffleas.xlsx]Income - Adjusted!R33C3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33" s="9"/>
      </tp>
      <tp>
        <v>115580</v>
        <stp/>
        <stp>##V3_BDHV12</stp>
        <stp>RCOM IN Equity</stp>
        <stp>IS_OTHER_OPERATING_EXPENSES</stp>
        <stp>FY 2013</stp>
        <stp>FY 2013</stp>
        <stp>[FA1_ymffleas.xlsx]Income - Adjusted!R33C6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33" s="9"/>
      </tp>
      <tp>
        <v>115120</v>
        <stp/>
        <stp>##V3_BDHV12</stp>
        <stp>RCOM IN Equity</stp>
        <stp>IS_OTHER_OPERATING_EXPENSES</stp>
        <stp>FY 2014</stp>
        <stp>FY 2014</stp>
        <stp>[FA1_ymffleas.xlsx]Income - Adjusted!R33C7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33" s="9"/>
      </tp>
      <tp>
        <v>107800</v>
        <stp/>
        <stp>##V3_BDHV12</stp>
        <stp>RCOM IN Equity</stp>
        <stp>IS_OTHER_OPERATING_EXPENSES</stp>
        <stp>FY 2011</stp>
        <stp>FY 2011</stp>
        <stp>[FA1_ymffleas.xlsx]Income - Adjusted!R33C4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33" s="9"/>
      </tp>
      <tp>
        <v>109250</v>
        <stp/>
        <stp>##V3_BDHV12</stp>
        <stp>RCOM IN Equity</stp>
        <stp>IS_OTHER_OPERATING_EXPENSES</stp>
        <stp>FY 2012</stp>
        <stp>FY 2012</stp>
        <stp>[FA1_ymffleas.xlsx]Income - Adjusted!R33C5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33" s="9"/>
      </tp>
      <tp t="s">
        <v>—</v>
        <stp/>
        <stp>##V3_BDHV12</stp>
        <stp>RCOM IN Equity</stp>
        <stp>EBIT_TO_CASH_INTEREST_PAID</stp>
        <stp>FY 2017</stp>
        <stp>FY 2017</stp>
        <stp>[FA1_ymffleas.xlsx]Credit!R22C11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2" s="23"/>
      </tp>
      <tp>
        <v>43154.1</v>
        <stp/>
        <stp>##V3_BDHV12</stp>
        <stp>RCOM IN Equity</stp>
        <stp>BS_ACCRUAL</stp>
        <stp>FY 2009</stp>
        <stp>FY 2009</stp>
        <stp>[FA1_ymffleas.xlsx]Bal Sheet - Standardized!R83C3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3" s="16"/>
      </tp>
      <tp>
        <v>56270</v>
        <stp/>
        <stp>##V3_BDHV12</stp>
        <stp>RCOM IN Equity</stp>
        <stp>BS_ACCRUAL</stp>
        <stp>FY 2012</stp>
        <stp>FY 2012</stp>
        <stp>[FA1_ymffleas.xlsx]Bal Sheet - Standardized!R83C6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3" s="16"/>
      </tp>
      <tp>
        <v>40880</v>
        <stp/>
        <stp>##V3_BDHV12</stp>
        <stp>RCOM IN Equity</stp>
        <stp>BS_ACCRUAL</stp>
        <stp>FY 2013</stp>
        <stp>FY 2013</stp>
        <stp>[FA1_ymffleas.xlsx]Bal Sheet - Standardized!R83C7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3" s="16"/>
      </tp>
      <tp>
        <v>22775.4</v>
        <stp/>
        <stp>##V3_BDHV12</stp>
        <stp>RCOM IN Equity</stp>
        <stp>BS_ACCRUAL</stp>
        <stp>FY 2010</stp>
        <stp>FY 2010</stp>
        <stp>[FA1_ymffleas.xlsx]Bal Sheet - Standardized!R83C4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3" s="16"/>
      </tp>
      <tp>
        <v>36830</v>
        <stp/>
        <stp>##V3_BDHV12</stp>
        <stp>RCOM IN Equity</stp>
        <stp>BS_ACCRUAL</stp>
        <stp>FY 2011</stp>
        <stp>FY 2011</stp>
        <stp>[FA1_ymffleas.xlsx]Bal Sheet - Standardized!R83C5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3" s="16"/>
      </tp>
      <tp>
        <v>47380</v>
        <stp/>
        <stp>##V3_BDHV12</stp>
        <stp>RCOM IN Equity</stp>
        <stp>BS_ACCRUAL</stp>
        <stp>FY 2014</stp>
        <stp>FY 2014</stp>
        <stp>[FA1_ymffleas.xlsx]Bal Sheet - Standardized!R83C8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3" s="16"/>
      </tp>
      <tp>
        <v>21530</v>
        <stp/>
        <stp>##V3_BDHV12</stp>
        <stp>RCOM IN Equity</stp>
        <stp>BS_ACCRUAL</stp>
        <stp>FY 2015</stp>
        <stp>FY 2015</stp>
        <stp>[FA1_ymffleas.xlsx]Bal Sheet - Standardized!R83C9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3" s="16"/>
      </tp>
      <tp t="s">
        <v>—</v>
        <stp/>
        <stp>##V3_BDHV12</stp>
        <stp>RCOM IN Equity</stp>
        <stp>IS_IMPAIRMENT_ASSETS</stp>
        <stp>FY 2015</stp>
        <stp>FY 2015</stp>
        <stp>[FA1_ymffleas.xlsx]Income - Adjusted!R63C8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3" s="9"/>
      </tp>
      <tp t="s">
        <v>—</v>
        <stp/>
        <stp>##V3_BDHV12</stp>
        <stp>RCOM IN Equity</stp>
        <stp>IS_IMPAIRMENT_ASSETS</stp>
        <stp>FY 2016</stp>
        <stp>FY 2016</stp>
        <stp>[FA1_ymffleas.xlsx]Income - Adjusted!R63C9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3" s="9"/>
      </tp>
      <tp>
        <v>3049.7</v>
        <stp/>
        <stp>##V3_BDHV12</stp>
        <stp>RCOM IN Equity</stp>
        <stp>IS_IMPAIRMENT_ASSETS</stp>
        <stp>FY 2010</stp>
        <stp>FY 2010</stp>
        <stp>[FA1_ymffleas.xlsx]Income - Adjusted!R63C3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3" s="9"/>
      </tp>
      <tp t="s">
        <v>—</v>
        <stp/>
        <stp>##V3_BDHV12</stp>
        <stp>RCOM IN Equity</stp>
        <stp>IS_IMPAIRMENT_ASSETS</stp>
        <stp>FY 2013</stp>
        <stp>FY 2013</stp>
        <stp>[FA1_ymffleas.xlsx]Income - Adjusted!R63C6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3" s="9"/>
      </tp>
      <tp t="s">
        <v>—</v>
        <stp/>
        <stp>##V3_BDHV12</stp>
        <stp>RCOM IN Equity</stp>
        <stp>IS_IMPAIRMENT_ASSETS</stp>
        <stp>FY 2014</stp>
        <stp>FY 2014</stp>
        <stp>[FA1_ymffleas.xlsx]Income - Adjusted!R63C7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3" s="9"/>
      </tp>
      <tp t="s">
        <v>—</v>
        <stp/>
        <stp>##V3_BDHV12</stp>
        <stp>RCOM IN Equity</stp>
        <stp>IS_IMPAIRMENT_ASSETS</stp>
        <stp>FY 2011</stp>
        <stp>FY 2011</stp>
        <stp>[FA1_ymffleas.xlsx]Income - Adjusted!R63C4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3" s="9"/>
      </tp>
      <tp>
        <v>3700</v>
        <stp/>
        <stp>##V3_BDHV12</stp>
        <stp>RCOM IN Equity</stp>
        <stp>IS_IMPAIRMENT_ASSETS</stp>
        <stp>FY 2012</stp>
        <stp>FY 2012</stp>
        <stp>[FA1_ymffleas.xlsx]Income - Adjusted!R63C5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3" s="9"/>
      </tp>
      <tp>
        <v>1.4363000000000001</v>
        <stp/>
        <stp>##V3_BDHV12</stp>
        <stp>RCOM IN Equity</stp>
        <stp>RETURN_ON_ASSET</stp>
        <stp>FY 2011</stp>
        <stp>FY 2011</stp>
        <stp>[FA1_ymffleas.xlsx]Profitability!R8C5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8" s="21"/>
      </tp>
      <tp>
        <v>-15780.6</v>
        <stp/>
        <stp>##V3_BDHV12</stp>
        <stp>RCOM IN Equity</stp>
        <stp>ARD_FINANCIAL_INCOME</stp>
        <stp>FY 2009</stp>
        <stp>FY 2009</stp>
        <stp>[FA1_ymffleas.xlsx]Income - As Reported!R34C3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4" s="11"/>
      </tp>
      <tp>
        <v>-931.5</v>
        <stp/>
        <stp>##V3_BDHV12</stp>
        <stp>RCOM IN Equity</stp>
        <stp>ARD_FINANCIAL_INCOME</stp>
        <stp>FY 2010</stp>
        <stp>FY 2010</stp>
        <stp>[FA1_ymffleas.xlsx]Income - As Reported!R34C4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4" s="11"/>
      </tp>
      <tp t="s">
        <v>—</v>
        <stp/>
        <stp>##V3_BDHV12</stp>
        <stp>RCOM IN Equity</stp>
        <stp>ARD_FINANCIAL_INCOME</stp>
        <stp>FY 2011</stp>
        <stp>FY 2011</stp>
        <stp>[FA1_ymffleas.xlsx]Income - As Reported!R34C5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4" s="11"/>
      </tp>
      <tp t="s">
        <v>—</v>
        <stp/>
        <stp>##V3_BDHV12</stp>
        <stp>RCOM IN Equity</stp>
        <stp>ARD_FINANCIAL_INCOME</stp>
        <stp>FY 2012</stp>
        <stp>FY 2012</stp>
        <stp>[FA1_ymffleas.xlsx]Income - As Reported!R34C6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4" s="11"/>
      </tp>
      <tp t="s">
        <v>—</v>
        <stp/>
        <stp>##V3_BDHV12</stp>
        <stp>RCOM IN Equity</stp>
        <stp>ARD_FINANCIAL_INCOME</stp>
        <stp>FY 2013</stp>
        <stp>FY 2013</stp>
        <stp>[FA1_ymffleas.xlsx]Income - As Reported!R34C7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4" s="11"/>
      </tp>
      <tp t="s">
        <v>—</v>
        <stp/>
        <stp>##V3_BDHV12</stp>
        <stp>RCOM IN Equity</stp>
        <stp>ARD_FINANCIAL_INCOME</stp>
        <stp>FY 2014</stp>
        <stp>FY 2014</stp>
        <stp>[FA1_ymffleas.xlsx]Income - As Reported!R34C8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4" s="11"/>
      </tp>
      <tp t="s">
        <v>—</v>
        <stp/>
        <stp>##V3_BDHV12</stp>
        <stp>RCOM IN Equity</stp>
        <stp>ARD_FINANCIAL_INCOME</stp>
        <stp>FY 2015</stp>
        <stp>FY 2015</stp>
        <stp>[FA1_ymffleas.xlsx]Income - As Reported!R34C9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4" s="11"/>
      </tp>
      <tp>
        <v>124448.98729999999</v>
        <stp/>
        <stp>##V3_BDHV12</stp>
        <stp>RCOM IN Equity</stp>
        <stp>HISTORICAL_MARKET_CAP</stp>
        <stp>FY 2016</stp>
        <stp>FY 2016</stp>
        <stp>[FA1_ymffleas.xlsx]Yield Analysis!R25C10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5" s="26"/>
      </tp>
      <tp>
        <v>60150.343800000002</v>
        <stp/>
        <stp>##V3_BDHV12</stp>
        <stp>RCOM IN Equity</stp>
        <stp>HISTORICAL_MARKET_CAP</stp>
        <stp>FY 2018</stp>
        <stp>FY 2018</stp>
        <stp>[FA1_ymffleas.xlsx]Yield Analysis!R19C12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" s="26"/>
      </tp>
      <tp>
        <v>60150.343800000002</v>
        <stp/>
        <stp>##V3_BDHV12</stp>
        <stp>RCOM IN Equity</stp>
        <stp>HISTORICAL_MARKET_CAP</stp>
        <stp>FY 2018</stp>
        <stp>FY 2018</stp>
        <stp>[FA1_ymffleas.xlsx]Yield Analysis!R10C12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" s="26"/>
      </tp>
      <tp>
        <v>95327.924199999994</v>
        <stp/>
        <stp>##V3_BDHV12</stp>
        <stp>RCOM IN Equity</stp>
        <stp>HISTORICAL_MARKET_CAP</stp>
        <stp>FY 2017</stp>
        <stp>FY 2017</stp>
        <stp>[FA1_ymffleas.xlsx]Yield Analysis!R25C11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5" s="26"/>
      </tp>
      <tp>
        <v>95327.924199999994</v>
        <stp/>
        <stp>##V3_BDHV12</stp>
        <stp>RCOM IN Equity</stp>
        <stp>HISTORICAL_MARKET_CAP</stp>
        <stp>FY 2017</stp>
        <stp>FY 2017</stp>
        <stp>[FA1_ymffleas.xlsx]Yield Analysis!R19C11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" s="26"/>
      </tp>
      <tp>
        <v>95327.924199999994</v>
        <stp/>
        <stp>##V3_BDHV12</stp>
        <stp>RCOM IN Equity</stp>
        <stp>HISTORICAL_MARKET_CAP</stp>
        <stp>FY 2017</stp>
        <stp>FY 2017</stp>
        <stp>[FA1_ymffleas.xlsx]Yield Analysis!R10C11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" s="26"/>
      </tp>
      <tp>
        <v>60150.343800000002</v>
        <stp/>
        <stp>##V3_BDHV12</stp>
        <stp>RCOM IN Equity</stp>
        <stp>HISTORICAL_MARKET_CAP</stp>
        <stp>FY 2018</stp>
        <stp>FY 2018</stp>
        <stp>[FA1_ymffleas.xlsx]Yield Analysis!R25C12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5" s="26"/>
      </tp>
      <tp>
        <v>124448.98729999999</v>
        <stp/>
        <stp>##V3_BDHV12</stp>
        <stp>RCOM IN Equity</stp>
        <stp>HISTORICAL_MARKET_CAP</stp>
        <stp>FY 2016</stp>
        <stp>FY 2016</stp>
        <stp>[FA1_ymffleas.xlsx]Yield Analysis!R19C10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" s="26"/>
      </tp>
      <tp>
        <v>124448.98729999999</v>
        <stp/>
        <stp>##V3_BDHV12</stp>
        <stp>RCOM IN Equity</stp>
        <stp>HISTORICAL_MARKET_CAP</stp>
        <stp>FY 2016</stp>
        <stp>FY 2016</stp>
        <stp>[FA1_ymffleas.xlsx]Yield Analysis!R10C10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" s="26"/>
      </tp>
      <tp>
        <v>485496</v>
        <stp/>
        <stp>##V3_BDHV12</stp>
        <stp>RCOM IN Equity</stp>
        <stp>BS_TOT_LIAB2</stp>
        <stp>FY 2010</stp>
        <stp>FY 2010</stp>
        <stp>[FA1_ymffleas.xlsx]Bal Sheet - Standardized!R131C4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1" s="16"/>
      </tp>
      <tp>
        <v>534000</v>
        <stp/>
        <stp>##V3_BDHV12</stp>
        <stp>RCOM IN Equity</stp>
        <stp>BS_TOT_LIAB2</stp>
        <stp>FY 2011</stp>
        <stp>FY 2011</stp>
        <stp>[FA1_ymffleas.xlsx]Bal Sheet - Standardized!R131C5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1" s="16"/>
      </tp>
      <tp>
        <v>551090</v>
        <stp/>
        <stp>##V3_BDHV12</stp>
        <stp>RCOM IN Equity</stp>
        <stp>BS_TOT_LIAB2</stp>
        <stp>FY 2012</stp>
        <stp>FY 2012</stp>
        <stp>[FA1_ymffleas.xlsx]Bal Sheet - Standardized!R131C6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1" s="16"/>
      </tp>
      <tp>
        <v>556070</v>
        <stp/>
        <stp>##V3_BDHV12</stp>
        <stp>RCOM IN Equity</stp>
        <stp>BS_TOT_LIAB2</stp>
        <stp>FY 2013</stp>
        <stp>FY 2013</stp>
        <stp>[FA1_ymffleas.xlsx]Bal Sheet - Standardized!R131C7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1" s="16"/>
      </tp>
      <tp>
        <v>592717.5</v>
        <stp/>
        <stp>##V3_BDHV12</stp>
        <stp>RCOM IN Equity</stp>
        <stp>BS_TOT_LIAB2</stp>
        <stp>FY 2009</stp>
        <stp>FY 2009</stp>
        <stp>[FA1_ymffleas.xlsx]Bal Sheet - Standardized!R131C3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1" s="16"/>
      </tp>
      <tp>
        <v>572000</v>
        <stp/>
        <stp>##V3_BDHV12</stp>
        <stp>RCOM IN Equity</stp>
        <stp>BS_TOT_LIAB2</stp>
        <stp>FY 2014</stp>
        <stp>FY 2014</stp>
        <stp>[FA1_ymffleas.xlsx]Bal Sheet - Standardized!R131C8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1" s="16"/>
      </tp>
      <tp>
        <v>528360</v>
        <stp/>
        <stp>##V3_BDHV12</stp>
        <stp>RCOM IN Equity</stp>
        <stp>BS_TOT_LIAB2</stp>
        <stp>FY 2015</stp>
        <stp>FY 2015</stp>
        <stp>[FA1_ymffleas.xlsx]Bal Sheet - Standardized!R131C9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1" s="16"/>
      </tp>
      <tp>
        <v>151380</v>
        <stp/>
        <stp>##V3_BDHV12</stp>
        <stp>RCOM IN Equity</stp>
        <stp>BS_SH_CAP_AND_APIC</stp>
        <stp>FY 2015</stp>
        <stp>FY 2015</stp>
        <stp>[FA1_ymffleas.xlsx]Bal Sheet - Standardized!R135C9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5" s="16"/>
      </tp>
      <tp>
        <v>90790</v>
        <stp/>
        <stp>##V3_BDHV12</stp>
        <stp>RCOM IN Equity</stp>
        <stp>BS_SH_CAP_AND_APIC</stp>
        <stp>FY 2014</stp>
        <stp>FY 2014</stp>
        <stp>[FA1_ymffleas.xlsx]Bal Sheet - Standardized!R135C8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5" s="16"/>
      </tp>
      <tp>
        <v>96130</v>
        <stp/>
        <stp>##V3_BDHV12</stp>
        <stp>RCOM IN Equity</stp>
        <stp>BS_SH_CAP_AND_APIC</stp>
        <stp>FY 2011</stp>
        <stp>FY 2011</stp>
        <stp>[FA1_ymffleas.xlsx]Bal Sheet - Standardized!R135C5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5" s="16"/>
      </tp>
      <tp>
        <v>99146.4</v>
        <stp/>
        <stp>##V3_BDHV12</stp>
        <stp>RCOM IN Equity</stp>
        <stp>BS_SH_CAP_AND_APIC</stp>
        <stp>FY 2010</stp>
        <stp>FY 2010</stp>
        <stp>[FA1_ymffleas.xlsx]Bal Sheet - Standardized!R135C4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5" s="16"/>
      </tp>
      <tp>
        <v>90790</v>
        <stp/>
        <stp>##V3_BDHV12</stp>
        <stp>RCOM IN Equity</stp>
        <stp>BS_SH_CAP_AND_APIC</stp>
        <stp>FY 2013</stp>
        <stp>FY 2013</stp>
        <stp>[FA1_ymffleas.xlsx]Bal Sheet - Standardized!R135C7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5" s="16"/>
      </tp>
      <tp>
        <v>90790</v>
        <stp/>
        <stp>##V3_BDHV12</stp>
        <stp>RCOM IN Equity</stp>
        <stp>BS_SH_CAP_AND_APIC</stp>
        <stp>FY 2012</stp>
        <stp>FY 2012</stp>
        <stp>[FA1_ymffleas.xlsx]Bal Sheet - Standardized!R135C6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5" s="16"/>
      </tp>
      <tp>
        <v>102039.4</v>
        <stp/>
        <stp>##V3_BDHV12</stp>
        <stp>RCOM IN Equity</stp>
        <stp>BS_SH_CAP_AND_APIC</stp>
        <stp>FY 2009</stp>
        <stp>FY 2009</stp>
        <stp>[FA1_ymffleas.xlsx]Bal Sheet - Standardized!R135C3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5" s="16"/>
      </tp>
      <tp>
        <v>2.9388999999999998</v>
        <stp/>
        <stp>##V3_BDHV12</stp>
        <stp>RCOM IN Equity</stp>
        <stp>PROF_MARGIN</stp>
        <stp>FY 2016</stp>
        <stp>FY 2016</stp>
        <stp>[FA1_ymffleas.xlsx]Profitability!R18C10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8" s="21"/>
      </tp>
      <tp t="s">
        <v>—</v>
        <stp/>
        <stp>##V3_BDHV12</stp>
        <stp>RCOM IN Equity</stp>
        <stp>T12M_FCF_TO_FIRM_YIELD</stp>
        <stp>FY 2012</stp>
        <stp>FY 2012</stp>
        <stp>[FA1_ymffleas.xlsx]Yield Analysis!R34C6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34" s="26"/>
      </tp>
      <tp>
        <v>-125.0334</v>
        <stp/>
        <stp>##V3_BDHV12</stp>
        <stp>RCOM IN Equity</stp>
        <stp>CFO_SEQUENTIAL_GROWTH</stp>
        <stp>FY 2017</stp>
        <stp>FY 2017</stp>
        <stp>[FA1_ymffleas.xlsx]Growth!R82C11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2" s="22"/>
      </tp>
      <tp>
        <v>12160</v>
        <stp/>
        <stp>##V3_BDHV12</stp>
        <stp>RCOM IN Equity</stp>
        <stp>ARDR_OTHER_PROVISIONS_CURRENT</stp>
        <stp>FY 2016</stp>
        <stp>FY 2016</stp>
        <stp>[FA1_ymffleas.xlsx]Bal Sheet - As Reported!R176C10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6" s="17"/>
      </tp>
      <tp>
        <v>12160</v>
        <stp/>
        <stp>##V3_BDHV12</stp>
        <stp>RCOM IN Equity</stp>
        <stp>ARDR_OTHER_PROVISIONS_CURRENT</stp>
        <stp>FY 2017</stp>
        <stp>FY 2017</stp>
        <stp>[FA1_ymffleas.xlsx]Bal Sheet - As Reported!R176C11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6" s="17"/>
      </tp>
      <tp>
        <v>12160</v>
        <stp/>
        <stp>##V3_BDHV12</stp>
        <stp>RCOM IN Equity</stp>
        <stp>ARDR_OTHER_PROVISIONS_CURRENT</stp>
        <stp>FY 2018</stp>
        <stp>FY 2018</stp>
        <stp>[FA1_ymffleas.xlsx]Bal Sheet - As Reported!R176C12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6" s="17"/>
      </tp>
      <tp>
        <v>2826.1316999999999</v>
        <stp/>
        <stp>##V3_BDHV12</stp>
        <stp>RCOM IN Equity</stp>
        <stp>CFO_SEQUENTIAL_GROWTH</stp>
        <stp>FY 2016</stp>
        <stp>FY 2016</stp>
        <stp>[FA1_ymffleas.xlsx]Growth!R82C10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2" s="22"/>
      </tp>
      <tp t="s">
        <v>—</v>
        <stp/>
        <stp>##V3_BDHV12</stp>
        <stp>RCOM IN Equity</stp>
        <stp>CFO_SEQUENTIAL_GROWTH</stp>
        <stp>FY 2018</stp>
        <stp>FY 2018</stp>
        <stp>[FA1_ymffleas.xlsx]Growth!R82C12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2" s="22"/>
      </tp>
      <tp>
        <v>120</v>
        <stp/>
        <stp>##V3_BDHV12</stp>
        <stp>RCOM IN Equity</stp>
        <stp>IS_DEFERRED_INCOME_TAX_BENEFIT</stp>
        <stp>FY 2018</stp>
        <stp>FY 2018</stp>
        <stp>[FA1_ymffleas.xlsx]Income - Adjusted!R81C11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1" s="9"/>
      </tp>
      <tp>
        <v>-920</v>
        <stp/>
        <stp>##V3_BDHV12</stp>
        <stp>RCOM IN Equity</stp>
        <stp>IS_DEFERRED_INCOME_TAX_BENEFIT</stp>
        <stp>FY 2017</stp>
        <stp>FY 2017</stp>
        <stp>[FA1_ymffleas.xlsx]Income - Adjusted!R81C10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1" s="9"/>
      </tp>
      <tp>
        <v>1550</v>
        <stp/>
        <stp>##V3_BDHV12</stp>
        <stp>RCOM IN Equity</stp>
        <stp>PRETAX_INC</stp>
        <stp>FY 2017</stp>
        <stp>FY 2017</stp>
        <stp>[FA1_ymffleas.xlsx]Earnings!R40C11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40" s="4"/>
      </tp>
      <tp>
        <v>1250</v>
        <stp/>
        <stp>##V3_BDHV12</stp>
        <stp>RCOM IN Equity</stp>
        <stp>EARN_FOR_COMMON</stp>
        <stp>FY 2017</stp>
        <stp>FY 2017</stp>
        <stp>[FA1_ymffleas.xlsx]Adj Highlights!R18C10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8" s="2"/>
      </tp>
      <tp>
        <v>170</v>
        <stp/>
        <stp>##V3_BDHV12</stp>
        <stp>RCOM IN Equity</stp>
        <stp>PRETAX_INC</stp>
        <stp>FY 2016</stp>
        <stp>FY 2016</stp>
        <stp>[FA1_ymffleas.xlsx]Earnings!R40C10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40" s="4"/>
      </tp>
      <tp>
        <v>490</v>
        <stp/>
        <stp>##V3_BDHV12</stp>
        <stp>RCOM IN Equity</stp>
        <stp>EARN_FOR_COMMON</stp>
        <stp>FY 2018</stp>
        <stp>FY 2018</stp>
        <stp>[FA1_ymffleas.xlsx]Adj Highlights!R18C11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8" s="2"/>
      </tp>
      <tp>
        <v>-30</v>
        <stp/>
        <stp>##V3_BDHV12</stp>
        <stp>RCOM IN Equity</stp>
        <stp>PRETAX_INC</stp>
        <stp>FY 2018</stp>
        <stp>FY 2018</stp>
        <stp>[FA1_ymffleas.xlsx]Earnings!R40C12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L40" s="4"/>
      </tp>
      <tp t="s">
        <v>—</v>
        <stp/>
        <stp>##V3_BDHV12</stp>
        <stp>RCOM IN Equity</stp>
        <stp>ARD_FINANCE_INCOME_RECEIVED</stp>
        <stp>FY 2017</stp>
        <stp>FY 2017</stp>
        <stp>[FA1_ymffleas.xlsx]Cash Flow - As Reported!R41C11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1" s="20"/>
      </tp>
      <tp t="s">
        <v>—</v>
        <stp/>
        <stp>##V3_BDHV12</stp>
        <stp>RCOM IN Equity</stp>
        <stp>ARD_FINANCE_INCOME_RECEIVED</stp>
        <stp>FY 2016</stp>
        <stp>FY 2016</stp>
        <stp>[FA1_ymffleas.xlsx]Cash Flow - As Reported!R41C10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1" s="20"/>
      </tp>
      <tp t="s">
        <v>—</v>
        <stp/>
        <stp>##V3_BDHV12</stp>
        <stp>RCOM IN Equity</stp>
        <stp>ARD_FINANCE_INCOME_RECEIVED</stp>
        <stp>FY 2018</stp>
        <stp>FY 2018</stp>
        <stp>[FA1_ymffleas.xlsx]Cash Flow - As Reported!R41C12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1" s="20"/>
      </tp>
      <tp>
        <v>80</v>
        <stp/>
        <stp>##V3_BDHV12</stp>
        <stp>RCOM IN Equity</stp>
        <stp>ARDR_CAPITALIZED_SOFTWARE_NET</stp>
        <stp>FY 2018</stp>
        <stp>FY 2018</stp>
        <stp>[FA1_ymffleas.xlsx]Bal Sheet - As Reported!R112C12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2" s="17"/>
      </tp>
      <tp>
        <v>590</v>
        <stp/>
        <stp>##V3_BDHV12</stp>
        <stp>RCOM IN Equity</stp>
        <stp>ARDR_CAPITALIZED_SOFTWARE_NET</stp>
        <stp>FY 2017</stp>
        <stp>FY 2017</stp>
        <stp>[FA1_ymffleas.xlsx]Bal Sheet - As Reported!R112C11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2" s="17"/>
      </tp>
      <tp>
        <v>680</v>
        <stp/>
        <stp>##V3_BDHV12</stp>
        <stp>RCOM IN Equity</stp>
        <stp>ARDR_CAPITALIZED_SOFTWARE_NET</stp>
        <stp>FY 2016</stp>
        <stp>FY 2016</stp>
        <stp>[FA1_ymffleas.xlsx]Bal Sheet - As Reported!R112C10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2" s="17"/>
      </tp>
      <tp t="s">
        <v>—</v>
        <stp/>
        <stp>##V3_BDHV12</stp>
        <stp>RCOM IN Equity</stp>
        <stp>ARDR_DEFERRED_TAX_NET</stp>
        <stp>FY 2016</stp>
        <stp>FY 2016</stp>
        <stp>[FA1_ymffleas.xlsx]Bal Sheet - As Reported!R140C10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0" s="17"/>
      </tp>
      <tp t="s">
        <v>—</v>
        <stp/>
        <stp>##V3_BDHV12</stp>
        <stp>RCOM IN Equity</stp>
        <stp>ARDR_DEFERRED_TAX_NET</stp>
        <stp>FY 2017</stp>
        <stp>FY 2017</stp>
        <stp>[FA1_ymffleas.xlsx]Bal Sheet - As Reported!R140C11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0" s="17"/>
      </tp>
      <tp t="s">
        <v>—</v>
        <stp/>
        <stp>##V3_BDHV12</stp>
        <stp>RCOM IN Equity</stp>
        <stp>ARDR_DEFERRED_TAX_NET</stp>
        <stp>FY 2018</stp>
        <stp>FY 2018</stp>
        <stp>[FA1_ymffleas.xlsx]Bal Sheet - As Reported!R140C12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0" s="17"/>
      </tp>
      <tp>
        <v>38700</v>
        <stp/>
        <stp>##V3_BDHV12</stp>
        <stp>RCOM IN Equity</stp>
        <stp>TRAIL_12M_CASH_FROM_OPER</stp>
        <stp>FY 2014</stp>
        <stp>FY 2014</stp>
        <stp>[FA1_ymffleas.xlsx]Yield Analysis!R29C8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9" s="26"/>
      </tp>
      <tp>
        <v>4860</v>
        <stp/>
        <stp>##V3_BDHV12</stp>
        <stp>RCOM IN Equity</stp>
        <stp>TRAIL_12M_CASH_FROM_OPER</stp>
        <stp>FY 2015</stp>
        <stp>FY 2015</stp>
        <stp>[FA1_ymffleas.xlsx]Yield Analysis!R29C9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9" s="26"/>
      </tp>
      <tp>
        <v>81756.399999999994</v>
        <stp/>
        <stp>##V3_BDHV12</stp>
        <stp>RCOM IN Equity</stp>
        <stp>TRAIL_12M_CASH_FROM_OPER</stp>
        <stp>FY 2010</stp>
        <stp>FY 2010</stp>
        <stp>[FA1_ymffleas.xlsx]Yield Analysis!R29C4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9" s="26"/>
      </tp>
      <tp>
        <v>10720</v>
        <stp/>
        <stp>##V3_BDHV12</stp>
        <stp>RCOM IN Equity</stp>
        <stp>TRAIL_12M_CASH_FROM_OPER</stp>
        <stp>FY 2011</stp>
        <stp>FY 2011</stp>
        <stp>[FA1_ymffleas.xlsx]Yield Analysis!R29C5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9" s="26"/>
      </tp>
      <tp>
        <v>40730</v>
        <stp/>
        <stp>##V3_BDHV12</stp>
        <stp>RCOM IN Equity</stp>
        <stp>TRAIL_12M_CASH_FROM_OPER</stp>
        <stp>FY 2012</stp>
        <stp>FY 2012</stp>
        <stp>[FA1_ymffleas.xlsx]Yield Analysis!R29C6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9" s="26"/>
      </tp>
      <tp>
        <v>13700</v>
        <stp/>
        <stp>##V3_BDHV12</stp>
        <stp>RCOM IN Equity</stp>
        <stp>TRAIL_12M_CASH_FROM_OPER</stp>
        <stp>FY 2013</stp>
        <stp>FY 2013</stp>
        <stp>[FA1_ymffleas.xlsx]Yield Analysis!R29C7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9" s="26"/>
      </tp>
      <tp>
        <v>51300.9</v>
        <stp/>
        <stp>##V3_BDHV12</stp>
        <stp>RCOM IN Equity</stp>
        <stp>TRAIL_12M_CASH_FROM_OPER</stp>
        <stp>FY 2009</stp>
        <stp>FY 2009</stp>
        <stp>[FA1_ymffleas.xlsx]Yield Analysis!R29C3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9" s="26"/>
      </tp>
      <tp>
        <v>2.5705999999999998</v>
        <stp/>
        <stp>##V3_BDHV12</stp>
        <stp>RCOM IN Equity</stp>
        <stp>ACCOUNTS_PAYABLE_GROWTH_1YR</stp>
        <stp>FY 2018</stp>
        <stp>FY 2018</stp>
        <stp>[FA1_ymffleas.xlsx]Growth!R23C12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3" s="22"/>
      </tp>
      <tp>
        <v>10.759399999999999</v>
        <stp/>
        <stp>##V3_BDHV12</stp>
        <stp>RCOM IN Equity</stp>
        <stp>CASH_ST_INVESTMENTS_PER_SH</stp>
        <stp>FY 2015</stp>
        <stp>FY 2015</stp>
        <stp>[FA1_ymffleas.xlsx]Per Share!R25C8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5" s="7"/>
      </tp>
      <tp>
        <v>-17.818200000000001</v>
        <stp/>
        <stp>##V3_BDHV12</stp>
        <stp>RCOM IN Equity</stp>
        <stp>ACCOUNTS_PAYABLE_GROWTH_1YR</stp>
        <stp>FY 2017</stp>
        <stp>FY 2017</stp>
        <stp>[FA1_ymffleas.xlsx]Growth!R23C11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3" s="22"/>
      </tp>
      <tp>
        <v>6.0949</v>
        <stp/>
        <stp>##V3_BDHV12</stp>
        <stp>RCOM IN Equity</stp>
        <stp>CASH_ST_INVESTMENTS_PER_SH</stp>
        <stp>FY 2016</stp>
        <stp>FY 2016</stp>
        <stp>[FA1_ymffleas.xlsx]Per Share!R25C9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5" s="7"/>
      </tp>
      <tp>
        <v>-6.9448999999999996</v>
        <stp/>
        <stp>##V3_BDHV12</stp>
        <stp>RCOM IN Equity</stp>
        <stp>ACCOUNTS_PAYABLE_GROWTH_1YR</stp>
        <stp>FY 2016</stp>
        <stp>FY 2016</stp>
        <stp>[FA1_ymffleas.xlsx]Growth!R23C10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3" s="22"/>
      </tp>
      <tp>
        <v>60.45</v>
        <stp/>
        <stp>##V3_BDHV12</stp>
        <stp>RCOM IN Equity</stp>
        <stp>PX_HIGH</stp>
        <stp>FY 2017</stp>
        <stp>FY 2017</stp>
        <stp>[FA1_ymffleas.xlsx]Multiples!R52C10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52" s="6"/>
      </tp>
      <tp>
        <v>41.77</v>
        <stp/>
        <stp>##V3_BDHV12</stp>
        <stp>RCOM IN Equity</stp>
        <stp>PX_HIGH</stp>
        <stp>FY 2018</stp>
        <stp>FY 2018</stp>
        <stp>[FA1_ymffleas.xlsx]Multiples!R52C11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52" s="6"/>
      </tp>
      <tp>
        <v>23.538799999999998</v>
        <stp/>
        <stp>##V3_BDHV12</stp>
        <stp>RCOM IN Equity</stp>
        <stp>CASH_ST_INVESTMENTS_PER_SH</stp>
        <stp>FY 2010</stp>
        <stp>FY 2010</stp>
        <stp>[FA1_ymffleas.xlsx]Per Share!R25C3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5" s="7"/>
      </tp>
      <tp>
        <v>2110</v>
        <stp/>
        <stp>##V3_BDHV12</stp>
        <stp>RCOM IN Equity</stp>
        <stp>ARD_PROCEEDS_FROM_INVESTMENTS</stp>
        <stp>FY 2018</stp>
        <stp>FY 2018</stp>
        <stp>[FA1_ymffleas.xlsx]Cash Flow - As Reported!R45C12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5" s="20"/>
      </tp>
      <tp>
        <v>33200</v>
        <stp/>
        <stp>##V3_BDHV12</stp>
        <stp>RCOM IN Equity</stp>
        <stp>ARD_PROCEEDS_FROM_INVESTMENTS</stp>
        <stp>FY 2016</stp>
        <stp>FY 2016</stp>
        <stp>[FA1_ymffleas.xlsx]Cash Flow - As Reported!R45C10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5" s="20"/>
      </tp>
      <tp>
        <v>3370</v>
        <stp/>
        <stp>##V3_BDHV12</stp>
        <stp>RCOM IN Equity</stp>
        <stp>ARD_PROCEEDS_FROM_INVESTMENTS</stp>
        <stp>FY 2017</stp>
        <stp>FY 2017</stp>
        <stp>[FA1_ymffleas.xlsx]Cash Flow - As Reported!R45C11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5" s="20"/>
      </tp>
      <tp t="s">
        <v>—</v>
        <stp/>
        <stp>##V3_BDHV12</stp>
        <stp>RCOM IN Equity</stp>
        <stp>CF_CHANGE_IN_ACCOUNTS_PAYABLE</stp>
        <stp>FY 2016</stp>
        <stp>FY 2016</stp>
        <stp>[FA1_ymffleas.xlsx]Cash Flow - Standardized!R13C9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" s="19"/>
      </tp>
      <tp t="s">
        <v>—</v>
        <stp/>
        <stp>##V3_BDHV12</stp>
        <stp>RCOM IN Equity</stp>
        <stp>CF_CHANGE_IN_ACCOUNTS_PAYABLE</stp>
        <stp>FY 2015</stp>
        <stp>FY 2015</stp>
        <stp>[FA1_ymffleas.xlsx]Cash Flow - Standardized!R13C8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" s="19"/>
      </tp>
      <tp t="s">
        <v>—</v>
        <stp/>
        <stp>##V3_BDHV12</stp>
        <stp>RCOM IN Equity</stp>
        <stp>CF_CHANGE_IN_ACCOUNTS_PAYABLE</stp>
        <stp>FY 2014</stp>
        <stp>FY 2014</stp>
        <stp>[FA1_ymffleas.xlsx]Cash Flow - Standardized!R13C7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" s="19"/>
      </tp>
      <tp t="s">
        <v>—</v>
        <stp/>
        <stp>##V3_BDHV12</stp>
        <stp>RCOM IN Equity</stp>
        <stp>CF_CHANGE_IN_ACCOUNTS_PAYABLE</stp>
        <stp>FY 2013</stp>
        <stp>FY 2013</stp>
        <stp>[FA1_ymffleas.xlsx]Cash Flow - Standardized!R13C6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" s="19"/>
      </tp>
      <tp t="s">
        <v>—</v>
        <stp/>
        <stp>##V3_BDHV12</stp>
        <stp>RCOM IN Equity</stp>
        <stp>CF_CHANGE_IN_ACCOUNTS_PAYABLE</stp>
        <stp>FY 2012</stp>
        <stp>FY 2012</stp>
        <stp>[FA1_ymffleas.xlsx]Cash Flow - Standardized!R13C5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" s="19"/>
      </tp>
      <tp t="s">
        <v>—</v>
        <stp/>
        <stp>##V3_BDHV12</stp>
        <stp>RCOM IN Equity</stp>
        <stp>CF_CHANGE_IN_ACCOUNTS_PAYABLE</stp>
        <stp>FY 2011</stp>
        <stp>FY 2011</stp>
        <stp>[FA1_ymffleas.xlsx]Cash Flow - Standardized!R13C4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" s="19"/>
      </tp>
      <tp>
        <v>9299.7999999999993</v>
        <stp/>
        <stp>##V3_BDHV12</stp>
        <stp>RCOM IN Equity</stp>
        <stp>CF_CHANGE_IN_ACCOUNTS_PAYABLE</stp>
        <stp>FY 2010</stp>
        <stp>FY 2010</stp>
        <stp>[FA1_ymffleas.xlsx]Cash Flow - Standardized!R13C3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" s="19"/>
      </tp>
      <tp>
        <v>6.2111999999999998</v>
        <stp/>
        <stp>##V3_BDHV12</stp>
        <stp>RCOM IN Equity</stp>
        <stp>CASH_ST_INVESTMENTS_PER_SH</stp>
        <stp>FY 2013</stp>
        <stp>FY 2013</stp>
        <stp>[FA1_ymffleas.xlsx]Per Share!R25C6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5" s="7"/>
      </tp>
      <tp>
        <v>5.3730000000000002</v>
        <stp/>
        <stp>##V3_BDHV12</stp>
        <stp>RCOM IN Equity</stp>
        <stp>CASH_ST_INVESTMENTS_PER_SH</stp>
        <stp>FY 2014</stp>
        <stp>FY 2014</stp>
        <stp>[FA1_ymffleas.xlsx]Per Share!R25C7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5" s="7"/>
      </tp>
      <tp>
        <v>25.7652</v>
        <stp/>
        <stp>##V3_BDHV12</stp>
        <stp>RCOM IN Equity</stp>
        <stp>CASH_ST_INVESTMENTS_PER_SH</stp>
        <stp>FY 2011</stp>
        <stp>FY 2011</stp>
        <stp>[FA1_ymffleas.xlsx]Per Share!R25C4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5" s="7"/>
      </tp>
      <tp>
        <v>-36810</v>
        <stp/>
        <stp>##V3_BDHV12</stp>
        <stp>RCOM IN Equity</stp>
        <stp>ARD_DECR_IN_LT_BORROW</stp>
        <stp>FY 2018</stp>
        <stp>FY 2018</stp>
        <stp>[FA1_ymffleas.xlsx]Cash Flow - As Reported!R56C12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6" s="20"/>
      </tp>
      <tp>
        <v>-49170</v>
        <stp/>
        <stp>##V3_BDHV12</stp>
        <stp>RCOM IN Equity</stp>
        <stp>ARD_DECR_IN_LT_BORROW</stp>
        <stp>FY 2016</stp>
        <stp>FY 2016</stp>
        <stp>[FA1_ymffleas.xlsx]Cash Flow - As Reported!R56C10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6" s="20"/>
      </tp>
      <tp>
        <v>-62110</v>
        <stp/>
        <stp>##V3_BDHV12</stp>
        <stp>RCOM IN Equity</stp>
        <stp>ARD_DECR_IN_LT_BORROW</stp>
        <stp>FY 2017</stp>
        <stp>FY 2017</stp>
        <stp>[FA1_ymffleas.xlsx]Cash Flow - As Reported!R56C11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6" s="20"/>
      </tp>
      <tp>
        <v>5.1791999999999998</v>
        <stp/>
        <stp>##V3_BDHV12</stp>
        <stp>RCOM IN Equity</stp>
        <stp>CASH_ST_INVESTMENTS_PER_SH</stp>
        <stp>FY 2012</stp>
        <stp>FY 2012</stp>
        <stp>[FA1_ymffleas.xlsx]Per Share!R25C5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5" s="7"/>
      </tp>
      <tp t="s">
        <v>—</v>
        <stp/>
        <stp>##V3_BDHV12</stp>
        <stp>RCOM IN Equity</stp>
        <stp>EBIT_TO_CASH_INTEREST_PAID</stp>
        <stp>FY 2016</stp>
        <stp>FY 2016</stp>
        <stp>[FA1_ymffleas.xlsx]Credit!R22C10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2" s="23"/>
      </tp>
      <tp>
        <v>11.959199999999999</v>
        <stp/>
        <stp>##V3_BDHV12</stp>
        <stp>RCOM IN Equity</stp>
        <stp>PX_ERN_RATIO_WITH_HIGH_CLOS_PX</stp>
        <stp>FY 2010</stp>
        <stp>FY 2010</stp>
        <stp>[FA1_ymffleas.xlsx]Multiples!R8C3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" s="6"/>
      </tp>
      <tp>
        <v>19.777799999999999</v>
        <stp/>
        <stp>##V3_BDHV12</stp>
        <stp>RCOM IN Equity</stp>
        <stp>PX_ERN_RATIO_WITH_HIGH_CLOS_PX</stp>
        <stp>FY 2013</stp>
        <stp>FY 2013</stp>
        <stp>[FA1_ymffleas.xlsx]Multiples!R8C6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" s="6"/>
      </tp>
      <tp>
        <v>49.309800000000003</v>
        <stp/>
        <stp>##V3_BDHV12</stp>
        <stp>RCOM IN Equity</stp>
        <stp>PX_ERN_RATIO_WITH_HIGH_CLOS_PX</stp>
        <stp>FY 2014</stp>
        <stp>FY 2014</stp>
        <stp>[FA1_ymffleas.xlsx]Multiples!R8C7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" s="6"/>
      </tp>
      <tp>
        <v>16.5199</v>
        <stp/>
        <stp>##V3_BDHV12</stp>
        <stp>RCOM IN Equity</stp>
        <stp>PX_ERN_RATIO_WITH_HIGH_CLOS_PX</stp>
        <stp>FY 2011</stp>
        <stp>FY 2011</stp>
        <stp>[FA1_ymffleas.xlsx]Multiples!R8C4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" s="6"/>
      </tp>
      <tp>
        <v>18.677800000000001</v>
        <stp/>
        <stp>##V3_BDHV12</stp>
        <stp>RCOM IN Equity</stp>
        <stp>PX_ERN_RATIO_WITH_HIGH_CLOS_PX</stp>
        <stp>FY 2012</stp>
        <stp>FY 2012</stp>
        <stp>[FA1_ymffleas.xlsx]Multiples!R8C5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" s="6"/>
      </tp>
      <tp>
        <v>8090</v>
        <stp/>
        <stp>##V3_BDHV12</stp>
        <stp>RCOM IN Equity</stp>
        <stp>ARDR_CUSTOMER_DEPOSIT_ADV_ST</stp>
        <stp>FY 2017</stp>
        <stp>FY 2017</stp>
        <stp>[FA1_ymffleas.xlsx]Bal Sheet - As Reported!R121C11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1" s="17"/>
      </tp>
      <tp>
        <v>11110</v>
        <stp/>
        <stp>##V3_BDHV12</stp>
        <stp>RCOM IN Equity</stp>
        <stp>ARDR_CUSTOMER_DEPOSIT_ADV_ST</stp>
        <stp>FY 2016</stp>
        <stp>FY 2016</stp>
        <stp>[FA1_ymffleas.xlsx]Bal Sheet - As Reported!R121C10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1" s="17"/>
      </tp>
      <tp>
        <v>650</v>
        <stp/>
        <stp>##V3_BDHV12</stp>
        <stp>RCOM IN Equity</stp>
        <stp>ARDR_CUSTOMER_DEPOSIT_ADV_ST</stp>
        <stp>FY 2018</stp>
        <stp>FY 2018</stp>
        <stp>[FA1_ymffleas.xlsx]Bal Sheet - As Reported!R121C12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1" s="17"/>
      </tp>
      <tp>
        <v>30.532499999999999</v>
        <stp/>
        <stp>##V3_BDHV12</stp>
        <stp>RCOM IN Equity</stp>
        <stp>PX_ERN_RATIO_WITH_HIGH_CLOS_PX</stp>
        <stp>FY 2015</stp>
        <stp>FY 2015</stp>
        <stp>[FA1_ymffleas.xlsx]Multiples!R8C8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" s="6"/>
      </tp>
      <tp>
        <v>0</v>
        <stp/>
        <stp>##V3_BDHV12</stp>
        <stp>RCOM IN Equity</stp>
        <stp>EQY_DPS</stp>
        <stp>FY 2017</stp>
        <stp>FY 2017</stp>
        <stp>[FA1_ymffleas.xlsx]Income - Adjusted!R128C10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28" s="9"/>
      </tp>
      <tp>
        <v>29.704899999999999</v>
        <stp/>
        <stp>##V3_BDHV12</stp>
        <stp>RCOM IN Equity</stp>
        <stp>PX_ERN_RATIO_WITH_HIGH_CLOS_PX</stp>
        <stp>FY 2016</stp>
        <stp>FY 2016</stp>
        <stp>[FA1_ymffleas.xlsx]Multiples!R8C9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" s="6"/>
      </tp>
      <tp>
        <v>0</v>
        <stp/>
        <stp>##V3_BDHV12</stp>
        <stp>RCOM IN Equity</stp>
        <stp>EQY_DPS</stp>
        <stp>FY 2018</stp>
        <stp>FY 2018</stp>
        <stp>[FA1_ymffleas.xlsx]Income - Adjusted!R128C11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28" s="9"/>
      </tp>
      <tp t="s">
        <v>—</v>
        <stp/>
        <stp>##V3_BDHV12</stp>
        <stp>RCOM IN Equity</stp>
        <stp>ARDR_DILUTED_EPS_BEF_XO_ITEMS</stp>
        <stp>FY 2011</stp>
        <stp>FY 2011</stp>
        <stp>[FA1_ymffleas.xlsx]Income - As Reported!R82C5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2" s="11"/>
      </tp>
      <tp>
        <v>4.7798999999999996</v>
        <stp/>
        <stp>##V3_BDHV12</stp>
        <stp>RCOM IN Equity</stp>
        <stp>RETURN_ON_ASSET</stp>
        <stp>FY 2010</stp>
        <stp>FY 2010</stp>
        <stp>[FA1_ymffleas.xlsx]Profitability!R8C4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8" s="21"/>
      </tp>
      <tp t="s">
        <v>—</v>
        <stp/>
        <stp>##V3_BDHV12</stp>
        <stp>RCOM IN Equity</stp>
        <stp>ARDR_DILUTED_EPS_BEF_XO_ITEMS</stp>
        <stp>FY 2010</stp>
        <stp>FY 2010</stp>
        <stp>[FA1_ymffleas.xlsx]Income - As Reported!R82C4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2" s="11"/>
      </tp>
      <tp t="s">
        <v>—</v>
        <stp/>
        <stp>##V3_BDHV12</stp>
        <stp>RCOM IN Equity</stp>
        <stp>ARDR_DILUTED_EPS_BEF_XO_ITEMS</stp>
        <stp>FY 2013</stp>
        <stp>FY 2013</stp>
        <stp>[FA1_ymffleas.xlsx]Income - As Reported!R82C7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2" s="11"/>
      </tp>
      <tp>
        <v>4.41</v>
        <stp/>
        <stp>##V3_BDHV12</stp>
        <stp>RCOM IN Equity</stp>
        <stp>ARDR_DILUTED_EPS_BEF_XO_ITEMS</stp>
        <stp>FY 2012</stp>
        <stp>FY 2012</stp>
        <stp>[FA1_ymffleas.xlsx]Income - As Reported!R82C6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2" s="11"/>
      </tp>
      <tp t="s">
        <v>—</v>
        <stp/>
        <stp>##V3_BDHV12</stp>
        <stp>RCOM IN Equity</stp>
        <stp>ARD_DISC_OPS_PER_SH_BASIC_DIL</stp>
        <stp>FY 2015</stp>
        <stp>FY 2015</stp>
        <stp>[FA1_ymffleas.xlsx]Income - As Reported!R46C9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6" s="11"/>
      </tp>
      <tp t="s">
        <v>—</v>
        <stp/>
        <stp>##V3_BDHV12</stp>
        <stp>RCOM IN Equity</stp>
        <stp>ARDR_DILUTED_EPS_BEF_XO_ITEMS</stp>
        <stp>FY 2009</stp>
        <stp>FY 2009</stp>
        <stp>[FA1_ymffleas.xlsx]Income - As Reported!R82C3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2" s="11"/>
      </tp>
      <tp t="s">
        <v>—</v>
        <stp/>
        <stp>##V3_BDHV12</stp>
        <stp>RCOM IN Equity</stp>
        <stp>ARD_DISC_OPS_PER_SH_BASIC_DIL</stp>
        <stp>FY 2014</stp>
        <stp>FY 2014</stp>
        <stp>[FA1_ymffleas.xlsx]Income - As Reported!R46C8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6" s="11"/>
      </tp>
      <tp t="s">
        <v>—</v>
        <stp/>
        <stp>##V3_BDHV12</stp>
        <stp>RCOM IN Equity</stp>
        <stp>ARD_DISC_OPS_PER_SH_BASIC_DIL</stp>
        <stp>FY 2013</stp>
        <stp>FY 2013</stp>
        <stp>[FA1_ymffleas.xlsx]Income - As Reported!R46C7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6" s="11"/>
      </tp>
      <tp t="s">
        <v>—</v>
        <stp/>
        <stp>##V3_BDHV12</stp>
        <stp>RCOM IN Equity</stp>
        <stp>ARD_DISC_OPS_PER_SH_BASIC_DIL</stp>
        <stp>FY 2012</stp>
        <stp>FY 2012</stp>
        <stp>[FA1_ymffleas.xlsx]Income - As Reported!R46C6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6" s="11"/>
      </tp>
      <tp t="s">
        <v>—</v>
        <stp/>
        <stp>##V3_BDHV12</stp>
        <stp>RCOM IN Equity</stp>
        <stp>ARD_DISC_OPS_PER_SH_BASIC_DIL</stp>
        <stp>FY 2011</stp>
        <stp>FY 2011</stp>
        <stp>[FA1_ymffleas.xlsx]Income - As Reported!R46C5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6" s="11"/>
      </tp>
      <tp t="s">
        <v>—</v>
        <stp/>
        <stp>##V3_BDHV12</stp>
        <stp>RCOM IN Equity</stp>
        <stp>ARD_DISC_OPS_PER_SH_BASIC_DIL</stp>
        <stp>FY 2010</stp>
        <stp>FY 2010</stp>
        <stp>[FA1_ymffleas.xlsx]Income - As Reported!R46C4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6" s="11"/>
      </tp>
      <tp t="s">
        <v>—</v>
        <stp/>
        <stp>##V3_BDHV12</stp>
        <stp>RCOM IN Equity</stp>
        <stp>ARD_DISC_OPS_PER_SH_BASIC_DIL</stp>
        <stp>FY 2009</stp>
        <stp>FY 2009</stp>
        <stp>[FA1_ymffleas.xlsx]Income - As Reported!R46C3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6" s="11"/>
      </tp>
      <tp t="s">
        <v>—</v>
        <stp/>
        <stp>##V3_BDHV12</stp>
        <stp>RCOM IN Equity</stp>
        <stp>ARDR_DILUTED_EPS_BEF_XO_ITEMS</stp>
        <stp>FY 2015</stp>
        <stp>FY 2015</stp>
        <stp>[FA1_ymffleas.xlsx]Income - As Reported!R82C9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2" s="11"/>
      </tp>
      <tp t="s">
        <v>—</v>
        <stp/>
        <stp>##V3_BDHV12</stp>
        <stp>RCOM IN Equity</stp>
        <stp>ARDR_DILUTED_EPS_BEF_XO_ITEMS</stp>
        <stp>FY 2014</stp>
        <stp>FY 2014</stp>
        <stp>[FA1_ymffleas.xlsx]Income - As Reported!R82C8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2" s="11"/>
      </tp>
      <tp>
        <v>44260</v>
        <stp/>
        <stp>##V3_BDHV12</stp>
        <stp>RCOM IN Equity</stp>
        <stp>EXTERN_EQY_FNC</stp>
        <stp>FY 2015</stp>
        <stp>FY 2015</stp>
        <stp>[FA1_ymffleas.xlsx]Sources of Capital!R13C9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13" s="32"/>
      </tp>
      <tp>
        <v>-21010</v>
        <stp/>
        <stp>##V3_BDHV12</stp>
        <stp>RCOM IN Equity</stp>
        <stp>EXTERN_EQY_FNC</stp>
        <stp>FY 2014</stp>
        <stp>FY 2014</stp>
        <stp>[FA1_ymffleas.xlsx]Sources of Capital!R13C8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13" s="32"/>
      </tp>
      <tp t="s">
        <v>—</v>
        <stp/>
        <stp>##V3_BDHV12</stp>
        <stp>RCOM IN Equity</stp>
        <stp>ARD_CHANGE_IN_ACCOUNTS_PAYABLE</stp>
        <stp>FY 2017</stp>
        <stp>FY 2017</stp>
        <stp>[FA1_ymffleas.xlsx]Cash Flow - As Reported!R13C11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" s="20"/>
      </tp>
      <tp t="s">
        <v>—</v>
        <stp/>
        <stp>##V3_BDHV12</stp>
        <stp>RCOM IN Equity</stp>
        <stp>ARD_CHANGE_IN_ACCOUNTS_PAYABLE</stp>
        <stp>FY 2016</stp>
        <stp>FY 2016</stp>
        <stp>[FA1_ymffleas.xlsx]Cash Flow - As Reported!R13C10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" s="20"/>
      </tp>
      <tp t="s">
        <v>—</v>
        <stp/>
        <stp>##V3_BDHV12</stp>
        <stp>RCOM IN Equity</stp>
        <stp>ARD_CHANGE_IN_ACCOUNTS_PAYABLE</stp>
        <stp>FY 2018</stp>
        <stp>FY 2018</stp>
        <stp>[FA1_ymffleas.xlsx]Cash Flow - As Reported!R13C12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" s="20"/>
      </tp>
      <tp>
        <v>73741.8</v>
        <stp/>
        <stp>##V3_BDHV12</stp>
        <stp>RCOM IN Equity</stp>
        <stp>EXTERN_EQY_FNC</stp>
        <stp>FY 2009</stp>
        <stp>FY 2009</stp>
        <stp>[FA1_ymffleas.xlsx]Sources of Capital!R13C3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13" s="32"/>
      </tp>
      <tp>
        <v>-30660</v>
        <stp/>
        <stp>##V3_BDHV12</stp>
        <stp>RCOM IN Equity</stp>
        <stp>EXTERN_EQY_FNC</stp>
        <stp>FY 2013</stp>
        <stp>FY 2013</stp>
        <stp>[FA1_ymffleas.xlsx]Sources of Capital!R13C7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13" s="32"/>
      </tp>
      <tp>
        <v>-50790</v>
        <stp/>
        <stp>##V3_BDHV12</stp>
        <stp>RCOM IN Equity</stp>
        <stp>EXTERN_EQY_FNC</stp>
        <stp>FY 2012</stp>
        <stp>FY 2012</stp>
        <stp>[FA1_ymffleas.xlsx]Sources of Capital!R13C6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13" s="32"/>
      </tp>
      <tp>
        <v>-41036.400000000001</v>
        <stp/>
        <stp>##V3_BDHV12</stp>
        <stp>RCOM IN Equity</stp>
        <stp>EXTERN_EQY_FNC</stp>
        <stp>FY 2011</stp>
        <stp>FY 2011</stp>
        <stp>[FA1_ymffleas.xlsx]Sources of Capital!R13C5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13" s="32"/>
      </tp>
      <tp>
        <v>-33992.400000000001</v>
        <stp/>
        <stp>##V3_BDHV12</stp>
        <stp>RCOM IN Equity</stp>
        <stp>EXTERN_EQY_FNC</stp>
        <stp>FY 2010</stp>
        <stp>FY 2010</stp>
        <stp>[FA1_ymffleas.xlsx]Sources of Capital!R13C4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13" s="32"/>
      </tp>
      <tp>
        <v>-30.311599999999999</v>
        <stp/>
        <stp>##V3_BDHV12</stp>
        <stp>RCOM IN Equity</stp>
        <stp>FREE_CASH_FLOW_PER_SH</stp>
        <stp>FY 2017</stp>
        <stp>FY 2017</stp>
        <stp>[FA1_ymffleas.xlsx]Cash Flow - Standardized!R64C10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4" s="19"/>
      </tp>
      <tp>
        <v>-3.8639000000000001</v>
        <stp/>
        <stp>##V3_BDHV12</stp>
        <stp>RCOM IN Equity</stp>
        <stp>FREE_CASH_FLOW_PER_SH</stp>
        <stp>FY 2018</stp>
        <stp>FY 2018</stp>
        <stp>[FA1_ymffleas.xlsx]Cash Flow - Standardized!R64C11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4" s="19"/>
      </tp>
      <tp>
        <v>-21.4068</v>
        <stp/>
        <stp>##V3_BDHV12</stp>
        <stp>RCOM IN Equity</stp>
        <stp>PROF_MARGIN</stp>
        <stp>FY 2017</stp>
        <stp>FY 2017</stp>
        <stp>[FA1_ymffleas.xlsx]Profitability!R18C11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8" s="21"/>
      </tp>
      <tp>
        <v>40</v>
        <stp/>
        <stp>##V3_BDHV12</stp>
        <stp>RCOM IN Equity</stp>
        <stp>ARD_PENSION_RELATED_ADJUSTMENTS</stp>
        <stp>FY 2018</stp>
        <stp>FY 2018</stp>
        <stp>[FA1_ymffleas.xlsx]Income - As Reported!R54C12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4" s="11"/>
      </tp>
      <tp>
        <v>-10</v>
        <stp/>
        <stp>##V3_BDHV12</stp>
        <stp>RCOM IN Equity</stp>
        <stp>ARD_PENSION_RELATED_ADJUSTMENTS</stp>
        <stp>FY 2016</stp>
        <stp>FY 2016</stp>
        <stp>[FA1_ymffleas.xlsx]Income - As Reported!R54C10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4" s="11"/>
      </tp>
      <tp>
        <v>-10</v>
        <stp/>
        <stp>##V3_BDHV12</stp>
        <stp>RCOM IN Equity</stp>
        <stp>ARD_PENSION_RELATED_ADJUSTMENTS</stp>
        <stp>FY 2017</stp>
        <stp>FY 2017</stp>
        <stp>[FA1_ymffleas.xlsx]Income - As Reported!R54C11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4" s="11"/>
      </tp>
      <tp>
        <v>2.5259</v>
        <stp/>
        <stp>##V3_BDHV12</stp>
        <stp>RCOM IN Equity</stp>
        <stp>T12M_FCF_TO_FIRM_YIELD</stp>
        <stp>FY 2013</stp>
        <stp>FY 2013</stp>
        <stp>[FA1_ymffleas.xlsx]Yield Analysis!R34C7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34" s="26"/>
      </tp>
      <tp>
        <v>1.6958</v>
        <stp/>
        <stp>##V3_BDHV12</stp>
        <stp>RCOM IN Equity</stp>
        <stp>PX_TO_SALES_RATIO</stp>
        <stp>FY 2010</stp>
        <stp>FY 2010</stp>
        <stp>[FA1_ymffleas.xlsx]Multiples!R21C3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1" s="6"/>
      </tp>
      <tp>
        <v>29.873899999999999</v>
        <stp/>
        <stp>##V3_BDHV12</stp>
        <stp>RCOM IN Equity</stp>
        <stp>PRETAX_INC_TO_NET_SALES</stp>
        <stp>FY 2009</stp>
        <stp>FY 2009</stp>
        <stp>[FA1_ymffleas.xlsx]Profitability!R16C3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6" s="21"/>
      </tp>
      <tp>
        <v>-91.232799999999997</v>
        <stp/>
        <stp>##V3_BDHV12</stp>
        <stp>RCOM IN Equity</stp>
        <stp>BPS_SEQUENTIAL_GROWTH</stp>
        <stp>FY 2018</stp>
        <stp>FY 2018</stp>
        <stp>[FA1_ymffleas.xlsx]Growth!R80C12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0" s="22"/>
      </tp>
      <tp>
        <v>-9.5431000000000008</v>
        <stp/>
        <stp>##V3_BDHV12</stp>
        <stp>RCOM IN Equity</stp>
        <stp>BPS_SEQUENTIAL_GROWTH</stp>
        <stp>FY 2017</stp>
        <stp>FY 2017</stp>
        <stp>[FA1_ymffleas.xlsx]Growth!R80C11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0" s="22"/>
      </tp>
      <tp>
        <v>-16.746600000000001</v>
        <stp/>
        <stp>##V3_BDHV12</stp>
        <stp>RCOM IN Equity</stp>
        <stp>BPS_SEQUENTIAL_GROWTH</stp>
        <stp>FY 2016</stp>
        <stp>FY 2016</stp>
        <stp>[FA1_ymffleas.xlsx]Growth!R80C10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0" s="22"/>
      </tp>
      <tp>
        <v>477640</v>
        <stp/>
        <stp>##V3_BDHV12</stp>
        <stp>RCOM IN Equity</stp>
        <stp>IS_OTHER_ADJ_COMP_INC</stp>
        <stp>FY 2018</stp>
        <stp>FY 2018</stp>
        <stp>[FA1_ymffleas.xlsx]Comprehensive Income!R10C11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" s="33"/>
      </tp>
      <tp>
        <v>-10</v>
        <stp/>
        <stp>##V3_BDHV12</stp>
        <stp>RCOM IN Equity</stp>
        <stp>IS_OTHER_ADJ_COMP_INC</stp>
        <stp>FY 2017</stp>
        <stp>FY 2017</stp>
        <stp>[FA1_ymffleas.xlsx]Comprehensive Income!R10C10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" s="33"/>
      </tp>
      <tp>
        <v>22.553000000000001</v>
        <stp/>
        <stp>##V3_BDHV12</stp>
        <stp>RCOM IN Equity</stp>
        <stp>IS_EPS</stp>
        <stp>FY 2010</stp>
        <stp>FY 2010</stp>
        <stp>[FA1_ymffleas.xlsx]Comprehensive Income!R15C3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5" s="33"/>
      </tp>
      <tp>
        <v>-3.5034000000000001</v>
        <stp/>
        <stp>##V3_BDHV12</stp>
        <stp>RCOM IN Equity</stp>
        <stp>SHAREHOLDER_YIELD_CFF</stp>
        <stp>FY 2016</stp>
        <stp>FY 2016</stp>
        <stp>[FA1_ymffleas.xlsx]Yield Analysis!R20C10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0" s="26"/>
      </tp>
      <tp>
        <v>-33.0229</v>
        <stp/>
        <stp>##V3_BDHV12</stp>
        <stp>RCOM IN Equity</stp>
        <stp>SHAREHOLDER_YIELD_CFF</stp>
        <stp>FY 2017</stp>
        <stp>FY 2017</stp>
        <stp>[FA1_ymffleas.xlsx]Yield Analysis!R20C11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0" s="26"/>
      </tp>
      <tp>
        <v>-9.2934000000000001</v>
        <stp/>
        <stp>##V3_BDHV12</stp>
        <stp>RCOM IN Equity</stp>
        <stp>SHAREHOLDER_YIELD_CFF</stp>
        <stp>FY 2018</stp>
        <stp>FY 2018</stp>
        <stp>[FA1_ymffleas.xlsx]Yield Analysis!R20C12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0" s="26"/>
      </tp>
      <tp>
        <v>67060</v>
        <stp/>
        <stp>##V3_BDHV12</stp>
        <stp>RCOM IN Equity</stp>
        <stp>EBITDA</stp>
        <stp>FY 2014</stp>
        <stp>FY 2014</stp>
        <stp>[FA1_ymffleas.xlsx]Earnings!R29C8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29" s="4"/>
      </tp>
      <tp>
        <v>72060</v>
        <stp/>
        <stp>##V3_BDHV12</stp>
        <stp>RCOM IN Equity</stp>
        <stp>EBITDA</stp>
        <stp>FY 2015</stp>
        <stp>FY 2015</stp>
        <stp>[FA1_ymffleas.xlsx]Earnings!R29C9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29" s="4"/>
      </tp>
      <tp>
        <v>7140</v>
        <stp/>
        <stp>##V3_BDHV12</stp>
        <stp>RCOM IN Equity</stp>
        <stp>NET_INCOME</stp>
        <stp>FY 2015</stp>
        <stp>FY 2015</stp>
        <stp>[FA1_ymffleas.xlsx]Income - GAAP!R77C8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77" s="10"/>
      </tp>
      <tp>
        <v>-1.5758000000000001</v>
        <stp/>
        <stp>##V3_BDHV12</stp>
        <stp>RCOM IN Equity</stp>
        <stp>CASH_FLOW_PER_SH</stp>
        <stp>FY 2018</stp>
        <stp>FY 2018</stp>
        <stp>[FA1_ymffleas.xlsx]Addl - Overview!R34C11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4" s="29"/>
      </tp>
      <tp>
        <v>6390</v>
        <stp/>
        <stp>##V3_BDHV12</stp>
        <stp>RCOM IN Equity</stp>
        <stp>NET_INCOME</stp>
        <stp>FY 2016</stp>
        <stp>FY 2016</stp>
        <stp>[FA1_ymffleas.xlsx]Income - GAAP!R77C9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77" s="10"/>
      </tp>
      <tp>
        <v>-14.426399999999999</v>
        <stp/>
        <stp>##V3_BDHV12</stp>
        <stp>RCOM IN Equity</stp>
        <stp>CASH_FLOW_PER_SH</stp>
        <stp>FY 2017</stp>
        <stp>FY 2017</stp>
        <stp>[FA1_ymffleas.xlsx]Addl - Overview!R34C10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4" s="29"/>
      </tp>
      <tp>
        <v>31.760999999999999</v>
        <stp/>
        <stp>##V3_BDHV12</stp>
        <stp>RCOM IN Equity</stp>
        <stp>AVERAGE_PRICE_TO_CASH_FLOW</stp>
        <stp>FY 2016</stp>
        <stp>FY 2016</stp>
        <stp>[FA1_ymffleas.xlsx]Multiples!R27C9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7" s="6"/>
      </tp>
      <tp>
        <v>0</v>
        <stp/>
        <stp>##V3_BDHV12</stp>
        <stp>RCOM IN Equity</stp>
        <stp>PROC_FR_REPURCH_EQTY_DETAILED</stp>
        <stp>FY 2010</stp>
        <stp>FY 2010</stp>
        <stp>[FA1_ymffleas.xlsx]Cash Flow - Standardized!R43C3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3" s="19"/>
      </tp>
      <tp>
        <v>0</v>
        <stp/>
        <stp>##V3_BDHV12</stp>
        <stp>RCOM IN Equity</stp>
        <stp>PROC_FR_REPURCH_EQTY_DETAILED</stp>
        <stp>FY 2011</stp>
        <stp>FY 2011</stp>
        <stp>[FA1_ymffleas.xlsx]Cash Flow - Standardized!R43C4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3" s="19"/>
      </tp>
      <tp>
        <v>0</v>
        <stp/>
        <stp>##V3_BDHV12</stp>
        <stp>RCOM IN Equity</stp>
        <stp>PROC_FR_REPURCH_EQTY_DETAILED</stp>
        <stp>FY 2012</stp>
        <stp>FY 2012</stp>
        <stp>[FA1_ymffleas.xlsx]Cash Flow - Standardized!R43C5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3" s="19"/>
      </tp>
      <tp>
        <v>0</v>
        <stp/>
        <stp>##V3_BDHV12</stp>
        <stp>RCOM IN Equity</stp>
        <stp>PROC_FR_REPURCH_EQTY_DETAILED</stp>
        <stp>FY 2013</stp>
        <stp>FY 2013</stp>
        <stp>[FA1_ymffleas.xlsx]Cash Flow - Standardized!R43C6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3" s="19"/>
      </tp>
      <tp>
        <v>5.82</v>
        <stp/>
        <stp>##V3_BDHV12</stp>
        <stp>RCOM IN Equity</stp>
        <stp>AVERAGE_PRICE_TO_CASH_FLOW</stp>
        <stp>FY 2015</stp>
        <stp>FY 2015</stp>
        <stp>[FA1_ymffleas.xlsx]Multiples!R27C8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7" s="6"/>
      </tp>
      <tp>
        <v>0</v>
        <stp/>
        <stp>##V3_BDHV12</stp>
        <stp>RCOM IN Equity</stp>
        <stp>PROC_FR_REPURCH_EQTY_DETAILED</stp>
        <stp>FY 2014</stp>
        <stp>FY 2014</stp>
        <stp>[FA1_ymffleas.xlsx]Cash Flow - Standardized!R43C7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3" s="19"/>
      </tp>
      <tp>
        <v>60710</v>
        <stp/>
        <stp>##V3_BDHV12</stp>
        <stp>RCOM IN Equity</stp>
        <stp>PROC_FR_REPURCH_EQTY_DETAILED</stp>
        <stp>FY 2015</stp>
        <stp>FY 2015</stp>
        <stp>[FA1_ymffleas.xlsx]Cash Flow - Standardized!R43C8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3" s="19"/>
      </tp>
      <tp>
        <v>0</v>
        <stp/>
        <stp>##V3_BDHV12</stp>
        <stp>RCOM IN Equity</stp>
        <stp>PROC_FR_REPURCH_EQTY_DETAILED</stp>
        <stp>FY 2016</stp>
        <stp>FY 2016</stp>
        <stp>[FA1_ymffleas.xlsx]Cash Flow - Standardized!R43C9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3" s="19"/>
      </tp>
      <tp>
        <v>18.763400000000001</v>
        <stp/>
        <stp>##V3_BDHV12</stp>
        <stp>RCOM IN Equity</stp>
        <stp>AVERAGE_PRICE_TO_CASH_FLOW</stp>
        <stp>FY 2014</stp>
        <stp>FY 2014</stp>
        <stp>[FA1_ymffleas.xlsx]Multiples!R27C7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7" s="6"/>
      </tp>
      <tp>
        <v>13450</v>
        <stp/>
        <stp>##V3_BDHV12</stp>
        <stp>RCOM IN Equity</stp>
        <stp>NET_INCOME</stp>
        <stp>FY 2011</stp>
        <stp>FY 2011</stp>
        <stp>[FA1_ymffleas.xlsx]Income - GAAP!R77C4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77" s="10"/>
      </tp>
      <tp>
        <v>3.4054000000000002</v>
        <stp/>
        <stp>##V3_BDHV12</stp>
        <stp>RCOM IN Equity</stp>
        <stp>AVERAGE_PRICE_TO_CASH_FLOW</stp>
        <stp>FY 2013</stp>
        <stp>FY 2013</stp>
        <stp>[FA1_ymffleas.xlsx]Multiples!R27C6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7" s="6"/>
      </tp>
      <tp>
        <v>9280</v>
        <stp/>
        <stp>##V3_BDHV12</stp>
        <stp>RCOM IN Equity</stp>
        <stp>NET_INCOME</stp>
        <stp>FY 2012</stp>
        <stp>FY 2012</stp>
        <stp>[FA1_ymffleas.xlsx]Income - GAAP!R77C5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77" s="10"/>
      </tp>
      <tp>
        <v>16.778500000000001</v>
        <stp/>
        <stp>##V3_BDHV12</stp>
        <stp>RCOM IN Equity</stp>
        <stp>AVERAGE_PRICE_TO_CASH_FLOW</stp>
        <stp>FY 2012</stp>
        <stp>FY 2012</stp>
        <stp>[FA1_ymffleas.xlsx]Multiples!R27C5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7" s="6"/>
      </tp>
      <tp>
        <v>6720</v>
        <stp/>
        <stp>##V3_BDHV12</stp>
        <stp>RCOM IN Equity</stp>
        <stp>NET_INCOME</stp>
        <stp>FY 2013</stp>
        <stp>FY 2013</stp>
        <stp>[FA1_ymffleas.xlsx]Income - GAAP!R77C6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77" s="10"/>
      </tp>
      <tp>
        <v>3.9258999999999999</v>
        <stp/>
        <stp>##V3_BDHV12</stp>
        <stp>RCOM IN Equity</stp>
        <stp>AVERAGE_PRICE_TO_CASH_FLOW</stp>
        <stp>FY 2011</stp>
        <stp>FY 2011</stp>
        <stp>[FA1_ymffleas.xlsx]Multiples!R27C4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7" s="6"/>
      </tp>
      <tp>
        <v>10470</v>
        <stp/>
        <stp>##V3_BDHV12</stp>
        <stp>RCOM IN Equity</stp>
        <stp>NET_INCOME</stp>
        <stp>FY 2014</stp>
        <stp>FY 2014</stp>
        <stp>[FA1_ymffleas.xlsx]Income - GAAP!R77C7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77" s="10"/>
      </tp>
      <tp>
        <v>87306.8</v>
        <stp/>
        <stp>##V3_BDHV12</stp>
        <stp>RCOM IN Equity</stp>
        <stp>EBITDA</stp>
        <stp>FY 2009</stp>
        <stp>FY 2009</stp>
        <stp>[FA1_ymffleas.xlsx]Earnings!R29C3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29" s="4"/>
      </tp>
      <tp>
        <v>9.1915999999999993</v>
        <stp/>
        <stp>##V3_BDHV12</stp>
        <stp>RCOM IN Equity</stp>
        <stp>AVERAGE_PRICE_TO_CASH_FLOW</stp>
        <stp>FY 2010</stp>
        <stp>FY 2010</stp>
        <stp>[FA1_ymffleas.xlsx]Multiples!R27C3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7" s="6"/>
      </tp>
      <tp>
        <v>69890.399999999994</v>
        <stp/>
        <stp>##V3_BDHV12</stp>
        <stp>RCOM IN Equity</stp>
        <stp>EBITDA</stp>
        <stp>FY 2010</stp>
        <stp>FY 2010</stp>
        <stp>[FA1_ymffleas.xlsx]Earnings!R29C4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29" s="4"/>
      </tp>
      <tp>
        <v>83760</v>
        <stp/>
        <stp>##V3_BDHV12</stp>
        <stp>RCOM IN Equity</stp>
        <stp>EBITDA</stp>
        <stp>FY 2011</stp>
        <stp>FY 2011</stp>
        <stp>[FA1_ymffleas.xlsx]Earnings!R29C5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29" s="4"/>
      </tp>
      <tp>
        <v>57950</v>
        <stp/>
        <stp>##V3_BDHV12</stp>
        <stp>RCOM IN Equity</stp>
        <stp>EBITDA</stp>
        <stp>FY 2012</stp>
        <stp>FY 2012</stp>
        <stp>[FA1_ymffleas.xlsx]Earnings!R29C6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29" s="4"/>
      </tp>
      <tp>
        <v>46550</v>
        <stp/>
        <stp>##V3_BDHV12</stp>
        <stp>RCOM IN Equity</stp>
        <stp>NET_INCOME</stp>
        <stp>FY 2010</stp>
        <stp>FY 2010</stp>
        <stp>[FA1_ymffleas.xlsx]Income - GAAP!R77C3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77" s="10"/>
      </tp>
      <tp>
        <v>59410</v>
        <stp/>
        <stp>##V3_BDHV12</stp>
        <stp>RCOM IN Equity</stp>
        <stp>EBITDA</stp>
        <stp>FY 2013</stp>
        <stp>FY 2013</stp>
        <stp>[FA1_ymffleas.xlsx]Earnings!R29C7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29" s="4"/>
      </tp>
      <tp>
        <v>287350</v>
        <stp/>
        <stp>##V3_BDHV12</stp>
        <stp>RCOM IN Equity</stp>
        <stp>ARDR_ACCUMULATED_DEPREC</stp>
        <stp>FY 2017</stp>
        <stp>FY 2017</stp>
        <stp>[FA1_ymffleas.xlsx]Bal Sheet - As Reported!R73C11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3" s="17"/>
      </tp>
      <tp>
        <v>261970</v>
        <stp/>
        <stp>##V3_BDHV12</stp>
        <stp>RCOM IN Equity</stp>
        <stp>ARDR_ACCUMULATED_DEPREC</stp>
        <stp>FY 2016</stp>
        <stp>FY 2016</stp>
        <stp>[FA1_ymffleas.xlsx]Bal Sheet - As Reported!R73C10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3" s="17"/>
      </tp>
      <tp>
        <v>241490</v>
        <stp/>
        <stp>##V3_BDHV12</stp>
        <stp>RCOM IN Equity</stp>
        <stp>ARDR_ACCUMULATED_DEPREC</stp>
        <stp>FY 2018</stp>
        <stp>FY 2018</stp>
        <stp>[FA1_ymffleas.xlsx]Bal Sheet - As Reported!R73C12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3" s="17"/>
      </tp>
      <tp>
        <v>3.3891999999999998</v>
        <stp/>
        <stp>##V3_BDHV12</stp>
        <stp>RCOM IN Equity</stp>
        <stp>TOTAL_DEBT_1_YEAR_GROWTH</stp>
        <stp>FY 2018</stp>
        <stp>FY 2018</stp>
        <stp>[FA1_ymffleas.xlsx]Growth!R25C12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5" s="22"/>
      </tp>
      <tp>
        <v>9.1407000000000007</v>
        <stp/>
        <stp>##V3_BDHV12</stp>
        <stp>RCOM IN Equity</stp>
        <stp>TOTAL_DEBT_1_YEAR_GROWTH</stp>
        <stp>FY 2016</stp>
        <stp>FY 2016</stp>
        <stp>[FA1_ymffleas.xlsx]Growth!R25C10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5" s="22"/>
      </tp>
      <tp>
        <v>4.8513000000000002</v>
        <stp/>
        <stp>##V3_BDHV12</stp>
        <stp>RCOM IN Equity</stp>
        <stp>TOTAL_DEBT_1_YEAR_GROWTH</stp>
        <stp>FY 2017</stp>
        <stp>FY 2017</stp>
        <stp>[FA1_ymffleas.xlsx]Growth!R25C11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5" s="22"/>
      </tp>
      <tp>
        <v>571665.39630000002</v>
        <stp/>
        <stp>##V3_BDHV12</stp>
        <stp>RCOM IN Equity</stp>
        <stp>HIGH_ENTERPRISE_VALUE</stp>
        <stp>FY 2017</stp>
        <stp>FY 2017</stp>
        <stp>[FA1_ymffleas.xlsx]Multiples!R57C10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7" s="6"/>
      </tp>
      <tp>
        <v>549740.37320000003</v>
        <stp/>
        <stp>##V3_BDHV12</stp>
        <stp>RCOM IN Equity</stp>
        <stp>HIGH_ENTERPRISE_VALUE</stp>
        <stp>FY 2018</stp>
        <stp>FY 2018</stp>
        <stp>[FA1_ymffleas.xlsx]Multiples!R57C11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7" s="6"/>
      </tp>
      <tp t="s">
        <v>—</v>
        <stp/>
        <stp>##V3_BDHV12</stp>
        <stp>RCOM IN Equity</stp>
        <stp>DEPR_EXP_TO_NET_SALES</stp>
        <stp>FY 2018</stp>
        <stp>FY 2018</stp>
        <stp>[FA1_ymffleas.xlsx]CAPEX &amp; Depreciation!R7C12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7" s="28"/>
      </tp>
      <tp>
        <v>-1.8182</v>
        <stp/>
        <stp>##V3_BDHV12</stp>
        <stp>RCOM IN Equity</stp>
        <stp>INT_BURDEN</stp>
        <stp>FY 2018</stp>
        <stp>FY 2018</stp>
        <stp>[FA1_ymffleas.xlsx]DuPont Analysis!R11C12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1" s="27"/>
      </tp>
      <tp>
        <v>21880</v>
        <stp/>
        <stp>##V3_BDHV12</stp>
        <stp>RCOM IN Equity</stp>
        <stp>ARDR_NOTES_PAYABLE_LT</stp>
        <stp>FY 2015</stp>
        <stp>FY 2015</stp>
        <stp>[FA1_ymffleas.xlsx]Bal Sheet - As Reported!R88C9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8" s="17"/>
      </tp>
      <tp>
        <v>0</v>
        <stp/>
        <stp>##V3_BDHV12</stp>
        <stp>RCOM IN Equity</stp>
        <stp>ARDR_NOTES_PAYABLE_LT</stp>
        <stp>FY 2014</stp>
        <stp>FY 2014</stp>
        <stp>[FA1_ymffleas.xlsx]Bal Sheet - As Reported!R88C8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8" s="17"/>
      </tp>
      <tp t="s">
        <v>—</v>
        <stp/>
        <stp>##V3_BDHV12</stp>
        <stp>RCOM IN Equity</stp>
        <stp>ARDR_NOTES_PAYABLE_LT</stp>
        <stp>FY 2011</stp>
        <stp>FY 2011</stp>
        <stp>[FA1_ymffleas.xlsx]Bal Sheet - As Reported!R88C5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8" s="17"/>
      </tp>
      <tp t="s">
        <v>—</v>
        <stp/>
        <stp>##V3_BDHV12</stp>
        <stp>RCOM IN Equity</stp>
        <stp>ARDR_NOTES_PAYABLE_LT</stp>
        <stp>FY 2010</stp>
        <stp>FY 2010</stp>
        <stp>[FA1_ymffleas.xlsx]Bal Sheet - As Reported!R88C4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8" s="17"/>
      </tp>
      <tp t="s">
        <v>—</v>
        <stp/>
        <stp>##V3_BDHV12</stp>
        <stp>RCOM IN Equity</stp>
        <stp>ARDR_NOTES_PAYABLE_LT</stp>
        <stp>FY 2013</stp>
        <stp>FY 2013</stp>
        <stp>[FA1_ymffleas.xlsx]Bal Sheet - As Reported!R88C7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8" s="17"/>
      </tp>
      <tp t="s">
        <v>—</v>
        <stp/>
        <stp>##V3_BDHV12</stp>
        <stp>RCOM IN Equity</stp>
        <stp>ARDR_NOTES_PAYABLE_LT</stp>
        <stp>FY 2012</stp>
        <stp>FY 2012</stp>
        <stp>[FA1_ymffleas.xlsx]Bal Sheet - As Reported!R88C6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8" s="17"/>
      </tp>
      <tp t="s">
        <v>—</v>
        <stp/>
        <stp>##V3_BDHV12</stp>
        <stp>RCOM IN Equity</stp>
        <stp>ARDR_NOTES_PAYABLE_LT</stp>
        <stp>FY 2009</stp>
        <stp>FY 2009</stp>
        <stp>[FA1_ymffleas.xlsx]Bal Sheet - As Reported!R88C3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8" s="17"/>
      </tp>
      <tp>
        <v>-720</v>
        <stp/>
        <stp>##V3_BDHV12</stp>
        <stp>RCOM IN Equity</stp>
        <stp>ARD_OTHER_FINANCING_ACTIVITIES</stp>
        <stp>FY 2018</stp>
        <stp>FY 2018</stp>
        <stp>[FA1_ymffleas.xlsx]Cash Flow - As Reported!R60C12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0" s="20"/>
      </tp>
      <tp>
        <v>-32970</v>
        <stp/>
        <stp>##V3_BDHV12</stp>
        <stp>RCOM IN Equity</stp>
        <stp>ARD_OTHER_FINANCING_ACTIVITIES</stp>
        <stp>FY 2016</stp>
        <stp>FY 2016</stp>
        <stp>[FA1_ymffleas.xlsx]Cash Flow - As Reported!R60C10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0" s="20"/>
      </tp>
      <tp>
        <v>-1640</v>
        <stp/>
        <stp>##V3_BDHV12</stp>
        <stp>RCOM IN Equity</stp>
        <stp>ARD_OTHER_FINANCING_ACTIVITIES</stp>
        <stp>FY 2017</stp>
        <stp>FY 2017</stp>
        <stp>[FA1_ymffleas.xlsx]Cash Flow - As Reported!R60C11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0" s="20"/>
      </tp>
      <tp t="s">
        <v>—</v>
        <stp/>
        <stp>##V3_BDHV12</stp>
        <stp>RCOM IN Equity</stp>
        <stp>T12M_FCF_TO_FIRM_YIELD</stp>
        <stp>FY 2014</stp>
        <stp>FY 2014</stp>
        <stp>[FA1_ymffleas.xlsx]Yield Analysis!R34C8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34" s="26"/>
      </tp>
      <tp>
        <v>-12830</v>
        <stp/>
        <stp>##V3_BDHV12</stp>
        <stp>RCOM IN Equity</stp>
        <stp>NI_INCLUDING_MINORITY_INT_RATIO</stp>
        <stp>FY 2017</stp>
        <stp>FY 2017</stp>
        <stp>[FA1_ymffleas.xlsx]Income - Adjusted!R95C10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95" s="9"/>
      </tp>
      <tp>
        <v>-239070</v>
        <stp/>
        <stp>##V3_BDHV12</stp>
        <stp>RCOM IN Equity</stp>
        <stp>NI_INCLUDING_MINORITY_INT_RATIO</stp>
        <stp>FY 2018</stp>
        <stp>FY 2018</stp>
        <stp>[FA1_ymffleas.xlsx]Income - Adjusted!R95C11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95" s="9"/>
      </tp>
      <tp>
        <v>222496.79199999999</v>
        <stp/>
        <stp>##V3_BDHV12</stp>
        <stp>RCOM IN Equity</stp>
        <stp>BEST_SALES</stp>
        <stp>FY 2014</stp>
        <stp>FY 2014</stp>
        <stp>[FA1_ymffleas.xlsx]Earnings!R7C8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" s="4"/>
      </tp>
      <tp>
        <v>220799.1</v>
        <stp/>
        <stp>##V3_BDHV12</stp>
        <stp>RCOM IN Equity</stp>
        <stp>BEST_SALES</stp>
        <stp>FY 2015</stp>
        <stp>FY 2015</stp>
        <stp>[FA1_ymffleas.xlsx]Earnings!R7C9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" s="4"/>
      </tp>
      <tp>
        <v>230027.90299999999</v>
        <stp/>
        <stp>##V3_BDHV12</stp>
        <stp>RCOM IN Equity</stp>
        <stp>BEST_SALES</stp>
        <stp>FY 2010</stp>
        <stp>FY 2010</stp>
        <stp>[FA1_ymffleas.xlsx]Earnings!R7C4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" s="4"/>
      </tp>
      <tp>
        <v>206553.31400000001</v>
        <stp/>
        <stp>##V3_BDHV12</stp>
        <stp>RCOM IN Equity</stp>
        <stp>BEST_SALES</stp>
        <stp>FY 2011</stp>
        <stp>FY 2011</stp>
        <stp>[FA1_ymffleas.xlsx]Earnings!R7C5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" s="4"/>
      </tp>
      <tp>
        <v>201820.09700000001</v>
        <stp/>
        <stp>##V3_BDHV12</stp>
        <stp>RCOM IN Equity</stp>
        <stp>BEST_SALES</stp>
        <stp>FY 2012</stp>
        <stp>FY 2012</stp>
        <stp>[FA1_ymffleas.xlsx]Earnings!R7C6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" s="4"/>
      </tp>
      <tp>
        <v>211496.71400000001</v>
        <stp/>
        <stp>##V3_BDHV12</stp>
        <stp>RCOM IN Equity</stp>
        <stp>BEST_SALES</stp>
        <stp>FY 2013</stp>
        <stp>FY 2013</stp>
        <stp>[FA1_ymffleas.xlsx]Earnings!R7C7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" s="4"/>
      </tp>
      <tp>
        <v>490</v>
        <stp/>
        <stp>##V3_BDHV12</stp>
        <stp>RCOM IN Equity</stp>
        <stp>EARN_FOR_COMMON</stp>
        <stp>FY 2018</stp>
        <stp>FY 2018</stp>
        <stp>[FA1_ymffleas.xlsx]Income - Adjusted!R105C11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05" s="9"/>
      </tp>
      <tp>
        <v>1250</v>
        <stp/>
        <stp>##V3_BDHV12</stp>
        <stp>RCOM IN Equity</stp>
        <stp>EARN_FOR_COMMON</stp>
        <stp>FY 2017</stp>
        <stp>FY 2017</stp>
        <stp>[FA1_ymffleas.xlsx]Income - Adjusted!R105C10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05" s="9"/>
      </tp>
      <tp>
        <v>228268</v>
        <stp/>
        <stp>##V3_BDHV12</stp>
        <stp>RCOM IN Equity</stp>
        <stp>BEST_SALES</stp>
        <stp>FY 2009</stp>
        <stp>FY 2009</stp>
        <stp>[FA1_ymffleas.xlsx]Earnings!R7C3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" s="4"/>
      </tp>
      <tp>
        <v>138940</v>
        <stp/>
        <stp>##V3_BDHV12</stp>
        <stp>RCOM IN Equity</stp>
        <stp>ARDR_ADDITIONAL_PAID_IN_CAPITAL</stp>
        <stp>FY 2017</stp>
        <stp>FY 2017</stp>
        <stp>[FA1_ymffleas.xlsx]Bal Sheet - As Reported!R96C11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6" s="17"/>
      </tp>
      <tp>
        <v>138940</v>
        <stp/>
        <stp>##V3_BDHV12</stp>
        <stp>RCOM IN Equity</stp>
        <stp>ARDR_ADDITIONAL_PAID_IN_CAPITAL</stp>
        <stp>FY 2016</stp>
        <stp>FY 2016</stp>
        <stp>[FA1_ymffleas.xlsx]Bal Sheet - As Reported!R96C10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6" s="17"/>
      </tp>
      <tp>
        <v>138940</v>
        <stp/>
        <stp>##V3_BDHV12</stp>
        <stp>RCOM IN Equity</stp>
        <stp>ARDR_ADDITIONAL_PAID_IN_CAPITAL</stp>
        <stp>FY 2018</stp>
        <stp>FY 2018</stp>
        <stp>[FA1_ymffleas.xlsx]Bal Sheet - As Reported!R96C12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6" s="17"/>
      </tp>
      <tp>
        <v>10.155099999999999</v>
        <stp/>
        <stp>##V3_BDHV12</stp>
        <stp>RCOM IN Equity</stp>
        <stp>LOW_EV_TO_T12M_EBITDA</stp>
        <stp>FY 2018</stp>
        <stp>FY 2018</stp>
        <stp>[FA1_ymffleas.xlsx]Multiples!R44C11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44" s="6"/>
      </tp>
      <tp t="s">
        <v>—</v>
        <stp/>
        <stp>##V3_BDHV12</stp>
        <stp>RCOM IN Equity</stp>
        <stp>IS_IMPAIRMENT_ASSETS</stp>
        <stp>FY 2011</stp>
        <stp>FY 2011</stp>
        <stp>[FA1_ymffleas.xlsx]Reconciliation!R29C4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9" s="12"/>
      </tp>
      <tp>
        <v>3700</v>
        <stp/>
        <stp>##V3_BDHV12</stp>
        <stp>RCOM IN Equity</stp>
        <stp>IS_IMPAIRMENT_ASSETS</stp>
        <stp>FY 2012</stp>
        <stp>FY 2012</stp>
        <stp>[FA1_ymffleas.xlsx]Reconciliation!R29C5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9" s="12"/>
      </tp>
      <tp t="s">
        <v>—</v>
        <stp/>
        <stp>##V3_BDHV12</stp>
        <stp>RCOM IN Equity</stp>
        <stp>IS_IMPAIRMENT_ASSETS</stp>
        <stp>FY 2013</stp>
        <stp>FY 2013</stp>
        <stp>[FA1_ymffleas.xlsx]Reconciliation!R29C6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9" s="12"/>
      </tp>
      <tp t="s">
        <v>—</v>
        <stp/>
        <stp>##V3_BDHV12</stp>
        <stp>RCOM IN Equity</stp>
        <stp>IS_IMPAIRMENT_ASSETS</stp>
        <stp>FY 2014</stp>
        <stp>FY 2014</stp>
        <stp>[FA1_ymffleas.xlsx]Reconciliation!R29C7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9" s="12"/>
      </tp>
      <tp>
        <v>3049.7</v>
        <stp/>
        <stp>##V3_BDHV12</stp>
        <stp>RCOM IN Equity</stp>
        <stp>IS_IMPAIRMENT_ASSETS</stp>
        <stp>FY 2010</stp>
        <stp>FY 2010</stp>
        <stp>[FA1_ymffleas.xlsx]Reconciliation!R29C3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9" s="12"/>
      </tp>
      <tp t="s">
        <v>—</v>
        <stp/>
        <stp>##V3_BDHV12</stp>
        <stp>RCOM IN Equity</stp>
        <stp>IS_IMPAIRMENT_ASSETS</stp>
        <stp>FY 2015</stp>
        <stp>FY 2015</stp>
        <stp>[FA1_ymffleas.xlsx]Reconciliation!R29C8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9" s="12"/>
      </tp>
      <tp t="s">
        <v>—</v>
        <stp/>
        <stp>##V3_BDHV12</stp>
        <stp>RCOM IN Equity</stp>
        <stp>IS_IMPAIRMENT_ASSETS</stp>
        <stp>FY 2016</stp>
        <stp>FY 2016</stp>
        <stp>[FA1_ymffleas.xlsx]Reconciliation!R29C9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9" s="12"/>
      </tp>
      <tp>
        <v>5.5037000000000003</v>
        <stp/>
        <stp>##V3_BDHV12</stp>
        <stp>RCOM IN Equity</stp>
        <stp>NET_DEBT_TO_EBIT</stp>
        <stp>FY 2009</stp>
        <stp>FY 2009</stp>
        <stp>[FA1_ymffleas.xlsx]Credit!R14C3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4" s="23"/>
      </tp>
      <tp>
        <v>12.366899999999999</v>
        <stp/>
        <stp>##V3_BDHV12</stp>
        <stp>RCOM IN Equity</stp>
        <stp>TCE_RATIO</stp>
        <stp>FY 2014</stp>
        <stp>FY 2014</stp>
        <stp>[FA1_ymffleas.xlsx]Bal Sheet - Standardized!R169C8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9" s="16"/>
      </tp>
      <tp>
        <v>21.946899999999999</v>
        <stp/>
        <stp>##V3_BDHV12</stp>
        <stp>RCOM IN Equity</stp>
        <stp>TCE_RATIO</stp>
        <stp>FY 2015</stp>
        <stp>FY 2015</stp>
        <stp>[FA1_ymffleas.xlsx]Bal Sheet - Standardized!R169C9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9" s="16"/>
      </tp>
      <tp>
        <v>22.572299999999998</v>
        <stp/>
        <stp>##V3_BDHV12</stp>
        <stp>RCOM IN Equity</stp>
        <stp>TCE_RATIO</stp>
        <stp>FY 2009</stp>
        <stp>FY 2009</stp>
        <stp>[FA1_ymffleas.xlsx]Bal Sheet - Standardized!R169C3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9" s="16"/>
      </tp>
      <tp>
        <v>13.030799999999999</v>
        <stp/>
        <stp>##V3_BDHV12</stp>
        <stp>RCOM IN Equity</stp>
        <stp>TCE_RATIO</stp>
        <stp>FY 2012</stp>
        <stp>FY 2012</stp>
        <stp>[FA1_ymffleas.xlsx]Bal Sheet - Standardized!R169C6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9" s="16"/>
      </tp>
      <tp>
        <v>11.9923</v>
        <stp/>
        <stp>##V3_BDHV12</stp>
        <stp>RCOM IN Equity</stp>
        <stp>TCE_RATIO</stp>
        <stp>FY 2013</stp>
        <stp>FY 2013</stp>
        <stp>[FA1_ymffleas.xlsx]Bal Sheet - Standardized!R169C7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9" s="16"/>
      </tp>
      <tp>
        <v>29.431799999999999</v>
        <stp/>
        <stp>##V3_BDHV12</stp>
        <stp>RCOM IN Equity</stp>
        <stp>TCE_RATIO</stp>
        <stp>FY 2010</stp>
        <stp>FY 2010</stp>
        <stp>[FA1_ymffleas.xlsx]Bal Sheet - Standardized!R169C4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9" s="16"/>
      </tp>
      <tp>
        <v>27.227799999999998</v>
        <stp/>
        <stp>##V3_BDHV12</stp>
        <stp>RCOM IN Equity</stp>
        <stp>TCE_RATIO</stp>
        <stp>FY 2011</stp>
        <stp>FY 2011</stp>
        <stp>[FA1_ymffleas.xlsx]Bal Sheet - Standardized!R169C5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9" s="16"/>
      </tp>
      <tp t="s">
        <v>—</v>
        <stp/>
        <stp>##V3_BDHV12</stp>
        <stp>RCOM IN Equity</stp>
        <stp>AVG_AGE_OF_ASSETS_IN_YEARS</stp>
        <stp>FY 2018</stp>
        <stp>FY 2018</stp>
        <stp>[FA1_ymffleas.xlsx]CAPEX &amp; Depreciation!R17C12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7" s="28"/>
      </tp>
      <tp t="s">
        <v>—</v>
        <stp/>
        <stp>##V3_BDHV12</stp>
        <stp>RCOM IN Equity</stp>
        <stp>AVG_AGE_OF_ASSETS_IN_YEARS</stp>
        <stp>FY 2017</stp>
        <stp>FY 2017</stp>
        <stp>[FA1_ymffleas.xlsx]CAPEX &amp; Depreciation!R17C11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7" s="28"/>
      </tp>
      <tp t="s">
        <v>—</v>
        <stp/>
        <stp>##V3_BDHV12</stp>
        <stp>RCOM IN Equity</stp>
        <stp>AVG_AGE_OF_ASSETS_IN_YEARS</stp>
        <stp>FY 2016</stp>
        <stp>FY 2016</stp>
        <stp>[FA1_ymffleas.xlsx]CAPEX &amp; Depreciation!R17C10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7" s="28"/>
      </tp>
      <tp>
        <v>217430</v>
        <stp/>
        <stp>##V3_BDHV12</stp>
        <stp>RCOM IN Equity</stp>
        <stp>TRAIL_12M_NET_SALES</stp>
        <stp>FY 2016</stp>
        <stp>FY 2016</stp>
        <stp>[FA1_ymffleas.xlsx]Enterprise Value!R29C9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29" s="5"/>
      </tp>
      <tp>
        <v>214230</v>
        <stp/>
        <stp>##V3_BDHV12</stp>
        <stp>RCOM IN Equity</stp>
        <stp>TRAIL_12M_NET_SALES</stp>
        <stp>FY 2015</stp>
        <stp>FY 2015</stp>
        <stp>[FA1_ymffleas.xlsx]Enterprise Value!R29C8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29" s="5"/>
      </tp>
      <tp>
        <v>0</v>
        <stp/>
        <stp>##V3_BDHV12</stp>
        <stp>RCOM IN Equity</stp>
        <stp>IS_REVENUE_ADJUSTMENTS</stp>
        <stp>FY 2018</stp>
        <stp>FY 2018</stp>
        <stp>[FA1_ymffleas.xlsx]Reconciliation!R8C11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12"/>
      </tp>
      <tp>
        <v>0</v>
        <stp/>
        <stp>##V3_BDHV12</stp>
        <stp>RCOM IN Equity</stp>
        <stp>IS_REVENUE_ADJUSTMENTS</stp>
        <stp>FY 2017</stp>
        <stp>FY 2017</stp>
        <stp>[FA1_ymffleas.xlsx]Reconciliation!R8C10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12"/>
      </tp>
      <tp>
        <v>206850.5</v>
        <stp/>
        <stp>##V3_BDHV12</stp>
        <stp>RCOM IN Equity</stp>
        <stp>TRAIL_12M_NET_SALES</stp>
        <stp>FY 2010</stp>
        <stp>FY 2010</stp>
        <stp>[FA1_ymffleas.xlsx]Enterprise Value!R29C3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29" s="5"/>
      </tp>
      <tp>
        <v>187160</v>
        <stp/>
        <stp>##V3_BDHV12</stp>
        <stp>RCOM IN Equity</stp>
        <stp>TRAIL_12M_NET_SALES</stp>
        <stp>FY 2012</stp>
        <stp>FY 2012</stp>
        <stp>[FA1_ymffleas.xlsx]Enterprise Value!R29C5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29" s="5"/>
      </tp>
      <tp>
        <v>220890</v>
        <stp/>
        <stp>##V3_BDHV12</stp>
        <stp>RCOM IN Equity</stp>
        <stp>TRAIL_12M_NET_SALES</stp>
        <stp>FY 2011</stp>
        <stp>FY 2011</stp>
        <stp>[FA1_ymffleas.xlsx]Enterprise Value!R29C4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29" s="5"/>
      </tp>
      <tp>
        <v>209400</v>
        <stp/>
        <stp>##V3_BDHV12</stp>
        <stp>RCOM IN Equity</stp>
        <stp>TRAIL_12M_NET_SALES</stp>
        <stp>FY 2014</stp>
        <stp>FY 2014</stp>
        <stp>[FA1_ymffleas.xlsx]Enterprise Value!R29C7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29" s="5"/>
      </tp>
      <tp>
        <v>192940</v>
        <stp/>
        <stp>##V3_BDHV12</stp>
        <stp>RCOM IN Equity</stp>
        <stp>TRAIL_12M_NET_SALES</stp>
        <stp>FY 2013</stp>
        <stp>FY 2013</stp>
        <stp>[FA1_ymffleas.xlsx]Enterprise Value!R29C6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29" s="5"/>
      </tp>
      <tp>
        <v>490</v>
        <stp/>
        <stp>##V3_BDHV12</stp>
        <stp>RCOM IN Equity</stp>
        <stp>EARN_FOR_COMMON</stp>
        <stp>FY 2018</stp>
        <stp>FY 2018</stp>
        <stp>[FA1_ymffleas.xlsx]Income - GAAP!R83C11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83" s="10"/>
      </tp>
      <tp>
        <v>13160</v>
        <stp/>
        <stp>##V3_BDHV12</stp>
        <stp>RCOM IN Equity</stp>
        <stp>IS_NONOP_INCOME_LOSS</stp>
        <stp>FY 2013</stp>
        <stp>FY 2013</stp>
        <stp>[FA1_ymffleas.xlsx]Income - Adjusted!R37C6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37" s="9"/>
      </tp>
      <tp>
        <v>1250</v>
        <stp/>
        <stp>##V3_BDHV12</stp>
        <stp>RCOM IN Equity</stp>
        <stp>EARN_FOR_COMMON</stp>
        <stp>FY 2017</stp>
        <stp>FY 2017</stp>
        <stp>[FA1_ymffleas.xlsx]Income - GAAP!R83C10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83" s="10"/>
      </tp>
      <tp>
        <v>20640</v>
        <stp/>
        <stp>##V3_BDHV12</stp>
        <stp>RCOM IN Equity</stp>
        <stp>IS_NONOP_INCOME_LOSS</stp>
        <stp>FY 2014</stp>
        <stp>FY 2014</stp>
        <stp>[FA1_ymffleas.xlsx]Income - Adjusted!R37C7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37" s="9"/>
      </tp>
      <tp>
        <v>44309</v>
        <stp/>
        <stp>##V3_BDHV12</stp>
        <stp>RCOM IN Equity</stp>
        <stp>EBITA</stp>
        <stp>FY 2010</stp>
        <stp>FY 2010</stp>
        <stp>[FA1_ymffleas.xlsx]Income - Adjusted!R123C3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23" s="9"/>
      </tp>
      <tp>
        <v>7430</v>
        <stp/>
        <stp>##V3_BDHV12</stp>
        <stp>RCOM IN Equity</stp>
        <stp>IS_NONOP_INCOME_LOSS</stp>
        <stp>FY 2011</stp>
        <stp>FY 2011</stp>
        <stp>[FA1_ymffleas.xlsx]Income - Adjusted!R37C4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37" s="9"/>
      </tp>
      <tp>
        <v>9650</v>
        <stp/>
        <stp>##V3_BDHV12</stp>
        <stp>RCOM IN Equity</stp>
        <stp>IS_NONOP_INCOME_LOSS</stp>
        <stp>FY 2012</stp>
        <stp>FY 2012</stp>
        <stp>[FA1_ymffleas.xlsx]Income - Adjusted!R37C5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37" s="9"/>
      </tp>
      <tp>
        <v>40630</v>
        <stp/>
        <stp>##V3_BDHV12</stp>
        <stp>RCOM IN Equity</stp>
        <stp>EBITA</stp>
        <stp>FY 2013</stp>
        <stp>FY 2013</stp>
        <stp>[FA1_ymffleas.xlsx]Income - Adjusted!R123C6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23" s="9"/>
      </tp>
      <tp>
        <v>-17708.099999999999</v>
        <stp/>
        <stp>##V3_BDHV12</stp>
        <stp>RCOM IN Equity</stp>
        <stp>IS_NONOP_INCOME_LOSS</stp>
        <stp>FY 2010</stp>
        <stp>FY 2010</stp>
        <stp>[FA1_ymffleas.xlsx]Income - Adjusted!R37C3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37" s="9"/>
      </tp>
      <tp t="s">
        <v>—</v>
        <stp/>
        <stp>##V3_BDHV12</stp>
        <stp>RCOM IN Equity</stp>
        <stp>EBITA</stp>
        <stp>FY 2014</stp>
        <stp>FY 2014</stp>
        <stp>[FA1_ymffleas.xlsx]Income - Adjusted!R123C7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23" s="9"/>
      </tp>
      <tp>
        <v>46320.800000000003</v>
        <stp/>
        <stp>##V3_BDHV12</stp>
        <stp>RCOM IN Equity</stp>
        <stp>EBITA</stp>
        <stp>FY 2011</stp>
        <stp>FY 2011</stp>
        <stp>[FA1_ymffleas.xlsx]Income - Adjusted!R123C4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23" s="9"/>
      </tp>
      <tp>
        <v>45280</v>
        <stp/>
        <stp>##V3_BDHV12</stp>
        <stp>RCOM IN Equity</stp>
        <stp>EBITA</stp>
        <stp>FY 2012</stp>
        <stp>FY 2012</stp>
        <stp>[FA1_ymffleas.xlsx]Income - Adjusted!R123C5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23" s="9"/>
      </tp>
      <tp t="s">
        <v>—</v>
        <stp/>
        <stp>##V3_BDHV12</stp>
        <stp>RCOM IN Equity</stp>
        <stp>EBITA</stp>
        <stp>FY 2015</stp>
        <stp>FY 2015</stp>
        <stp>[FA1_ymffleas.xlsx]Income - Adjusted!R123C8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23" s="9"/>
      </tp>
      <tp t="s">
        <v>—</v>
        <stp/>
        <stp>##V3_BDHV12</stp>
        <stp>RCOM IN Equity</stp>
        <stp>EBITA</stp>
        <stp>FY 2016</stp>
        <stp>FY 2016</stp>
        <stp>[FA1_ymffleas.xlsx]Income - Adjusted!R123C9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23" s="9"/>
      </tp>
      <tp>
        <v>65540</v>
        <stp/>
        <stp>##V3_BDHV12</stp>
        <stp>RCOM IN Equity</stp>
        <stp>IS_SALES_AND_SERVICES_REVENUES</stp>
        <stp>FY 2017</stp>
        <stp>FY 2017</stp>
        <stp>[FA1_ymffleas.xlsx]Income - Adjusted!R8C10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8" s="9"/>
      </tp>
      <tp>
        <v>45930</v>
        <stp/>
        <stp>##V3_BDHV12</stp>
        <stp>RCOM IN Equity</stp>
        <stp>IS_SALES_AND_SERVICES_REVENUES</stp>
        <stp>FY 2018</stp>
        <stp>FY 2018</stp>
        <stp>[FA1_ymffleas.xlsx]Income - Adjusted!R8C11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8" s="9"/>
      </tp>
      <tp>
        <v>24790</v>
        <stp/>
        <stp>##V3_BDHV12</stp>
        <stp>RCOM IN Equity</stp>
        <stp>IS_NONOP_INCOME_LOSS</stp>
        <stp>FY 2015</stp>
        <stp>FY 2015</stp>
        <stp>[FA1_ymffleas.xlsx]Income - Adjusted!R37C8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37" s="9"/>
      </tp>
      <tp>
        <v>27750</v>
        <stp/>
        <stp>##V3_BDHV12</stp>
        <stp>RCOM IN Equity</stp>
        <stp>IS_NONOP_INCOME_LOSS</stp>
        <stp>FY 2016</stp>
        <stp>FY 2016</stp>
        <stp>[FA1_ymffleas.xlsx]Income - Adjusted!R37C9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37" s="9"/>
      </tp>
      <tp>
        <v>10.1165</v>
        <stp/>
        <stp>##V3_BDHV12</stp>
        <stp>RCOM IN Equity</stp>
        <stp>RETURN_ON_CAP</stp>
        <stp>FY 2009</stp>
        <stp>FY 2009</stp>
        <stp>[FA1_ymffleas.xlsx]Profitability!R9C3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9" s="21"/>
      </tp>
      <tp>
        <v>5660</v>
        <stp/>
        <stp>##V3_BDHV12</stp>
        <stp>RCOM IN Equity</stp>
        <stp>ARD_INVENTORY</stp>
        <stp>FY 2012</stp>
        <stp>FY 2012</stp>
        <stp>[FA1_ymffleas.xlsx]Bal Sheet - As Reported!R41C6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1" s="17"/>
      </tp>
      <tp>
        <v>4970</v>
        <stp/>
        <stp>##V3_BDHV12</stp>
        <stp>RCOM IN Equity</stp>
        <stp>ARD_INVENTORY</stp>
        <stp>FY 2013</stp>
        <stp>FY 2013</stp>
        <stp>[FA1_ymffleas.xlsx]Bal Sheet - As Reported!R41C7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1" s="17"/>
      </tp>
      <tp>
        <v>5446.3</v>
        <stp/>
        <stp>##V3_BDHV12</stp>
        <stp>RCOM IN Equity</stp>
        <stp>ARD_INVENTORY</stp>
        <stp>FY 2010</stp>
        <stp>FY 2010</stp>
        <stp>[FA1_ymffleas.xlsx]Bal Sheet - As Reported!R41C4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1" s="17"/>
      </tp>
      <tp>
        <v>5170</v>
        <stp/>
        <stp>##V3_BDHV12</stp>
        <stp>RCOM IN Equity</stp>
        <stp>ARD_INVENTORY</stp>
        <stp>FY 2011</stp>
        <stp>FY 2011</stp>
        <stp>[FA1_ymffleas.xlsx]Bal Sheet - As Reported!R41C5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1" s="17"/>
      </tp>
      <tp>
        <v>5427.2</v>
        <stp/>
        <stp>##V3_BDHV12</stp>
        <stp>RCOM IN Equity</stp>
        <stp>ARD_INVENTORY</stp>
        <stp>FY 2009</stp>
        <stp>FY 2009</stp>
        <stp>[FA1_ymffleas.xlsx]Bal Sheet - As Reported!R41C3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1" s="17"/>
      </tp>
      <tp>
        <v>4150</v>
        <stp/>
        <stp>##V3_BDHV12</stp>
        <stp>RCOM IN Equity</stp>
        <stp>ARD_INVENTORY</stp>
        <stp>FY 2014</stp>
        <stp>FY 2014</stp>
        <stp>[FA1_ymffleas.xlsx]Bal Sheet - As Reported!R41C8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1" s="17"/>
      </tp>
      <tp>
        <v>4010</v>
        <stp/>
        <stp>##V3_BDHV12</stp>
        <stp>RCOM IN Equity</stp>
        <stp>ARD_INVENTORY</stp>
        <stp>FY 2015</stp>
        <stp>FY 2015</stp>
        <stp>[FA1_ymffleas.xlsx]Bal Sheet - As Reported!R41C9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1" s="17"/>
      </tp>
      <tp t="s">
        <v>—</v>
        <stp/>
        <stp>##V3_BDHV12</stp>
        <stp>RCOM IN Equity</stp>
        <stp>IS_GAIN_LOSS_DISPOSAL_ASSETS</stp>
        <stp>FY 2017</stp>
        <stp>FY 2017</stp>
        <stp>[FA1_ymffleas.xlsx]Reconciliation!R28C10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8" s="12"/>
      </tp>
      <tp t="s">
        <v>—</v>
        <stp/>
        <stp>##V3_BDHV12</stp>
        <stp>RCOM IN Equity</stp>
        <stp>IS_GAIN_LOSS_DISPOSAL_ASSETS</stp>
        <stp>FY 2018</stp>
        <stp>FY 2018</stp>
        <stp>[FA1_ymffleas.xlsx]Reconciliation!R28C11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8" s="12"/>
      </tp>
      <tp>
        <v>9.6</v>
        <stp/>
        <stp>##V3_BDHV12</stp>
        <stp>RCOM IN Equity</stp>
        <stp>PX_LOW</stp>
        <stp>FY 2018</stp>
        <stp>FY 2018</stp>
        <stp>[FA1_ymffleas.xlsx]Multiples!R53C11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53" s="6"/>
      </tp>
      <tp>
        <v>-0.75439999999999996</v>
        <stp/>
        <stp>##V3_BDHV12</stp>
        <stp>RCOM IN Equity</stp>
        <stp>T12M_FCF_TO_FIRM_YIELD</stp>
        <stp>FY 2015</stp>
        <stp>FY 2015</stp>
        <stp>[FA1_ymffleas.xlsx]Yield Analysis!R34C9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34" s="26"/>
      </tp>
      <tp>
        <v>30.6</v>
        <stp/>
        <stp>##V3_BDHV12</stp>
        <stp>RCOM IN Equity</stp>
        <stp>PX_LOW</stp>
        <stp>FY 2017</stp>
        <stp>FY 2017</stp>
        <stp>[FA1_ymffleas.xlsx]Multiples!R53C10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53" s="6"/>
      </tp>
      <tp>
        <v>195884.9</v>
        <stp/>
        <stp>##V3_BDHV12</stp>
        <stp>RCOM IN Equity</stp>
        <stp>OTHER_INTANGIBLE_ASSETS_DETAILED</stp>
        <stp>FY 2009</stp>
        <stp>FY 2009</stp>
        <stp>[FA1_ymffleas.xlsx]Bal Sheet - Standardized!R59C3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9" s="16"/>
      </tp>
      <tp>
        <v>154640</v>
        <stp/>
        <stp>##V3_BDHV12</stp>
        <stp>RCOM IN Equity</stp>
        <stp>OTHER_INTANGIBLE_ASSETS_DETAILED</stp>
        <stp>FY 2011</stp>
        <stp>FY 2011</stp>
        <stp>[FA1_ymffleas.xlsx]Bal Sheet - Standardized!R59C5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9" s="16"/>
      </tp>
      <tp>
        <v>178400</v>
        <stp/>
        <stp>##V3_BDHV12</stp>
        <stp>RCOM IN Equity</stp>
        <stp>OTHER_INTANGIBLE_ASSETS_DETAILED</stp>
        <stp>FY 2010</stp>
        <stp>FY 2010</stp>
        <stp>[FA1_ymffleas.xlsx]Bal Sheet - Standardized!R59C4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9" s="16"/>
      </tp>
      <tp>
        <v>210490</v>
        <stp/>
        <stp>##V3_BDHV12</stp>
        <stp>RCOM IN Equity</stp>
        <stp>OTHER_INTANGIBLE_ASSETS_DETAILED</stp>
        <stp>FY 2013</stp>
        <stp>FY 2013</stp>
        <stp>[FA1_ymffleas.xlsx]Bal Sheet - Standardized!R59C7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9" s="16"/>
      </tp>
      <tp>
        <v>229010</v>
        <stp/>
        <stp>##V3_BDHV12</stp>
        <stp>RCOM IN Equity</stp>
        <stp>OTHER_INTANGIBLE_ASSETS_DETAILED</stp>
        <stp>FY 2012</stp>
        <stp>FY 2012</stp>
        <stp>[FA1_ymffleas.xlsx]Bal Sheet - Standardized!R59C6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9" s="16"/>
      </tp>
      <tp>
        <v>170240</v>
        <stp/>
        <stp>##V3_BDHV12</stp>
        <stp>RCOM IN Equity</stp>
        <stp>OTHER_INTANGIBLE_ASSETS_DETAILED</stp>
        <stp>FY 2015</stp>
        <stp>FY 2015</stp>
        <stp>[FA1_ymffleas.xlsx]Bal Sheet - Standardized!R59C9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9" s="16"/>
      </tp>
      <tp>
        <v>193190</v>
        <stp/>
        <stp>##V3_BDHV12</stp>
        <stp>RCOM IN Equity</stp>
        <stp>OTHER_INTANGIBLE_ASSETS_DETAILED</stp>
        <stp>FY 2014</stp>
        <stp>FY 2014</stp>
        <stp>[FA1_ymffleas.xlsx]Bal Sheet - Standardized!R59C8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9" s="16"/>
      </tp>
      <tp>
        <v>40</v>
        <stp/>
        <stp>##V3_BDHV12</stp>
        <stp>RCOM IN Equity</stp>
        <stp>IS_SG&amp;A_ADJUSTMENTS</stp>
        <stp>FY 2015</stp>
        <stp>FY 2015</stp>
        <stp>[FA1_ymffleas.xlsx]Reconciliation!R11C8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" s="12"/>
      </tp>
      <tp>
        <v>160</v>
        <stp/>
        <stp>##V3_BDHV12</stp>
        <stp>RCOM IN Equity</stp>
        <stp>IS_SG&amp;A_ADJUSTMENTS</stp>
        <stp>FY 2016</stp>
        <stp>FY 2016</stp>
        <stp>[FA1_ymffleas.xlsx]Reconciliation!R11C9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" s="12"/>
      </tp>
      <tp>
        <v>300</v>
        <stp/>
        <stp>##V3_BDHV12</stp>
        <stp>RCOM IN Equity</stp>
        <stp>IS_SG&amp;A_ADJUSTMENTS</stp>
        <stp>FY 2013</stp>
        <stp>FY 2013</stp>
        <stp>[FA1_ymffleas.xlsx]Reconciliation!R11C6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" s="12"/>
      </tp>
      <tp>
        <v>200</v>
        <stp/>
        <stp>##V3_BDHV12</stp>
        <stp>RCOM IN Equity</stp>
        <stp>IS_SG&amp;A_ADJUSTMENTS</stp>
        <stp>FY 2014</stp>
        <stp>FY 2014</stp>
        <stp>[FA1_ymffleas.xlsx]Reconciliation!R11C7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" s="12"/>
      </tp>
      <tp>
        <v>0.8</v>
        <stp/>
        <stp>##V3_BDHV12</stp>
        <stp>RCOM IN Equity</stp>
        <stp>IS_SG&amp;A_ADJUSTMENTS</stp>
        <stp>FY 2011</stp>
        <stp>FY 2011</stp>
        <stp>[FA1_ymffleas.xlsx]Reconciliation!R11C4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" s="12"/>
      </tp>
      <tp>
        <v>0</v>
        <stp/>
        <stp>##V3_BDHV12</stp>
        <stp>RCOM IN Equity</stp>
        <stp>IS_SG&amp;A_ADJUSTMENTS</stp>
        <stp>FY 2012</stp>
        <stp>FY 2012</stp>
        <stp>[FA1_ymffleas.xlsx]Reconciliation!R11C5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" s="12"/>
      </tp>
      <tp>
        <v>14.9</v>
        <stp/>
        <stp>##V3_BDHV12</stp>
        <stp>RCOM IN Equity</stp>
        <stp>IS_SG&amp;A_ADJUSTMENTS</stp>
        <stp>FY 2010</stp>
        <stp>FY 2010</stp>
        <stp>[FA1_ymffleas.xlsx]Reconciliation!R11C3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" s="12"/>
      </tp>
      <tp>
        <v>28010</v>
        <stp/>
        <stp>##V3_BDHV12</stp>
        <stp>RCOM IN Equity</stp>
        <stp>ARD_INCR_DECR_ST_BORROW_NET</stp>
        <stp>FY 2016</stp>
        <stp>FY 2016</stp>
        <stp>[FA1_ymffleas.xlsx]Cash Flow - As Reported!R54C10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4" s="20"/>
      </tp>
      <tp>
        <v>51580</v>
        <stp/>
        <stp>##V3_BDHV12</stp>
        <stp>RCOM IN Equity</stp>
        <stp>ARD_INCR_DECR_ST_BORROW_NET</stp>
        <stp>FY 2017</stp>
        <stp>FY 2017</stp>
        <stp>[FA1_ymffleas.xlsx]Cash Flow - As Reported!R54C11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4" s="20"/>
      </tp>
      <tp>
        <v>12600</v>
        <stp/>
        <stp>##V3_BDHV12</stp>
        <stp>RCOM IN Equity</stp>
        <stp>ARD_INCR_DECR_ST_BORROW_NET</stp>
        <stp>FY 2018</stp>
        <stp>FY 2018</stp>
        <stp>[FA1_ymffleas.xlsx]Cash Flow - As Reported!R54C12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4" s="20"/>
      </tp>
      <tp>
        <v>2064.0268999999998</v>
        <stp/>
        <stp>##V3_BDHV12</stp>
        <stp>RCOM IN Equity</stp>
        <stp>BS_SH_OUT</stp>
        <stp>FY 2014</stp>
        <stp>FY 2014</stp>
        <stp>[FA1_ymffleas.xlsx]Bal Sheet - Standardized!R158C8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58" s="16"/>
      </tp>
      <tp>
        <v>2488.9796999999999</v>
        <stp/>
        <stp>##V3_BDHV12</stp>
        <stp>RCOM IN Equity</stp>
        <stp>BS_SH_OUT</stp>
        <stp>FY 2015</stp>
        <stp>FY 2015</stp>
        <stp>[FA1_ymffleas.xlsx]Bal Sheet - Standardized!R158C9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58" s="16"/>
      </tp>
      <tp>
        <v>-11090</v>
        <stp/>
        <stp>##V3_BDHV12</stp>
        <stp>RCOM IN Equity</stp>
        <stp>CF_FREE_CASH_FLOW</stp>
        <stp>FY 2016</stp>
        <stp>FY 2016</stp>
        <stp>[FA1_ymffleas.xlsx]Addl - Overview!R35C9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5" s="29"/>
      </tp>
      <tp>
        <v>-20100</v>
        <stp/>
        <stp>##V3_BDHV12</stp>
        <stp>RCOM IN Equity</stp>
        <stp>CF_FREE_CASH_FLOW</stp>
        <stp>FY 2015</stp>
        <stp>FY 2015</stp>
        <stp>[FA1_ymffleas.xlsx]Addl - Overview!R35C8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5" s="29"/>
      </tp>
      <tp>
        <v>6796.1</v>
        <stp/>
        <stp>##V3_BDHV12</stp>
        <stp>RCOM IN Equity</stp>
        <stp>CF_FREE_CASH_FLOW</stp>
        <stp>FY 2010</stp>
        <stp>FY 2010</stp>
        <stp>[FA1_ymffleas.xlsx]Addl - Overview!R35C3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5" s="29"/>
      </tp>
      <tp>
        <v>-7770</v>
        <stp/>
        <stp>##V3_BDHV12</stp>
        <stp>RCOM IN Equity</stp>
        <stp>CF_FREE_CASH_FLOW</stp>
        <stp>FY 2012</stp>
        <stp>FY 2012</stp>
        <stp>[FA1_ymffleas.xlsx]Addl - Overview!R35C5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5" s="29"/>
      </tp>
      <tp>
        <v>-92550</v>
        <stp/>
        <stp>##V3_BDHV12</stp>
        <stp>RCOM IN Equity</stp>
        <stp>CF_FREE_CASH_FLOW</stp>
        <stp>FY 2011</stp>
        <stp>FY 2011</stp>
        <stp>[FA1_ymffleas.xlsx]Addl - Overview!R35C4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5" s="29"/>
      </tp>
      <tp>
        <v>17050</v>
        <stp/>
        <stp>##V3_BDHV12</stp>
        <stp>RCOM IN Equity</stp>
        <stp>CF_FREE_CASH_FLOW</stp>
        <stp>FY 2014</stp>
        <stp>FY 2014</stp>
        <stp>[FA1_ymffleas.xlsx]Addl - Overview!R35C7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5" s="29"/>
      </tp>
      <tp>
        <v>-7440</v>
        <stp/>
        <stp>##V3_BDHV12</stp>
        <stp>RCOM IN Equity</stp>
        <stp>CF_FREE_CASH_FLOW</stp>
        <stp>FY 2013</stp>
        <stp>FY 2013</stp>
        <stp>[FA1_ymffleas.xlsx]Addl - Overview!R35C6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5" s="29"/>
      </tp>
      <tp>
        <v>6.8954000000000004</v>
        <stp/>
        <stp>##V3_BDHV12</stp>
        <stp>RCOM IN Equity</stp>
        <stp>LOW_EV_TO_T12M_EBITDA</stp>
        <stp>FY 2017</stp>
        <stp>FY 2017</stp>
        <stp>[FA1_ymffleas.xlsx]Multiples!R44C10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44" s="6"/>
      </tp>
      <tp>
        <v>2064.0268999999998</v>
        <stp/>
        <stp>##V3_BDHV12</stp>
        <stp>RCOM IN Equity</stp>
        <stp>BS_SH_OUT</stp>
        <stp>FY 2009</stp>
        <stp>FY 2009</stp>
        <stp>[FA1_ymffleas.xlsx]Bal Sheet - Standardized!R158C3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58" s="16"/>
      </tp>
      <tp>
        <v>-14030</v>
        <stp/>
        <stp>##V3_BDHV12</stp>
        <stp>RCOM IN Equity</stp>
        <stp>NET_INCOME</stp>
        <stp>FY 2017</stp>
        <stp>FY 2017</stp>
        <stp>[FA1_ymffleas.xlsx]Income - GAAP!R77C10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77" s="10"/>
      </tp>
      <tp>
        <v>-238390</v>
        <stp/>
        <stp>##V3_BDHV12</stp>
        <stp>RCOM IN Equity</stp>
        <stp>NET_INCOME</stp>
        <stp>FY 2018</stp>
        <stp>FY 2018</stp>
        <stp>[FA1_ymffleas.xlsx]Income - GAAP!R77C11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77" s="10"/>
      </tp>
      <tp>
        <v>2064.0268999999998</v>
        <stp/>
        <stp>##V3_BDHV12</stp>
        <stp>RCOM IN Equity</stp>
        <stp>BS_SH_OUT</stp>
        <stp>FY 2012</stp>
        <stp>FY 2012</stp>
        <stp>[FA1_ymffleas.xlsx]Bal Sheet - Standardized!R158C6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58" s="16"/>
      </tp>
      <tp>
        <v>2064.0268999999998</v>
        <stp/>
        <stp>##V3_BDHV12</stp>
        <stp>RCOM IN Equity</stp>
        <stp>BS_SH_OUT</stp>
        <stp>FY 2013</stp>
        <stp>FY 2013</stp>
        <stp>[FA1_ymffleas.xlsx]Bal Sheet - Standardized!R158C7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58" s="16"/>
      </tp>
      <tp>
        <v>2064.0268999999998</v>
        <stp/>
        <stp>##V3_BDHV12</stp>
        <stp>RCOM IN Equity</stp>
        <stp>BS_SH_OUT</stp>
        <stp>FY 2010</stp>
        <stp>FY 2010</stp>
        <stp>[FA1_ymffleas.xlsx]Bal Sheet - Standardized!R158C4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58" s="16"/>
      </tp>
      <tp>
        <v>2064.0268999999998</v>
        <stp/>
        <stp>##V3_BDHV12</stp>
        <stp>RCOM IN Equity</stp>
        <stp>BS_SH_OUT</stp>
        <stp>FY 2011</stp>
        <stp>FY 2011</stp>
        <stp>[FA1_ymffleas.xlsx]Bal Sheet - Standardized!R158C5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58" s="16"/>
      </tp>
      <tp>
        <v>109168.8</v>
        <stp/>
        <stp>##V3_BDHV12</stp>
        <stp>RCOM IN Equity</stp>
        <stp>ARDR_DUE_TO_BANKS_ST</stp>
        <stp>FY 2009</stp>
        <stp>FY 2009</stp>
        <stp>[FA1_ymffleas.xlsx]Bal Sheet - As Reported!R175C3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5" s="17"/>
      </tp>
      <tp>
        <v>83630</v>
        <stp/>
        <stp>##V3_BDHV12</stp>
        <stp>RCOM IN Equity</stp>
        <stp>ARDR_DUE_TO_BANKS_ST</stp>
        <stp>FY 2013</stp>
        <stp>FY 2013</stp>
        <stp>[FA1_ymffleas.xlsx]Bal Sheet - As Reported!R175C7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5" s="17"/>
      </tp>
      <tp>
        <v>45850</v>
        <stp/>
        <stp>##V3_BDHV12</stp>
        <stp>RCOM IN Equity</stp>
        <stp>ARDR_DUE_TO_BANKS_ST</stp>
        <stp>FY 2012</stp>
        <stp>FY 2012</stp>
        <stp>[FA1_ymffleas.xlsx]Bal Sheet - As Reported!R175C6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5" s="17"/>
      </tp>
      <tp>
        <v>16780</v>
        <stp/>
        <stp>##V3_BDHV12</stp>
        <stp>RCOM IN Equity</stp>
        <stp>ARDR_DUE_TO_BANKS_ST</stp>
        <stp>FY 2011</stp>
        <stp>FY 2011</stp>
        <stp>[FA1_ymffleas.xlsx]Bal Sheet - As Reported!R175C5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5" s="17"/>
      </tp>
      <tp>
        <v>91679</v>
        <stp/>
        <stp>##V3_BDHV12</stp>
        <stp>RCOM IN Equity</stp>
        <stp>ARDR_DUE_TO_BANKS_ST</stp>
        <stp>FY 2010</stp>
        <stp>FY 2010</stp>
        <stp>[FA1_ymffleas.xlsx]Bal Sheet - As Reported!R175C4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5" s="17"/>
      </tp>
      <tp>
        <v>15870</v>
        <stp/>
        <stp>##V3_BDHV12</stp>
        <stp>RCOM IN Equity</stp>
        <stp>ARDR_DUE_TO_BANKS_ST</stp>
        <stp>FY 2015</stp>
        <stp>FY 2015</stp>
        <stp>[FA1_ymffleas.xlsx]Bal Sheet - As Reported!R175C9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5" s="17"/>
      </tp>
      <tp>
        <v>86360</v>
        <stp/>
        <stp>##V3_BDHV12</stp>
        <stp>RCOM IN Equity</stp>
        <stp>ARDR_DUE_TO_BANKS_ST</stp>
        <stp>FY 2014</stp>
        <stp>FY 2014</stp>
        <stp>[FA1_ymffleas.xlsx]Bal Sheet - As Reported!R175C8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5" s="17"/>
      </tp>
      <tp>
        <v>67.705399999999997</v>
        <stp/>
        <stp>##V3_BDHV12</stp>
        <stp>RCOM IN Equity</stp>
        <stp>GEO_GROW_CASH_OPER_ACT</stp>
        <stp>FY 2016</stp>
        <stp>FY 2016</stp>
        <stp>[FA1_ymffleas.xlsx]Growth!R57C10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57" s="22"/>
      </tp>
      <tp t="s">
        <v>—</v>
        <stp/>
        <stp>##V3_BDHV12</stp>
        <stp>RCOM IN Equity</stp>
        <stp>GEO_GROW_CASH_OPER_ACT</stp>
        <stp>FY 2017</stp>
        <stp>FY 2017</stp>
        <stp>[FA1_ymffleas.xlsx]Growth!R57C11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57" s="22"/>
      </tp>
      <tp t="s">
        <v>—</v>
        <stp/>
        <stp>##V3_BDHV12</stp>
        <stp>RCOM IN Equity</stp>
        <stp>GEO_GROW_CASH_OPER_ACT</stp>
        <stp>FY 2018</stp>
        <stp>FY 2018</stp>
        <stp>[FA1_ymffleas.xlsx]Growth!R57C12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57" s="22"/>
      </tp>
      <tp>
        <v>7890</v>
        <stp/>
        <stp>##V3_BDHV12</stp>
        <stp>RCOM IN Equity</stp>
        <stp>ARD_OTHER_INTANGIBLE_ASSET</stp>
        <stp>FY 2018</stp>
        <stp>FY 2018</stp>
        <stp>[FA1_ymffleas.xlsx]Bal Sheet - As Reported!R29C12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9" s="17"/>
      </tp>
      <tp>
        <v>234730</v>
        <stp/>
        <stp>##V3_BDHV12</stp>
        <stp>RCOM IN Equity</stp>
        <stp>ARD_OTHER_INTANGIBLE_ASSET</stp>
        <stp>FY 2016</stp>
        <stp>FY 2016</stp>
        <stp>[FA1_ymffleas.xlsx]Bal Sheet - As Reported!R29C10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9" s="17"/>
      </tp>
      <tp>
        <v>184750</v>
        <stp/>
        <stp>##V3_BDHV12</stp>
        <stp>RCOM IN Equity</stp>
        <stp>ARD_OTHER_INTANGIBLE_ASSET</stp>
        <stp>FY 2017</stp>
        <stp>FY 2017</stp>
        <stp>[FA1_ymffleas.xlsx]Bal Sheet - As Reported!R29C11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9" s="17"/>
      </tp>
      <tp>
        <v>0.77710000000000001</v>
        <stp/>
        <stp>##V3_BDHV12</stp>
        <stp>RCOM IN Equity</stp>
        <stp>RETURN_ON_ASSET</stp>
        <stp>FY 2015</stp>
        <stp>FY 2015</stp>
        <stp>[FA1_ymffleas.xlsx]Profitability!R8C9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8" s="21"/>
      </tp>
      <tp>
        <v>11.5162</v>
        <stp/>
        <stp>##V3_BDHV12</stp>
        <stp>RCOM IN Equity</stp>
        <stp>HIGH_EV_TO_T12M_SALES</stp>
        <stp>FY 2018</stp>
        <stp>FY 2018</stp>
        <stp>[FA1_ymffleas.xlsx]Multiples!R38C11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38" s="6"/>
      </tp>
      <tp t="s">
        <v>—</v>
        <stp/>
        <stp>##V3_BDHV12</stp>
        <stp>RCOM IN Equity</stp>
        <stp>DEPR_EXP_TO_NET_SALES</stp>
        <stp>FY 2016</stp>
        <stp>FY 2016</stp>
        <stp>[FA1_ymffleas.xlsx]CAPEX &amp; Depreciation!R7C10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7" s="28"/>
      </tp>
      <tp>
        <v>2.7315</v>
        <stp/>
        <stp>##V3_BDHV12</stp>
        <stp>RCOM IN Equity</stp>
        <stp>DVD_PAYOUT_RATIO</stp>
        <stp>FY 2009</stp>
        <stp>FY 2009</stp>
        <stp>[FA1_ymffleas.xlsx]Dividend Summary!R9C3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9" s="31"/>
      </tp>
      <tp>
        <v>9.1052</v>
        <stp/>
        <stp>##V3_BDHV12</stp>
        <stp>RCOM IN Equity</stp>
        <stp>INT_BURDEN</stp>
        <stp>FY 2016</stp>
        <stp>FY 2016</stp>
        <stp>[FA1_ymffleas.xlsx]DuPont Analysis!R11C10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1" s="27"/>
      </tp>
      <tp t="s">
        <v>—</v>
        <stp/>
        <stp>##V3_BDHV12</stp>
        <stp>RCOM IN Equity</stp>
        <stp>IS_IMPAIRMENT_ASSETS</stp>
        <stp>FY 2018</stp>
        <stp>FY 2018</stp>
        <stp>[FA1_ymffleas.xlsx]Reconciliation!R29C11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9" s="12"/>
      </tp>
      <tp t="s">
        <v>—</v>
        <stp/>
        <stp>##V3_BDHV12</stp>
        <stp>RCOM IN Equity</stp>
        <stp>IS_IMPAIRMENT_ASSETS</stp>
        <stp>FY 2017</stp>
        <stp>FY 2017</stp>
        <stp>[FA1_ymffleas.xlsx]Reconciliation!R29C10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9" s="12"/>
      </tp>
      <tp>
        <v>40</v>
        <stp/>
        <stp>##V3_BDHV12</stp>
        <stp>RCOM IN Equity</stp>
        <stp>ARDR_RENTAL_EXP_BEYOND_YR5</stp>
        <stp>FY 2018</stp>
        <stp>FY 2018</stp>
        <stp>[FA1_ymffleas.xlsx]Bal Sheet - As Reported!R107C12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7" s="17"/>
      </tp>
      <tp>
        <v>20</v>
        <stp/>
        <stp>##V3_BDHV12</stp>
        <stp>RCOM IN Equity</stp>
        <stp>ARDR_RENTAL_EXP_BEYOND_YR5</stp>
        <stp>FY 2017</stp>
        <stp>FY 2017</stp>
        <stp>[FA1_ymffleas.xlsx]Bal Sheet - As Reported!R107C11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7" s="17"/>
      </tp>
      <tp>
        <v>40</v>
        <stp/>
        <stp>##V3_BDHV12</stp>
        <stp>RCOM IN Equity</stp>
        <stp>ARDR_RENTAL_EXP_BEYOND_YR5</stp>
        <stp>FY 2016</stp>
        <stp>FY 2016</stp>
        <stp>[FA1_ymffleas.xlsx]Bal Sheet - As Reported!R107C10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7" s="17"/>
      </tp>
      <tp>
        <v>-50</v>
        <stp/>
        <stp>##V3_BDHV12</stp>
        <stp>RCOM IN Equity</stp>
        <stp>ARD_GAIN_LOSS_DISPOSAL_SUBSIDS</stp>
        <stp>FY 2018</stp>
        <stp>FY 2018</stp>
        <stp>[FA1_ymffleas.xlsx]Cash Flow - As Reported!R30C12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0" s="20"/>
      </tp>
      <tp>
        <v>-20</v>
        <stp/>
        <stp>##V3_BDHV12</stp>
        <stp>RCOM IN Equity</stp>
        <stp>ARD_GAIN_LOSS_DISPOSAL_SUBSIDS</stp>
        <stp>FY 2016</stp>
        <stp>FY 2016</stp>
        <stp>[FA1_ymffleas.xlsx]Cash Flow - As Reported!R30C10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0" s="20"/>
      </tp>
      <tp>
        <v>-30</v>
        <stp/>
        <stp>##V3_BDHV12</stp>
        <stp>RCOM IN Equity</stp>
        <stp>ARD_GAIN_LOSS_DISPOSAL_SUBSIDS</stp>
        <stp>FY 2017</stp>
        <stp>FY 2017</stp>
        <stp>[FA1_ymffleas.xlsx]Cash Flow - As Reported!R30C11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0" s="20"/>
      </tp>
      <tp>
        <v>-66.5</v>
        <stp/>
        <stp>##V3_BDHV12</stp>
        <stp>RCOM IN Equity</stp>
        <stp>IS_EXPENSE_STOCK_BASED_COMP</stp>
        <stp>FY 2010</stp>
        <stp>FY 2010</stp>
        <stp>[FA1_ymffleas.xlsx]SBC &amp; Amort!R15C4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" s="13"/>
      </tp>
      <tp>
        <v>-70</v>
        <stp/>
        <stp>##V3_BDHV12</stp>
        <stp>RCOM IN Equity</stp>
        <stp>IS_EXPENSE_STOCK_BASED_COMP</stp>
        <stp>FY 2011</stp>
        <stp>FY 2011</stp>
        <stp>[FA1_ymffleas.xlsx]SBC &amp; Amort!R15C5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" s="13"/>
      </tp>
      <tp>
        <v>-50</v>
        <stp/>
        <stp>##V3_BDHV12</stp>
        <stp>RCOM IN Equity</stp>
        <stp>IS_EXPENSE_STOCK_BASED_COMP</stp>
        <stp>FY 2012</stp>
        <stp>FY 2012</stp>
        <stp>[FA1_ymffleas.xlsx]SBC &amp; Amort!R15C6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" s="13"/>
      </tp>
      <tp>
        <v>0</v>
        <stp/>
        <stp>##V3_BDHV12</stp>
        <stp>RCOM IN Equity</stp>
        <stp>IS_EXPENSE_STOCK_BASED_COMP</stp>
        <stp>FY 2013</stp>
        <stp>FY 2013</stp>
        <stp>[FA1_ymffleas.xlsx]SBC &amp; Amort!R15C7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" s="13"/>
      </tp>
      <tp>
        <v>74.7</v>
        <stp/>
        <stp>##V3_BDHV12</stp>
        <stp>RCOM IN Equity</stp>
        <stp>IS_EXPENSE_STOCK_BASED_COMP</stp>
        <stp>FY 2009</stp>
        <stp>FY 2009</stp>
        <stp>[FA1_ymffleas.xlsx]SBC &amp; Amort!R15C3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" s="13"/>
      </tp>
      <tp>
        <v>-10</v>
        <stp/>
        <stp>##V3_BDHV12</stp>
        <stp>RCOM IN Equity</stp>
        <stp>IS_EXPENSE_STOCK_BASED_COMP</stp>
        <stp>FY 2014</stp>
        <stp>FY 2014</stp>
        <stp>[FA1_ymffleas.xlsx]SBC &amp; Amort!R15C8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" s="13"/>
      </tp>
      <tp>
        <v>-20</v>
        <stp/>
        <stp>##V3_BDHV12</stp>
        <stp>RCOM IN Equity</stp>
        <stp>IS_EXPENSE_STOCK_BASED_COMP</stp>
        <stp>FY 2015</stp>
        <stp>FY 2015</stp>
        <stp>[FA1_ymffleas.xlsx]SBC &amp; Amort!R15C9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" s="13"/>
      </tp>
      <tp>
        <v>-2080</v>
        <stp/>
        <stp>##V3_BDHV12</stp>
        <stp>RCOM IN Equity</stp>
        <stp>ARD_NET_CHANGE_IN_CASH</stp>
        <stp>FY 2018</stp>
        <stp>FY 2018</stp>
        <stp>[FA1_ymffleas.xlsx]Cash Flow - As Reported!R62C12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2" s="20"/>
      </tp>
      <tp>
        <v>2510</v>
        <stp/>
        <stp>##V3_BDHV12</stp>
        <stp>RCOM IN Equity</stp>
        <stp>ARD_NET_CHANGE_IN_CASH</stp>
        <stp>FY 2017</stp>
        <stp>FY 2017</stp>
        <stp>[FA1_ymffleas.xlsx]Cash Flow - As Reported!R62C11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2" s="20"/>
      </tp>
      <tp>
        <v>-4080</v>
        <stp/>
        <stp>##V3_BDHV12</stp>
        <stp>RCOM IN Equity</stp>
        <stp>ARD_NET_CHANGE_IN_CASH</stp>
        <stp>FY 2016</stp>
        <stp>FY 2016</stp>
        <stp>[FA1_ymffleas.xlsx]Cash Flow - As Reported!R62C10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2" s="20"/>
      </tp>
      <tp>
        <v>-0.2984</v>
        <stp/>
        <stp>##V3_BDHV12</stp>
        <stp>RCOM IN Equity</stp>
        <stp>ALTMAN_Z_SCORE</stp>
        <stp>FY 2018</stp>
        <stp>FY 2018</stp>
        <stp>[FA1_ymffleas.xlsx]Addl - Overview!R31C11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1" s="29"/>
      </tp>
      <tp>
        <v>-1.8599999999999998E-2</v>
        <stp/>
        <stp>##V3_BDHV12</stp>
        <stp>RCOM IN Equity</stp>
        <stp>ALTMAN_Z_SCORE</stp>
        <stp>FY 2017</stp>
        <stp>FY 2017</stp>
        <stp>[FA1_ymffleas.xlsx]Addl - Overview!R31C10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1" s="29"/>
      </tp>
      <tp>
        <v>270</v>
        <stp/>
        <stp>##V3_BDHV12</stp>
        <stp>RCOM IN Equity</stp>
        <stp>ARDR_OTHER_CURRENT_ASSETS</stp>
        <stp>FY 2016</stp>
        <stp>FY 2016</stp>
        <stp>[FA1_ymffleas.xlsx]Bal Sheet - As Reported!R66C10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6" s="17"/>
      </tp>
      <tp>
        <v>300</v>
        <stp/>
        <stp>##V3_BDHV12</stp>
        <stp>RCOM IN Equity</stp>
        <stp>ARDR_OTHER_CURRENT_ASSETS</stp>
        <stp>FY 2017</stp>
        <stp>FY 2017</stp>
        <stp>[FA1_ymffleas.xlsx]Bal Sheet - As Reported!R66C11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6" s="17"/>
      </tp>
      <tp>
        <v>170</v>
        <stp/>
        <stp>##V3_BDHV12</stp>
        <stp>RCOM IN Equity</stp>
        <stp>ARDR_OTHER_CURRENT_ASSETS</stp>
        <stp>FY 2018</stp>
        <stp>FY 2018</stp>
        <stp>[FA1_ymffleas.xlsx]Bal Sheet - As Reported!R66C12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6" s="17"/>
      </tp>
      <tp>
        <v>707620</v>
        <stp/>
        <stp>##V3_BDHV12</stp>
        <stp>RCOM IN Equity</stp>
        <stp>BS_TOT_LIAB2</stp>
        <stp>FY 2017</stp>
        <stp>FY 2017</stp>
        <stp>[FA1_ymffleas.xlsx]Addl - Overview!R26C10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6" s="29"/>
      </tp>
      <tp>
        <v>714630</v>
        <stp/>
        <stp>##V3_BDHV12</stp>
        <stp>RCOM IN Equity</stp>
        <stp>BS_TOT_LIAB2</stp>
        <stp>FY 2018</stp>
        <stp>FY 2018</stp>
        <stp>[FA1_ymffleas.xlsx]Addl - Overview!R26C11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6" s="29"/>
      </tp>
      <tp>
        <v>0</v>
        <stp/>
        <stp>##V3_BDHV12</stp>
        <stp>RCOM IN Equity</stp>
        <stp>CF_EFFECT_FOREIGN_EXCHANGES</stp>
        <stp>FY 2016</stp>
        <stp>FY 2016</stp>
        <stp>[FA1_ymffleas.xlsx]Cash Flow - Standardized!R50C9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0" s="19"/>
      </tp>
      <tp>
        <v>0</v>
        <stp/>
        <stp>##V3_BDHV12</stp>
        <stp>RCOM IN Equity</stp>
        <stp>CF_EFFECT_FOREIGN_EXCHANGES</stp>
        <stp>FY 2015</stp>
        <stp>FY 2015</stp>
        <stp>[FA1_ymffleas.xlsx]Cash Flow - Standardized!R50C8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0" s="19"/>
      </tp>
      <tp>
        <v>10</v>
        <stp/>
        <stp>##V3_BDHV12</stp>
        <stp>RCOM IN Equity</stp>
        <stp>CF_EFFECT_FOREIGN_EXCHANGES</stp>
        <stp>FY 2012</stp>
        <stp>FY 2012</stp>
        <stp>[FA1_ymffleas.xlsx]Cash Flow - Standardized!R50C5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0" s="19"/>
      </tp>
      <tp>
        <v>0</v>
        <stp/>
        <stp>##V3_BDHV12</stp>
        <stp>RCOM IN Equity</stp>
        <stp>CF_EFFECT_FOREIGN_EXCHANGES</stp>
        <stp>FY 2011</stp>
        <stp>FY 2011</stp>
        <stp>[FA1_ymffleas.xlsx]Cash Flow - Standardized!R50C4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0" s="19"/>
      </tp>
      <tp>
        <v>10</v>
        <stp/>
        <stp>##V3_BDHV12</stp>
        <stp>RCOM IN Equity</stp>
        <stp>CF_EFFECT_FOREIGN_EXCHANGES</stp>
        <stp>FY 2014</stp>
        <stp>FY 2014</stp>
        <stp>[FA1_ymffleas.xlsx]Cash Flow - Standardized!R50C7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0" s="19"/>
      </tp>
      <tp>
        <v>10</v>
        <stp/>
        <stp>##V3_BDHV12</stp>
        <stp>RCOM IN Equity</stp>
        <stp>CF_EFFECT_FOREIGN_EXCHANGES</stp>
        <stp>FY 2013</stp>
        <stp>FY 2013</stp>
        <stp>[FA1_ymffleas.xlsx]Cash Flow - Standardized!R50C6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0" s="19"/>
      </tp>
      <tp>
        <v>9.4</v>
        <stp/>
        <stp>##V3_BDHV12</stp>
        <stp>RCOM IN Equity</stp>
        <stp>CF_EFFECT_FOREIGN_EXCHANGES</stp>
        <stp>FY 2010</stp>
        <stp>FY 2010</stp>
        <stp>[FA1_ymffleas.xlsx]Cash Flow - Standardized!R50C3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0" s="19"/>
      </tp>
      <tp>
        <v>17341.099999999999</v>
        <stp/>
        <stp>##V3_BDHV12</stp>
        <stp>RCOM IN Equity</stp>
        <stp>ARDR_SELLING_EXPENSES</stp>
        <stp>FY 2009</stp>
        <stp>FY 2009</stp>
        <stp>[FA1_ymffleas.xlsx]Income - As Reported!R126C3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6" s="11"/>
      </tp>
      <tp>
        <v>18620</v>
        <stp/>
        <stp>##V3_BDHV12</stp>
        <stp>RCOM IN Equity</stp>
        <stp>ARDR_SELLING_EXPENSES</stp>
        <stp>FY 2012</stp>
        <stp>FY 2012</stp>
        <stp>[FA1_ymffleas.xlsx]Income - As Reported!R126C6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6" s="11"/>
      </tp>
      <tp>
        <v>16910</v>
        <stp/>
        <stp>##V3_BDHV12</stp>
        <stp>RCOM IN Equity</stp>
        <stp>ARDR_SELLING_EXPENSES</stp>
        <stp>FY 2013</stp>
        <stp>FY 2013</stp>
        <stp>[FA1_ymffleas.xlsx]Income - As Reported!R126C7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6" s="11"/>
      </tp>
      <tp>
        <v>20225.400000000001</v>
        <stp/>
        <stp>##V3_BDHV12</stp>
        <stp>RCOM IN Equity</stp>
        <stp>ARDR_SELLING_EXPENSES</stp>
        <stp>FY 2010</stp>
        <stp>FY 2010</stp>
        <stp>[FA1_ymffleas.xlsx]Income - As Reported!R126C4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6" s="11"/>
      </tp>
      <tp>
        <v>19200</v>
        <stp/>
        <stp>##V3_BDHV12</stp>
        <stp>RCOM IN Equity</stp>
        <stp>ARDR_SELLING_EXPENSES</stp>
        <stp>FY 2011</stp>
        <stp>FY 2011</stp>
        <stp>[FA1_ymffleas.xlsx]Income - As Reported!R126C5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6" s="11"/>
      </tp>
      <tp>
        <v>13790</v>
        <stp/>
        <stp>##V3_BDHV12</stp>
        <stp>RCOM IN Equity</stp>
        <stp>ARDR_SELLING_EXPENSES</stp>
        <stp>FY 2014</stp>
        <stp>FY 2014</stp>
        <stp>[FA1_ymffleas.xlsx]Income - As Reported!R126C8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6" s="11"/>
      </tp>
      <tp>
        <v>15360</v>
        <stp/>
        <stp>##V3_BDHV12</stp>
        <stp>RCOM IN Equity</stp>
        <stp>ARDR_SELLING_EXPENSES</stp>
        <stp>FY 2015</stp>
        <stp>FY 2015</stp>
        <stp>[FA1_ymffleas.xlsx]Income - As Reported!R126C9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6" s="11"/>
      </tp>
      <tp>
        <v>12370</v>
        <stp/>
        <stp>##V3_BDHV12</stp>
        <stp>RCOM IN Equity</stp>
        <stp>ARD_ST_PROVISIONS</stp>
        <stp>FY 2018</stp>
        <stp>FY 2018</stp>
        <stp>[FA1_ymffleas.xlsx]Bal Sheet - As Reported!R59C12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9" s="17"/>
      </tp>
      <tp>
        <v>12430</v>
        <stp/>
        <stp>##V3_BDHV12</stp>
        <stp>RCOM IN Equity</stp>
        <stp>ARD_ST_PROVISIONS</stp>
        <stp>FY 2016</stp>
        <stp>FY 2016</stp>
        <stp>[FA1_ymffleas.xlsx]Bal Sheet - As Reported!R59C10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9" s="17"/>
      </tp>
      <tp>
        <v>12450</v>
        <stp/>
        <stp>##V3_BDHV12</stp>
        <stp>RCOM IN Equity</stp>
        <stp>ARD_ST_PROVISIONS</stp>
        <stp>FY 2017</stp>
        <stp>FY 2017</stp>
        <stp>[FA1_ymffleas.xlsx]Bal Sheet - As Reported!R59C11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9" s="17"/>
      </tp>
      <tp t="s">
        <v>—</v>
        <stp/>
        <stp>##V3_BDHV12</stp>
        <stp>RCOM IN Equity</stp>
        <stp>ARDR_CUSTOMER_DEPOSIT_ADV_ST</stp>
        <stp>FY 2009</stp>
        <stp>FY 2009</stp>
        <stp>[FA1_ymffleas.xlsx]Bal Sheet - As Reported!R121C3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1" s="17"/>
      </tp>
      <tp>
        <v>11650</v>
        <stp/>
        <stp>##V3_BDHV12</stp>
        <stp>RCOM IN Equity</stp>
        <stp>ARDR_CUSTOMER_DEPOSIT_ADV_ST</stp>
        <stp>FY 2011</stp>
        <stp>FY 2011</stp>
        <stp>[FA1_ymffleas.xlsx]Bal Sheet - As Reported!R121C5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1" s="17"/>
      </tp>
      <tp t="s">
        <v>—</v>
        <stp/>
        <stp>##V3_BDHV12</stp>
        <stp>RCOM IN Equity</stp>
        <stp>ARDR_CUSTOMER_DEPOSIT_ADV_ST</stp>
        <stp>FY 2010</stp>
        <stp>FY 2010</stp>
        <stp>[FA1_ymffleas.xlsx]Bal Sheet - As Reported!R121C4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1" s="17"/>
      </tp>
      <tp>
        <v>9620</v>
        <stp/>
        <stp>##V3_BDHV12</stp>
        <stp>RCOM IN Equity</stp>
        <stp>ARDR_CUSTOMER_DEPOSIT_ADV_ST</stp>
        <stp>FY 2013</stp>
        <stp>FY 2013</stp>
        <stp>[FA1_ymffleas.xlsx]Bal Sheet - As Reported!R121C7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1" s="17"/>
      </tp>
      <tp>
        <v>12250</v>
        <stp/>
        <stp>##V3_BDHV12</stp>
        <stp>RCOM IN Equity</stp>
        <stp>ARDR_CUSTOMER_DEPOSIT_ADV_ST</stp>
        <stp>FY 2012</stp>
        <stp>FY 2012</stp>
        <stp>[FA1_ymffleas.xlsx]Bal Sheet - As Reported!R121C6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1" s="17"/>
      </tp>
      <tp>
        <v>11610</v>
        <stp/>
        <stp>##V3_BDHV12</stp>
        <stp>RCOM IN Equity</stp>
        <stp>ARDR_CUSTOMER_DEPOSIT_ADV_ST</stp>
        <stp>FY 2015</stp>
        <stp>FY 2015</stp>
        <stp>[FA1_ymffleas.xlsx]Bal Sheet - As Reported!R121C9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1" s="17"/>
      </tp>
      <tp>
        <v>9670</v>
        <stp/>
        <stp>##V3_BDHV12</stp>
        <stp>RCOM IN Equity</stp>
        <stp>ARDR_CUSTOMER_DEPOSIT_ADV_ST</stp>
        <stp>FY 2014</stp>
        <stp>FY 2014</stp>
        <stp>[FA1_ymffleas.xlsx]Bal Sheet - As Reported!R121C8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1" s="17"/>
      </tp>
      <tp>
        <v>120</v>
        <stp/>
        <stp>##V3_BDHV12</stp>
        <stp>RCOM IN Equity</stp>
        <stp>IS_INT_INC</stp>
        <stp>FY 2018</stp>
        <stp>FY 2018</stp>
        <stp>[FA1_ymffleas.xlsx]Income - GAAP!R43C11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43" s="10"/>
      </tp>
      <tp>
        <v>240</v>
        <stp/>
        <stp>##V3_BDHV12</stp>
        <stp>RCOM IN Equity</stp>
        <stp>IS_INT_INC</stp>
        <stp>FY 2017</stp>
        <stp>FY 2017</stp>
        <stp>[FA1_ymffleas.xlsx]Income - GAAP!R43C10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43" s="10"/>
      </tp>
      <tp>
        <v>1930</v>
        <stp/>
        <stp>##V3_BDHV12</stp>
        <stp>RCOM IN Equity</stp>
        <stp>BS_INTEREST_&amp;_DIVIDENDS_PAYABLE</stp>
        <stp>FY 2015</stp>
        <stp>FY 2015</stp>
        <stp>[FA1_ymffleas.xlsx]Bal Sheet - Standardized!R81C9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1" s="16"/>
      </tp>
      <tp>
        <v>1720</v>
        <stp/>
        <stp>##V3_BDHV12</stp>
        <stp>RCOM IN Equity</stp>
        <stp>BS_INTEREST_&amp;_DIVIDENDS_PAYABLE</stp>
        <stp>FY 2014</stp>
        <stp>FY 2014</stp>
        <stp>[FA1_ymffleas.xlsx]Bal Sheet - Standardized!R81C8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1" s="16"/>
      </tp>
      <tp>
        <v>2140</v>
        <stp/>
        <stp>##V3_BDHV12</stp>
        <stp>RCOM IN Equity</stp>
        <stp>BS_INTEREST_&amp;_DIVIDENDS_PAYABLE</stp>
        <stp>FY 2013</stp>
        <stp>FY 2013</stp>
        <stp>[FA1_ymffleas.xlsx]Bal Sheet - Standardized!R81C7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1" s="16"/>
      </tp>
      <tp>
        <v>1800</v>
        <stp/>
        <stp>##V3_BDHV12</stp>
        <stp>RCOM IN Equity</stp>
        <stp>BS_INTEREST_&amp;_DIVIDENDS_PAYABLE</stp>
        <stp>FY 2012</stp>
        <stp>FY 2012</stp>
        <stp>[FA1_ymffleas.xlsx]Bal Sheet - Standardized!R81C6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1" s="16"/>
      </tp>
      <tp>
        <v>1840</v>
        <stp/>
        <stp>##V3_BDHV12</stp>
        <stp>RCOM IN Equity</stp>
        <stp>BS_INTEREST_&amp;_DIVIDENDS_PAYABLE</stp>
        <stp>FY 2011</stp>
        <stp>FY 2011</stp>
        <stp>[FA1_ymffleas.xlsx]Bal Sheet - Standardized!R81C5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1" s="16"/>
      </tp>
      <tp>
        <v>2453.6999999999998</v>
        <stp/>
        <stp>##V3_BDHV12</stp>
        <stp>RCOM IN Equity</stp>
        <stp>BS_INTEREST_&amp;_DIVIDENDS_PAYABLE</stp>
        <stp>FY 2010</stp>
        <stp>FY 2010</stp>
        <stp>[FA1_ymffleas.xlsx]Bal Sheet - Standardized!R81C4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1" s="16"/>
      </tp>
      <tp>
        <v>2780.6</v>
        <stp/>
        <stp>##V3_BDHV12</stp>
        <stp>RCOM IN Equity</stp>
        <stp>BS_INTEREST_&amp;_DIVIDENDS_PAYABLE</stp>
        <stp>FY 2009</stp>
        <stp>FY 2009</stp>
        <stp>[FA1_ymffleas.xlsx]Bal Sheet - Standardized!R81C3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1" s="16"/>
      </tp>
      <tp>
        <v>2320</v>
        <stp/>
        <stp>##V3_BDHV12</stp>
        <stp>RCOM IN Equity</stp>
        <stp>PRETAX_INC</stp>
        <stp>FY 2016</stp>
        <stp>FY 2016</stp>
        <stp>[FA1_ymffleas.xlsx]Income - GAAP!R53C9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53" s="10"/>
      </tp>
      <tp>
        <v>9460</v>
        <stp/>
        <stp>##V3_BDHV12</stp>
        <stp>RCOM IN Equity</stp>
        <stp>PRETAX_INC</stp>
        <stp>FY 2015</stp>
        <stp>FY 2015</stp>
        <stp>[FA1_ymffleas.xlsx]Income - GAAP!R53C8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53" s="10"/>
      </tp>
      <tp>
        <v>27.752299999999998</v>
        <stp/>
        <stp>##V3_BDHV12</stp>
        <stp>RCOM IN Equity</stp>
        <stp>EBITDA_SEQUENTIAL_GROWTH</stp>
        <stp>FY 2009</stp>
        <stp>FY 2009</stp>
        <stp>[FA1_ymffleas.xlsx]Growth!R61C3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61" s="22"/>
      </tp>
      <tp>
        <v>52228.3</v>
        <stp/>
        <stp>##V3_BDHV12</stp>
        <stp>RCOM IN Equity</stp>
        <stp>PRETAX_INC</stp>
        <stp>FY 2010</stp>
        <stp>FY 2010</stp>
        <stp>[FA1_ymffleas.xlsx]Income - GAAP!R53C3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53" s="10"/>
      </tp>
      <tp>
        <v>8820</v>
        <stp/>
        <stp>##V3_BDHV12</stp>
        <stp>RCOM IN Equity</stp>
        <stp>PRETAX_INC</stp>
        <stp>FY 2012</stp>
        <stp>FY 2012</stp>
        <stp>[FA1_ymffleas.xlsx]Income - GAAP!R53C5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53" s="10"/>
      </tp>
      <tp>
        <v>15170</v>
        <stp/>
        <stp>##V3_BDHV12</stp>
        <stp>RCOM IN Equity</stp>
        <stp>PRETAX_INC</stp>
        <stp>FY 2011</stp>
        <stp>FY 2011</stp>
        <stp>[FA1_ymffleas.xlsx]Income - GAAP!R53C4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53" s="10"/>
      </tp>
      <tp>
        <v>1160</v>
        <stp/>
        <stp>##V3_BDHV12</stp>
        <stp>RCOM IN Equity</stp>
        <stp>PRETAX_INC</stp>
        <stp>FY 2014</stp>
        <stp>FY 2014</stp>
        <stp>[FA1_ymffleas.xlsx]Income - GAAP!R53C7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53" s="10"/>
      </tp>
      <tp>
        <v>8150</v>
        <stp/>
        <stp>##V3_BDHV12</stp>
        <stp>RCOM IN Equity</stp>
        <stp>PRETAX_INC</stp>
        <stp>FY 2013</stp>
        <stp>FY 2013</stp>
        <stp>[FA1_ymffleas.xlsx]Income - GAAP!R53C6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53" s="10"/>
      </tp>
      <tp>
        <v>319130</v>
        <stp/>
        <stp>##V3_BDHV12</stp>
        <stp>RCOM IN Equity</stp>
        <stp>NON_CUR_LIAB</stp>
        <stp>FY 2015</stp>
        <stp>FY 2015</stp>
        <stp>[FA1_ymffleas.xlsx]Bal Sheet - Standardized!R129C9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9" s="16"/>
      </tp>
      <tp>
        <v>316620</v>
        <stp/>
        <stp>##V3_BDHV12</stp>
        <stp>RCOM IN Equity</stp>
        <stp>NON_CUR_LIAB</stp>
        <stp>FY 2014</stp>
        <stp>FY 2014</stp>
        <stp>[FA1_ymffleas.xlsx]Bal Sheet - Standardized!R129C8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9" s="16"/>
      </tp>
      <tp>
        <v>273187.3</v>
        <stp/>
        <stp>##V3_BDHV12</stp>
        <stp>RCOM IN Equity</stp>
        <stp>NON_CUR_LIAB</stp>
        <stp>FY 2009</stp>
        <stp>FY 2009</stp>
        <stp>[FA1_ymffleas.xlsx]Bal Sheet - Standardized!R129C3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9" s="16"/>
      </tp>
      <tp>
        <v>321680</v>
        <stp/>
        <stp>##V3_BDHV12</stp>
        <stp>RCOM IN Equity</stp>
        <stp>NON_CUR_LIAB</stp>
        <stp>FY 2013</stp>
        <stp>FY 2013</stp>
        <stp>[FA1_ymffleas.xlsx]Bal Sheet - Standardized!R129C7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9" s="16"/>
      </tp>
      <tp>
        <v>327050</v>
        <stp/>
        <stp>##V3_BDHV12</stp>
        <stp>RCOM IN Equity</stp>
        <stp>NON_CUR_LIAB</stp>
        <stp>FY 2012</stp>
        <stp>FY 2012</stp>
        <stp>[FA1_ymffleas.xlsx]Bal Sheet - Standardized!R129C6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9" s="16"/>
      </tp>
      <tp>
        <v>210980</v>
        <stp/>
        <stp>##V3_BDHV12</stp>
        <stp>RCOM IN Equity</stp>
        <stp>NON_CUR_LIAB</stp>
        <stp>FY 2011</stp>
        <stp>FY 2011</stp>
        <stp>[FA1_ymffleas.xlsx]Bal Sheet - Standardized!R129C5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9" s="16"/>
      </tp>
      <tp>
        <v>193508.7</v>
        <stp/>
        <stp>##V3_BDHV12</stp>
        <stp>RCOM IN Equity</stp>
        <stp>NON_CUR_LIAB</stp>
        <stp>FY 2010</stp>
        <stp>FY 2010</stp>
        <stp>[FA1_ymffleas.xlsx]Bal Sheet - Standardized!R129C4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9" s="16"/>
      </tp>
      <tp>
        <v>-23.4</v>
        <stp/>
        <stp>##V3_BDHV12</stp>
        <stp>RCOM IN Equity</stp>
        <stp>CHG_PCT_PERIOD</stp>
        <stp>FY 2017</stp>
        <stp>FY 2017</stp>
        <stp>[FA1_ymffleas.xlsx]Stock Value!R7C10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" s="8"/>
      </tp>
      <tp>
        <v>-43.211500000000001</v>
        <stp/>
        <stp>##V3_BDHV12</stp>
        <stp>RCOM IN Equity</stp>
        <stp>CHG_PCT_PERIOD</stp>
        <stp>FY 2018</stp>
        <stp>FY 2018</stp>
        <stp>[FA1_ymffleas.xlsx]Stock Value!R7C11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" s="8"/>
      </tp>
      <tp>
        <v>1.1574</v>
        <stp/>
        <stp>##V3_BDHV12</stp>
        <stp>RCOM IN Equity</stp>
        <stp>RETURN_ON_ASSET</stp>
        <stp>FY 2014</stp>
        <stp>FY 2014</stp>
        <stp>[FA1_ymffleas.xlsx]Profitability!R8C8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8" s="21"/>
      </tp>
      <tp t="s">
        <v>—</v>
        <stp/>
        <stp>##V3_BDHV12</stp>
        <stp>RCOM IN Equity</stp>
        <stp>PX_TO_FREE_CASH_FLOW</stp>
        <stp>FY 2017</stp>
        <stp>FY 2017</stp>
        <stp>[FA1_ymffleas.xlsx]Multiples!R31C10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1" s="6"/>
      </tp>
      <tp t="s">
        <v>—</v>
        <stp/>
        <stp>##V3_BDHV12</stp>
        <stp>RCOM IN Equity</stp>
        <stp>PX_TO_FREE_CASH_FLOW</stp>
        <stp>FY 2018</stp>
        <stp>FY 2018</stp>
        <stp>[FA1_ymffleas.xlsx]Multiples!R31C11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1" s="6"/>
      </tp>
      <tp>
        <v>11.911200000000001</v>
        <stp/>
        <stp>##V3_BDHV12</stp>
        <stp>RCOM IN Equity</stp>
        <stp>PX_ERN_RATIO_WITH_LOW_CLOS_PX</stp>
        <stp>FY 2017</stp>
        <stp>FY 2017</stp>
        <stp>[FA1_ymffleas.xlsx]Multiples!R9C10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" s="6"/>
      </tp>
      <tp>
        <v>8.2928999999999995</v>
        <stp/>
        <stp>##V3_BDHV12</stp>
        <stp>RCOM IN Equity</stp>
        <stp>HIGH_EV_TO_T12M_SALES</stp>
        <stp>FY 2017</stp>
        <stp>FY 2017</stp>
        <stp>[FA1_ymffleas.xlsx]Multiples!R38C10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38" s="6"/>
      </tp>
      <tp>
        <v>19.939</v>
        <stp/>
        <stp>##V3_BDHV12</stp>
        <stp>RCOM IN Equity</stp>
        <stp>PX_ERN_RATIO_WITH_LOW_CLOS_PX</stp>
        <stp>FY 2018</stp>
        <stp>FY 2018</stp>
        <stp>[FA1_ymffleas.xlsx]Multiples!R9C11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" s="6"/>
      </tp>
      <tp t="s">
        <v>—</v>
        <stp/>
        <stp>##V3_BDHV12</stp>
        <stp>RCOM IN Equity</stp>
        <stp>BS_PENSIONS_LT_LIABS</stp>
        <stp>FY 2010</stp>
        <stp>FY 2010</stp>
        <stp>[FA1_ymffleas.xlsx]Bal Sheet - Standardized!R115C4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5" s="16"/>
      </tp>
      <tp t="s">
        <v>—</v>
        <stp/>
        <stp>##V3_BDHV12</stp>
        <stp>RCOM IN Equity</stp>
        <stp>BS_PENSIONS_LT_LIABS</stp>
        <stp>FY 2011</stp>
        <stp>FY 2011</stp>
        <stp>[FA1_ymffleas.xlsx]Bal Sheet - Standardized!R115C5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5" s="16"/>
      </tp>
      <tp t="s">
        <v>—</v>
        <stp/>
        <stp>##V3_BDHV12</stp>
        <stp>RCOM IN Equity</stp>
        <stp>BS_PENSIONS_LT_LIABS</stp>
        <stp>FY 2012</stp>
        <stp>FY 2012</stp>
        <stp>[FA1_ymffleas.xlsx]Bal Sheet - Standardized!R115C6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5" s="16"/>
      </tp>
      <tp t="s">
        <v>—</v>
        <stp/>
        <stp>##V3_BDHV12</stp>
        <stp>RCOM IN Equity</stp>
        <stp>BS_PENSIONS_LT_LIABS</stp>
        <stp>FY 2013</stp>
        <stp>FY 2013</stp>
        <stp>[FA1_ymffleas.xlsx]Bal Sheet - Standardized!R115C7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5" s="16"/>
      </tp>
      <tp t="s">
        <v>—</v>
        <stp/>
        <stp>##V3_BDHV12</stp>
        <stp>RCOM IN Equity</stp>
        <stp>BS_PENSIONS_LT_LIABS</stp>
        <stp>FY 2009</stp>
        <stp>FY 2009</stp>
        <stp>[FA1_ymffleas.xlsx]Bal Sheet - Standardized!R115C3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5" s="16"/>
      </tp>
      <tp t="s">
        <v>—</v>
        <stp/>
        <stp>##V3_BDHV12</stp>
        <stp>RCOM IN Equity</stp>
        <stp>BS_PENSIONS_LT_LIABS</stp>
        <stp>FY 2014</stp>
        <stp>FY 2014</stp>
        <stp>[FA1_ymffleas.xlsx]Bal Sheet - Standardized!R115C8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5" s="16"/>
      </tp>
      <tp t="s">
        <v>—</v>
        <stp/>
        <stp>##V3_BDHV12</stp>
        <stp>RCOM IN Equity</stp>
        <stp>BS_PENSIONS_LT_LIABS</stp>
        <stp>FY 2015</stp>
        <stp>FY 2015</stp>
        <stp>[FA1_ymffleas.xlsx]Bal Sheet - Standardized!R115C9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5" s="16"/>
      </tp>
      <tp>
        <v>35220</v>
        <stp/>
        <stp>##V3_BDHV12</stp>
        <stp>RCOM IN Equity</stp>
        <stp>CF_CASH_FROM_FNC_ACT</stp>
        <stp>FY 2015</stp>
        <stp>FY 2015</stp>
        <stp>[FA1_ymffleas.xlsx]GAAP Highlights!R24C9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4" s="3"/>
      </tp>
      <tp>
        <v>-19480</v>
        <stp/>
        <stp>##V3_BDHV12</stp>
        <stp>RCOM IN Equity</stp>
        <stp>CF_CASH_FROM_FNC_ACT</stp>
        <stp>FY 2014</stp>
        <stp>FY 2014</stp>
        <stp>[FA1_ymffleas.xlsx]GAAP Highlights!R24C8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4" s="3"/>
      </tp>
      <tp>
        <v>8900</v>
        <stp/>
        <stp>##V3_BDHV12</stp>
        <stp>RCOM IN Equity</stp>
        <stp>CF_CASH_FROM_FNC_ACT</stp>
        <stp>FY 2013</stp>
        <stp>FY 2013</stp>
        <stp>[FA1_ymffleas.xlsx]GAAP Highlights!R24C7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4" s="3"/>
      </tp>
      <tp>
        <v>-37780</v>
        <stp/>
        <stp>##V3_BDHV12</stp>
        <stp>RCOM IN Equity</stp>
        <stp>CF_CASH_FROM_FNC_ACT</stp>
        <stp>FY 2012</stp>
        <stp>FY 2012</stp>
        <stp>[FA1_ymffleas.xlsx]GAAP Highlights!R24C6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4" s="3"/>
      </tp>
      <tp>
        <v>94330</v>
        <stp/>
        <stp>##V3_BDHV12</stp>
        <stp>RCOM IN Equity</stp>
        <stp>CF_CASH_FROM_FNC_ACT</stp>
        <stp>FY 2011</stp>
        <stp>FY 2011</stp>
        <stp>[FA1_ymffleas.xlsx]GAAP Highlights!R24C5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4" s="3"/>
      </tp>
      <tp>
        <v>-71799.5</v>
        <stp/>
        <stp>##V3_BDHV12</stp>
        <stp>RCOM IN Equity</stp>
        <stp>CF_CASH_FROM_FNC_ACT</stp>
        <stp>FY 2010</stp>
        <stp>FY 2010</stp>
        <stp>[FA1_ymffleas.xlsx]GAAP Highlights!R24C4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4" s="3"/>
      </tp>
      <tp>
        <v>56004.2</v>
        <stp/>
        <stp>##V3_BDHV12</stp>
        <stp>RCOM IN Equity</stp>
        <stp>CF_CASH_FROM_FNC_ACT</stp>
        <stp>FY 2009</stp>
        <stp>FY 2009</stp>
        <stp>[FA1_ymffleas.xlsx]GAAP Highlights!R24C3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4" s="3"/>
      </tp>
      <tp>
        <v>45930</v>
        <stp/>
        <stp>##V3_BDHV12</stp>
        <stp>RCOM IN Equity</stp>
        <stp>SALES_REV_TURN</stp>
        <stp>FY 2018</stp>
        <stp>FY 2018</stp>
        <stp>[FA1_ymffleas.xlsx]GAAP Highlights!R6C12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6" s="3"/>
      </tp>
      <tp>
        <v>4270</v>
        <stp/>
        <stp>##V3_BDHV12</stp>
        <stp>RCOM IN Equity</stp>
        <stp>IS_PERSONNEL_EXP</stp>
        <stp>FY 2018</stp>
        <stp>FY 2018</stp>
        <stp>[FA1_ymffleas.xlsx]Income - Adjusted!R130C11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0" s="9"/>
      </tp>
      <tp>
        <v>4420</v>
        <stp/>
        <stp>##V3_BDHV12</stp>
        <stp>RCOM IN Equity</stp>
        <stp>IS_PERSONNEL_EXP</stp>
        <stp>FY 2017</stp>
        <stp>FY 2017</stp>
        <stp>[FA1_ymffleas.xlsx]Income - Adjusted!R130C10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0" s="9"/>
      </tp>
      <tp>
        <v>217430</v>
        <stp/>
        <stp>##V3_BDHV12</stp>
        <stp>RCOM IN Equity</stp>
        <stp>SALES_REV_TURN</stp>
        <stp>FY 2016</stp>
        <stp>FY 2016</stp>
        <stp>[FA1_ymffleas.xlsx]GAAP Highlights!R6C10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6" s="3"/>
      </tp>
      <tp>
        <v>0.50649999999999995</v>
        <stp/>
        <stp>##V3_BDHV12</stp>
        <stp>RCOM IN Equity</stp>
        <stp>IS_DIL_EPS_BEF_XO</stp>
        <stp>FY 2017</stp>
        <stp>FY 2017</stp>
        <stp>[FA1_ymffleas.xlsx]Income - Adjusted!R116C10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16" s="9"/>
      </tp>
      <tp>
        <v>65540</v>
        <stp/>
        <stp>##V3_BDHV12</stp>
        <stp>RCOM IN Equity</stp>
        <stp>SALES_REV_TURN</stp>
        <stp>FY 2017</stp>
        <stp>FY 2017</stp>
        <stp>[FA1_ymffleas.xlsx]GAAP Highlights!R6C11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6" s="3"/>
      </tp>
      <tp>
        <v>0.18970000000000001</v>
        <stp/>
        <stp>##V3_BDHV12</stp>
        <stp>RCOM IN Equity</stp>
        <stp>IS_DIL_EPS_BEF_XO</stp>
        <stp>FY 2018</stp>
        <stp>FY 2018</stp>
        <stp>[FA1_ymffleas.xlsx]Income - Adjusted!R116C11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16" s="9"/>
      </tp>
      <tp t="s">
        <v>—</v>
        <stp/>
        <stp>##V3_BDHV12</stp>
        <stp>RCOM IN Equity</stp>
        <stp>ARDR_ASSETS_HELD_SALE</stp>
        <stp>FY 2015</stp>
        <stp>FY 2015</stp>
        <stp>[FA1_ymffleas.xlsx]Bal Sheet - As Reported!R65C9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5" s="17"/>
      </tp>
      <tp t="s">
        <v>—</v>
        <stp/>
        <stp>##V3_BDHV12</stp>
        <stp>RCOM IN Equity</stp>
        <stp>ARDR_ASSETS_HELD_SALE</stp>
        <stp>FY 2014</stp>
        <stp>FY 2014</stp>
        <stp>[FA1_ymffleas.xlsx]Bal Sheet - As Reported!R65C8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5" s="17"/>
      </tp>
      <tp t="s">
        <v>—</v>
        <stp/>
        <stp>##V3_BDHV12</stp>
        <stp>RCOM IN Equity</stp>
        <stp>ARDR_ASSETS_HELD_SALE</stp>
        <stp>FY 2013</stp>
        <stp>FY 2013</stp>
        <stp>[FA1_ymffleas.xlsx]Bal Sheet - As Reported!R65C7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5" s="17"/>
      </tp>
      <tp t="s">
        <v>—</v>
        <stp/>
        <stp>##V3_BDHV12</stp>
        <stp>RCOM IN Equity</stp>
        <stp>ARDR_ASSETS_HELD_SALE</stp>
        <stp>FY 2012</stp>
        <stp>FY 2012</stp>
        <stp>[FA1_ymffleas.xlsx]Bal Sheet - As Reported!R65C6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5" s="17"/>
      </tp>
      <tp t="s">
        <v>—</v>
        <stp/>
        <stp>##V3_BDHV12</stp>
        <stp>RCOM IN Equity</stp>
        <stp>ARDR_ASSETS_HELD_SALE</stp>
        <stp>FY 2011</stp>
        <stp>FY 2011</stp>
        <stp>[FA1_ymffleas.xlsx]Bal Sheet - As Reported!R65C5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5" s="17"/>
      </tp>
      <tp t="s">
        <v>—</v>
        <stp/>
        <stp>##V3_BDHV12</stp>
        <stp>RCOM IN Equity</stp>
        <stp>ARDR_ASSETS_HELD_SALE</stp>
        <stp>FY 2010</stp>
        <stp>FY 2010</stp>
        <stp>[FA1_ymffleas.xlsx]Bal Sheet - As Reported!R65C4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5" s="17"/>
      </tp>
      <tp t="s">
        <v>—</v>
        <stp/>
        <stp>##V3_BDHV12</stp>
        <stp>RCOM IN Equity</stp>
        <stp>ARDR_ASSETS_HELD_SALE</stp>
        <stp>FY 2009</stp>
        <stp>FY 2009</stp>
        <stp>[FA1_ymffleas.xlsx]Bal Sheet - As Reported!R65C3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5" s="17"/>
      </tp>
      <tp t="s">
        <v>—</v>
        <stp/>
        <stp>##V3_BDHV12</stp>
        <stp>RCOM IN Equity</stp>
        <stp>DEPR_EXP_TO_NET_SALES</stp>
        <stp>FY 2017</stp>
        <stp>FY 2017</stp>
        <stp>[FA1_ymffleas.xlsx]CAPEX &amp; Depreciation!R7C11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7" s="28"/>
      </tp>
      <tp>
        <v>40.897100000000002</v>
        <stp/>
        <stp>##V3_BDHV12</stp>
        <stp>RCOM IN Equity</stp>
        <stp>INT_BURDEN</stp>
        <stp>FY 2017</stp>
        <stp>FY 2017</stp>
        <stp>[FA1_ymffleas.xlsx]DuPont Analysis!R11C11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1" s="27"/>
      </tp>
      <tp>
        <v>0</v>
        <stp/>
        <stp>##V3_BDHV12</stp>
        <stp>RCOM IN Equity</stp>
        <stp>EQY_DPS</stp>
        <stp>FY 2018</stp>
        <stp>FY 2018</stp>
        <stp>[FA1_ymffleas.xlsx]Per Share!R20C11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0" s="7"/>
      </tp>
      <tp>
        <v>0</v>
        <stp/>
        <stp>##V3_BDHV12</stp>
        <stp>RCOM IN Equity</stp>
        <stp>EQY_DPS</stp>
        <stp>FY 2017</stp>
        <stp>FY 2017</stp>
        <stp>[FA1_ymffleas.xlsx]Per Share!R20C10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0" s="7"/>
      </tp>
      <tp t="s">
        <v>—</v>
        <stp/>
        <stp>##V3_BDHV12</stp>
        <stp>RCOM IN Equity</stp>
        <stp>ARD_CONSTRUCTION_PROGRESS_NET</stp>
        <stp>FY 2011</stp>
        <stp>FY 2011</stp>
        <stp>[FA1_ymffleas.xlsx]Bal Sheet - As Reported!R33C5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3" s="17"/>
      </tp>
      <tp t="s">
        <v>—</v>
        <stp/>
        <stp>##V3_BDHV12</stp>
        <stp>RCOM IN Equity</stp>
        <stp>ARD_CONSTRUCTION_PROGRESS_NET</stp>
        <stp>FY 2010</stp>
        <stp>FY 2010</stp>
        <stp>[FA1_ymffleas.xlsx]Bal Sheet - As Reported!R33C4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3" s="17"/>
      </tp>
      <tp t="s">
        <v>—</v>
        <stp/>
        <stp>##V3_BDHV12</stp>
        <stp>RCOM IN Equity</stp>
        <stp>ARD_CONSTRUCTION_PROGRESS_NET</stp>
        <stp>FY 2013</stp>
        <stp>FY 2013</stp>
        <stp>[FA1_ymffleas.xlsx]Bal Sheet - As Reported!R33C7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3" s="17"/>
      </tp>
      <tp t="s">
        <v>—</v>
        <stp/>
        <stp>##V3_BDHV12</stp>
        <stp>RCOM IN Equity</stp>
        <stp>ARD_CONSTRUCTION_PROGRESS_NET</stp>
        <stp>FY 2012</stp>
        <stp>FY 2012</stp>
        <stp>[FA1_ymffleas.xlsx]Bal Sheet - As Reported!R33C6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3" s="17"/>
      </tp>
      <tp t="s">
        <v>—</v>
        <stp/>
        <stp>##V3_BDHV12</stp>
        <stp>RCOM IN Equity</stp>
        <stp>ARD_CONSTRUCTION_PROGRESS_NET</stp>
        <stp>FY 2009</stp>
        <stp>FY 2009</stp>
        <stp>[FA1_ymffleas.xlsx]Bal Sheet - As Reported!R33C3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3" s="17"/>
      </tp>
      <tp>
        <v>26880</v>
        <stp/>
        <stp>##V3_BDHV12</stp>
        <stp>RCOM IN Equity</stp>
        <stp>ARD_CONSTRUCTION_PROGRESS_NET</stp>
        <stp>FY 2015</stp>
        <stp>FY 2015</stp>
        <stp>[FA1_ymffleas.xlsx]Bal Sheet - As Reported!R33C9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3" s="17"/>
      </tp>
      <tp>
        <v>31900</v>
        <stp/>
        <stp>##V3_BDHV12</stp>
        <stp>RCOM IN Equity</stp>
        <stp>ARD_CONSTRUCTION_PROGRESS_NET</stp>
        <stp>FY 2014</stp>
        <stp>FY 2014</stp>
        <stp>[FA1_ymffleas.xlsx]Bal Sheet - As Reported!R33C8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3" s="17"/>
      </tp>
      <tp>
        <v>4400</v>
        <stp/>
        <stp>##V3_BDHV12</stp>
        <stp>RCOM IN Equity</stp>
        <stp>IS_OPER_INC</stp>
        <stp>FY 2017</stp>
        <stp>FY 2017</stp>
        <stp>[FA1_ymffleas.xlsx]Income - Adjusted!R35C10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35" s="9"/>
      </tp>
      <tp>
        <v>-69898.3</v>
        <stp/>
        <stp>##V3_BDHV12</stp>
        <stp>RCOM IN Equity</stp>
        <stp>PROC_FR_REPAYMNTS_BOR_DETAILED</stp>
        <stp>FY 2010</stp>
        <stp>FY 2010</stp>
        <stp>[FA1_ymffleas.xlsx]Cash Flow - Standardized!R39C3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9" s="19"/>
      </tp>
      <tp>
        <v>-13640</v>
        <stp/>
        <stp>##V3_BDHV12</stp>
        <stp>RCOM IN Equity</stp>
        <stp>PROC_FR_REPAYMNTS_BOR_DETAILED</stp>
        <stp>FY 2014</stp>
        <stp>FY 2014</stp>
        <stp>[FA1_ymffleas.xlsx]Cash Flow - Standardized!R39C7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9" s="19"/>
      </tp>
      <tp>
        <v>22150</v>
        <stp/>
        <stp>##V3_BDHV12</stp>
        <stp>RCOM IN Equity</stp>
        <stp>PROC_FR_REPAYMNTS_BOR_DETAILED</stp>
        <stp>FY 2013</stp>
        <stp>FY 2013</stp>
        <stp>[FA1_ymffleas.xlsx]Cash Flow - Standardized!R39C6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9" s="19"/>
      </tp>
      <tp>
        <v>-33160</v>
        <stp/>
        <stp>##V3_BDHV12</stp>
        <stp>RCOM IN Equity</stp>
        <stp>PROC_FR_REPAYMNTS_BOR_DETAILED</stp>
        <stp>FY 2012</stp>
        <stp>FY 2012</stp>
        <stp>[FA1_ymffleas.xlsx]Cash Flow - Standardized!R39C5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9" s="19"/>
      </tp>
      <tp>
        <v>96350</v>
        <stp/>
        <stp>##V3_BDHV12</stp>
        <stp>RCOM IN Equity</stp>
        <stp>PROC_FR_REPAYMNTS_BOR_DETAILED</stp>
        <stp>FY 2011</stp>
        <stp>FY 2011</stp>
        <stp>[FA1_ymffleas.xlsx]Cash Flow - Standardized!R39C4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9" s="19"/>
      </tp>
      <tp>
        <v>37350</v>
        <stp/>
        <stp>##V3_BDHV12</stp>
        <stp>RCOM IN Equity</stp>
        <stp>PROC_FR_REPAYMNTS_BOR_DETAILED</stp>
        <stp>FY 2016</stp>
        <stp>FY 2016</stp>
        <stp>[FA1_ymffleas.xlsx]Cash Flow - Standardized!R39C9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9" s="19"/>
      </tp>
      <tp>
        <v>-24370</v>
        <stp/>
        <stp>##V3_BDHV12</stp>
        <stp>RCOM IN Equity</stp>
        <stp>PROC_FR_REPAYMNTS_BOR_DETAILED</stp>
        <stp>FY 2015</stp>
        <stp>FY 2015</stp>
        <stp>[FA1_ymffleas.xlsx]Cash Flow - Standardized!R39C8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9" s="19"/>
      </tp>
      <tp>
        <v>2430</v>
        <stp/>
        <stp>##V3_BDHV12</stp>
        <stp>RCOM IN Equity</stp>
        <stp>IS_OPER_INC</stp>
        <stp>FY 2018</stp>
        <stp>FY 2018</stp>
        <stp>[FA1_ymffleas.xlsx]Income - Adjusted!R35C11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35" s="9"/>
      </tp>
      <tp>
        <v>920</v>
        <stp/>
        <stp>##V3_BDHV12</stp>
        <stp>RCOM IN Equity</stp>
        <stp>ARD_WRITE_OFFS</stp>
        <stp>FY 2018</stp>
        <stp>FY 2018</stp>
        <stp>[FA1_ymffleas.xlsx]Cash Flow - As Reported!R17C12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" s="20"/>
      </tp>
      <tp>
        <v>0</v>
        <stp/>
        <stp>##V3_BDHV12</stp>
        <stp>RCOM IN Equity</stp>
        <stp>ARD_WRITE_OFFS</stp>
        <stp>FY 2017</stp>
        <stp>FY 2017</stp>
        <stp>[FA1_ymffleas.xlsx]Cash Flow - As Reported!R17C11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" s="20"/>
      </tp>
      <tp t="s">
        <v>—</v>
        <stp/>
        <stp>##V3_BDHV12</stp>
        <stp>RCOM IN Equity</stp>
        <stp>ARD_WRITE_OFFS</stp>
        <stp>FY 2016</stp>
        <stp>FY 2016</stp>
        <stp>[FA1_ymffleas.xlsx]Cash Flow - As Reported!R17C10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" s="20"/>
      </tp>
      <tp>
        <v>646.6</v>
        <stp/>
        <stp>##V3_BDHV12</stp>
        <stp>RCOM IN Equity</stp>
        <stp>ARDR_INTEREST_ACCRUED_PAYABLE</stp>
        <stp>FY 2010</stp>
        <stp>FY 2010</stp>
        <stp>[FA1_ymffleas.xlsx]Bal Sheet - As Reported!R85C4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5" s="17"/>
      </tp>
      <tp>
        <v>740</v>
        <stp/>
        <stp>##V3_BDHV12</stp>
        <stp>RCOM IN Equity</stp>
        <stp>ARDR_INTEREST_ACCRUED_PAYABLE</stp>
        <stp>FY 2011</stp>
        <stp>FY 2011</stp>
        <stp>[FA1_ymffleas.xlsx]Bal Sheet - As Reported!R85C5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5" s="17"/>
      </tp>
      <tp>
        <v>1190</v>
        <stp/>
        <stp>##V3_BDHV12</stp>
        <stp>RCOM IN Equity</stp>
        <stp>ARDR_INTEREST_ACCRUED_PAYABLE</stp>
        <stp>FY 2012</stp>
        <stp>FY 2012</stp>
        <stp>[FA1_ymffleas.xlsx]Bal Sheet - As Reported!R85C6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5" s="17"/>
      </tp>
      <tp>
        <v>1530</v>
        <stp/>
        <stp>##V3_BDHV12</stp>
        <stp>RCOM IN Equity</stp>
        <stp>ARDR_INTEREST_ACCRUED_PAYABLE</stp>
        <stp>FY 2013</stp>
        <stp>FY 2013</stp>
        <stp>[FA1_ymffleas.xlsx]Bal Sheet - As Reported!R85C7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5" s="17"/>
      </tp>
      <tp>
        <v>1097.4000000000001</v>
        <stp/>
        <stp>##V3_BDHV12</stp>
        <stp>RCOM IN Equity</stp>
        <stp>ARDR_INTEREST_ACCRUED_PAYABLE</stp>
        <stp>FY 2009</stp>
        <stp>FY 2009</stp>
        <stp>[FA1_ymffleas.xlsx]Bal Sheet - As Reported!R85C3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5" s="17"/>
      </tp>
      <tp>
        <v>1620</v>
        <stp/>
        <stp>##V3_BDHV12</stp>
        <stp>RCOM IN Equity</stp>
        <stp>ARDR_INTEREST_ACCRUED_PAYABLE</stp>
        <stp>FY 2014</stp>
        <stp>FY 2014</stp>
        <stp>[FA1_ymffleas.xlsx]Bal Sheet - As Reported!R85C8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5" s="17"/>
      </tp>
      <tp>
        <v>1850</v>
        <stp/>
        <stp>##V3_BDHV12</stp>
        <stp>RCOM IN Equity</stp>
        <stp>ARDR_INTEREST_ACCRUED_PAYABLE</stp>
        <stp>FY 2015</stp>
        <stp>FY 2015</stp>
        <stp>[FA1_ymffleas.xlsx]Bal Sheet - As Reported!R85C9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5" s="17"/>
      </tp>
      <tp t="s">
        <v>—</v>
        <stp/>
        <stp>##V3_BDHV12</stp>
        <stp>RCOM IN Equity</stp>
        <stp>ARD_INT_PAID_FINANCING_ACTS</stp>
        <stp>FY 2018</stp>
        <stp>FY 2018</stp>
        <stp>[FA1_ymffleas.xlsx]Cash Flow - As Reported!R66C12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6" s="20"/>
      </tp>
      <tp t="s">
        <v>—</v>
        <stp/>
        <stp>##V3_BDHV12</stp>
        <stp>RCOM IN Equity</stp>
        <stp>ARD_INT_PAID_FINANCING_ACTS</stp>
        <stp>FY 2016</stp>
        <stp>FY 2016</stp>
        <stp>[FA1_ymffleas.xlsx]Cash Flow - As Reported!R66C10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6" s="20"/>
      </tp>
      <tp t="s">
        <v>—</v>
        <stp/>
        <stp>##V3_BDHV12</stp>
        <stp>RCOM IN Equity</stp>
        <stp>ARD_INT_PAID_FINANCING_ACTS</stp>
        <stp>FY 2017</stp>
        <stp>FY 2017</stp>
        <stp>[FA1_ymffleas.xlsx]Cash Flow - As Reported!R66C11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6" s="20"/>
      </tp>
      <tp t="s">
        <v>—</v>
        <stp/>
        <stp>##V3_BDHV12</stp>
        <stp>RCOM IN Equity</stp>
        <stp>ARDR_PROVISION_FOR_WEALTH_TAX</stp>
        <stp>FY 2017</stp>
        <stp>FY 2017</stp>
        <stp>[FA1_ymffleas.xlsx]Bal Sheet - As Reported!R186C11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6" s="17"/>
      </tp>
      <tp t="s">
        <v>—</v>
        <stp/>
        <stp>##V3_BDHV12</stp>
        <stp>RCOM IN Equity</stp>
        <stp>ARDR_PROVISION_FOR_WEALTH_TAX</stp>
        <stp>FY 2016</stp>
        <stp>FY 2016</stp>
        <stp>[FA1_ymffleas.xlsx]Bal Sheet - As Reported!R186C10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6" s="17"/>
      </tp>
      <tp t="s">
        <v>—</v>
        <stp/>
        <stp>##V3_BDHV12</stp>
        <stp>RCOM IN Equity</stp>
        <stp>ARDR_PROVISION_FOR_WEALTH_TAX</stp>
        <stp>FY 2018</stp>
        <stp>FY 2018</stp>
        <stp>[FA1_ymffleas.xlsx]Bal Sheet - As Reported!R186C12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6" s="17"/>
      </tp>
      <tp>
        <v>214230</v>
        <stp/>
        <stp>##V3_BDHV12</stp>
        <stp>RCOM IN Equity</stp>
        <stp>IS_COMP_SALES</stp>
        <stp>FY 2015</stp>
        <stp>FY 2015</stp>
        <stp>[FA1_ymffleas.xlsx]Earnings!R8C9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4"/>
      </tp>
      <tp>
        <v>209400</v>
        <stp/>
        <stp>##V3_BDHV12</stp>
        <stp>RCOM IN Equity</stp>
        <stp>IS_COMP_SALES</stp>
        <stp>FY 2014</stp>
        <stp>FY 2014</stp>
        <stp>[FA1_ymffleas.xlsx]Earnings!R8C8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4"/>
      </tp>
      <tp>
        <v>207263.79689999999</v>
        <stp/>
        <stp>##V3_BDHV12</stp>
        <stp>RCOM IN Equity</stp>
        <stp>IS_COMP_SALES</stp>
        <stp>FY 2009</stp>
        <stp>FY 2009</stp>
        <stp>[FA1_ymffleas.xlsx]Earnings!R8C3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4"/>
      </tp>
      <tp>
        <v>192940</v>
        <stp/>
        <stp>##V3_BDHV12</stp>
        <stp>RCOM IN Equity</stp>
        <stp>IS_COMP_SALES</stp>
        <stp>FY 2013</stp>
        <stp>FY 2013</stp>
        <stp>[FA1_ymffleas.xlsx]Earnings!R8C7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4"/>
      </tp>
      <tp>
        <v>187160</v>
        <stp/>
        <stp>##V3_BDHV12</stp>
        <stp>RCOM IN Equity</stp>
        <stp>IS_COMP_SALES</stp>
        <stp>FY 2012</stp>
        <stp>FY 2012</stp>
        <stp>[FA1_ymffleas.xlsx]Earnings!R8C6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4"/>
      </tp>
      <tp>
        <v>220893.9063</v>
        <stp/>
        <stp>##V3_BDHV12</stp>
        <stp>RCOM IN Equity</stp>
        <stp>IS_COMP_SALES</stp>
        <stp>FY 2011</stp>
        <stp>FY 2011</stp>
        <stp>[FA1_ymffleas.xlsx]Earnings!R8C5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4"/>
      </tp>
      <tp>
        <v>206850.5</v>
        <stp/>
        <stp>##V3_BDHV12</stp>
        <stp>RCOM IN Equity</stp>
        <stp>IS_COMP_SALES</stp>
        <stp>FY 2010</stp>
        <stp>FY 2010</stp>
        <stp>[FA1_ymffleas.xlsx]Earnings!R8C4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4"/>
      </tp>
      <tp t="s">
        <v>—</v>
        <stp/>
        <stp>##V3_BDHV12</stp>
        <stp>RCOM IN Equity</stp>
        <stp>CF_ACT_CASH_PAID_FOR_INT_DEBT</stp>
        <stp>FY 2016</stp>
        <stp>FY 2016</stp>
        <stp>[FA1_ymffleas.xlsx]Cash Flow - Standardized!R55C9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5" s="19"/>
      </tp>
      <tp t="s">
        <v>—</v>
        <stp/>
        <stp>##V3_BDHV12</stp>
        <stp>RCOM IN Equity</stp>
        <stp>CF_ACT_CASH_PAID_FOR_INT_DEBT</stp>
        <stp>FY 2015</stp>
        <stp>FY 2015</stp>
        <stp>[FA1_ymffleas.xlsx]Cash Flow - Standardized!R55C8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5" s="19"/>
      </tp>
      <tp>
        <v>17180</v>
        <stp/>
        <stp>##V3_BDHV12</stp>
        <stp>RCOM IN Equity</stp>
        <stp>CF_ACT_CASH_PAID_FOR_INT_DEBT</stp>
        <stp>FY 2012</stp>
        <stp>FY 2012</stp>
        <stp>[FA1_ymffleas.xlsx]Cash Flow - Standardized!R55C5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5" s="19"/>
      </tp>
      <tp>
        <v>13620</v>
        <stp/>
        <stp>##V3_BDHV12</stp>
        <stp>RCOM IN Equity</stp>
        <stp>CF_ACT_CASH_PAID_FOR_INT_DEBT</stp>
        <stp>FY 2011</stp>
        <stp>FY 2011</stp>
        <stp>[FA1_ymffleas.xlsx]Cash Flow - Standardized!R55C4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5" s="19"/>
      </tp>
      <tp>
        <v>30180</v>
        <stp/>
        <stp>##V3_BDHV12</stp>
        <stp>RCOM IN Equity</stp>
        <stp>CF_ACT_CASH_PAID_FOR_INT_DEBT</stp>
        <stp>FY 2014</stp>
        <stp>FY 2014</stp>
        <stp>[FA1_ymffleas.xlsx]Cash Flow - Standardized!R55C7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5" s="19"/>
      </tp>
      <tp>
        <v>24650</v>
        <stp/>
        <stp>##V3_BDHV12</stp>
        <stp>RCOM IN Equity</stp>
        <stp>CF_ACT_CASH_PAID_FOR_INT_DEBT</stp>
        <stp>FY 2013</stp>
        <stp>FY 2013</stp>
        <stp>[FA1_ymffleas.xlsx]Cash Flow - Standardized!R55C6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5" s="19"/>
      </tp>
      <tp>
        <v>14408.4</v>
        <stp/>
        <stp>##V3_BDHV12</stp>
        <stp>RCOM IN Equity</stp>
        <stp>CF_ACT_CASH_PAID_FOR_INT_DEBT</stp>
        <stp>FY 2010</stp>
        <stp>FY 2010</stp>
        <stp>[FA1_ymffleas.xlsx]Cash Flow - Standardized!R55C3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5" s="19"/>
      </tp>
      <tp t="s">
        <v>—</v>
        <stp/>
        <stp>##V3_BDHV12</stp>
        <stp>RCOM IN Equity</stp>
        <stp>ARD_COMMON_STOCK_SUBSCRIBED_STK</stp>
        <stp>FY 2016</stp>
        <stp>FY 2016</stp>
        <stp>[FA1_ymffleas.xlsx]Bal Sheet - As Reported!R13C10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" s="17"/>
      </tp>
      <tp t="s">
        <v>—</v>
        <stp/>
        <stp>##V3_BDHV12</stp>
        <stp>RCOM IN Equity</stp>
        <stp>ARD_COMMON_STOCK_SUBSCRIBED_STK</stp>
        <stp>FY 2017</stp>
        <stp>FY 2017</stp>
        <stp>[FA1_ymffleas.xlsx]Bal Sheet - As Reported!R13C11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" s="17"/>
      </tp>
      <tp>
        <v>13830</v>
        <stp/>
        <stp>##V3_BDHV12</stp>
        <stp>RCOM IN Equity</stp>
        <stp>ARD_COMMON_STOCK_SUBSCRIBED_STK</stp>
        <stp>FY 2018</stp>
        <stp>FY 2018</stp>
        <stp>[FA1_ymffleas.xlsx]Bal Sheet - As Reported!R13C12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" s="17"/>
      </tp>
      <tp>
        <v>30520</v>
        <stp/>
        <stp>##V3_BDHV12</stp>
        <stp>RCOM IN Equity</stp>
        <stp>ARD_INCR_IN_LT_BORROW</stp>
        <stp>FY 2018</stp>
        <stp>FY 2018</stp>
        <stp>[FA1_ymffleas.xlsx]Cash Flow - As Reported!R55C12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5" s="20"/>
      </tp>
      <tp>
        <v>58510</v>
        <stp/>
        <stp>##V3_BDHV12</stp>
        <stp>RCOM IN Equity</stp>
        <stp>ARD_INCR_IN_LT_BORROW</stp>
        <stp>FY 2016</stp>
        <stp>FY 2016</stp>
        <stp>[FA1_ymffleas.xlsx]Cash Flow - As Reported!R55C10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5" s="20"/>
      </tp>
      <tp>
        <v>43670</v>
        <stp/>
        <stp>##V3_BDHV12</stp>
        <stp>RCOM IN Equity</stp>
        <stp>ARD_INCR_IN_LT_BORROW</stp>
        <stp>FY 2017</stp>
        <stp>FY 2017</stp>
        <stp>[FA1_ymffleas.xlsx]Cash Flow - As Reported!R55C11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5" s="20"/>
      </tp>
      <tp>
        <v>9340</v>
        <stp/>
        <stp>##V3_BDHV12</stp>
        <stp>RCOM IN Equity</stp>
        <stp>T12M_CHG_LT_DEBT</stp>
        <stp>FY 2016</stp>
        <stp>FY 2016</stp>
        <stp>[FA1_ymffleas.xlsx]Yield Analysis!R39C10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9" s="26"/>
      </tp>
      <tp>
        <v>-6290</v>
        <stp/>
        <stp>##V3_BDHV12</stp>
        <stp>RCOM IN Equity</stp>
        <stp>T12M_CHG_LT_DEBT</stp>
        <stp>FY 2018</stp>
        <stp>FY 2018</stp>
        <stp>[FA1_ymffleas.xlsx]Yield Analysis!R16C12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" s="26"/>
      </tp>
      <tp>
        <v>-18440</v>
        <stp/>
        <stp>##V3_BDHV12</stp>
        <stp>RCOM IN Equity</stp>
        <stp>T12M_CHG_LT_DEBT</stp>
        <stp>FY 2017</stp>
        <stp>FY 2017</stp>
        <stp>[FA1_ymffleas.xlsx]Yield Analysis!R39C11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9" s="26"/>
      </tp>
      <tp>
        <v>-6290</v>
        <stp/>
        <stp>##V3_BDHV12</stp>
        <stp>RCOM IN Equity</stp>
        <stp>T12M_CHG_LT_DEBT</stp>
        <stp>FY 2018</stp>
        <stp>FY 2018</stp>
        <stp>[FA1_ymffleas.xlsx]Yield Analysis!R39C12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9" s="26"/>
      </tp>
      <tp>
        <v>9340</v>
        <stp/>
        <stp>##V3_BDHV12</stp>
        <stp>RCOM IN Equity</stp>
        <stp>T12M_CHG_LT_DEBT</stp>
        <stp>FY 2016</stp>
        <stp>FY 2016</stp>
        <stp>[FA1_ymffleas.xlsx]Yield Analysis!R16C10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" s="26"/>
      </tp>
      <tp>
        <v>-18440</v>
        <stp/>
        <stp>##V3_BDHV12</stp>
        <stp>RCOM IN Equity</stp>
        <stp>T12M_CHG_LT_DEBT</stp>
        <stp>FY 2017</stp>
        <stp>FY 2017</stp>
        <stp>[FA1_ymffleas.xlsx]Yield Analysis!R16C11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" s="26"/>
      </tp>
      <tp t="s">
        <v>—</v>
        <stp/>
        <stp>##V3_BDHV12</stp>
        <stp>RCOM IN Equity</stp>
        <stp>ARD_GL_ON_SALE_OF_INV_MKT_SEC</stp>
        <stp>FY 2018</stp>
        <stp>FY 2018</stp>
        <stp>[FA1_ymffleas.xlsx]Cash Flow - As Reported!R18C12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" s="20"/>
      </tp>
      <tp>
        <v>-30</v>
        <stp/>
        <stp>##V3_BDHV12</stp>
        <stp>RCOM IN Equity</stp>
        <stp>ARD_GL_ON_SALE_OF_INV_MKT_SEC</stp>
        <stp>FY 2016</stp>
        <stp>FY 2016</stp>
        <stp>[FA1_ymffleas.xlsx]Cash Flow - As Reported!R18C10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" s="20"/>
      </tp>
      <tp t="s">
        <v>—</v>
        <stp/>
        <stp>##V3_BDHV12</stp>
        <stp>RCOM IN Equity</stp>
        <stp>ARD_GL_ON_SALE_OF_INV_MKT_SEC</stp>
        <stp>FY 2017</stp>
        <stp>FY 2017</stp>
        <stp>[FA1_ymffleas.xlsx]Cash Flow - As Reported!R18C11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" s="20"/>
      </tp>
      <tp>
        <v>3.0354999999999999</v>
        <stp/>
        <stp>##V3_BDHV12</stp>
        <stp>RCOM IN Equity</stp>
        <stp>INC_BEF_XO_ITEMS_TO_NET_SALES</stp>
        <stp>FY 2016</stp>
        <stp>FY 2016</stp>
        <stp>[FA1_ymffleas.xlsx]Profitability!R17C10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7" s="21"/>
      </tp>
      <tp>
        <v>0</v>
        <stp/>
        <stp>##V3_BDHV12</stp>
        <stp>RCOM IN Equity</stp>
        <stp>ARD_DEFERRED_INC_TAX_EXP_BEN</stp>
        <stp>FY 2013</stp>
        <stp>FY 2013</stp>
        <stp>[FA1_ymffleas.xlsx]Income - As Reported!R29C7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9" s="11"/>
      </tp>
      <tp>
        <v>0</v>
        <stp/>
        <stp>##V3_BDHV12</stp>
        <stp>RCOM IN Equity</stp>
        <stp>ARD_DEFERRED_INC_TAX_EXP_BEN</stp>
        <stp>FY 2012</stp>
        <stp>FY 2012</stp>
        <stp>[FA1_ymffleas.xlsx]Income - As Reported!R29C6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9" s="11"/>
      </tp>
      <tp>
        <v>2920</v>
        <stp/>
        <stp>##V3_BDHV12</stp>
        <stp>RCOM IN Equity</stp>
        <stp>ARD_DEFERRED_INC_TAX_EXP_BEN</stp>
        <stp>FY 2011</stp>
        <stp>FY 2011</stp>
        <stp>[FA1_ymffleas.xlsx]Income - As Reported!R29C5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9" s="11"/>
      </tp>
      <tp>
        <v>728.9</v>
        <stp/>
        <stp>##V3_BDHV12</stp>
        <stp>RCOM IN Equity</stp>
        <stp>ARD_DEFERRED_INC_TAX_EXP_BEN</stp>
        <stp>FY 2010</stp>
        <stp>FY 2010</stp>
        <stp>[FA1_ymffleas.xlsx]Income - As Reported!R29C4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9" s="11"/>
      </tp>
      <tp>
        <v>-1007.8</v>
        <stp/>
        <stp>##V3_BDHV12</stp>
        <stp>RCOM IN Equity</stp>
        <stp>ARD_DEFERRED_INC_TAX_EXP_BEN</stp>
        <stp>FY 2009</stp>
        <stp>FY 2009</stp>
        <stp>[FA1_ymffleas.xlsx]Income - As Reported!R29C3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9" s="11"/>
      </tp>
      <tp>
        <v>2120</v>
        <stp/>
        <stp>##V3_BDHV12</stp>
        <stp>RCOM IN Equity</stp>
        <stp>ARD_DEFERRED_INC_TAX_EXP_BEN</stp>
        <stp>FY 2015</stp>
        <stp>FY 2015</stp>
        <stp>[FA1_ymffleas.xlsx]Income - As Reported!R29C9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9" s="11"/>
      </tp>
      <tp>
        <v>-10570</v>
        <stp/>
        <stp>##V3_BDHV12</stp>
        <stp>RCOM IN Equity</stp>
        <stp>ARD_DEFERRED_INC_TAX_EXP_BEN</stp>
        <stp>FY 2014</stp>
        <stp>FY 2014</stp>
        <stp>[FA1_ymffleas.xlsx]Income - As Reported!R29C8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9" s="11"/>
      </tp>
      <tp>
        <v>0</v>
        <stp/>
        <stp>##V3_BDHV12</stp>
        <stp>RCOM IN Equity</stp>
        <stp>IS_TOT_CASH_PFD_DVD</stp>
        <stp>FY 2016</stp>
        <stp>FY 2016</stp>
        <stp>[FA1_ymffleas.xlsx]Dividend Summary!R12C10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" s="31"/>
      </tp>
      <tp>
        <v>0</v>
        <stp/>
        <stp>##V3_BDHV12</stp>
        <stp>RCOM IN Equity</stp>
        <stp>IS_TOT_CASH_PFD_DVD</stp>
        <stp>FY 2017</stp>
        <stp>FY 2017</stp>
        <stp>[FA1_ymffleas.xlsx]Dividend Summary!R12C11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" s="31"/>
      </tp>
      <tp>
        <v>0</v>
        <stp/>
        <stp>##V3_BDHV12</stp>
        <stp>RCOM IN Equity</stp>
        <stp>IS_TOT_CASH_PFD_DVD</stp>
        <stp>FY 2018</stp>
        <stp>FY 2018</stp>
        <stp>[FA1_ymffleas.xlsx]Dividend Summary!R12C12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" s="31"/>
      </tp>
      <tp>
        <v>-31560</v>
        <stp/>
        <stp>##V3_BDHV12</stp>
        <stp>RCOM IN Equity</stp>
        <stp>CF_CASH_FROM_INV_ACT</stp>
        <stp>FY 2015</stp>
        <stp>FY 2015</stp>
        <stp>[FA1_ymffleas.xlsx]GAAP Highlights!R23C9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3" s="3"/>
      </tp>
      <tp>
        <v>-21490</v>
        <stp/>
        <stp>##V3_BDHV12</stp>
        <stp>RCOM IN Equity</stp>
        <stp>CF_CASH_FROM_INV_ACT</stp>
        <stp>FY 2014</stp>
        <stp>FY 2014</stp>
        <stp>[FA1_ymffleas.xlsx]GAAP Highlights!R23C8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3" s="3"/>
      </tp>
      <tp>
        <v>-20790</v>
        <stp/>
        <stp>##V3_BDHV12</stp>
        <stp>RCOM IN Equity</stp>
        <stp>CF_CASH_FROM_INV_ACT</stp>
        <stp>FY 2013</stp>
        <stp>FY 2013</stp>
        <stp>[FA1_ymffleas.xlsx]GAAP Highlights!R23C7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3" s="3"/>
      </tp>
      <tp>
        <v>-46110</v>
        <stp/>
        <stp>##V3_BDHV12</stp>
        <stp>RCOM IN Equity</stp>
        <stp>CF_CASH_FROM_INV_ACT</stp>
        <stp>FY 2012</stp>
        <stp>FY 2012</stp>
        <stp>[FA1_ymffleas.xlsx]GAAP Highlights!R23C6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3" s="3"/>
      </tp>
      <tp>
        <v>-64580</v>
        <stp/>
        <stp>##V3_BDHV12</stp>
        <stp>RCOM IN Equity</stp>
        <stp>CF_CASH_FROM_INV_ACT</stp>
        <stp>FY 2011</stp>
        <stp>FY 2011</stp>
        <stp>[FA1_ymffleas.xlsx]GAAP Highlights!R23C5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3" s="3"/>
      </tp>
      <tp>
        <v>-18600.5</v>
        <stp/>
        <stp>##V3_BDHV12</stp>
        <stp>RCOM IN Equity</stp>
        <stp>CF_CASH_FROM_INV_ACT</stp>
        <stp>FY 2010</stp>
        <stp>FY 2010</stp>
        <stp>[FA1_ymffleas.xlsx]GAAP Highlights!R23C4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3" s="3"/>
      </tp>
      <tp>
        <v>-100079.4</v>
        <stp/>
        <stp>##V3_BDHV12</stp>
        <stp>RCOM IN Equity</stp>
        <stp>CF_CASH_FROM_INV_ACT</stp>
        <stp>FY 2009</stp>
        <stp>FY 2009</stp>
        <stp>[FA1_ymffleas.xlsx]GAAP Highlights!R23C3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3" s="3"/>
      </tp>
      <tp>
        <v>0.18970000000000001</v>
        <stp/>
        <stp>##V3_BDHV12</stp>
        <stp>RCOM IN Equity</stp>
        <stp>IS_DILUTED_EPS</stp>
        <stp>FY 2018</stp>
        <stp>FY 2018</stp>
        <stp>[FA1_ymffleas.xlsx]Reconciliation!R51C11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K51" s="12"/>
      </tp>
      <tp>
        <v>3.6095000000000002</v>
        <stp/>
        <stp>##V3_BDHV12</stp>
        <stp>RCOM IN Equity</stp>
        <stp>TOTAL_DEBT_5_YEAR_GROWTH</stp>
        <stp>FY 2017</stp>
        <stp>FY 2017</stp>
        <stp>[FA1_ymffleas.xlsx]Growth!R52C11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52" s="22"/>
      </tp>
      <tp t="s">
        <v>—</v>
        <stp/>
        <stp>##V3_BDHV12</stp>
        <stp>RCOM IN Equity</stp>
        <stp>ARD_EQY_IN_EARN_AFFILIATE_JV</stp>
        <stp>FY 2013</stp>
        <stp>FY 2013</stp>
        <stp>[FA1_ymffleas.xlsx]Income - As Reported!R23C7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3" s="11"/>
      </tp>
      <tp>
        <v>-10</v>
        <stp/>
        <stp>##V3_BDHV12</stp>
        <stp>RCOM IN Equity</stp>
        <stp>ARD_EQY_IN_EARN_AFFILIATE_JV</stp>
        <stp>FY 2012</stp>
        <stp>FY 2012</stp>
        <stp>[FA1_ymffleas.xlsx]Income - As Reported!R23C6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3" s="11"/>
      </tp>
      <tp t="s">
        <v>—</v>
        <stp/>
        <stp>##V3_BDHV12</stp>
        <stp>RCOM IN Equity</stp>
        <stp>ARD_EQY_IN_EARN_AFFILIATE_JV</stp>
        <stp>FY 2011</stp>
        <stp>FY 2011</stp>
        <stp>[FA1_ymffleas.xlsx]Income - As Reported!R23C5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3" s="11"/>
      </tp>
      <tp t="s">
        <v>—</v>
        <stp/>
        <stp>##V3_BDHV12</stp>
        <stp>RCOM IN Equity</stp>
        <stp>ARD_EQY_IN_EARN_AFFILIATE_JV</stp>
        <stp>FY 2010</stp>
        <stp>FY 2010</stp>
        <stp>[FA1_ymffleas.xlsx]Income - As Reported!R23C4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3" s="11"/>
      </tp>
      <tp t="s">
        <v>—</v>
        <stp/>
        <stp>##V3_BDHV12</stp>
        <stp>RCOM IN Equity</stp>
        <stp>ARD_EQY_IN_EARN_AFFILIATE_JV</stp>
        <stp>FY 2009</stp>
        <stp>FY 2009</stp>
        <stp>[FA1_ymffleas.xlsx]Income - As Reported!R23C3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3" s="11"/>
      </tp>
      <tp t="s">
        <v>—</v>
        <stp/>
        <stp>##V3_BDHV12</stp>
        <stp>RCOM IN Equity</stp>
        <stp>ARD_EQY_IN_EARN_AFFILIATE_JV</stp>
        <stp>FY 2015</stp>
        <stp>FY 2015</stp>
        <stp>[FA1_ymffleas.xlsx]Income - As Reported!R23C9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3" s="11"/>
      </tp>
      <tp t="s">
        <v>—</v>
        <stp/>
        <stp>##V3_BDHV12</stp>
        <stp>RCOM IN Equity</stp>
        <stp>ARD_EQY_IN_EARN_AFFILIATE_JV</stp>
        <stp>FY 2014</stp>
        <stp>FY 2014</stp>
        <stp>[FA1_ymffleas.xlsx]Income - As Reported!R23C8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3" s="11"/>
      </tp>
      <tp>
        <v>2.2256999999999998</v>
        <stp/>
        <stp>##V3_BDHV12</stp>
        <stp>RCOM IN Equity</stp>
        <stp>TOTAL_DEBT_5_YEAR_GROWTH</stp>
        <stp>FY 2016</stp>
        <stp>FY 2016</stp>
        <stp>[FA1_ymffleas.xlsx]Growth!R52C10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52" s="22"/>
      </tp>
      <tp t="s">
        <v>—</v>
        <stp/>
        <stp>##V3_BDHV12</stp>
        <stp>RCOM IN Equity</stp>
        <stp>ARDR_OTHER_INVENTORY</stp>
        <stp>FY 2018</stp>
        <stp>FY 2018</stp>
        <stp>[FA1_ymffleas.xlsx]Bal Sheet - As Reported!R103C12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3" s="17"/>
      </tp>
      <tp t="s">
        <v>—</v>
        <stp/>
        <stp>##V3_BDHV12</stp>
        <stp>RCOM IN Equity</stp>
        <stp>ARDR_OTHER_INVENTORY</stp>
        <stp>FY 2016</stp>
        <stp>FY 2016</stp>
        <stp>[FA1_ymffleas.xlsx]Bal Sheet - As Reported!R103C10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3" s="17"/>
      </tp>
      <tp t="s">
        <v>—</v>
        <stp/>
        <stp>##V3_BDHV12</stp>
        <stp>RCOM IN Equity</stp>
        <stp>ARDR_OTHER_INVENTORY</stp>
        <stp>FY 2017</stp>
        <stp>FY 2017</stp>
        <stp>[FA1_ymffleas.xlsx]Bal Sheet - As Reported!R103C11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3" s="17"/>
      </tp>
      <tp>
        <v>2.6202999999999999</v>
        <stp/>
        <stp>##V3_BDHV12</stp>
        <stp>RCOM IN Equity</stp>
        <stp>TOTAL_DEBT_5_YEAR_GROWTH</stp>
        <stp>FY 2018</stp>
        <stp>FY 2018</stp>
        <stp>[FA1_ymffleas.xlsx]Growth!R52C12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52" s="22"/>
      </tp>
      <tp>
        <v>947230</v>
        <stp/>
        <stp>##V3_BDHV12</stp>
        <stp>RCOM IN Equity</stp>
        <stp>ARD_TOT_ASSETS</stp>
        <stp>FY 2011</stp>
        <stp>FY 2011</stp>
        <stp>[FA1_ymffleas.xlsx]As Reported Summary!R17C5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" s="30"/>
      </tp>
      <tp t="s">
        <v>—</v>
        <stp/>
        <stp>##V3_BDHV12</stp>
        <stp>RCOM IN Equity</stp>
        <stp>ARD_TOT_ASSETS</stp>
        <stp>FY 2010</stp>
        <stp>FY 2010</stp>
        <stp>[FA1_ymffleas.xlsx]As Reported Summary!R17C4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" s="30"/>
      </tp>
      <tp>
        <v>901820</v>
        <stp/>
        <stp>##V3_BDHV12</stp>
        <stp>RCOM IN Equity</stp>
        <stp>ARD_TOT_ASSETS</stp>
        <stp>FY 2013</stp>
        <stp>FY 2013</stp>
        <stp>[FA1_ymffleas.xlsx]As Reported Summary!R17C7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" s="30"/>
      </tp>
      <tp>
        <v>922650</v>
        <stp/>
        <stp>##V3_BDHV12</stp>
        <stp>RCOM IN Equity</stp>
        <stp>ARD_TOT_ASSETS</stp>
        <stp>FY 2012</stp>
        <stp>FY 2012</stp>
        <stp>[FA1_ymffleas.xlsx]As Reported Summary!R17C6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" s="30"/>
      </tp>
      <tp t="s">
        <v>—</v>
        <stp/>
        <stp>##V3_BDHV12</stp>
        <stp>RCOM IN Equity</stp>
        <stp>ARD_TOT_ASSETS</stp>
        <stp>FY 2009</stp>
        <stp>FY 2009</stp>
        <stp>[FA1_ymffleas.xlsx]As Reported Summary!R17C3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" s="30"/>
      </tp>
      <tp>
        <v>912840</v>
        <stp/>
        <stp>##V3_BDHV12</stp>
        <stp>RCOM IN Equity</stp>
        <stp>ARD_TOT_ASSETS</stp>
        <stp>FY 2015</stp>
        <stp>FY 2015</stp>
        <stp>[FA1_ymffleas.xlsx]As Reported Summary!R17C9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" s="30"/>
      </tp>
      <tp>
        <v>907390</v>
        <stp/>
        <stp>##V3_BDHV12</stp>
        <stp>RCOM IN Equity</stp>
        <stp>ARD_TOT_ASSETS</stp>
        <stp>FY 2014</stp>
        <stp>FY 2014</stp>
        <stp>[FA1_ymffleas.xlsx]As Reported Summary!R17C8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" s="30"/>
      </tp>
      <tp>
        <v>0</v>
        <stp/>
        <stp>##V3_BDHV12</stp>
        <stp>RCOM IN Equity</stp>
        <stp>IS_TOT_CASH_COM_DVD</stp>
        <stp>FY 2017</stp>
        <stp>FY 2017</stp>
        <stp>[FA1_ymffleas.xlsx]Dividend Summary!R13C11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" s="31"/>
      </tp>
      <tp>
        <v>0</v>
        <stp/>
        <stp>##V3_BDHV12</stp>
        <stp>RCOM IN Equity</stp>
        <stp>IS_TOT_CASH_COM_DVD</stp>
        <stp>FY 2016</stp>
        <stp>FY 2016</stp>
        <stp>[FA1_ymffleas.xlsx]Dividend Summary!R13C10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" s="31"/>
      </tp>
      <tp>
        <v>0</v>
        <stp/>
        <stp>##V3_BDHV12</stp>
        <stp>RCOM IN Equity</stp>
        <stp>IS_TOT_CASH_COM_DVD</stp>
        <stp>FY 2018</stp>
        <stp>FY 2018</stp>
        <stp>[FA1_ymffleas.xlsx]Dividend Summary!R13C12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" s="31"/>
      </tp>
      <tp>
        <v>0</v>
        <stp/>
        <stp>##V3_BDHV12</stp>
        <stp>RCOM IN Equity</stp>
        <stp>IS_OTHER_OPERATING_EXPN_ADJUST</stp>
        <stp>FY 2017</stp>
        <stp>FY 2017</stp>
        <stp>[FA1_ymffleas.xlsx]Reconciliation!R15C10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" s="12"/>
      </tp>
      <tp>
        <v>0</v>
        <stp/>
        <stp>##V3_BDHV12</stp>
        <stp>RCOM IN Equity</stp>
        <stp>IS_OTHER_OPERATING_EXPN_ADJUST</stp>
        <stp>FY 2018</stp>
        <stp>FY 2018</stp>
        <stp>[FA1_ymffleas.xlsx]Reconciliation!R15C11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" s="12"/>
      </tp>
      <tp>
        <v>0</v>
        <stp/>
        <stp>##V3_BDHV12</stp>
        <stp>RCOM IN Equity</stp>
        <stp>CF_INCR_INVEST</stp>
        <stp>FY 2016</stp>
        <stp>FY 2016</stp>
        <stp>[FA1_ymffleas.xlsx]Cash Flow - Standardized!R28C9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8" s="19"/>
      </tp>
      <tp>
        <v>0</v>
        <stp/>
        <stp>##V3_BDHV12</stp>
        <stp>RCOM IN Equity</stp>
        <stp>CF_INCR_INVEST</stp>
        <stp>FY 2015</stp>
        <stp>FY 2015</stp>
        <stp>[FA1_ymffleas.xlsx]Cash Flow - Standardized!R28C8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8" s="19"/>
      </tp>
      <tp>
        <v>0</v>
        <stp/>
        <stp>##V3_BDHV12</stp>
        <stp>RCOM IN Equity</stp>
        <stp>CF_INCR_INVEST</stp>
        <stp>FY 2014</stp>
        <stp>FY 2014</stp>
        <stp>[FA1_ymffleas.xlsx]Cash Flow - Standardized!R28C7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8" s="19"/>
      </tp>
      <tp>
        <v>0</v>
        <stp/>
        <stp>##V3_BDHV12</stp>
        <stp>RCOM IN Equity</stp>
        <stp>CF_INCR_INVEST</stp>
        <stp>FY 2013</stp>
        <stp>FY 2013</stp>
        <stp>[FA1_ymffleas.xlsx]Cash Flow - Standardized!R28C6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8" s="19"/>
      </tp>
      <tp>
        <v>0</v>
        <stp/>
        <stp>##V3_BDHV12</stp>
        <stp>RCOM IN Equity</stp>
        <stp>CF_INCR_INVEST</stp>
        <stp>FY 2012</stp>
        <stp>FY 2012</stp>
        <stp>[FA1_ymffleas.xlsx]Cash Flow - Standardized!R28C5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8" s="19"/>
      </tp>
      <tp>
        <v>0</v>
        <stp/>
        <stp>##V3_BDHV12</stp>
        <stp>RCOM IN Equity</stp>
        <stp>CF_INCR_INVEST</stp>
        <stp>FY 2011</stp>
        <stp>FY 2011</stp>
        <stp>[FA1_ymffleas.xlsx]Cash Flow - Standardized!R28C4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8" s="19"/>
      </tp>
      <tp>
        <v>0</v>
        <stp/>
        <stp>##V3_BDHV12</stp>
        <stp>RCOM IN Equity</stp>
        <stp>CF_INCR_INVEST</stp>
        <stp>FY 2010</stp>
        <stp>FY 2010</stp>
        <stp>[FA1_ymffleas.xlsx]Cash Flow - Standardized!R28C3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8" s="19"/>
      </tp>
      <tp>
        <v>12.767300000000001</v>
        <stp/>
        <stp>##V3_BDHV12</stp>
        <stp>RCOM IN Equity</stp>
        <stp>OPER_MARGIN</stp>
        <stp>FY 2016</stp>
        <stp>FY 2016</stp>
        <stp>[FA1_ymffleas.xlsx]Profitability!R14C10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4" s="21"/>
      </tp>
      <tp>
        <v>-6220</v>
        <stp/>
        <stp>##V3_BDHV12</stp>
        <stp>RCOM IN Equity</stp>
        <stp>ARD_OTHER_INVESTING_ACTIVITIES</stp>
        <stp>FY 2016</stp>
        <stp>FY 2016</stp>
        <stp>[FA1_ymffleas.xlsx]Cash Flow - As Reported!R47C10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7" s="20"/>
      </tp>
      <tp t="s">
        <v>—</v>
        <stp/>
        <stp>##V3_BDHV12</stp>
        <stp>RCOM IN Equity</stp>
        <stp>ARD_OTHER_INVESTING_ACTIVITIES</stp>
        <stp>FY 2017</stp>
        <stp>FY 2017</stp>
        <stp>[FA1_ymffleas.xlsx]Cash Flow - As Reported!R47C11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7" s="20"/>
      </tp>
      <tp t="s">
        <v>—</v>
        <stp/>
        <stp>##V3_BDHV12</stp>
        <stp>RCOM IN Equity</stp>
        <stp>ARD_OTHER_INVESTING_ACTIVITIES</stp>
        <stp>FY 2018</stp>
        <stp>FY 2018</stp>
        <stp>[FA1_ymffleas.xlsx]Cash Flow - As Reported!R47C12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7" s="20"/>
      </tp>
      <tp>
        <v>-21.4068</v>
        <stp/>
        <stp>##V3_BDHV12</stp>
        <stp>RCOM IN Equity</stp>
        <stp>NET_INCOME_TO_COMMON_MARGIN</stp>
        <stp>FY 2017</stp>
        <stp>FY 2017</stp>
        <stp>[FA1_ymffleas.xlsx]Profitability!R19C11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9" s="21"/>
      </tp>
      <tp>
        <v>7.6580000000000004</v>
        <stp/>
        <stp>##V3_BDHV12</stp>
        <stp>RCOM IN Equity</stp>
        <stp>DVD_PAYOUT_RATIO</stp>
        <stp>FY 2011</stp>
        <stp>FY 2011</stp>
        <stp>[FA1_ymffleas.xlsx]Dividend Summary!R9C5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9" s="31"/>
      </tp>
      <tp>
        <v>2.5495000000000001</v>
        <stp/>
        <stp>##V3_BDHV12</stp>
        <stp>RCOM IN Equity</stp>
        <stp>RETURN_ON_CAP</stp>
        <stp>FY 2012</stp>
        <stp>FY 2012</stp>
        <stp>[FA1_ymffleas.xlsx]Profitability!R9C6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9" s="21"/>
      </tp>
      <tp>
        <v>26780</v>
        <stp/>
        <stp>##V3_BDHV12</stp>
        <stp>RCOM IN Equity</stp>
        <stp>CASH_AND_MARKETABLE_SECURITIES</stp>
        <stp>FY 2015</stp>
        <stp>FY 2015</stp>
        <stp>[FA1_ymffleas.xlsx]GAAP Highlights!R14C9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" s="3"/>
      </tp>
      <tp>
        <v>11090</v>
        <stp/>
        <stp>##V3_BDHV12</stp>
        <stp>RCOM IN Equity</stp>
        <stp>CASH_AND_MARKETABLE_SECURITIES</stp>
        <stp>FY 2014</stp>
        <stp>FY 2014</stp>
        <stp>[FA1_ymffleas.xlsx]GAAP Highlights!R14C8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" s="3"/>
      </tp>
      <tp>
        <v>53180</v>
        <stp/>
        <stp>##V3_BDHV12</stp>
        <stp>RCOM IN Equity</stp>
        <stp>CASH_AND_MARKETABLE_SECURITIES</stp>
        <stp>FY 2011</stp>
        <stp>FY 2011</stp>
        <stp>[FA1_ymffleas.xlsx]GAAP Highlights!R14C5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" s="3"/>
      </tp>
      <tp>
        <v>48584.800000000003</v>
        <stp/>
        <stp>##V3_BDHV12</stp>
        <stp>RCOM IN Equity</stp>
        <stp>CASH_AND_MARKETABLE_SECURITIES</stp>
        <stp>FY 2010</stp>
        <stp>FY 2010</stp>
        <stp>[FA1_ymffleas.xlsx]GAAP Highlights!R14C4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" s="3"/>
      </tp>
      <tp>
        <v>12820</v>
        <stp/>
        <stp>##V3_BDHV12</stp>
        <stp>RCOM IN Equity</stp>
        <stp>CASH_AND_MARKETABLE_SECURITIES</stp>
        <stp>FY 2013</stp>
        <stp>FY 2013</stp>
        <stp>[FA1_ymffleas.xlsx]GAAP Highlights!R14C7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" s="3"/>
      </tp>
      <tp>
        <v>10690</v>
        <stp/>
        <stp>##V3_BDHV12</stp>
        <stp>RCOM IN Equity</stp>
        <stp>CASH_AND_MARKETABLE_SECURITIES</stp>
        <stp>FY 2012</stp>
        <stp>FY 2012</stp>
        <stp>[FA1_ymffleas.xlsx]GAAP Highlights!R14C6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" s="3"/>
      </tp>
      <tp>
        <v>109671.3</v>
        <stp/>
        <stp>##V3_BDHV12</stp>
        <stp>RCOM IN Equity</stp>
        <stp>CASH_AND_MARKETABLE_SECURITIES</stp>
        <stp>FY 2009</stp>
        <stp>FY 2009</stp>
        <stp>[FA1_ymffleas.xlsx]GAAP Highlights!R14C3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" s="3"/>
      </tp>
      <tp>
        <v>0</v>
        <stp/>
        <stp>##V3_BDHV12</stp>
        <stp>RCOM IN Equity</stp>
        <stp>BS_ACCRUED_LIABILITIES</stp>
        <stp>FY 2018</stp>
        <stp>FY 2018</stp>
        <stp>[FA1_ymffleas.xlsx]Bal Sheet - Standardized!R111C12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1" s="16"/>
      </tp>
      <tp>
        <v>0</v>
        <stp/>
        <stp>##V3_BDHV12</stp>
        <stp>RCOM IN Equity</stp>
        <stp>BS_ACCRUED_LIABILITIES</stp>
        <stp>FY 2016</stp>
        <stp>FY 2016</stp>
        <stp>[FA1_ymffleas.xlsx]Bal Sheet - Standardized!R111C10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1" s="16"/>
      </tp>
      <tp>
        <v>0</v>
        <stp/>
        <stp>##V3_BDHV12</stp>
        <stp>RCOM IN Equity</stp>
        <stp>BS_ACCRUED_LIABILITIES</stp>
        <stp>FY 2017</stp>
        <stp>FY 2017</stp>
        <stp>[FA1_ymffleas.xlsx]Bal Sheet - Standardized!R111C11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1" s="16"/>
      </tp>
      <tp>
        <v>0.64549999999999996</v>
        <stp/>
        <stp>##V3_BDHV12</stp>
        <stp>RCOM IN Equity</stp>
        <stp>PX_TO_SALES_RATIO</stp>
        <stp>FY 2015</stp>
        <stp>FY 2015</stp>
        <stp>[FA1_ymffleas.xlsx]Multiples!R21C8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1" s="6"/>
      </tp>
      <tp t="s">
        <v>—</v>
        <stp/>
        <stp>##V3_BDHV12</stp>
        <stp>RCOM IN Equity</stp>
        <stp>ARDR_ST_LOANS</stp>
        <stp>FY 2018</stp>
        <stp>FY 2018</stp>
        <stp>[FA1_ymffleas.xlsx]Bal Sheet - As Reported!R144C12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4" s="17"/>
      </tp>
      <tp t="s">
        <v>—</v>
        <stp/>
        <stp>##V3_BDHV12</stp>
        <stp>RCOM IN Equity</stp>
        <stp>ARDR_ST_LOANS</stp>
        <stp>FY 2016</stp>
        <stp>FY 2016</stp>
        <stp>[FA1_ymffleas.xlsx]Bal Sheet - As Reported!R144C10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4" s="17"/>
      </tp>
      <tp t="s">
        <v>—</v>
        <stp/>
        <stp>##V3_BDHV12</stp>
        <stp>RCOM IN Equity</stp>
        <stp>ARDR_ST_LOANS</stp>
        <stp>FY 2017</stp>
        <stp>FY 2017</stp>
        <stp>[FA1_ymffleas.xlsx]Bal Sheet - As Reported!R144C11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4" s="17"/>
      </tp>
      <tp>
        <v>0.55400000000000005</v>
        <stp/>
        <stp>##V3_BDHV12</stp>
        <stp>RCOM IN Equity</stp>
        <stp>PRETAX_INC_TO_NET_SALES</stp>
        <stp>FY 2014</stp>
        <stp>FY 2014</stp>
        <stp>[FA1_ymffleas.xlsx]Profitability!R16C8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6" s="21"/>
      </tp>
      <tp>
        <v>3.05</v>
        <stp/>
        <stp>##V3_BDHV12</stp>
        <stp>RCOM IN Equity</stp>
        <stp>IS_EPS</stp>
        <stp>FY 2015</stp>
        <stp>FY 2015</stp>
        <stp>[FA1_ymffleas.xlsx]Comprehensive Income!R15C8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5" s="33"/>
      </tp>
      <tp>
        <v>550</v>
        <stp/>
        <stp>##V3_BDHV12</stp>
        <stp>RCOM IN Equity</stp>
        <stp>ARDR_EMPLOYEE_ENTITLE_NONCUR</stp>
        <stp>FY 2015</stp>
        <stp>FY 2015</stp>
        <stp>[FA1_ymffleas.xlsx]Bal Sheet - As Reported!R167C9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7" s="17"/>
      </tp>
      <tp>
        <v>530</v>
        <stp/>
        <stp>##V3_BDHV12</stp>
        <stp>RCOM IN Equity</stp>
        <stp>ARDR_EMPLOYEE_ENTITLE_NONCUR</stp>
        <stp>FY 2014</stp>
        <stp>FY 2014</stp>
        <stp>[FA1_ymffleas.xlsx]Bal Sheet - As Reported!R167C8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7" s="17"/>
      </tp>
      <tp>
        <v>30</v>
        <stp/>
        <stp>##V3_BDHV12</stp>
        <stp>RCOM IN Equity</stp>
        <stp>ARDR_EMPLOYEE_ENTITLE_NONCUR</stp>
        <stp>FY 2011</stp>
        <stp>FY 2011</stp>
        <stp>[FA1_ymffleas.xlsx]Bal Sheet - As Reported!R167C5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7" s="17"/>
      </tp>
      <tp t="s">
        <v>—</v>
        <stp/>
        <stp>##V3_BDHV12</stp>
        <stp>RCOM IN Equity</stp>
        <stp>ARDR_EMPLOYEE_ENTITLE_NONCUR</stp>
        <stp>FY 2010</stp>
        <stp>FY 2010</stp>
        <stp>[FA1_ymffleas.xlsx]Bal Sheet - As Reported!R167C4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7" s="17"/>
      </tp>
      <tp>
        <v>530</v>
        <stp/>
        <stp>##V3_BDHV12</stp>
        <stp>RCOM IN Equity</stp>
        <stp>ARDR_EMPLOYEE_ENTITLE_NONCUR</stp>
        <stp>FY 2013</stp>
        <stp>FY 2013</stp>
        <stp>[FA1_ymffleas.xlsx]Bal Sheet - As Reported!R167C7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7" s="17"/>
      </tp>
      <tp>
        <v>630</v>
        <stp/>
        <stp>##V3_BDHV12</stp>
        <stp>RCOM IN Equity</stp>
        <stp>ARDR_EMPLOYEE_ENTITLE_NONCUR</stp>
        <stp>FY 2012</stp>
        <stp>FY 2012</stp>
        <stp>[FA1_ymffleas.xlsx]Bal Sheet - As Reported!R167C6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7" s="17"/>
      </tp>
      <tp t="s">
        <v>—</v>
        <stp/>
        <stp>##V3_BDHV12</stp>
        <stp>RCOM IN Equity</stp>
        <stp>ARDR_EMPLOYEE_ENTITLE_NONCUR</stp>
        <stp>FY 2009</stp>
        <stp>FY 2009</stp>
        <stp>[FA1_ymffleas.xlsx]Bal Sheet - As Reported!R167C3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7" s="17"/>
      </tp>
      <tp t="s">
        <v>—</v>
        <stp/>
        <stp>##V3_BDHV12</stp>
        <stp>RCOM IN Equity</stp>
        <stp>EMPLOYEES_SEQUENTIAL_GROWTH</stp>
        <stp>FY 2018</stp>
        <stp>FY 2018</stp>
        <stp>[FA1_ymffleas.xlsx]Growth!R74C12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4" s="22"/>
      </tp>
      <tp t="s">
        <v>—</v>
        <stp/>
        <stp>##V3_BDHV12</stp>
        <stp>RCOM IN Equity</stp>
        <stp>EMPLOYEES_SEQUENTIAL_GROWTH</stp>
        <stp>FY 2017</stp>
        <stp>FY 2017</stp>
        <stp>[FA1_ymffleas.xlsx]Growth!R74C11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4" s="22"/>
      </tp>
      <tp t="s">
        <v>—</v>
        <stp/>
        <stp>##V3_BDHV12</stp>
        <stp>RCOM IN Equity</stp>
        <stp>EMPLOYEES_SEQUENTIAL_GROWTH</stp>
        <stp>FY 2016</stp>
        <stp>FY 2016</stp>
        <stp>[FA1_ymffleas.xlsx]Growth!R74C10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4" s="22"/>
      </tp>
      <tp>
        <v>-201.1</v>
        <stp/>
        <stp>##V3_BDHV12</stp>
        <stp>RCOM IN Equity</stp>
        <stp>ARD_EFF_OF_EXCH_RATES_ON_CASH</stp>
        <stp>FY 2009</stp>
        <stp>FY 2009</stp>
        <stp>[FA1_ymffleas.xlsx]Cash Flow - As Reported!R58C3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8" s="20"/>
      </tp>
      <tp>
        <v>10</v>
        <stp/>
        <stp>##V3_BDHV12</stp>
        <stp>RCOM IN Equity</stp>
        <stp>ARD_EFF_OF_EXCH_RATES_ON_CASH</stp>
        <stp>FY 2013</stp>
        <stp>FY 2013</stp>
        <stp>[FA1_ymffleas.xlsx]Cash Flow - As Reported!R58C7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8" s="20"/>
      </tp>
      <tp>
        <v>10</v>
        <stp/>
        <stp>##V3_BDHV12</stp>
        <stp>RCOM IN Equity</stp>
        <stp>ARD_EFF_OF_EXCH_RATES_ON_CASH</stp>
        <stp>FY 2012</stp>
        <stp>FY 2012</stp>
        <stp>[FA1_ymffleas.xlsx]Cash Flow - As Reported!R58C6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8" s="20"/>
      </tp>
      <tp>
        <v>0</v>
        <stp/>
        <stp>##V3_BDHV12</stp>
        <stp>RCOM IN Equity</stp>
        <stp>ARD_EFF_OF_EXCH_RATES_ON_CASH</stp>
        <stp>FY 2011</stp>
        <stp>FY 2011</stp>
        <stp>[FA1_ymffleas.xlsx]Cash Flow - As Reported!R58C5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8" s="20"/>
      </tp>
      <tp>
        <v>9.4</v>
        <stp/>
        <stp>##V3_BDHV12</stp>
        <stp>RCOM IN Equity</stp>
        <stp>ARD_EFF_OF_EXCH_RATES_ON_CASH</stp>
        <stp>FY 2010</stp>
        <stp>FY 2010</stp>
        <stp>[FA1_ymffleas.xlsx]Cash Flow - As Reported!R58C4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8" s="20"/>
      </tp>
      <tp t="s">
        <v>—</v>
        <stp/>
        <stp>##V3_BDHV12</stp>
        <stp>RCOM IN Equity</stp>
        <stp>ARD_EFF_OF_EXCH_RATES_ON_CASH</stp>
        <stp>FY 2015</stp>
        <stp>FY 2015</stp>
        <stp>[FA1_ymffleas.xlsx]Cash Flow - As Reported!R58C9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8" s="20"/>
      </tp>
      <tp>
        <v>10</v>
        <stp/>
        <stp>##V3_BDHV12</stp>
        <stp>RCOM IN Equity</stp>
        <stp>ARD_EFF_OF_EXCH_RATES_ON_CASH</stp>
        <stp>FY 2014</stp>
        <stp>FY 2014</stp>
        <stp>[FA1_ymffleas.xlsx]Cash Flow - As Reported!R58C8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8" s="20"/>
      </tp>
      <tp>
        <v>4510</v>
        <stp/>
        <stp>##V3_BDHV12</stp>
        <stp>RCOM IN Equity</stp>
        <stp>ARD_PROV_LIAB_CHARGES_AND_OTHER</stp>
        <stp>FY 2017</stp>
        <stp>FY 2017</stp>
        <stp>[FA1_ymffleas.xlsx]Bal Sheet - As Reported!R24C11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4" s="17"/>
      </tp>
      <tp>
        <v>3970</v>
        <stp/>
        <stp>##V3_BDHV12</stp>
        <stp>RCOM IN Equity</stp>
        <stp>ARD_PROV_LIAB_CHARGES_AND_OTHER</stp>
        <stp>FY 2016</stp>
        <stp>FY 2016</stp>
        <stp>[FA1_ymffleas.xlsx]Bal Sheet - As Reported!R24C10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4" s="17"/>
      </tp>
      <tp>
        <v>4380</v>
        <stp/>
        <stp>##V3_BDHV12</stp>
        <stp>RCOM IN Equity</stp>
        <stp>ARD_PROV_LIAB_CHARGES_AND_OTHER</stp>
        <stp>FY 2018</stp>
        <stp>FY 2018</stp>
        <stp>[FA1_ymffleas.xlsx]Bal Sheet - As Reported!R24C12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4" s="17"/>
      </tp>
      <tp>
        <v>19.2104</v>
        <stp/>
        <stp>##V3_BDHV12</stp>
        <stp>RCOM IN Equity</stp>
        <stp>NET_DEBT_TO_EBIT</stp>
        <stp>FY 2013</stp>
        <stp>FY 2013</stp>
        <stp>[FA1_ymffleas.xlsx]Credit!R14C7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4" s="23"/>
      </tp>
      <tp>
        <v>-900</v>
        <stp/>
        <stp>##V3_BDHV12</stp>
        <stp>RCOM IN Equity</stp>
        <stp>IS_INC_TAX_EXP</stp>
        <stp>FY 2017</stp>
        <stp>FY 2017</stp>
        <stp>[FA1_ymffleas.xlsx]Income - Adjusted!R77C10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77" s="9"/>
      </tp>
      <tp>
        <v>160</v>
        <stp/>
        <stp>##V3_BDHV12</stp>
        <stp>RCOM IN Equity</stp>
        <stp>IS_INC_TAX_EXP</stp>
        <stp>FY 2018</stp>
        <stp>FY 2018</stp>
        <stp>[FA1_ymffleas.xlsx]Income - Adjusted!R77C11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77" s="9"/>
      </tp>
      <tp t="s">
        <v>—</v>
        <stp/>
        <stp>##V3_BDHV12</stp>
        <stp>RCOM IN Equity</stp>
        <stp>IS_COMPREHENSIVE_INCOME_PER_SHR</stp>
        <stp>FY 2010</stp>
        <stp>FY 2010</stp>
        <stp>[FA1_ymffleas.xlsx]Comprehensive Income!R14C3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4" s="33"/>
      </tp>
      <tp t="s">
        <v>—</v>
        <stp/>
        <stp>##V3_BDHV12</stp>
        <stp>RCOM IN Equity</stp>
        <stp>IS_COMPREHENSIVE_INCOME_PER_SHR</stp>
        <stp>FY 2011</stp>
        <stp>FY 2011</stp>
        <stp>[FA1_ymffleas.xlsx]Comprehensive Income!R14C4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4" s="33"/>
      </tp>
      <tp t="s">
        <v>—</v>
        <stp/>
        <stp>##V3_BDHV12</stp>
        <stp>RCOM IN Equity</stp>
        <stp>IS_COMPREHENSIVE_INCOME_PER_SHR</stp>
        <stp>FY 2012</stp>
        <stp>FY 2012</stp>
        <stp>[FA1_ymffleas.xlsx]Comprehensive Income!R14C5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4" s="33"/>
      </tp>
      <tp t="s">
        <v>—</v>
        <stp/>
        <stp>##V3_BDHV12</stp>
        <stp>RCOM IN Equity</stp>
        <stp>IS_COMPREHENSIVE_INCOME_PER_SHR</stp>
        <stp>FY 2013</stp>
        <stp>FY 2013</stp>
        <stp>[FA1_ymffleas.xlsx]Comprehensive Income!R14C6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4" s="33"/>
      </tp>
      <tp>
        <v>19.844799999999999</v>
        <stp/>
        <stp>##V3_BDHV12</stp>
        <stp>RCOM IN Equity</stp>
        <stp>EBITDA_SEQUENTIAL_GROWTH</stp>
        <stp>FY 2011</stp>
        <stp>FY 2011</stp>
        <stp>[FA1_ymffleas.xlsx]Growth!R61C5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61" s="22"/>
      </tp>
      <tp t="s">
        <v>—</v>
        <stp/>
        <stp>##V3_BDHV12</stp>
        <stp>RCOM IN Equity</stp>
        <stp>IS_COMPREHENSIVE_INCOME_PER_SHR</stp>
        <stp>FY 2014</stp>
        <stp>FY 2014</stp>
        <stp>[FA1_ymffleas.xlsx]Comprehensive Income!R14C7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4" s="33"/>
      </tp>
      <tp t="s">
        <v>—</v>
        <stp/>
        <stp>##V3_BDHV12</stp>
        <stp>RCOM IN Equity</stp>
        <stp>IS_COMPREHENSIVE_INCOME_PER_SHR</stp>
        <stp>FY 2015</stp>
        <stp>FY 2015</stp>
        <stp>[FA1_ymffleas.xlsx]Comprehensive Income!R14C8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4" s="33"/>
      </tp>
      <tp t="s">
        <v>—</v>
        <stp/>
        <stp>##V3_BDHV12</stp>
        <stp>RCOM IN Equity</stp>
        <stp>ARD_TOTAL_SHARE_CAPITAL</stp>
        <stp>FY 2018</stp>
        <stp>FY 2018</stp>
        <stp>[FA1_ymffleas.xlsx]Bal Sheet - As Reported!R11C12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" s="17"/>
      </tp>
      <tp>
        <v>12440</v>
        <stp/>
        <stp>##V3_BDHV12</stp>
        <stp>RCOM IN Equity</stp>
        <stp>ARD_TOTAL_SHARE_CAPITAL</stp>
        <stp>FY 2017</stp>
        <stp>FY 2017</stp>
        <stp>[FA1_ymffleas.xlsx]Bal Sheet - As Reported!R11C11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" s="17"/>
      </tp>
      <tp>
        <v>12440</v>
        <stp/>
        <stp>##V3_BDHV12</stp>
        <stp>RCOM IN Equity</stp>
        <stp>ARD_TOTAL_SHARE_CAPITAL</stp>
        <stp>FY 2016</stp>
        <stp>FY 2016</stp>
        <stp>[FA1_ymffleas.xlsx]Bal Sheet - As Reported!R11C10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" s="17"/>
      </tp>
      <tp>
        <v>3.1486999999999998</v>
        <stp/>
        <stp>##V3_BDHV12</stp>
        <stp>RCOM IN Equity</stp>
        <stp>IS_COMPREHENSIVE_INCOME_PER_SHR</stp>
        <stp>FY 2016</stp>
        <stp>FY 2016</stp>
        <stp>[FA1_ymffleas.xlsx]Comprehensive Income!R14C9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4" s="33"/>
      </tp>
      <tp>
        <v>3.7382</v>
        <stp/>
        <stp>##V3_BDHV12</stp>
        <stp>RCOM IN Equity</stp>
        <stp>INC_BEF_XO_ITEMS_TO_NET_SALES</stp>
        <stp>FY 2017</stp>
        <stp>FY 2017</stp>
        <stp>[FA1_ymffleas.xlsx]Profitability!R17C11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7" s="21"/>
      </tp>
      <tp>
        <v>0.50649999999999995</v>
        <stp/>
        <stp>##V3_BDHV12</stp>
        <stp>RCOM IN Equity</stp>
        <stp>IS_DILUTED_EPS</stp>
        <stp>FY 2017</stp>
        <stp>FY 2017</stp>
        <stp>[FA1_ymffleas.xlsx]Reconciliation!R51C10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J51" s="12"/>
      </tp>
      <tp>
        <v>2.3900000000000001E-2</v>
        <stp/>
        <stp>##V3_BDHV12</stp>
        <stp>RCOM IN Equity</stp>
        <stp>IS_STK_BASED_COMP_PER_BAS_SH</stp>
        <stp>FY 2009</stp>
        <stp>FY 2009</stp>
        <stp>[FA1_ymffleas.xlsx]SBC &amp; Amort!R17C3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7" s="13"/>
      </tp>
      <tp>
        <v>-2.29E-2</v>
        <stp/>
        <stp>##V3_BDHV12</stp>
        <stp>RCOM IN Equity</stp>
        <stp>IS_STK_BASED_COMP_PER_BAS_SH</stp>
        <stp>FY 2011</stp>
        <stp>FY 2011</stp>
        <stp>[FA1_ymffleas.xlsx]SBC &amp; Amort!R17C5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7" s="13"/>
      </tp>
      <tp>
        <v>-2.1299999999999999E-2</v>
        <stp/>
        <stp>##V3_BDHV12</stp>
        <stp>RCOM IN Equity</stp>
        <stp>IS_STK_BASED_COMP_PER_BAS_SH</stp>
        <stp>FY 2010</stp>
        <stp>FY 2010</stp>
        <stp>[FA1_ymffleas.xlsx]SBC &amp; Amort!R17C4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7" s="13"/>
      </tp>
      <tp>
        <v>0</v>
        <stp/>
        <stp>##V3_BDHV12</stp>
        <stp>RCOM IN Equity</stp>
        <stp>IS_STK_BASED_COMP_PER_BAS_SH</stp>
        <stp>FY 2013</stp>
        <stp>FY 2013</stp>
        <stp>[FA1_ymffleas.xlsx]SBC &amp; Amort!R17C7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7" s="13"/>
      </tp>
      <tp>
        <v>-1.6400000000000001E-2</v>
        <stp/>
        <stp>##V3_BDHV12</stp>
        <stp>RCOM IN Equity</stp>
        <stp>IS_STK_BASED_COMP_PER_BAS_SH</stp>
        <stp>FY 2012</stp>
        <stp>FY 2012</stp>
        <stp>[FA1_ymffleas.xlsx]SBC &amp; Amort!R17C6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7" s="13"/>
      </tp>
      <tp>
        <v>-5.5999999999999999E-3</v>
        <stp/>
        <stp>##V3_BDHV12</stp>
        <stp>RCOM IN Equity</stp>
        <stp>IS_STK_BASED_COMP_PER_BAS_SH</stp>
        <stp>FY 2015</stp>
        <stp>FY 2015</stp>
        <stp>[FA1_ymffleas.xlsx]SBC &amp; Amort!R17C9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7" s="13"/>
      </tp>
      <tp>
        <v>-3.2000000000000002E-3</v>
        <stp/>
        <stp>##V3_BDHV12</stp>
        <stp>RCOM IN Equity</stp>
        <stp>IS_STK_BASED_COMP_PER_BAS_SH</stp>
        <stp>FY 2014</stp>
        <stp>FY 2014</stp>
        <stp>[FA1_ymffleas.xlsx]SBC &amp; Amort!R17C8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7" s="13"/>
      </tp>
      <tp t="s">
        <v>—</v>
        <stp/>
        <stp>##V3_BDHV12</stp>
        <stp>RCOM IN Equity</stp>
        <stp>BS_ASSETS_HELD_FOR_SALE_ST</stp>
        <stp>FY 2014</stp>
        <stp>FY 2014</stp>
        <stp>[FA1_ymffleas.xlsx]Bal Sheet - Standardized!R35C8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5" s="16"/>
      </tp>
      <tp t="s">
        <v>—</v>
        <stp/>
        <stp>##V3_BDHV12</stp>
        <stp>RCOM IN Equity</stp>
        <stp>BS_ASSETS_HELD_FOR_SALE_ST</stp>
        <stp>FY 2015</stp>
        <stp>FY 2015</stp>
        <stp>[FA1_ymffleas.xlsx]Bal Sheet - Standardized!R35C9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5" s="16"/>
      </tp>
      <tp t="s">
        <v>—</v>
        <stp/>
        <stp>##V3_BDHV12</stp>
        <stp>RCOM IN Equity</stp>
        <stp>BS_ASSETS_HELD_FOR_SALE_ST</stp>
        <stp>FY 2010</stp>
        <stp>FY 2010</stp>
        <stp>[FA1_ymffleas.xlsx]Bal Sheet - Standardized!R35C4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5" s="16"/>
      </tp>
      <tp t="s">
        <v>—</v>
        <stp/>
        <stp>##V3_BDHV12</stp>
        <stp>RCOM IN Equity</stp>
        <stp>BS_ASSETS_HELD_FOR_SALE_ST</stp>
        <stp>FY 2011</stp>
        <stp>FY 2011</stp>
        <stp>[FA1_ymffleas.xlsx]Bal Sheet - Standardized!R35C5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5" s="16"/>
      </tp>
      <tp t="s">
        <v>—</v>
        <stp/>
        <stp>##V3_BDHV12</stp>
        <stp>RCOM IN Equity</stp>
        <stp>BS_ASSETS_HELD_FOR_SALE_ST</stp>
        <stp>FY 2012</stp>
        <stp>FY 2012</stp>
        <stp>[FA1_ymffleas.xlsx]Bal Sheet - Standardized!R35C6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5" s="16"/>
      </tp>
      <tp t="s">
        <v>—</v>
        <stp/>
        <stp>##V3_BDHV12</stp>
        <stp>RCOM IN Equity</stp>
        <stp>BS_ASSETS_HELD_FOR_SALE_ST</stp>
        <stp>FY 2013</stp>
        <stp>FY 2013</stp>
        <stp>[FA1_ymffleas.xlsx]Bal Sheet - Standardized!R35C7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5" s="16"/>
      </tp>
      <tp t="s">
        <v>—</v>
        <stp/>
        <stp>##V3_BDHV12</stp>
        <stp>RCOM IN Equity</stp>
        <stp>BS_ASSETS_HELD_FOR_SALE_ST</stp>
        <stp>FY 2009</stp>
        <stp>FY 2009</stp>
        <stp>[FA1_ymffleas.xlsx]Bal Sheet - Standardized!R35C3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5" s="16"/>
      </tp>
      <tp>
        <v>6.7134999999999998</v>
        <stp/>
        <stp>##V3_BDHV12</stp>
        <stp>RCOM IN Equity</stp>
        <stp>OPER_MARGIN</stp>
        <stp>FY 2017</stp>
        <stp>FY 2017</stp>
        <stp>[FA1_ymffleas.xlsx]Profitability!R14C11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4" s="21"/>
      </tp>
      <tp>
        <v>2.9388999999999998</v>
        <stp/>
        <stp>##V3_BDHV12</stp>
        <stp>RCOM IN Equity</stp>
        <stp>NET_INCOME_TO_COMMON_MARGIN</stp>
        <stp>FY 2016</stp>
        <stp>FY 2016</stp>
        <stp>[FA1_ymffleas.xlsx]Profitability!R19C10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9" s="21"/>
      </tp>
      <tp>
        <v>3.7688999999999999</v>
        <stp/>
        <stp>##V3_BDHV12</stp>
        <stp>RCOM IN Equity</stp>
        <stp>DVD_PAYOUT_RATIO</stp>
        <stp>FY 2010</stp>
        <stp>FY 2010</stp>
        <stp>[FA1_ymffleas.xlsx]Dividend Summary!R9C4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9" s="31"/>
      </tp>
      <tp>
        <v>3.7111000000000001</v>
        <stp/>
        <stp>##V3_BDHV12</stp>
        <stp>RCOM IN Equity</stp>
        <stp>RETURN_ON_CAP</stp>
        <stp>FY 2013</stp>
        <stp>FY 2013</stp>
        <stp>[FA1_ymffleas.xlsx]Profitability!R9C7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9" s="21"/>
      </tp>
      <tp>
        <v>85810</v>
        <stp/>
        <stp>##V3_BDHV12</stp>
        <stp>RCOM IN Equity</stp>
        <stp>BS_ADD_PAID_IN_CAP</stp>
        <stp>FY 2011</stp>
        <stp>FY 2011</stp>
        <stp>[FA1_ymffleas.xlsx]Bal Sheet - Standardized!R139C5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9" s="16"/>
      </tp>
      <tp>
        <v>88826.3</v>
        <stp/>
        <stp>##V3_BDHV12</stp>
        <stp>RCOM IN Equity</stp>
        <stp>BS_ADD_PAID_IN_CAP</stp>
        <stp>FY 2010</stp>
        <stp>FY 2010</stp>
        <stp>[FA1_ymffleas.xlsx]Bal Sheet - Standardized!R139C4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9" s="16"/>
      </tp>
      <tp>
        <v>80470</v>
        <stp/>
        <stp>##V3_BDHV12</stp>
        <stp>RCOM IN Equity</stp>
        <stp>BS_ADD_PAID_IN_CAP</stp>
        <stp>FY 2013</stp>
        <stp>FY 2013</stp>
        <stp>[FA1_ymffleas.xlsx]Bal Sheet - Standardized!R139C7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9" s="16"/>
      </tp>
      <tp>
        <v>80470</v>
        <stp/>
        <stp>##V3_BDHV12</stp>
        <stp>RCOM IN Equity</stp>
        <stp>BS_ADD_PAID_IN_CAP</stp>
        <stp>FY 2012</stp>
        <stp>FY 2012</stp>
        <stp>[FA1_ymffleas.xlsx]Bal Sheet - Standardized!R139C6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9" s="16"/>
      </tp>
      <tp>
        <v>91719.3</v>
        <stp/>
        <stp>##V3_BDHV12</stp>
        <stp>RCOM IN Equity</stp>
        <stp>BS_ADD_PAID_IN_CAP</stp>
        <stp>FY 2009</stp>
        <stp>FY 2009</stp>
        <stp>[FA1_ymffleas.xlsx]Bal Sheet - Standardized!R139C3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9" s="16"/>
      </tp>
      <tp>
        <v>138940</v>
        <stp/>
        <stp>##V3_BDHV12</stp>
        <stp>RCOM IN Equity</stp>
        <stp>BS_ADD_PAID_IN_CAP</stp>
        <stp>FY 2015</stp>
        <stp>FY 2015</stp>
        <stp>[FA1_ymffleas.xlsx]Bal Sheet - Standardized!R139C9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9" s="16"/>
      </tp>
      <tp>
        <v>80470</v>
        <stp/>
        <stp>##V3_BDHV12</stp>
        <stp>RCOM IN Equity</stp>
        <stp>BS_ADD_PAID_IN_CAP</stp>
        <stp>FY 2014</stp>
        <stp>FY 2014</stp>
        <stp>[FA1_ymffleas.xlsx]Bal Sheet - Standardized!R139C8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9" s="16"/>
      </tp>
      <tp>
        <v>0.5675</v>
        <stp/>
        <stp>##V3_BDHV12</stp>
        <stp>RCOM IN Equity</stp>
        <stp>PX_TO_SALES_RATIO</stp>
        <stp>FY 2016</stp>
        <stp>FY 2016</stp>
        <stp>[FA1_ymffleas.xlsx]Multiples!R21C9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1" s="6"/>
      </tp>
      <tp>
        <v>4.4157999999999999</v>
        <stp/>
        <stp>##V3_BDHV12</stp>
        <stp>RCOM IN Equity</stp>
        <stp>PRETAX_INC_TO_NET_SALES</stp>
        <stp>FY 2015</stp>
        <stp>FY 2015</stp>
        <stp>[FA1_ymffleas.xlsx]Profitability!R16C9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6" s="21"/>
      </tp>
      <tp>
        <v>-258110</v>
        <stp/>
        <stp>##V3_BDHV12</stp>
        <stp>RCOM IN Equity</stp>
        <stp>CF_NET_CASH_DISCONT_OPS_OPER</stp>
        <stp>FY 2018</stp>
        <stp>FY 2018</stp>
        <stp>[FA1_ymffleas.xlsx]Cash Flow - Standardized!R15C11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" s="19"/>
      </tp>
      <tp>
        <v>-25420</v>
        <stp/>
        <stp>##V3_BDHV12</stp>
        <stp>RCOM IN Equity</stp>
        <stp>CF_NET_CASH_DISCONT_OPS_OPER</stp>
        <stp>FY 2017</stp>
        <stp>FY 2017</stp>
        <stp>[FA1_ymffleas.xlsx]Cash Flow - Standardized!R15C10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" s="19"/>
      </tp>
      <tp>
        <v>1560</v>
        <stp/>
        <stp>##V3_BDHV12</stp>
        <stp>RCOM IN Equity</stp>
        <stp>INVTRY_FINISHED_GOODS</stp>
        <stp>FY 2015</stp>
        <stp>FY 2015</stp>
        <stp>[FA1_ymffleas.xlsx]Working Capital!R19C9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" s="25"/>
      </tp>
      <tp t="s">
        <v>—</v>
        <stp/>
        <stp>##V3_BDHV12</stp>
        <stp>RCOM IN Equity</stp>
        <stp>INVTRY_FINISHED_GOODS</stp>
        <stp>FY 2014</stp>
        <stp>FY 2014</stp>
        <stp>[FA1_ymffleas.xlsx]Working Capital!R19C8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" s="25"/>
      </tp>
      <tp t="s">
        <v>—</v>
        <stp/>
        <stp>##V3_BDHV12</stp>
        <stp>RCOM IN Equity</stp>
        <stp>INVTRY_FINISHED_GOODS</stp>
        <stp>FY 2009</stp>
        <stp>FY 2009</stp>
        <stp>[FA1_ymffleas.xlsx]Working Capital!R19C3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" s="25"/>
      </tp>
      <tp t="s">
        <v>—</v>
        <stp/>
        <stp>##V3_BDHV12</stp>
        <stp>RCOM IN Equity</stp>
        <stp>INVTRY_FINISHED_GOODS</stp>
        <stp>FY 2011</stp>
        <stp>FY 2011</stp>
        <stp>[FA1_ymffleas.xlsx]Working Capital!R19C5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" s="25"/>
      </tp>
      <tp t="s">
        <v>—</v>
        <stp/>
        <stp>##V3_BDHV12</stp>
        <stp>RCOM IN Equity</stp>
        <stp>INVTRY_FINISHED_GOODS</stp>
        <stp>FY 2010</stp>
        <stp>FY 2010</stp>
        <stp>[FA1_ymffleas.xlsx]Working Capital!R19C4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" s="25"/>
      </tp>
      <tp t="s">
        <v>—</v>
        <stp/>
        <stp>##V3_BDHV12</stp>
        <stp>RCOM IN Equity</stp>
        <stp>INVTRY_FINISHED_GOODS</stp>
        <stp>FY 2013</stp>
        <stp>FY 2013</stp>
        <stp>[FA1_ymffleas.xlsx]Working Capital!R19C7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" s="25"/>
      </tp>
      <tp t="s">
        <v>—</v>
        <stp/>
        <stp>##V3_BDHV12</stp>
        <stp>RCOM IN Equity</stp>
        <stp>INVTRY_FINISHED_GOODS</stp>
        <stp>FY 2012</stp>
        <stp>FY 2012</stp>
        <stp>[FA1_ymffleas.xlsx]Working Capital!R19C6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" s="25"/>
      </tp>
      <tp>
        <v>24.691400000000002</v>
        <stp/>
        <stp>##V3_BDHV12</stp>
        <stp>RCOM IN Equity</stp>
        <stp>ESG_DISCLOSURE_SCORE</stp>
        <stp>FY 2017</stp>
        <stp>FY 2017</stp>
        <stp>[FA1_ymffleas.xlsx]ESG - Overview!R6C11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" s="34"/>
      </tp>
      <tp>
        <v>15.6379</v>
        <stp/>
        <stp>##V3_BDHV12</stp>
        <stp>RCOM IN Equity</stp>
        <stp>ESG_DISCLOSURE_SCORE</stp>
        <stp>FY 2016</stp>
        <stp>FY 2016</stp>
        <stp>[FA1_ymffleas.xlsx]ESG - Overview!R6C10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" s="34"/>
      </tp>
      <tp>
        <v>24.691400000000002</v>
        <stp/>
        <stp>##V3_BDHV12</stp>
        <stp>RCOM IN Equity</stp>
        <stp>ESG_DISCLOSURE_SCORE</stp>
        <stp>FY 2018</stp>
        <stp>FY 2018</stp>
        <stp>[FA1_ymffleas.xlsx]ESG - Overview!R6C12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6" s="34"/>
      </tp>
      <tp>
        <v>-470</v>
        <stp/>
        <stp>##V3_BDHV12</stp>
        <stp>RCOM IN Equity</stp>
        <stp>IS_INC_TAX_EXP_OTHER_COMP_INC</stp>
        <stp>FY 2018</stp>
        <stp>FY 2018</stp>
        <stp>[FA1_ymffleas.xlsx]Comprehensive Income!R11C11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" s="33"/>
      </tp>
      <tp>
        <v>-350</v>
        <stp/>
        <stp>##V3_BDHV12</stp>
        <stp>RCOM IN Equity</stp>
        <stp>IS_INC_TAX_EXP_OTHER_COMP_INC</stp>
        <stp>FY 2017</stp>
        <stp>FY 2017</stp>
        <stp>[FA1_ymffleas.xlsx]Comprehensive Income!R11C10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" s="33"/>
      </tp>
      <tp>
        <v>72600</v>
        <stp/>
        <stp>##V3_BDHV12</stp>
        <stp>RCOM IN Equity</stp>
        <stp>EBITDA</stp>
        <stp>FY 2016</stp>
        <stp>FY 2016</stp>
        <stp>[FA1_ymffleas.xlsx]Earnings!R29C10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29" s="4"/>
      </tp>
      <tp>
        <v>0</v>
        <stp/>
        <stp>##V3_BDHV12</stp>
        <stp>RCOM IN Equity</stp>
        <stp>IS_TOT_CASH_PFD_DVD</stp>
        <stp>FY 2018</stp>
        <stp>FY 2018</stp>
        <stp>[FA1_ymffleas.xlsx]Income - Adjusted!R101C11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1" s="9"/>
      </tp>
      <tp>
        <v>0</v>
        <stp/>
        <stp>##V3_BDHV12</stp>
        <stp>RCOM IN Equity</stp>
        <stp>IS_TOT_CASH_PFD_DVD</stp>
        <stp>FY 2017</stp>
        <stp>FY 2017</stp>
        <stp>[FA1_ymffleas.xlsx]Income - Adjusted!R101C10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1" s="9"/>
      </tp>
      <tp>
        <v>46610</v>
        <stp/>
        <stp>##V3_BDHV12</stp>
        <stp>RCOM IN Equity</stp>
        <stp>EBITDA</stp>
        <stp>FY 2017</stp>
        <stp>FY 2017</stp>
        <stp>[FA1_ymffleas.xlsx]Earnings!R29C11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29" s="4"/>
      </tp>
      <tp>
        <v>31100</v>
        <stp/>
        <stp>##V3_BDHV12</stp>
        <stp>RCOM IN Equity</stp>
        <stp>EBITDA</stp>
        <stp>FY 2018</stp>
        <stp>FY 2018</stp>
        <stp>[FA1_ymffleas.xlsx]Earnings!R29C12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29" s="4"/>
      </tp>
      <tp>
        <v>534088.7389</v>
        <stp/>
        <stp>##V3_BDHV12</stp>
        <stp>RCOM IN Equity</stp>
        <stp>AVERAGE_ENTERPRISE_VALUE</stp>
        <stp>FY 2017</stp>
        <stp>FY 2017</stp>
        <stp>[FA1_ymffleas.xlsx]Multiples!R56C10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6" s="6"/>
      </tp>
      <tp>
        <v>507794.92450000002</v>
        <stp/>
        <stp>##V3_BDHV12</stp>
        <stp>RCOM IN Equity</stp>
        <stp>AVERAGE_ENTERPRISE_VALUE</stp>
        <stp>FY 2018</stp>
        <stp>FY 2018</stp>
        <stp>[FA1_ymffleas.xlsx]Multiples!R56C11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6" s="6"/>
      </tp>
      <tp>
        <v>2.59</v>
        <stp/>
        <stp>##V3_BDHV12</stp>
        <stp>RCOM IN Equity</stp>
        <stp>IS_EPS</stp>
        <stp>FY 2016</stp>
        <stp>FY 2016</stp>
        <stp>[FA1_ymffleas.xlsx]Comprehensive Income!R15C9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5" s="33"/>
      </tp>
      <tp>
        <v>-5.6227999999999998</v>
        <stp/>
        <stp>##V3_BDHV12</stp>
        <stp>RCOM IN Equity</stp>
        <stp>TANG_BOOK_VAL_PER_SH</stp>
        <stp>FY 2018</stp>
        <stp>FY 2018</stp>
        <stp>[FA1_ymffleas.xlsx]Per Share!R27C11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7" s="7"/>
      </tp>
      <tp>
        <v>26.299900000000001</v>
        <stp/>
        <stp>##V3_BDHV12</stp>
        <stp>RCOM IN Equity</stp>
        <stp>TANG_BOOK_VAL_PER_SH</stp>
        <stp>FY 2017</stp>
        <stp>FY 2017</stp>
        <stp>[FA1_ymffleas.xlsx]Per Share!R27C10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7" s="7"/>
      </tp>
      <tp>
        <v>0</v>
        <stp/>
        <stp>##V3_BDHV12</stp>
        <stp>RCOM IN Equity</stp>
        <stp>OTHER_ADJUSTMENTS</stp>
        <stp>FY 2016</stp>
        <stp>FY 2016</stp>
        <stp>[FA1_ymffleas.xlsx]Income - GAAP!R80C9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0" s="10"/>
      </tp>
      <tp>
        <v>0</v>
        <stp/>
        <stp>##V3_BDHV12</stp>
        <stp>RCOM IN Equity</stp>
        <stp>OTHER_ADJUSTMENTS</stp>
        <stp>FY 2015</stp>
        <stp>FY 2015</stp>
        <stp>[FA1_ymffleas.xlsx]Income - GAAP!R80C8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0" s="10"/>
      </tp>
      <tp>
        <v>0</v>
        <stp/>
        <stp>##V3_BDHV12</stp>
        <stp>RCOM IN Equity</stp>
        <stp>OTHER_ADJUSTMENTS</stp>
        <stp>FY 2014</stp>
        <stp>FY 2014</stp>
        <stp>[FA1_ymffleas.xlsx]Income - GAAP!R80C7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0" s="10"/>
      </tp>
      <tp>
        <v>0</v>
        <stp/>
        <stp>##V3_BDHV12</stp>
        <stp>RCOM IN Equity</stp>
        <stp>OTHER_ADJUSTMENTS</stp>
        <stp>FY 2013</stp>
        <stp>FY 2013</stp>
        <stp>[FA1_ymffleas.xlsx]Income - GAAP!R80C6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0" s="10"/>
      </tp>
      <tp>
        <v>0</v>
        <stp/>
        <stp>##V3_BDHV12</stp>
        <stp>RCOM IN Equity</stp>
        <stp>OTHER_ADJUSTMENTS</stp>
        <stp>FY 2012</stp>
        <stp>FY 2012</stp>
        <stp>[FA1_ymffleas.xlsx]Income - GAAP!R80C5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0" s="10"/>
      </tp>
      <tp>
        <v>0</v>
        <stp/>
        <stp>##V3_BDHV12</stp>
        <stp>RCOM IN Equity</stp>
        <stp>OTHER_ADJUSTMENTS</stp>
        <stp>FY 2011</stp>
        <stp>FY 2011</stp>
        <stp>[FA1_ymffleas.xlsx]Income - GAAP!R80C4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0" s="10"/>
      </tp>
      <tp>
        <v>0</v>
        <stp/>
        <stp>##V3_BDHV12</stp>
        <stp>RCOM IN Equity</stp>
        <stp>OTHER_ADJUSTMENTS</stp>
        <stp>FY 2010</stp>
        <stp>FY 2010</stp>
        <stp>[FA1_ymffleas.xlsx]Income - GAAP!R80C3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0" s="10"/>
      </tp>
      <tp>
        <v>1125973.3</v>
        <stp/>
        <stp>##V3_BDHV12</stp>
        <stp>RCOM IN Equity</stp>
        <stp>ARD_PROCEEDS_FROM_INVESTMENTS</stp>
        <stp>FY 2009</stp>
        <stp>FY 2009</stp>
        <stp>[FA1_ymffleas.xlsx]Cash Flow - As Reported!R45C3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5" s="20"/>
      </tp>
      <tp>
        <v>129110</v>
        <stp/>
        <stp>##V3_BDHV12</stp>
        <stp>RCOM IN Equity</stp>
        <stp>ARD_PROCEEDS_FROM_INVESTMENTS</stp>
        <stp>FY 2013</stp>
        <stp>FY 2013</stp>
        <stp>[FA1_ymffleas.xlsx]Cash Flow - As Reported!R45C7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5" s="20"/>
      </tp>
      <tp>
        <v>269640</v>
        <stp/>
        <stp>##V3_BDHV12</stp>
        <stp>RCOM IN Equity</stp>
        <stp>ARD_PROCEEDS_FROM_INVESTMENTS</stp>
        <stp>FY 2012</stp>
        <stp>FY 2012</stp>
        <stp>[FA1_ymffleas.xlsx]Cash Flow - As Reported!R45C6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5" s="20"/>
      </tp>
      <tp>
        <v>520960</v>
        <stp/>
        <stp>##V3_BDHV12</stp>
        <stp>RCOM IN Equity</stp>
        <stp>ARD_PROCEEDS_FROM_INVESTMENTS</stp>
        <stp>FY 2011</stp>
        <stp>FY 2011</stp>
        <stp>[FA1_ymffleas.xlsx]Cash Flow - As Reported!R45C5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5" s="20"/>
      </tp>
      <tp>
        <v>1036590</v>
        <stp/>
        <stp>##V3_BDHV12</stp>
        <stp>RCOM IN Equity</stp>
        <stp>ARD_PROCEEDS_FROM_INVESTMENTS</stp>
        <stp>FY 2010</stp>
        <stp>FY 2010</stp>
        <stp>[FA1_ymffleas.xlsx]Cash Flow - As Reported!R45C4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5" s="20"/>
      </tp>
      <tp>
        <v>384450</v>
        <stp/>
        <stp>##V3_BDHV12</stp>
        <stp>RCOM IN Equity</stp>
        <stp>ARD_PROCEEDS_FROM_INVESTMENTS</stp>
        <stp>FY 2015</stp>
        <stp>FY 2015</stp>
        <stp>[FA1_ymffleas.xlsx]Cash Flow - As Reported!R45C9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5" s="20"/>
      </tp>
      <tp>
        <v>116040</v>
        <stp/>
        <stp>##V3_BDHV12</stp>
        <stp>RCOM IN Equity</stp>
        <stp>ARD_PROCEEDS_FROM_INVESTMENTS</stp>
        <stp>FY 2014</stp>
        <stp>FY 2014</stp>
        <stp>[FA1_ymffleas.xlsx]Cash Flow - As Reported!R45C8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5" s="20"/>
      </tp>
      <tp>
        <v>2.7297000000000002</v>
        <stp/>
        <stp>##V3_BDHV12</stp>
        <stp>RCOM IN Equity</stp>
        <stp>HIGH_PRICE_TO_TANGIBLE_BPS</stp>
        <stp>FY 2016</stp>
        <stp>FY 2016</stp>
        <stp>[FA1_ymffleas.xlsx]Multiples!R18C9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8" s="6"/>
      </tp>
      <tp>
        <v>3.9074</v>
        <stp/>
        <stp>##V3_BDHV12</stp>
        <stp>RCOM IN Equity</stp>
        <stp>HIGH_PRICE_TO_TANGIBLE_BPS</stp>
        <stp>FY 2015</stp>
        <stp>FY 2015</stp>
        <stp>[FA1_ymffleas.xlsx]Multiples!R18C8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8" s="6"/>
      </tp>
      <tp>
        <v>4.1379999999999999</v>
        <stp/>
        <stp>##V3_BDHV12</stp>
        <stp>RCOM IN Equity</stp>
        <stp>HIGH_PRICE_TO_TANGIBLE_BPS</stp>
        <stp>FY 2010</stp>
        <stp>FY 2010</stp>
        <stp>[FA1_ymffleas.xlsx]Multiples!R18C3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8" s="6"/>
      </tp>
      <tp>
        <v>0</v>
        <stp/>
        <stp>##V3_BDHV12</stp>
        <stp>RCOM IN Equity</stp>
        <stp>ARD_EFF_OF_EXCH_RATES_ON_CASH</stp>
        <stp>FY 2017</stp>
        <stp>FY 2017</stp>
        <stp>[FA1_ymffleas.xlsx]Cash Flow - As Reported!R58C11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8" s="20"/>
      </tp>
      <tp>
        <v>0</v>
        <stp/>
        <stp>##V3_BDHV12</stp>
        <stp>RCOM IN Equity</stp>
        <stp>ARD_EFF_OF_EXCH_RATES_ON_CASH</stp>
        <stp>FY 2016</stp>
        <stp>FY 2016</stp>
        <stp>[FA1_ymffleas.xlsx]Cash Flow - As Reported!R58C10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8" s="20"/>
      </tp>
      <tp>
        <v>0</v>
        <stp/>
        <stp>##V3_BDHV12</stp>
        <stp>RCOM IN Equity</stp>
        <stp>ARD_EFF_OF_EXCH_RATES_ON_CASH</stp>
        <stp>FY 2018</stp>
        <stp>FY 2018</stp>
        <stp>[FA1_ymffleas.xlsx]Cash Flow - As Reported!R58C12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8" s="20"/>
      </tp>
      <tp>
        <v>4.3224999999999998</v>
        <stp/>
        <stp>##V3_BDHV12</stp>
        <stp>RCOM IN Equity</stp>
        <stp>HIGH_PRICE_TO_TANGIBLE_BPS</stp>
        <stp>FY 2014</stp>
        <stp>FY 2014</stp>
        <stp>[FA1_ymffleas.xlsx]Multiples!R18C7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8" s="6"/>
      </tp>
      <tp>
        <v>2.1905000000000001</v>
        <stp/>
        <stp>##V3_BDHV12</stp>
        <stp>RCOM IN Equity</stp>
        <stp>HIGH_PRICE_TO_TANGIBLE_BPS</stp>
        <stp>FY 2013</stp>
        <stp>FY 2013</stp>
        <stp>[FA1_ymffleas.xlsx]Multiples!R18C6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8" s="6"/>
      </tp>
      <tp>
        <v>2.0687000000000002</v>
        <stp/>
        <stp>##V3_BDHV12</stp>
        <stp>RCOM IN Equity</stp>
        <stp>HIGH_PRICE_TO_TANGIBLE_BPS</stp>
        <stp>FY 2012</stp>
        <stp>FY 2012</stp>
        <stp>[FA1_ymffleas.xlsx]Multiples!R18C5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8" s="6"/>
      </tp>
      <tp>
        <v>2.028</v>
        <stp/>
        <stp>##V3_BDHV12</stp>
        <stp>RCOM IN Equity</stp>
        <stp>HIGH_PRICE_TO_TANGIBLE_BPS</stp>
        <stp>FY 2011</stp>
        <stp>FY 2011</stp>
        <stp>[FA1_ymffleas.xlsx]Multiples!R18C4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8" s="6"/>
      </tp>
      <tp>
        <v>40.629300000000001</v>
        <stp/>
        <stp>##V3_BDHV12</stp>
        <stp>RCOM IN Equity</stp>
        <stp>TANG_BOOK_VAL_PER_SH</stp>
        <stp>FY 2012</stp>
        <stp>FY 2012</stp>
        <stp>[FA1_ymffleas.xlsx]Addl - Overview!R30C5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0" s="29"/>
      </tp>
      <tp>
        <v>98.293300000000002</v>
        <stp/>
        <stp>##V3_BDHV12</stp>
        <stp>RCOM IN Equity</stp>
        <stp>TANG_BOOK_VAL_PER_SH</stp>
        <stp>FY 2011</stp>
        <stp>FY 2011</stp>
        <stp>[FA1_ymffleas.xlsx]Addl - Overview!R30C4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0" s="29"/>
      </tp>
      <tp>
        <v>20.492000000000001</v>
        <stp/>
        <stp>##V3_BDHV12</stp>
        <stp>RCOM IN Equity</stp>
        <stp>NET_DEBT_TO_EBIT</stp>
        <stp>FY 2012</stp>
        <stp>FY 2012</stp>
        <stp>[FA1_ymffleas.xlsx]Credit!R14C6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4" s="23"/>
      </tp>
      <tp>
        <v>39.616700000000002</v>
        <stp/>
        <stp>##V3_BDHV12</stp>
        <stp>RCOM IN Equity</stp>
        <stp>TANG_BOOK_VAL_PER_SH</stp>
        <stp>FY 2014</stp>
        <stp>FY 2014</stp>
        <stp>[FA1_ymffleas.xlsx]Addl - Overview!R30C7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0" s="29"/>
      </tp>
      <tp>
        <v>37.189399999999999</v>
        <stp/>
        <stp>##V3_BDHV12</stp>
        <stp>RCOM IN Equity</stp>
        <stp>TANG_BOOK_VAL_PER_SH</stp>
        <stp>FY 2013</stp>
        <stp>FY 2013</stp>
        <stp>[FA1_ymffleas.xlsx]Addl - Overview!R30C6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0" s="29"/>
      </tp>
      <tp>
        <v>8.7999999999999995E-2</v>
        <stp/>
        <stp>##V3_BDHV12</stp>
        <stp>RCOM IN Equity</stp>
        <stp>LOW_CLOSING_PRICE_TO_BOOK_RATIO</stp>
        <stp>FY 2018</stp>
        <stp>FY 2018</stp>
        <stp>[FA1_ymffleas.xlsx]Multiples!R14C11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4" s="6"/>
      </tp>
      <tp>
        <v>0.24310000000000001</v>
        <stp/>
        <stp>##V3_BDHV12</stp>
        <stp>RCOM IN Equity</stp>
        <stp>LOW_CLOSING_PRICE_TO_BOOK_RATIO</stp>
        <stp>FY 2017</stp>
        <stp>FY 2017</stp>
        <stp>[FA1_ymffleas.xlsx]Multiples!R14C10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4" s="6"/>
      </tp>
      <tp>
        <v>99.432199999999995</v>
        <stp/>
        <stp>##V3_BDHV12</stp>
        <stp>RCOM IN Equity</stp>
        <stp>TANG_BOOK_VAL_PER_SH</stp>
        <stp>FY 2010</stp>
        <stp>FY 2010</stp>
        <stp>[FA1_ymffleas.xlsx]Addl - Overview!R30C3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0" s="29"/>
      </tp>
      <tp>
        <v>-19.948499999999999</v>
        <stp/>
        <stp>##V3_BDHV12</stp>
        <stp>RCOM IN Equity</stp>
        <stp>EBITDA_SEQUENTIAL_GROWTH</stp>
        <stp>FY 2010</stp>
        <stp>FY 2010</stp>
        <stp>[FA1_ymffleas.xlsx]Growth!R61C4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61" s="22"/>
      </tp>
      <tp>
        <v>18.316700000000001</v>
        <stp/>
        <stp>##V3_BDHV12</stp>
        <stp>RCOM IN Equity</stp>
        <stp>TANG_BOOK_VAL_PER_SH</stp>
        <stp>FY 2016</stp>
        <stp>FY 2016</stp>
        <stp>[FA1_ymffleas.xlsx]Addl - Overview!R30C9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0" s="29"/>
      </tp>
      <tp>
        <v>62.2303</v>
        <stp/>
        <stp>##V3_BDHV12</stp>
        <stp>RCOM IN Equity</stp>
        <stp>TANG_BOOK_VAL_PER_SH</stp>
        <stp>FY 2015</stp>
        <stp>FY 2015</stp>
        <stp>[FA1_ymffleas.xlsx]Addl - Overview!R30C8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0" s="29"/>
      </tp>
      <tp>
        <v>0.59489999999999998</v>
        <stp/>
        <stp>##V3_BDHV12</stp>
        <stp>RCOM IN Equity</stp>
        <stp>DIVIDEND_12_MONTH_YIELD</stp>
        <stp>FY 2012</stp>
        <stp>FY 2012</stp>
        <stp>[FA1_ymffleas.xlsx]Addl - Overview!R22C5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2" s="29"/>
      </tp>
      <tp>
        <v>0.78959999999999997</v>
        <stp/>
        <stp>##V3_BDHV12</stp>
        <stp>RCOM IN Equity</stp>
        <stp>DIVIDEND_12_MONTH_YIELD</stp>
        <stp>FY 2011</stp>
        <stp>FY 2011</stp>
        <stp>[FA1_ymffleas.xlsx]Addl - Overview!R22C4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2" s="29"/>
      </tp>
      <tp>
        <v>0.19389999999999999</v>
        <stp/>
        <stp>##V3_BDHV12</stp>
        <stp>RCOM IN Equity</stp>
        <stp>DIVIDEND_12_MONTH_YIELD</stp>
        <stp>FY 2014</stp>
        <stp>FY 2014</stp>
        <stp>[FA1_ymffleas.xlsx]Addl - Overview!R22C7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2" s="29"/>
      </tp>
      <tp>
        <v>-0.41370000000000001</v>
        <stp/>
        <stp>##V3_BDHV12</stp>
        <stp>RCOM IN Equity</stp>
        <stp>INC_BEF_XO_ITEMS_TO_NET_SALES</stp>
        <stp>FY 2018</stp>
        <stp>FY 2018</stp>
        <stp>[FA1_ymffleas.xlsx]Profitability!R17C12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7" s="21"/>
      </tp>
      <tp>
        <v>0.4521</v>
        <stp/>
        <stp>##V3_BDHV12</stp>
        <stp>RCOM IN Equity</stp>
        <stp>DIVIDEND_12_MONTH_YIELD</stp>
        <stp>FY 2013</stp>
        <stp>FY 2013</stp>
        <stp>[FA1_ymffleas.xlsx]Addl - Overview!R22C6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2" s="29"/>
      </tp>
      <tp>
        <v>0.47070000000000001</v>
        <stp/>
        <stp>##V3_BDHV12</stp>
        <stp>RCOM IN Equity</stp>
        <stp>DIVIDEND_12_MONTH_YIELD</stp>
        <stp>FY 2010</stp>
        <stp>FY 2010</stp>
        <stp>[FA1_ymffleas.xlsx]Addl - Overview!R22C3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2" s="29"/>
      </tp>
      <tp t="s">
        <v>—</v>
        <stp/>
        <stp>##V3_BDHV12</stp>
        <stp>RCOM IN Equity</stp>
        <stp>DIVIDEND_12_MONTH_YIELD</stp>
        <stp>FY 2016</stp>
        <stp>FY 2016</stp>
        <stp>[FA1_ymffleas.xlsx]Addl - Overview!R22C9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2" s="29"/>
      </tp>
      <tp>
        <v>0.2087</v>
        <stp/>
        <stp>##V3_BDHV12</stp>
        <stp>RCOM IN Equity</stp>
        <stp>DIVIDEND_12_MONTH_YIELD</stp>
        <stp>FY 2015</stp>
        <stp>FY 2015</stp>
        <stp>[FA1_ymffleas.xlsx]Addl - Overview!R22C8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2" s="29"/>
      </tp>
      <tp>
        <v>6.1920000000000002</v>
        <stp/>
        <stp>##V3_BDHV12</stp>
        <stp>RCOM IN Equity</stp>
        <stp>IS_DISC_OPS_DILUTED_SH</stp>
        <stp>FY 2017</stp>
        <stp>FY 2017</stp>
        <stp>[FA1_ymffleas.xlsx]Reconciliation!R45C10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5" s="12"/>
      </tp>
      <tp>
        <v>92.4863</v>
        <stp/>
        <stp>##V3_BDHV12</stp>
        <stp>RCOM IN Equity</stp>
        <stp>IS_DISC_OPS_DILUTED_SH</stp>
        <stp>FY 2018</stp>
        <stp>FY 2018</stp>
        <stp>[FA1_ymffleas.xlsx]Reconciliation!R45C11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5" s="12"/>
      </tp>
      <tp>
        <v>38.299999999999997</v>
        <stp/>
        <stp>##V3_BDHV12</stp>
        <stp>RCOM IN Equity</stp>
        <stp>PX_LAST</stp>
        <stp>FY 2017</stp>
        <stp>FY 2017</stp>
        <stp>[FA1_ymffleas.xlsx]Addl - Overview!R9C10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" s="29"/>
      </tp>
      <tp>
        <v>21.75</v>
        <stp/>
        <stp>##V3_BDHV12</stp>
        <stp>RCOM IN Equity</stp>
        <stp>PX_LAST</stp>
        <stp>FY 2018</stp>
        <stp>FY 2018</stp>
        <stp>[FA1_ymffleas.xlsx]Addl - Overview!R9C11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" s="29"/>
      </tp>
      <tp>
        <v>42120</v>
        <stp/>
        <stp>##V3_BDHV12</stp>
        <stp>RCOM IN Equity</stp>
        <stp>NET_CHNG_ST_DEBT</stp>
        <stp>FY 2013</stp>
        <stp>FY 2013</stp>
        <stp>[FA1_ymffleas.xlsx]Sources of Capital!R6C7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" s="32"/>
      </tp>
      <tp>
        <v>-111010</v>
        <stp/>
        <stp>##V3_BDHV12</stp>
        <stp>RCOM IN Equity</stp>
        <stp>NET_CHNG_ST_DEBT</stp>
        <stp>FY 2012</stp>
        <stp>FY 2012</stp>
        <stp>[FA1_ymffleas.xlsx]Sources of Capital!R6C6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" s="32"/>
      </tp>
      <tp>
        <v>92944</v>
        <stp/>
        <stp>##V3_BDHV12</stp>
        <stp>RCOM IN Equity</stp>
        <stp>NET_CHNG_ST_DEBT</stp>
        <stp>FY 2011</stp>
        <stp>FY 2011</stp>
        <stp>[FA1_ymffleas.xlsx]Sources of Capital!R6C5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" s="32"/>
      </tp>
      <tp>
        <v>-14080.2</v>
        <stp/>
        <stp>##V3_BDHV12</stp>
        <stp>RCOM IN Equity</stp>
        <stp>NET_CHNG_ST_DEBT</stp>
        <stp>FY 2010</stp>
        <stp>FY 2010</stp>
        <stp>[FA1_ymffleas.xlsx]Sources of Capital!R6C4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" s="32"/>
      </tp>
      <tp>
        <v>1579.7</v>
        <stp/>
        <stp>##V3_BDHV12</stp>
        <stp>RCOM IN Equity</stp>
        <stp>NET_CHNG_ST_DEBT</stp>
        <stp>FY 2009</stp>
        <stp>FY 2009</stp>
        <stp>[FA1_ymffleas.xlsx]Sources of Capital!R6C3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" s="32"/>
      </tp>
      <tp>
        <v>-46020</v>
        <stp/>
        <stp>##V3_BDHV12</stp>
        <stp>RCOM IN Equity</stp>
        <stp>NET_CHNG_ST_DEBT</stp>
        <stp>FY 2015</stp>
        <stp>FY 2015</stp>
        <stp>[FA1_ymffleas.xlsx]Sources of Capital!R6C9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" s="32"/>
      </tp>
      <tp>
        <v>12160</v>
        <stp/>
        <stp>##V3_BDHV12</stp>
        <stp>RCOM IN Equity</stp>
        <stp>NET_CHNG_ST_DEBT</stp>
        <stp>FY 2014</stp>
        <stp>FY 2014</stp>
        <stp>[FA1_ymffleas.xlsx]Sources of Capital!R6C8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" s="32"/>
      </tp>
      <tp>
        <v>5.2907000000000002</v>
        <stp/>
        <stp>##V3_BDHV12</stp>
        <stp>RCOM IN Equity</stp>
        <stp>OPER_MARGIN</stp>
        <stp>FY 2018</stp>
        <stp>FY 2018</stp>
        <stp>[FA1_ymffleas.xlsx]Profitability!R14C12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4" s="21"/>
      </tp>
      <tp>
        <v>19.305</v>
        <stp/>
        <stp>##V3_BDHV12</stp>
        <stp>RCOM IN Equity</stp>
        <stp>PE_RATIO</stp>
        <stp>FY 2016</stp>
        <stp>FY 2016</stp>
        <stp>[FA1_ymffleas.xlsx]Multiples!R6C9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" s="6"/>
      </tp>
      <tp>
        <v>19.426200000000001</v>
        <stp/>
        <stp>##V3_BDHV12</stp>
        <stp>RCOM IN Equity</stp>
        <stp>PE_RATIO</stp>
        <stp>FY 2015</stp>
        <stp>FY 2015</stp>
        <stp>[FA1_ymffleas.xlsx]Multiples!R6C8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" s="6"/>
      </tp>
      <tp>
        <v>-30</v>
        <stp/>
        <stp>##V3_BDHV12</stp>
        <stp>RCOM IN Equity</stp>
        <stp>INCOME_LOSS_FROM_AFFILIATES</stp>
        <stp>FY 2017</stp>
        <stp>FY 2017</stp>
        <stp>[FA1_ymffleas.xlsx]Income - GAAP!R49C10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49" s="10"/>
      </tp>
      <tp>
        <v>18.677800000000001</v>
        <stp/>
        <stp>##V3_BDHV12</stp>
        <stp>RCOM IN Equity</stp>
        <stp>PE_RATIO</stp>
        <stp>FY 2012</stp>
        <stp>FY 2012</stp>
        <stp>[FA1_ymffleas.xlsx]Multiples!R6C5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" s="6"/>
      </tp>
      <tp>
        <v>-50</v>
        <stp/>
        <stp>##V3_BDHV12</stp>
        <stp>RCOM IN Equity</stp>
        <stp>INCOME_LOSS_FROM_AFFILIATES</stp>
        <stp>FY 2018</stp>
        <stp>FY 2018</stp>
        <stp>[FA1_ymffleas.xlsx]Income - GAAP!R49C11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49" s="10"/>
      </tp>
      <tp>
        <v>16.5199</v>
        <stp/>
        <stp>##V3_BDHV12</stp>
        <stp>RCOM IN Equity</stp>
        <stp>PE_RATIO</stp>
        <stp>FY 2011</stp>
        <stp>FY 2011</stp>
        <stp>[FA1_ymffleas.xlsx]Multiples!R6C4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" s="6"/>
      </tp>
      <tp>
        <v>7.7381000000000002</v>
        <stp/>
        <stp>##V3_BDHV12</stp>
        <stp>RCOM IN Equity</stp>
        <stp>DVD_PAYOUT_RATIO</stp>
        <stp>FY 2013</stp>
        <stp>FY 2013</stp>
        <stp>[FA1_ymffleas.xlsx]Dividend Summary!R9C7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9" s="31"/>
      </tp>
      <tp>
        <v>25.424099999999999</v>
        <stp/>
        <stp>##V3_BDHV12</stp>
        <stp>RCOM IN Equity</stp>
        <stp>PE_RATIO</stp>
        <stp>FY 2014</stp>
        <stp>FY 2014</stp>
        <stp>[FA1_ymffleas.xlsx]Multiples!R6C7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" s="6"/>
      </tp>
      <tp>
        <v>16.963200000000001</v>
        <stp/>
        <stp>##V3_BDHV12</stp>
        <stp>RCOM IN Equity</stp>
        <stp>PE_RATIO</stp>
        <stp>FY 2013</stp>
        <stp>FY 2013</stp>
        <stp>[FA1_ymffleas.xlsx]Multiples!R6C6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" s="6"/>
      </tp>
      <tp>
        <v>7.5355999999999996</v>
        <stp/>
        <stp>##V3_BDHV12</stp>
        <stp>RCOM IN Equity</stp>
        <stp>PE_RATIO</stp>
        <stp>FY 2010</stp>
        <stp>FY 2010</stp>
        <stp>[FA1_ymffleas.xlsx]Multiples!R6C3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" s="6"/>
      </tp>
      <tp>
        <v>7.7031999999999998</v>
        <stp/>
        <stp>##V3_BDHV12</stp>
        <stp>RCOM IN Equity</stp>
        <stp>RETURN_ON_CAP</stp>
        <stp>FY 2010</stp>
        <stp>FY 2010</stp>
        <stp>[FA1_ymffleas.xlsx]Profitability!R9C4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9" s="21"/>
      </tp>
      <tp>
        <v>-74.429199999999994</v>
        <stp/>
        <stp>##V3_BDHV12</stp>
        <stp>RCOM IN Equity</stp>
        <stp>TOT_CAP_EXPEND_GROWTH</stp>
        <stp>FY 2017</stp>
        <stp>FY 2017</stp>
        <stp>[FA1_ymffleas.xlsx]Growth!R31C11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1" s="22"/>
      </tp>
      <tp>
        <v>514.18269999999995</v>
        <stp/>
        <stp>##V3_BDHV12</stp>
        <stp>RCOM IN Equity</stp>
        <stp>TOT_CAP_EXPEND_GROWTH</stp>
        <stp>FY 2016</stp>
        <stp>FY 2016</stp>
        <stp>[FA1_ymffleas.xlsx]Growth!R31C10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1" s="22"/>
      </tp>
      <tp>
        <v>-84.923500000000004</v>
        <stp/>
        <stp>##V3_BDHV12</stp>
        <stp>RCOM IN Equity</stp>
        <stp>TOT_CAP_EXPEND_GROWTH</stp>
        <stp>FY 2018</stp>
        <stp>FY 2018</stp>
        <stp>[FA1_ymffleas.xlsx]Growth!R31C12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31" s="22"/>
      </tp>
      <tp>
        <v>18.0304</v>
        <stp/>
        <stp>##V3_BDHV12</stp>
        <stp>RCOM IN Equity</stp>
        <stp>NET_DEBT_TO_EBIT</stp>
        <stp>FY 2011</stp>
        <stp>FY 2011</stp>
        <stp>[FA1_ymffleas.xlsx]Credit!R14C5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4" s="23"/>
      </tp>
      <tp t="s">
        <v>—</v>
        <stp/>
        <stp>##V3_BDHV12</stp>
        <stp>RCOM IN Equity</stp>
        <stp>INV_TO_CASH_DAYS</stp>
        <stp>FY 2014</stp>
        <stp>FY 2014</stp>
        <stp>[FA1_ymffleas.xlsx]Working Capital!R14C8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4" s="25"/>
      </tp>
      <tp>
        <v>184750</v>
        <stp/>
        <stp>##V3_BDHV12</stp>
        <stp>RCOM IN Equity</stp>
        <stp>ARD_INTANG_ASSETS_EXCL_GOODWILL</stp>
        <stp>FY 2017</stp>
        <stp>FY 2017</stp>
        <stp>[FA1_ymffleas.xlsx]Bal Sheet - As Reported!R35C11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5" s="17"/>
      </tp>
      <tp>
        <v>234730</v>
        <stp/>
        <stp>##V3_BDHV12</stp>
        <stp>RCOM IN Equity</stp>
        <stp>ARD_INTANG_ASSETS_EXCL_GOODWILL</stp>
        <stp>FY 2016</stp>
        <stp>FY 2016</stp>
        <stp>[FA1_ymffleas.xlsx]Bal Sheet - As Reported!R35C10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5" s="17"/>
      </tp>
      <tp>
        <v>7890</v>
        <stp/>
        <stp>##V3_BDHV12</stp>
        <stp>RCOM IN Equity</stp>
        <stp>ARD_INTANG_ASSETS_EXCL_GOODWILL</stp>
        <stp>FY 2018</stp>
        <stp>FY 2018</stp>
        <stp>[FA1_ymffleas.xlsx]Bal Sheet - As Reported!R35C12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5" s="17"/>
      </tp>
      <tp t="s">
        <v>—</v>
        <stp/>
        <stp>##V3_BDHV12</stp>
        <stp>RCOM IN Equity</stp>
        <stp>ARD_TOT_SHARE_EQY_EXCL_MINORITY</stp>
        <stp>FY 2017</stp>
        <stp>FY 2017</stp>
        <stp>[FA1_ymffleas.xlsx]Bal Sheet - As Reported!R12C11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" s="17"/>
      </tp>
      <tp t="s">
        <v>—</v>
        <stp/>
        <stp>##V3_BDHV12</stp>
        <stp>RCOM IN Equity</stp>
        <stp>ARD_TOT_SHARE_EQY_EXCL_MINORITY</stp>
        <stp>FY 2016</stp>
        <stp>FY 2016</stp>
        <stp>[FA1_ymffleas.xlsx]Bal Sheet - As Reported!R12C10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" s="17"/>
      </tp>
      <tp>
        <v>27830</v>
        <stp/>
        <stp>##V3_BDHV12</stp>
        <stp>RCOM IN Equity</stp>
        <stp>ARD_TOT_SHARE_EQY_EXCL_MINORITY</stp>
        <stp>FY 2018</stp>
        <stp>FY 2018</stp>
        <stp>[FA1_ymffleas.xlsx]Bal Sheet - As Reported!R12C12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" s="17"/>
      </tp>
      <tp>
        <v>2.5194000000000001</v>
        <stp/>
        <stp>##V3_BDHV12</stp>
        <stp>RCOM IN Equity</stp>
        <stp>EBITDA_SEQUENTIAL_GROWTH</stp>
        <stp>FY 2013</stp>
        <stp>FY 2013</stp>
        <stp>[FA1_ymffleas.xlsx]Growth!R61C7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61" s="22"/>
      </tp>
      <tp>
        <v>60150.343800000002</v>
        <stp/>
        <stp>##V3_BDHV12</stp>
        <stp>RCOM IN Equity</stp>
        <stp>HISTORICAL_MARKET_CAP</stp>
        <stp>FY 2018</stp>
        <stp>FY 2018</stp>
        <stp>[FA1_ymffleas.xlsx]Stock Value!R12C11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" s="8"/>
      </tp>
      <tp>
        <v>95327.924199999994</v>
        <stp/>
        <stp>##V3_BDHV12</stp>
        <stp>RCOM IN Equity</stp>
        <stp>HISTORICAL_MARKET_CAP</stp>
        <stp>FY 2017</stp>
        <stp>FY 2017</stp>
        <stp>[FA1_ymffleas.xlsx]Stock Value!R12C10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" s="8"/>
      </tp>
      <tp>
        <v>0</v>
        <stp/>
        <stp>##V3_BDHV12</stp>
        <stp>RCOM IN Equity</stp>
        <stp>NET_CHG_IN_LT_INVEST_DETAILED</stp>
        <stp>FY 2014</stp>
        <stp>FY 2014</stp>
        <stp>[FA1_ymffleas.xlsx]Cash Flow - Standardized!R26C7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6" s="19"/>
      </tp>
      <tp>
        <v>0</v>
        <stp/>
        <stp>##V3_BDHV12</stp>
        <stp>RCOM IN Equity</stp>
        <stp>NET_CHG_IN_LT_INVEST_DETAILED</stp>
        <stp>FY 2013</stp>
        <stp>FY 2013</stp>
        <stp>[FA1_ymffleas.xlsx]Cash Flow - Standardized!R26C6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6" s="19"/>
      </tp>
      <tp>
        <v>0</v>
        <stp/>
        <stp>##V3_BDHV12</stp>
        <stp>RCOM IN Equity</stp>
        <stp>NET_CHG_IN_LT_INVEST_DETAILED</stp>
        <stp>FY 2012</stp>
        <stp>FY 2012</stp>
        <stp>[FA1_ymffleas.xlsx]Cash Flow - Standardized!R26C5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6" s="19"/>
      </tp>
      <tp>
        <v>0</v>
        <stp/>
        <stp>##V3_BDHV12</stp>
        <stp>RCOM IN Equity</stp>
        <stp>NET_CHG_IN_LT_INVEST_DETAILED</stp>
        <stp>FY 2011</stp>
        <stp>FY 2011</stp>
        <stp>[FA1_ymffleas.xlsx]Cash Flow - Standardized!R26C4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6" s="19"/>
      </tp>
      <tp>
        <v>0</v>
        <stp/>
        <stp>##V3_BDHV12</stp>
        <stp>RCOM IN Equity</stp>
        <stp>NET_CHG_IN_LT_INVEST_DETAILED</stp>
        <stp>FY 2010</stp>
        <stp>FY 2010</stp>
        <stp>[FA1_ymffleas.xlsx]Cash Flow - Standardized!R26C3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6" s="19"/>
      </tp>
      <tp>
        <v>0</v>
        <stp/>
        <stp>##V3_BDHV12</stp>
        <stp>RCOM IN Equity</stp>
        <stp>NET_CHG_IN_LT_INVEST_DETAILED</stp>
        <stp>FY 2016</stp>
        <stp>FY 2016</stp>
        <stp>[FA1_ymffleas.xlsx]Cash Flow - Standardized!R26C9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6" s="19"/>
      </tp>
      <tp>
        <v>0</v>
        <stp/>
        <stp>##V3_BDHV12</stp>
        <stp>RCOM IN Equity</stp>
        <stp>NET_CHG_IN_LT_INVEST_DETAILED</stp>
        <stp>FY 2015</stp>
        <stp>FY 2015</stp>
        <stp>[FA1_ymffleas.xlsx]Cash Flow - Standardized!R26C8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6" s="19"/>
      </tp>
      <tp>
        <v>429352.4</v>
        <stp/>
        <stp>##V3_BDHV12</stp>
        <stp>RCOM IN Equity</stp>
        <stp>TOTAL_EQUITY</stp>
        <stp>FY 2009</stp>
        <stp>FY 2009</stp>
        <stp>[FA1_ymffleas.xlsx]Bal Sheet - Standardized!R151C3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1" s="16"/>
      </tp>
      <tp>
        <v>345750</v>
        <stp/>
        <stp>##V3_BDHV12</stp>
        <stp>RCOM IN Equity</stp>
        <stp>TOTAL_EQUITY</stp>
        <stp>FY 2013</stp>
        <stp>FY 2013</stp>
        <stp>[FA1_ymffleas.xlsx]Bal Sheet - Standardized!R151C7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1" s="16"/>
      </tp>
      <tp>
        <v>371560</v>
        <stp/>
        <stp>##V3_BDHV12</stp>
        <stp>RCOM IN Equity</stp>
        <stp>TOTAL_EQUITY</stp>
        <stp>FY 2012</stp>
        <stp>FY 2012</stp>
        <stp>[FA1_ymffleas.xlsx]Bal Sheet - Standardized!R151C6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1" s="16"/>
      </tp>
      <tp>
        <v>413230</v>
        <stp/>
        <stp>##V3_BDHV12</stp>
        <stp>RCOM IN Equity</stp>
        <stp>TOTAL_EQUITY</stp>
        <stp>FY 2011</stp>
        <stp>FY 2011</stp>
        <stp>[FA1_ymffleas.xlsx]Bal Sheet - Standardized!R151C5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1" s="16"/>
      </tp>
      <tp>
        <v>440190.3</v>
        <stp/>
        <stp>##V3_BDHV12</stp>
        <stp>RCOM IN Equity</stp>
        <stp>TOTAL_EQUITY</stp>
        <stp>FY 2010</stp>
        <stp>FY 2010</stp>
        <stp>[FA1_ymffleas.xlsx]Bal Sheet - Standardized!R151C4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1" s="16"/>
      </tp>
      <tp>
        <v>384480</v>
        <stp/>
        <stp>##V3_BDHV12</stp>
        <stp>RCOM IN Equity</stp>
        <stp>TOTAL_EQUITY</stp>
        <stp>FY 2015</stp>
        <stp>FY 2015</stp>
        <stp>[FA1_ymffleas.xlsx]Bal Sheet - Standardized!R151C9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1" s="16"/>
      </tp>
      <tp>
        <v>335390</v>
        <stp/>
        <stp>##V3_BDHV12</stp>
        <stp>RCOM IN Equity</stp>
        <stp>TOTAL_EQUITY</stp>
        <stp>FY 2014</stp>
        <stp>FY 2014</stp>
        <stp>[FA1_ymffleas.xlsx]Bal Sheet - Standardized!R151C8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1" s="16"/>
      </tp>
      <tp t="s">
        <v>—</v>
        <stp/>
        <stp>##V3_BDHV12</stp>
        <stp>RCOM IN Equity</stp>
        <stp>ARD_TOTAL_OPERATING_EXPENSES</stp>
        <stp>FY 2015</stp>
        <stp>FY 2015</stp>
        <stp>[FA1_ymffleas.xlsx]Income - As Reported!R12C9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" s="11"/>
      </tp>
      <tp t="s">
        <v>—</v>
        <stp/>
        <stp>##V3_BDHV12</stp>
        <stp>RCOM IN Equity</stp>
        <stp>ARD_TOTAL_OPERATING_EXPENSES</stp>
        <stp>FY 2014</stp>
        <stp>FY 2014</stp>
        <stp>[FA1_ymffleas.xlsx]Income - As Reported!R12C8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" s="11"/>
      </tp>
      <tp t="s">
        <v>—</v>
        <stp/>
        <stp>##V3_BDHV12</stp>
        <stp>RCOM IN Equity</stp>
        <stp>ARD_TOTAL_OPERATING_EXPENSES</stp>
        <stp>FY 2011</stp>
        <stp>FY 2011</stp>
        <stp>[FA1_ymffleas.xlsx]Income - As Reported!R12C5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" s="11"/>
      </tp>
      <tp t="s">
        <v>—</v>
        <stp/>
        <stp>##V3_BDHV12</stp>
        <stp>RCOM IN Equity</stp>
        <stp>ARD_TOTAL_OPERATING_EXPENSES</stp>
        <stp>FY 2010</stp>
        <stp>FY 2010</stp>
        <stp>[FA1_ymffleas.xlsx]Income - As Reported!R12C4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" s="11"/>
      </tp>
      <tp t="s">
        <v>—</v>
        <stp/>
        <stp>##V3_BDHV12</stp>
        <stp>RCOM IN Equity</stp>
        <stp>ARD_TOTAL_OPERATING_EXPENSES</stp>
        <stp>FY 2013</stp>
        <stp>FY 2013</stp>
        <stp>[FA1_ymffleas.xlsx]Income - As Reported!R12C7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" s="11"/>
      </tp>
      <tp t="s">
        <v>—</v>
        <stp/>
        <stp>##V3_BDHV12</stp>
        <stp>RCOM IN Equity</stp>
        <stp>ARD_TOTAL_OPERATING_EXPENSES</stp>
        <stp>FY 2012</stp>
        <stp>FY 2012</stp>
        <stp>[FA1_ymffleas.xlsx]Income - As Reported!R12C6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" s="11"/>
      </tp>
      <tp t="s">
        <v>—</v>
        <stp/>
        <stp>##V3_BDHV12</stp>
        <stp>RCOM IN Equity</stp>
        <stp>ARD_TOTAL_OPERATING_EXPENSES</stp>
        <stp>FY 2009</stp>
        <stp>FY 2009</stp>
        <stp>[FA1_ymffleas.xlsx]Income - As Reported!R12C3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" s="11"/>
      </tp>
      <tp t="s">
        <v>—</v>
        <stp/>
        <stp>##V3_BDHV12</stp>
        <stp>RCOM IN Equity</stp>
        <stp>IS_SALE_INVESTMENTS_DILUTED_SH</stp>
        <stp>FY 2017</stp>
        <stp>FY 2017</stp>
        <stp>[FA1_ymffleas.xlsx]Reconciliation!R50C10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50" s="12"/>
      </tp>
      <tp>
        <v>100060</v>
        <stp/>
        <stp>##V3_BDHV12</stp>
        <stp>RCOM IN Equity</stp>
        <stp>ARD_OTHER_NONCURRENT_ASSET</stp>
        <stp>FY 2016</stp>
        <stp>FY 2016</stp>
        <stp>[FA1_ymffleas.xlsx]Bal Sheet - As Reported!R50C10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0" s="17"/>
      </tp>
      <tp>
        <v>90430</v>
        <stp/>
        <stp>##V3_BDHV12</stp>
        <stp>RCOM IN Equity</stp>
        <stp>ARD_OTHER_NONCURRENT_ASSET</stp>
        <stp>FY 2017</stp>
        <stp>FY 2017</stp>
        <stp>[FA1_ymffleas.xlsx]Bal Sheet - As Reported!R50C11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0" s="17"/>
      </tp>
      <tp>
        <v>42360</v>
        <stp/>
        <stp>##V3_BDHV12</stp>
        <stp>RCOM IN Equity</stp>
        <stp>ARD_OTHER_NONCURRENT_ASSET</stp>
        <stp>FY 2018</stp>
        <stp>FY 2018</stp>
        <stp>[FA1_ymffleas.xlsx]Bal Sheet - As Reported!R50C12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0" s="17"/>
      </tp>
      <tp t="s">
        <v>—</v>
        <stp/>
        <stp>##V3_BDHV12</stp>
        <stp>RCOM IN Equity</stp>
        <stp>IS_SALE_INVESTMENTS_DILUTED_SH</stp>
        <stp>FY 2018</stp>
        <stp>FY 2018</stp>
        <stp>[FA1_ymffleas.xlsx]Reconciliation!R50C11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50" s="12"/>
      </tp>
      <tp>
        <v>2582.8681000000001</v>
        <stp/>
        <stp>##V3_BDHV12</stp>
        <stp>RCOM IN Equity</stp>
        <stp>IS_AVG_NUM_SH_FOR_EPS</stp>
        <stp>FY 2018</stp>
        <stp>FY 2018</stp>
        <stp>[FA1_ymffleas.xlsx]Per Share!R8C11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" s="7"/>
      </tp>
      <tp>
        <v>2467.7006999999999</v>
        <stp/>
        <stp>##V3_BDHV12</stp>
        <stp>RCOM IN Equity</stp>
        <stp>IS_AVG_NUM_SH_FOR_EPS</stp>
        <stp>FY 2017</stp>
        <stp>FY 2017</stp>
        <stp>[FA1_ymffleas.xlsx]Per Share!R8C10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" s="7"/>
      </tp>
      <tp>
        <v>-519.029</v>
        <stp/>
        <stp>##V3_BDHV12</stp>
        <stp>RCOM IN Equity</stp>
        <stp>NET_INCOME_TO_COMMON_MARGIN</stp>
        <stp>FY 2018</stp>
        <stp>FY 2018</stp>
        <stp>[FA1_ymffleas.xlsx]Profitability!R19C12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9" s="21"/>
      </tp>
      <tp>
        <v>5.6033999999999997</v>
        <stp/>
        <stp>##V3_BDHV12</stp>
        <stp>RCOM IN Equity</stp>
        <stp>DVD_PAYOUT_RATIO</stp>
        <stp>FY 2012</stp>
        <stp>FY 2012</stp>
        <stp>[FA1_ymffleas.xlsx]Dividend Summary!R9C6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9" s="31"/>
      </tp>
      <tp>
        <v>3.1011000000000002</v>
        <stp/>
        <stp>##V3_BDHV12</stp>
        <stp>RCOM IN Equity</stp>
        <stp>RETURN_ON_CAP</stp>
        <stp>FY 2011</stp>
        <stp>FY 2011</stp>
        <stp>[FA1_ymffleas.xlsx]Profitability!R9C5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9" s="21"/>
      </tp>
      <tp t="s">
        <v>—</v>
        <stp/>
        <stp>##V3_BDHV12</stp>
        <stp>RCOM IN Equity</stp>
        <stp>IS_DISPOSAL_ASSETS_AFTER_TAX</stp>
        <stp>FY 2017</stp>
        <stp>FY 2017</stp>
        <stp>[FA1_ymffleas.xlsx]Reconciliation!R38C10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8" s="12"/>
      </tp>
      <tp t="s">
        <v>—</v>
        <stp/>
        <stp>##V3_BDHV12</stp>
        <stp>RCOM IN Equity</stp>
        <stp>IS_DISPOSAL_ASSETS_AFTER_TAX</stp>
        <stp>FY 2018</stp>
        <stp>FY 2018</stp>
        <stp>[FA1_ymffleas.xlsx]Reconciliation!R38C11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8" s="12"/>
      </tp>
      <tp t="s">
        <v>—</v>
        <stp/>
        <stp>##V3_BDHV12</stp>
        <stp>RCOM IN Equity</stp>
        <stp>ARDR_INT_INCOME</stp>
        <stp>FY 2018</stp>
        <stp>FY 2018</stp>
        <stp>[FA1_ymffleas.xlsx]Income - As Reported!R73C12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3" s="11"/>
      </tp>
      <tp t="s">
        <v>—</v>
        <stp/>
        <stp>##V3_BDHV12</stp>
        <stp>RCOM IN Equity</stp>
        <stp>ARDR_INT_INCOME</stp>
        <stp>FY 2017</stp>
        <stp>FY 2017</stp>
        <stp>[FA1_ymffleas.xlsx]Income - As Reported!R73C11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3" s="11"/>
      </tp>
      <tp>
        <v>-1060</v>
        <stp/>
        <stp>##V3_BDHV12</stp>
        <stp>RCOM IN Equity</stp>
        <stp>ARDR_INT_INCOME</stp>
        <stp>FY 2016</stp>
        <stp>FY 2016</stp>
        <stp>[FA1_ymffleas.xlsx]Income - As Reported!R73C10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3" s="11"/>
      </tp>
      <tp>
        <v>65540</v>
        <stp/>
        <stp>##V3_BDHV12</stp>
        <stp>RCOM IN Equity</stp>
        <stp>SALES_REV_TURN</stp>
        <stp>FY 2017</stp>
        <stp>FY 2017</stp>
        <stp>[FA1_ymffleas.xlsx]Income - Adjusted!R6C10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6" s="9"/>
      </tp>
      <tp>
        <v>450</v>
        <stp/>
        <stp>##V3_BDHV12</stp>
        <stp>RCOM IN Equity</stp>
        <stp>ARDR_PENSION_POSTRETIRE_BEN_EXP</stp>
        <stp>FY 2016</stp>
        <stp>FY 2016</stp>
        <stp>[FA1_ymffleas.xlsx]Income - As Reported!R95C10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5" s="11"/>
      </tp>
      <tp>
        <v>280</v>
        <stp/>
        <stp>##V3_BDHV12</stp>
        <stp>RCOM IN Equity</stp>
        <stp>ARDR_PENSION_POSTRETIRE_BEN_EXP</stp>
        <stp>FY 2017</stp>
        <stp>FY 2017</stp>
        <stp>[FA1_ymffleas.xlsx]Income - As Reported!R95C11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5" s="11"/>
      </tp>
      <tp>
        <v>130</v>
        <stp/>
        <stp>##V3_BDHV12</stp>
        <stp>RCOM IN Equity</stp>
        <stp>ARDR_PENSION_POSTRETIRE_BEN_EXP</stp>
        <stp>FY 2018</stp>
        <stp>FY 2018</stp>
        <stp>[FA1_ymffleas.xlsx]Income - As Reported!R95C12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5" s="11"/>
      </tp>
      <tp>
        <v>45930</v>
        <stp/>
        <stp>##V3_BDHV12</stp>
        <stp>RCOM IN Equity</stp>
        <stp>SALES_REV_TURN</stp>
        <stp>FY 2018</stp>
        <stp>FY 2018</stp>
        <stp>[FA1_ymffleas.xlsx]Income - Adjusted!R6C11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6" s="9"/>
      </tp>
      <tp>
        <v>410</v>
        <stp/>
        <stp>##V3_BDHV12</stp>
        <stp>RCOM IN Equity</stp>
        <stp>ARDR_PROJ_POST_RETIRE_BEN_OBLIG</stp>
        <stp>FY 2018</stp>
        <stp>FY 2018</stp>
        <stp>[FA1_ymffleas.xlsx]Income - As Reported!R88C12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8" s="11"/>
      </tp>
      <tp>
        <v>570</v>
        <stp/>
        <stp>##V3_BDHV12</stp>
        <stp>RCOM IN Equity</stp>
        <stp>ARDR_PROJ_POST_RETIRE_BEN_OBLIG</stp>
        <stp>FY 2017</stp>
        <stp>FY 2017</stp>
        <stp>[FA1_ymffleas.xlsx]Income - As Reported!R88C11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8" s="11"/>
      </tp>
      <tp>
        <v>480</v>
        <stp/>
        <stp>##V3_BDHV12</stp>
        <stp>RCOM IN Equity</stp>
        <stp>ARDR_PROJ_POST_RETIRE_BEN_OBLIG</stp>
        <stp>FY 2016</stp>
        <stp>FY 2016</stp>
        <stp>[FA1_ymffleas.xlsx]Income - As Reported!R88C10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8" s="11"/>
      </tp>
      <tp>
        <v>-9680</v>
        <stp/>
        <stp>##V3_BDHV12</stp>
        <stp>RCOM IN Equity</stp>
        <stp>NET_CHNG_LT_DEBT</stp>
        <stp>FY 2013</stp>
        <stp>FY 2013</stp>
        <stp>[FA1_ymffleas.xlsx]Sources of Capital!R7C7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" s="32"/>
      </tp>
      <tp>
        <v>103330</v>
        <stp/>
        <stp>##V3_BDHV12</stp>
        <stp>RCOM IN Equity</stp>
        <stp>NET_CHNG_LT_DEBT</stp>
        <stp>FY 2012</stp>
        <stp>FY 2012</stp>
        <stp>[FA1_ymffleas.xlsx]Sources of Capital!R7C6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" s="32"/>
      </tp>
      <tp>
        <v>611.79999999999995</v>
        <stp/>
        <stp>##V3_BDHV12</stp>
        <stp>RCOM IN Equity</stp>
        <stp>NET_CHNG_LT_DEBT</stp>
        <stp>FY 2011</stp>
        <stp>FY 2011</stp>
        <stp>[FA1_ymffleas.xlsx]Sources of Capital!R7C5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" s="32"/>
      </tp>
      <tp>
        <v>-80388.100000000006</v>
        <stp/>
        <stp>##V3_BDHV12</stp>
        <stp>RCOM IN Equity</stp>
        <stp>NET_CHNG_LT_DEBT</stp>
        <stp>FY 2010</stp>
        <stp>FY 2010</stp>
        <stp>[FA1_ymffleas.xlsx]Sources of Capital!R7C4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" s="32"/>
      </tp>
      <tp>
        <v>131825.79999999999</v>
        <stp/>
        <stp>##V3_BDHV12</stp>
        <stp>RCOM IN Equity</stp>
        <stp>NET_CHNG_LT_DEBT</stp>
        <stp>FY 2009</stp>
        <stp>FY 2009</stp>
        <stp>[FA1_ymffleas.xlsx]Sources of Capital!R7C3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" s="32"/>
      </tp>
      <tp>
        <v>22980</v>
        <stp/>
        <stp>##V3_BDHV12</stp>
        <stp>RCOM IN Equity</stp>
        <stp>NET_CHNG_LT_DEBT</stp>
        <stp>FY 2015</stp>
        <stp>FY 2015</stp>
        <stp>[FA1_ymffleas.xlsx]Sources of Capital!R7C9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" s="32"/>
      </tp>
      <tp>
        <v>-4950</v>
        <stp/>
        <stp>##V3_BDHV12</stp>
        <stp>RCOM IN Equity</stp>
        <stp>NET_CHNG_LT_DEBT</stp>
        <stp>FY 2014</stp>
        <stp>FY 2014</stp>
        <stp>[FA1_ymffleas.xlsx]Sources of Capital!R7C8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" s="32"/>
      </tp>
      <tp>
        <v>8113.3</v>
        <stp/>
        <stp>##V3_BDHV12</stp>
        <stp>RCOM IN Equity</stp>
        <stp>IS_OTHER_OPER_INC</stp>
        <stp>FY 2010</stp>
        <stp>FY 2010</stp>
        <stp>[FA1_ymffleas.xlsx]Income - Adjusted!R17C3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7" s="9"/>
      </tp>
      <tp>
        <v>124448.98729999999</v>
        <stp/>
        <stp>##V3_BDHV12</stp>
        <stp>RCOM IN Equity</stp>
        <stp>HISTORICAL_MARKET_CAP</stp>
        <stp>FY 2016</stp>
        <stp>FY 2016</stp>
        <stp>[FA1_ymffleas.xlsx]Adj Highlights!R6C9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" s="2"/>
      </tp>
      <tp>
        <v>147472.04990000001</v>
        <stp/>
        <stp>##V3_BDHV12</stp>
        <stp>RCOM IN Equity</stp>
        <stp>HISTORICAL_MARKET_CAP</stp>
        <stp>FY 2015</stp>
        <stp>FY 2015</stp>
        <stp>[FA1_ymffleas.xlsx]Adj Highlights!R6C8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" s="2"/>
      </tp>
      <tp>
        <v>266053.065</v>
        <stp/>
        <stp>##V3_BDHV12</stp>
        <stp>RCOM IN Equity</stp>
        <stp>HISTORICAL_MARKET_CAP</stp>
        <stp>FY 2014</stp>
        <stp>FY 2014</stp>
        <stp>[FA1_ymffleas.xlsx]Adj Highlights!R6C7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" s="2"/>
      </tp>
      <tp>
        <v>114140.6865</v>
        <stp/>
        <stp>##V3_BDHV12</stp>
        <stp>RCOM IN Equity</stp>
        <stp>HISTORICAL_MARKET_CAP</stp>
        <stp>FY 2013</stp>
        <stp>FY 2013</stp>
        <stp>[FA1_ymffleas.xlsx]Adj Highlights!R6C6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" s="2"/>
      </tp>
      <tp>
        <v>173481.45929999999</v>
        <stp/>
        <stp>##V3_BDHV12</stp>
        <stp>RCOM IN Equity</stp>
        <stp>HISTORICAL_MARKET_CAP</stp>
        <stp>FY 2012</stp>
        <stp>FY 2012</stp>
        <stp>[FA1_ymffleas.xlsx]Adj Highlights!R6C5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" s="2"/>
      </tp>
      <tp>
        <v>222192.49369999999</v>
        <stp/>
        <stp>##V3_BDHV12</stp>
        <stp>RCOM IN Equity</stp>
        <stp>HISTORICAL_MARKET_CAP</stp>
        <stp>FY 2011</stp>
        <stp>FY 2011</stp>
        <stp>[FA1_ymffleas.xlsx]Adj Highlights!R6C4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" s="2"/>
      </tp>
      <tp>
        <v>350781.36839999998</v>
        <stp/>
        <stp>##V3_BDHV12</stp>
        <stp>RCOM IN Equity</stp>
        <stp>HISTORICAL_MARKET_CAP</stp>
        <stp>FY 2010</stp>
        <stp>FY 2010</stp>
        <stp>[FA1_ymffleas.xlsx]Adj Highlights!R6C3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" s="2"/>
      </tp>
      <tp>
        <v>2980</v>
        <stp/>
        <stp>##V3_BDHV12</stp>
        <stp>RCOM IN Equity</stp>
        <stp>IS_OTHER_OPER_INC</stp>
        <stp>FY 2014</stp>
        <stp>FY 2014</stp>
        <stp>[FA1_ymffleas.xlsx]Income - Adjusted!R17C7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7" s="9"/>
      </tp>
      <tp>
        <v>12670</v>
        <stp/>
        <stp>##V3_BDHV12</stp>
        <stp>RCOM IN Equity</stp>
        <stp>IS_OTHER_OPER_INC</stp>
        <stp>FY 2013</stp>
        <stp>FY 2013</stp>
        <stp>[FA1_ymffleas.xlsx]Income - Adjusted!R17C6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7" s="9"/>
      </tp>
      <tp>
        <v>9610</v>
        <stp/>
        <stp>##V3_BDHV12</stp>
        <stp>RCOM IN Equity</stp>
        <stp>IS_OTHER_OPER_INC</stp>
        <stp>FY 2012</stp>
        <stp>FY 2012</stp>
        <stp>[FA1_ymffleas.xlsx]Income - Adjusted!R17C5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7" s="9"/>
      </tp>
      <tp>
        <v>4790</v>
        <stp/>
        <stp>##V3_BDHV12</stp>
        <stp>RCOM IN Equity</stp>
        <stp>BS_INTEREST_&amp;_DIVIDENDS_PAYABLE</stp>
        <stp>FY 2018</stp>
        <stp>FY 2018</stp>
        <stp>[FA1_ymffleas.xlsx]Bal Sheet - Standardized!R81C12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1" s="16"/>
      </tp>
      <tp>
        <v>13000</v>
        <stp/>
        <stp>##V3_BDHV12</stp>
        <stp>RCOM IN Equity</stp>
        <stp>BS_INTEREST_&amp;_DIVIDENDS_PAYABLE</stp>
        <stp>FY 2017</stp>
        <stp>FY 2017</stp>
        <stp>[FA1_ymffleas.xlsx]Bal Sheet - Standardized!R81C11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1" s="16"/>
      </tp>
      <tp>
        <v>3420</v>
        <stp/>
        <stp>##V3_BDHV12</stp>
        <stp>RCOM IN Equity</stp>
        <stp>IS_OTHER_OPER_INC</stp>
        <stp>FY 2011</stp>
        <stp>FY 2011</stp>
        <stp>[FA1_ymffleas.xlsx]Income - Adjusted!R17C4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7" s="9"/>
      </tp>
      <tp>
        <v>2690</v>
        <stp/>
        <stp>##V3_BDHV12</stp>
        <stp>RCOM IN Equity</stp>
        <stp>BS_INTEREST_&amp;_DIVIDENDS_PAYABLE</stp>
        <stp>FY 2016</stp>
        <stp>FY 2016</stp>
        <stp>[FA1_ymffleas.xlsx]Bal Sheet - Standardized!R81C10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1" s="16"/>
      </tp>
      <tp>
        <v>45830</v>
        <stp/>
        <stp>##V3_BDHV12</stp>
        <stp>RCOM IN Equity</stp>
        <stp>OTHER_INVESTING_ACT_DETAILED</stp>
        <stp>FY 2017</stp>
        <stp>FY 2017</stp>
        <stp>[FA1_ymffleas.xlsx]Cash Flow - Standardized!R33C10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3" s="19"/>
      </tp>
      <tp>
        <v>2310</v>
        <stp/>
        <stp>##V3_BDHV12</stp>
        <stp>RCOM IN Equity</stp>
        <stp>OTHER_INVESTING_ACT_DETAILED</stp>
        <stp>FY 2018</stp>
        <stp>FY 2018</stp>
        <stp>[FA1_ymffleas.xlsx]Cash Flow - Standardized!R33C11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3" s="19"/>
      </tp>
      <tp>
        <v>2110</v>
        <stp/>
        <stp>##V3_BDHV12</stp>
        <stp>RCOM IN Equity</stp>
        <stp>IS_OTHER_OPER_INC</stp>
        <stp>FY 2016</stp>
        <stp>FY 2016</stp>
        <stp>[FA1_ymffleas.xlsx]Income - Adjusted!R17C9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7" s="9"/>
      </tp>
      <tp>
        <v>3470</v>
        <stp/>
        <stp>##V3_BDHV12</stp>
        <stp>RCOM IN Equity</stp>
        <stp>IS_OTHER_OPER_INC</stp>
        <stp>FY 2015</stp>
        <stp>FY 2015</stp>
        <stp>[FA1_ymffleas.xlsx]Income - Adjusted!R17C8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7" s="9"/>
      </tp>
      <tp>
        <v>72600</v>
        <stp/>
        <stp>##V3_BDHV12</stp>
        <stp>RCOM IN Equity</stp>
        <stp>TRAIL_12M_EBITDA</stp>
        <stp>FY 2016</stp>
        <stp>FY 2016</stp>
        <stp>[FA1_ymffleas.xlsx]Enterprise Value!R30C9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0" s="5"/>
      </tp>
      <tp>
        <v>60</v>
        <stp/>
        <stp>##V3_BDHV12</stp>
        <stp>RCOM IN Equity</stp>
        <stp>ARDR_SERVICE_COST_OPRB</stp>
        <stp>FY 2018</stp>
        <stp>FY 2018</stp>
        <stp>[FA1_ymffleas.xlsx]Income - As Reported!R128C12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8" s="11"/>
      </tp>
      <tp>
        <v>60</v>
        <stp/>
        <stp>##V3_BDHV12</stp>
        <stp>RCOM IN Equity</stp>
        <stp>ARDR_SERVICE_COST_OPRB</stp>
        <stp>FY 2016</stp>
        <stp>FY 2016</stp>
        <stp>[FA1_ymffleas.xlsx]Income - As Reported!R128C10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8" s="11"/>
      </tp>
      <tp>
        <v>60</v>
        <stp/>
        <stp>##V3_BDHV12</stp>
        <stp>RCOM IN Equity</stp>
        <stp>ARDR_SERVICE_COST_OPRB</stp>
        <stp>FY 2017</stp>
        <stp>FY 2017</stp>
        <stp>[FA1_ymffleas.xlsx]Income - As Reported!R128C11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8" s="11"/>
      </tp>
      <tp>
        <v>72060</v>
        <stp/>
        <stp>##V3_BDHV12</stp>
        <stp>RCOM IN Equity</stp>
        <stp>TRAIL_12M_EBITDA</stp>
        <stp>FY 2015</stp>
        <stp>FY 2015</stp>
        <stp>[FA1_ymffleas.xlsx]Enterprise Value!R30C8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0" s="5"/>
      </tp>
      <tp>
        <v>714630</v>
        <stp/>
        <stp>##V3_BDHV12</stp>
        <stp>RCOM IN Equity</stp>
        <stp>BS_TOT_LIAB2</stp>
        <stp>FY 2018</stp>
        <stp>FY 2018</stp>
        <stp>[FA1_ymffleas.xlsx]GAAP Highlights!R18C12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" s="3"/>
      </tp>
      <tp>
        <v>707620</v>
        <stp/>
        <stp>##V3_BDHV12</stp>
        <stp>RCOM IN Equity</stp>
        <stp>BS_TOT_LIAB2</stp>
        <stp>FY 2017</stp>
        <stp>FY 2017</stp>
        <stp>[FA1_ymffleas.xlsx]GAAP Highlights!R18C11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" s="3"/>
      </tp>
      <tp>
        <v>715890</v>
        <stp/>
        <stp>##V3_BDHV12</stp>
        <stp>RCOM IN Equity</stp>
        <stp>BS_TOT_LIAB2</stp>
        <stp>FY 2016</stp>
        <stp>FY 2016</stp>
        <stp>[FA1_ymffleas.xlsx]GAAP Highlights!R18C10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" s="3"/>
      </tp>
      <tp>
        <v>57950</v>
        <stp/>
        <stp>##V3_BDHV12</stp>
        <stp>RCOM IN Equity</stp>
        <stp>TRAIL_12M_EBITDA</stp>
        <stp>FY 2012</stp>
        <stp>FY 2012</stp>
        <stp>[FA1_ymffleas.xlsx]Enterprise Value!R30C5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0" s="5"/>
      </tp>
      <tp>
        <v>7410</v>
        <stp/>
        <stp>##V3_BDHV12</stp>
        <stp>RCOM IN Equity</stp>
        <stp>EBITDA_AFTER_CAPEX</stp>
        <stp>FY 2017</stp>
        <stp>FY 2017</stp>
        <stp>[FA1_ymffleas.xlsx]Credit!R40C11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40" s="23"/>
      </tp>
      <tp>
        <v>83760</v>
        <stp/>
        <stp>##V3_BDHV12</stp>
        <stp>RCOM IN Equity</stp>
        <stp>TRAIL_12M_EBITDA</stp>
        <stp>FY 2011</stp>
        <stp>FY 2011</stp>
        <stp>[FA1_ymffleas.xlsx]Enterprise Value!R30C4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0" s="5"/>
      </tp>
      <tp>
        <v>-80700</v>
        <stp/>
        <stp>##V3_BDHV12</stp>
        <stp>RCOM IN Equity</stp>
        <stp>EBITDA_AFTER_CAPEX</stp>
        <stp>FY 2016</stp>
        <stp>FY 2016</stp>
        <stp>[FA1_ymffleas.xlsx]Credit!R40C10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40" s="23"/>
      </tp>
      <tp>
        <v>67060</v>
        <stp/>
        <stp>##V3_BDHV12</stp>
        <stp>RCOM IN Equity</stp>
        <stp>TRAIL_12M_EBITDA</stp>
        <stp>FY 2014</stp>
        <stp>FY 2014</stp>
        <stp>[FA1_ymffleas.xlsx]Enterprise Value!R30C7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0" s="5"/>
      </tp>
      <tp>
        <v>59410</v>
        <stp/>
        <stp>##V3_BDHV12</stp>
        <stp>RCOM IN Equity</stp>
        <stp>TRAIL_12M_EBITDA</stp>
        <stp>FY 2013</stp>
        <stp>FY 2013</stp>
        <stp>[FA1_ymffleas.xlsx]Enterprise Value!R30C6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0" s="5"/>
      </tp>
      <tp>
        <v>25190</v>
        <stp/>
        <stp>##V3_BDHV12</stp>
        <stp>RCOM IN Equity</stp>
        <stp>EBITDA_AFTER_CAPEX</stp>
        <stp>FY 2018</stp>
        <stp>FY 2018</stp>
        <stp>[FA1_ymffleas.xlsx]Credit!R40C12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40" s="23"/>
      </tp>
      <tp>
        <v>69890.399999999994</v>
        <stp/>
        <stp>##V3_BDHV12</stp>
        <stp>RCOM IN Equity</stp>
        <stp>TRAIL_12M_EBITDA</stp>
        <stp>FY 2010</stp>
        <stp>FY 2010</stp>
        <stp>[FA1_ymffleas.xlsx]Enterprise Value!R30C3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0" s="5"/>
      </tp>
      <tp>
        <v>0.75109999999999999</v>
        <stp/>
        <stp>##V3_BDHV12</stp>
        <stp>RCOM IN Equity</stp>
        <stp>CUR_RATIO</stp>
        <stp>FY 2009</stp>
        <stp>FY 2009</stp>
        <stp>[FA1_ymffleas.xlsx]Liquidity!R7C3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" s="24"/>
      </tp>
      <tp>
        <v>0.50919999999999999</v>
        <stp/>
        <stp>##V3_BDHV12</stp>
        <stp>RCOM IN Equity</stp>
        <stp>CUR_RATIO</stp>
        <stp>FY 2011</stp>
        <stp>FY 2011</stp>
        <stp>[FA1_ymffleas.xlsx]Liquidity!R7C5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" s="24"/>
      </tp>
      <tp>
        <v>32000</v>
        <stp/>
        <stp>##V3_BDHV12</stp>
        <stp>RCOM IN Equity</stp>
        <stp>ARDR_SHORT_TERM_LOAN_SECURED</stp>
        <stp>FY 2012</stp>
        <stp>FY 2012</stp>
        <stp>[FA1_ymffleas.xlsx]Bal Sheet - As Reported!R193C6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3" s="17"/>
      </tp>
      <tp>
        <v>67930</v>
        <stp/>
        <stp>##V3_BDHV12</stp>
        <stp>RCOM IN Equity</stp>
        <stp>ARDR_SHORT_TERM_LOAN_SECURED</stp>
        <stp>FY 2013</stp>
        <stp>FY 2013</stp>
        <stp>[FA1_ymffleas.xlsx]Bal Sheet - As Reported!R193C7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3" s="17"/>
      </tp>
      <tp t="s">
        <v>—</v>
        <stp/>
        <stp>##V3_BDHV12</stp>
        <stp>RCOM IN Equity</stp>
        <stp>ARDR_SHORT_TERM_LOAN_SECURED</stp>
        <stp>FY 2010</stp>
        <stp>FY 2010</stp>
        <stp>[FA1_ymffleas.xlsx]Bal Sheet - As Reported!R193C4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3" s="17"/>
      </tp>
      <tp t="s">
        <v>—</v>
        <stp/>
        <stp>##V3_BDHV12</stp>
        <stp>RCOM IN Equity</stp>
        <stp>ARDR_SHORT_TERM_LOAN_SECURED</stp>
        <stp>FY 2011</stp>
        <stp>FY 2011</stp>
        <stp>[FA1_ymffleas.xlsx]Bal Sheet - As Reported!R193C5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3" s="17"/>
      </tp>
      <tp t="s">
        <v>—</v>
        <stp/>
        <stp>##V3_BDHV12</stp>
        <stp>RCOM IN Equity</stp>
        <stp>ARDR_SHORT_TERM_LOAN_SECURED</stp>
        <stp>FY 2009</stp>
        <stp>FY 2009</stp>
        <stp>[FA1_ymffleas.xlsx]Bal Sheet - As Reported!R193C3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3" s="17"/>
      </tp>
      <tp>
        <v>64800</v>
        <stp/>
        <stp>##V3_BDHV12</stp>
        <stp>RCOM IN Equity</stp>
        <stp>ARDR_SHORT_TERM_LOAN_SECURED</stp>
        <stp>FY 2014</stp>
        <stp>FY 2014</stp>
        <stp>[FA1_ymffleas.xlsx]Bal Sheet - As Reported!R193C8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3" s="17"/>
      </tp>
      <tp>
        <v>0</v>
        <stp/>
        <stp>##V3_BDHV12</stp>
        <stp>RCOM IN Equity</stp>
        <stp>ARDR_SHORT_TERM_LOAN_SECURED</stp>
        <stp>FY 2015</stp>
        <stp>FY 2015</stp>
        <stp>[FA1_ymffleas.xlsx]Bal Sheet - As Reported!R193C9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3" s="17"/>
      </tp>
      <tp>
        <v>0.55469999999999997</v>
        <stp/>
        <stp>##V3_BDHV12</stp>
        <stp>RCOM IN Equity</stp>
        <stp>CUR_RATIO</stp>
        <stp>FY 2010</stp>
        <stp>FY 2010</stp>
        <stp>[FA1_ymffleas.xlsx]Liquidity!R7C4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" s="24"/>
      </tp>
      <tp>
        <v>0.52310000000000001</v>
        <stp/>
        <stp>##V3_BDHV12</stp>
        <stp>RCOM IN Equity</stp>
        <stp>CUR_RATIO</stp>
        <stp>FY 2013</stp>
        <stp>FY 2013</stp>
        <stp>[FA1_ymffleas.xlsx]Liquidity!R7C7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" s="24"/>
      </tp>
      <tp>
        <v>0.55989999999999995</v>
        <stp/>
        <stp>##V3_BDHV12</stp>
        <stp>RCOM IN Equity</stp>
        <stp>CUR_RATIO</stp>
        <stp>FY 2012</stp>
        <stp>FY 2012</stp>
        <stp>[FA1_ymffleas.xlsx]Liquidity!R7C6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" s="24"/>
      </tp>
      <tp>
        <v>0.89810000000000001</v>
        <stp/>
        <stp>##V3_BDHV12</stp>
        <stp>RCOM IN Equity</stp>
        <stp>CUR_RATIO</stp>
        <stp>FY 2015</stp>
        <stp>FY 2015</stp>
        <stp>[FA1_ymffleas.xlsx]Liquidity!R7C9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" s="24"/>
      </tp>
      <tp>
        <v>0.52380000000000004</v>
        <stp/>
        <stp>##V3_BDHV12</stp>
        <stp>RCOM IN Equity</stp>
        <stp>CUR_RATIO</stp>
        <stp>FY 2014</stp>
        <stp>FY 2014</stp>
        <stp>[FA1_ymffleas.xlsx]Liquidity!R7C8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" s="24"/>
      </tp>
      <tp>
        <v>114.64749999999999</v>
        <stp/>
        <stp>##V3_BDHV12</stp>
        <stp>RCOM IN Equity</stp>
        <stp>PE_RATIO</stp>
        <stp>FY 2018</stp>
        <stp>FY 2018</stp>
        <stp>[FA1_ymffleas.xlsx]Addl - Overview!R18C11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8" s="29"/>
      </tp>
      <tp>
        <v>-100</v>
        <stp/>
        <stp>##V3_BDHV12</stp>
        <stp>RCOM IN Equity</stp>
        <stp>GEO_GROW_DVD_PER_SH</stp>
        <stp>FY 2018</stp>
        <stp>FY 2018</stp>
        <stp>[FA1_ymffleas.xlsx]Growth!R43C12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3" s="22"/>
      </tp>
      <tp>
        <v>7.6658999999999997</v>
        <stp/>
        <stp>##V3_BDHV12</stp>
        <stp>RCOM IN Equity</stp>
        <stp>NET_DEBT_TO_EBIT</stp>
        <stp>FY 2010</stp>
        <stp>FY 2010</stp>
        <stp>[FA1_ymffleas.xlsx]Credit!R14C4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4" s="23"/>
      </tp>
      <tp>
        <v>75.610399999999998</v>
        <stp/>
        <stp>##V3_BDHV12</stp>
        <stp>RCOM IN Equity</stp>
        <stp>PE_RATIO</stp>
        <stp>FY 2017</stp>
        <stp>FY 2017</stp>
        <stp>[FA1_ymffleas.xlsx]Addl - Overview!R18C10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8" s="29"/>
      </tp>
      <tp t="s">
        <v>—</v>
        <stp/>
        <stp>##V3_BDHV12</stp>
        <stp>RCOM IN Equity</stp>
        <stp>INV_TO_CASH_DAYS</stp>
        <stp>FY 2015</stp>
        <stp>FY 2015</stp>
        <stp>[FA1_ymffleas.xlsx]Working Capital!R14C9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4" s="25"/>
      </tp>
      <tp>
        <v>-100</v>
        <stp/>
        <stp>##V3_BDHV12</stp>
        <stp>RCOM IN Equity</stp>
        <stp>GEO_GROW_DVD_PER_SH</stp>
        <stp>FY 2017</stp>
        <stp>FY 2017</stp>
        <stp>[FA1_ymffleas.xlsx]Growth!R43C11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3" s="22"/>
      </tp>
      <tp>
        <v>-100</v>
        <stp/>
        <stp>##V3_BDHV12</stp>
        <stp>RCOM IN Equity</stp>
        <stp>GEO_GROW_DVD_PER_SH</stp>
        <stp>FY 2016</stp>
        <stp>FY 2016</stp>
        <stp>[FA1_ymffleas.xlsx]Growth!R43C10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3" s="22"/>
      </tp>
      <tp>
        <v>-30.8142</v>
        <stp/>
        <stp>##V3_BDHV12</stp>
        <stp>RCOM IN Equity</stp>
        <stp>EBITDA_SEQUENTIAL_GROWTH</stp>
        <stp>FY 2012</stp>
        <stp>FY 2012</stp>
        <stp>[FA1_ymffleas.xlsx]Growth!R61C6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61" s="22"/>
      </tp>
      <tp>
        <v>2.1612999999999998</v>
        <stp/>
        <stp>##V3_BDHV12</stp>
        <stp>RCOM IN Equity</stp>
        <stp>PX_TO_BOOK_RATIO</stp>
        <stp>FY 2018</stp>
        <stp>FY 2018</stp>
        <stp>[FA1_ymffleas.xlsx]Addl - Overview!R29C11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9" s="29"/>
      </tp>
      <tp>
        <v>0.3337</v>
        <stp/>
        <stp>##V3_BDHV12</stp>
        <stp>RCOM IN Equity</stp>
        <stp>PX_TO_BOOK_RATIO</stp>
        <stp>FY 2017</stp>
        <stp>FY 2017</stp>
        <stp>[FA1_ymffleas.xlsx]Addl - Overview!R29C10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9" s="29"/>
      </tp>
      <tp t="s">
        <v>—</v>
        <stp/>
        <stp>##V3_BDHV12</stp>
        <stp>RCOM IN Equity</stp>
        <stp>ARD_ST_LOANS</stp>
        <stp>FY 2017</stp>
        <stp>FY 2017</stp>
        <stp>[FA1_ymffleas.xlsx]Bal Sheet - As Reported!R46C11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6" s="17"/>
      </tp>
      <tp t="s">
        <v>—</v>
        <stp/>
        <stp>##V3_BDHV12</stp>
        <stp>RCOM IN Equity</stp>
        <stp>ARD_ST_LOANS</stp>
        <stp>FY 2016</stp>
        <stp>FY 2016</stp>
        <stp>[FA1_ymffleas.xlsx]Bal Sheet - As Reported!R46C10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6" s="17"/>
      </tp>
      <tp t="s">
        <v>—</v>
        <stp/>
        <stp>##V3_BDHV12</stp>
        <stp>RCOM IN Equity</stp>
        <stp>ARD_ST_LOANS</stp>
        <stp>FY 2018</stp>
        <stp>FY 2018</stp>
        <stp>[FA1_ymffleas.xlsx]Bal Sheet - As Reported!R46C12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6" s="17"/>
      </tp>
      <tp>
        <v>745780</v>
        <stp/>
        <stp>##V3_BDHV12</stp>
        <stp>RCOM IN Equity</stp>
        <stp>ARD_TOT_ASSETS</stp>
        <stp>FY 2018</stp>
        <stp>FY 2018</stp>
        <stp>[FA1_ymffleas.xlsx]As Reported Summary!R17C12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" s="30"/>
      </tp>
      <tp>
        <v>997310</v>
        <stp/>
        <stp>##V3_BDHV12</stp>
        <stp>RCOM IN Equity</stp>
        <stp>ARD_TOT_ASSETS</stp>
        <stp>FY 2017</stp>
        <stp>FY 2017</stp>
        <stp>[FA1_ymffleas.xlsx]As Reported Summary!R17C11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" s="30"/>
      </tp>
      <tp>
        <v>1034540</v>
        <stp/>
        <stp>##V3_BDHV12</stp>
        <stp>RCOM IN Equity</stp>
        <stp>ARD_TOT_ASSETS</stp>
        <stp>FY 2016</stp>
        <stp>FY 2016</stp>
        <stp>[FA1_ymffleas.xlsx]As Reported Summary!R17C10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" s="30"/>
      </tp>
      <tp>
        <v>0</v>
        <stp/>
        <stp>##V3_BDHV12</stp>
        <stp>RCOM IN Equity</stp>
        <stp>IS_EXTRAORD_ITEMS_&amp;_ACCTG_CHNG</stp>
        <stp>FY 2017</stp>
        <stp>FY 2017</stp>
        <stp>[FA1_ymffleas.xlsx]Income - GAAP!R71C10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1" s="10"/>
      </tp>
      <tp>
        <v>0</v>
        <stp/>
        <stp>##V3_BDHV12</stp>
        <stp>RCOM IN Equity</stp>
        <stp>IS_EXTRAORD_ITEMS_&amp;_ACCTG_CHNG</stp>
        <stp>FY 2018</stp>
        <stp>FY 2018</stp>
        <stp>[FA1_ymffleas.xlsx]Income - GAAP!R71C11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1" s="10"/>
      </tp>
      <tp>
        <v>2550</v>
        <stp/>
        <stp>##V3_BDHV12</stp>
        <stp>RCOM IN Equity</stp>
        <stp>ARDR_TOTAL_FINANCIAL_LOSSES</stp>
        <stp>FY 2017</stp>
        <stp>FY 2017</stp>
        <stp>[FA1_ymffleas.xlsx]Income - As Reported!R106C11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6" s="11"/>
      </tp>
      <tp>
        <v>29240</v>
        <stp/>
        <stp>##V3_BDHV12</stp>
        <stp>RCOM IN Equity</stp>
        <stp>ARDR_TOTAL_FINANCIAL_LOSSES</stp>
        <stp>FY 2016</stp>
        <stp>FY 2016</stp>
        <stp>[FA1_ymffleas.xlsx]Income - As Reported!R106C10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6" s="11"/>
      </tp>
      <tp>
        <v>1860</v>
        <stp/>
        <stp>##V3_BDHV12</stp>
        <stp>RCOM IN Equity</stp>
        <stp>ARDR_TOTAL_FINANCIAL_LOSSES</stp>
        <stp>FY 2018</stp>
        <stp>FY 2018</stp>
        <stp>[FA1_ymffleas.xlsx]Income - As Reported!R106C12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6" s="11"/>
      </tp>
      <tp>
        <v>-42.267299999999999</v>
        <stp/>
        <stp>##V3_BDHV12</stp>
        <stp>RCOM IN Equity</stp>
        <stp>OPERATING_INCOME_SEQ_GROWTH</stp>
        <stp>FY 2011</stp>
        <stp>FY 2011</stp>
        <stp>[FA1_ymffleas.xlsx]Growth!R62C5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62" s="22"/>
      </tp>
      <tp>
        <v>0</v>
        <stp/>
        <stp>##V3_BDHV12</stp>
        <stp>RCOM IN Equity</stp>
        <stp>ARDR_CASH_ON_HAND</stp>
        <stp>FY 2013</stp>
        <stp>FY 2013</stp>
        <stp>[FA1_ymffleas.xlsx]Bal Sheet - As Reported!R164C7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4" s="17"/>
      </tp>
      <tp>
        <v>0</v>
        <stp/>
        <stp>##V3_BDHV12</stp>
        <stp>RCOM IN Equity</stp>
        <stp>ARDR_CASH_ON_HAND</stp>
        <stp>FY 2012</stp>
        <stp>FY 2012</stp>
        <stp>[FA1_ymffleas.xlsx]Bal Sheet - As Reported!R164C6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4" s="17"/>
      </tp>
      <tp>
        <v>0</v>
        <stp/>
        <stp>##V3_BDHV12</stp>
        <stp>RCOM IN Equity</stp>
        <stp>ARDR_CASH_ON_HAND</stp>
        <stp>FY 2011</stp>
        <stp>FY 2011</stp>
        <stp>[FA1_ymffleas.xlsx]Bal Sheet - As Reported!R164C5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4" s="17"/>
      </tp>
      <tp>
        <v>0.3</v>
        <stp/>
        <stp>##V3_BDHV12</stp>
        <stp>RCOM IN Equity</stp>
        <stp>ARDR_CASH_ON_HAND</stp>
        <stp>FY 2010</stp>
        <stp>FY 2010</stp>
        <stp>[FA1_ymffleas.xlsx]Bal Sheet - As Reported!R164C4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4" s="17"/>
      </tp>
      <tp>
        <v>3.2</v>
        <stp/>
        <stp>##V3_BDHV12</stp>
        <stp>RCOM IN Equity</stp>
        <stp>ARDR_CASH_ON_HAND</stp>
        <stp>FY 2009</stp>
        <stp>FY 2009</stp>
        <stp>[FA1_ymffleas.xlsx]Bal Sheet - As Reported!R164C3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4" s="17"/>
      </tp>
      <tp>
        <v>0</v>
        <stp/>
        <stp>##V3_BDHV12</stp>
        <stp>RCOM IN Equity</stp>
        <stp>ARDR_CASH_ON_HAND</stp>
        <stp>FY 2015</stp>
        <stp>FY 2015</stp>
        <stp>[FA1_ymffleas.xlsx]Bal Sheet - As Reported!R164C9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4" s="17"/>
      </tp>
      <tp>
        <v>0</v>
        <stp/>
        <stp>##V3_BDHV12</stp>
        <stp>RCOM IN Equity</stp>
        <stp>ARDR_CASH_ON_HAND</stp>
        <stp>FY 2014</stp>
        <stp>FY 2014</stp>
        <stp>[FA1_ymffleas.xlsx]Bal Sheet - As Reported!R164C8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4" s="17"/>
      </tp>
      <tp t="s">
        <v>—</v>
        <stp/>
        <stp>##V3_BDHV12</stp>
        <stp>RCOM IN Equity</stp>
        <stp>ARDR_CUSTOMER_DEPOSIT_ADVANCE_LT</stp>
        <stp>FY 2009</stp>
        <stp>FY 2009</stp>
        <stp>[FA1_ymffleas.xlsx]Bal Sheet - As Reported!R124C3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4" s="17"/>
      </tp>
      <tp t="s">
        <v>—</v>
        <stp/>
        <stp>##V3_BDHV12</stp>
        <stp>RCOM IN Equity</stp>
        <stp>ARDR_CUSTOMER_DEPOSIT_ADVANCE_LT</stp>
        <stp>FY 2010</stp>
        <stp>FY 2010</stp>
        <stp>[FA1_ymffleas.xlsx]Bal Sheet - As Reported!R124C4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4" s="17"/>
      </tp>
      <tp>
        <v>50</v>
        <stp/>
        <stp>##V3_BDHV12</stp>
        <stp>RCOM IN Equity</stp>
        <stp>ARDR_CUSTOMER_DEPOSIT_ADVANCE_LT</stp>
        <stp>FY 2011</stp>
        <stp>FY 2011</stp>
        <stp>[FA1_ymffleas.xlsx]Bal Sheet - As Reported!R124C5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4" s="17"/>
      </tp>
      <tp>
        <v>980</v>
        <stp/>
        <stp>##V3_BDHV12</stp>
        <stp>RCOM IN Equity</stp>
        <stp>ARDR_CUSTOMER_DEPOSIT_ADVANCE_LT</stp>
        <stp>FY 2012</stp>
        <stp>FY 2012</stp>
        <stp>[FA1_ymffleas.xlsx]Bal Sheet - As Reported!R124C6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4" s="17"/>
      </tp>
      <tp>
        <v>0</v>
        <stp/>
        <stp>##V3_BDHV12</stp>
        <stp>RCOM IN Equity</stp>
        <stp>ARDR_CUSTOMER_DEPOSIT_ADVANCE_LT</stp>
        <stp>FY 2013</stp>
        <stp>FY 2013</stp>
        <stp>[FA1_ymffleas.xlsx]Bal Sheet - As Reported!R124C7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4" s="17"/>
      </tp>
      <tp t="s">
        <v>—</v>
        <stp/>
        <stp>##V3_BDHV12</stp>
        <stp>RCOM IN Equity</stp>
        <stp>ARDR_CUSTOMER_DEPOSIT_ADVANCE_LT</stp>
        <stp>FY 2014</stp>
        <stp>FY 2014</stp>
        <stp>[FA1_ymffleas.xlsx]Bal Sheet - As Reported!R124C8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4" s="17"/>
      </tp>
      <tp t="s">
        <v>—</v>
        <stp/>
        <stp>##V3_BDHV12</stp>
        <stp>RCOM IN Equity</stp>
        <stp>ARDR_CUSTOMER_DEPOSIT_ADVANCE_LT</stp>
        <stp>FY 2015</stp>
        <stp>FY 2015</stp>
        <stp>[FA1_ymffleas.xlsx]Bal Sheet - As Reported!R124C9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4" s="17"/>
      </tp>
      <tp>
        <v>14.882400000000001</v>
        <stp/>
        <stp>##V3_BDHV12</stp>
        <stp>RCOM IN Equity</stp>
        <stp>AVERAGE_EV_TO_T12M_EBIT</stp>
        <stp>FY 2010</stp>
        <stp>FY 2010</stp>
        <stp>[FA1_ymffleas.xlsx]Multiples!R47C3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47" s="6"/>
      </tp>
      <tp t="s">
        <v>—</v>
        <stp/>
        <stp>##V3_BDHV12</stp>
        <stp>RCOM IN Equity</stp>
        <stp>ACTUAL_SALES_PER_EMPL</stp>
        <stp>FY 2018</stp>
        <stp>FY 2018</stp>
        <stp>[FA1_ymffleas.xlsx]Income - Adjusted!R127C11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K127" s="9"/>
      </tp>
      <tp>
        <v>72060</v>
        <stp/>
        <stp>##V3_BDHV12</stp>
        <stp>RCOM IN Equity</stp>
        <stp>EBITDA</stp>
        <stp>FY 2015</stp>
        <stp>FY 2015</stp>
        <stp>[FA1_ymffleas.xlsx]Addl - Overview!R14C8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14" s="29"/>
      </tp>
      <tp>
        <v>72600</v>
        <stp/>
        <stp>##V3_BDHV12</stp>
        <stp>RCOM IN Equity</stp>
        <stp>EBITDA</stp>
        <stp>FY 2016</stp>
        <stp>FY 2016</stp>
        <stp>[FA1_ymffleas.xlsx]Addl - Overview!R14C9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14" s="29"/>
      </tp>
      <tp>
        <v>2064.0268999999998</v>
        <stp/>
        <stp>##V3_BDHV12</stp>
        <stp>RCOM IN Equity</stp>
        <stp>BS_SH_OUT</stp>
        <stp>FY 2009</stp>
        <stp>FY 2009</stp>
        <stp>[FA1_ymffleas.xlsx]GAAP Highlights!R20C3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0" s="3"/>
      </tp>
      <tp>
        <v>2064.0268999999998</v>
        <stp/>
        <stp>##V3_BDHV12</stp>
        <stp>RCOM IN Equity</stp>
        <stp>BS_SH_OUT</stp>
        <stp>FY 2011</stp>
        <stp>FY 2011</stp>
        <stp>[FA1_ymffleas.xlsx]GAAP Highlights!R20C5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0" s="3"/>
      </tp>
      <tp>
        <v>2064.0268999999998</v>
        <stp/>
        <stp>##V3_BDHV12</stp>
        <stp>RCOM IN Equity</stp>
        <stp>BS_SH_OUT</stp>
        <stp>FY 2010</stp>
        <stp>FY 2010</stp>
        <stp>[FA1_ymffleas.xlsx]GAAP Highlights!R20C4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0" s="3"/>
      </tp>
      <tp t="s">
        <v>—</v>
        <stp/>
        <stp>##V3_BDHV12</stp>
        <stp>RCOM IN Equity</stp>
        <stp>INVENT_TURN</stp>
        <stp>FY 2018</stp>
        <stp>FY 2018</stp>
        <stp>[FA1_ymffleas.xlsx]Working Capital!R8C12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8" s="25"/>
      </tp>
      <tp>
        <v>2064.0268999999998</v>
        <stp/>
        <stp>##V3_BDHV12</stp>
        <stp>RCOM IN Equity</stp>
        <stp>BS_SH_OUT</stp>
        <stp>FY 2013</stp>
        <stp>FY 2013</stp>
        <stp>[FA1_ymffleas.xlsx]GAAP Highlights!R20C7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0" s="3"/>
      </tp>
      <tp>
        <v>2064.0268999999998</v>
        <stp/>
        <stp>##V3_BDHV12</stp>
        <stp>RCOM IN Equity</stp>
        <stp>BS_SH_OUT</stp>
        <stp>FY 2012</stp>
        <stp>FY 2012</stp>
        <stp>[FA1_ymffleas.xlsx]GAAP Highlights!R20C6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0" s="3"/>
      </tp>
      <tp>
        <v>2488.9796999999999</v>
        <stp/>
        <stp>##V3_BDHV12</stp>
        <stp>RCOM IN Equity</stp>
        <stp>BS_SH_OUT</stp>
        <stp>FY 2015</stp>
        <stp>FY 2015</stp>
        <stp>[FA1_ymffleas.xlsx]GAAP Highlights!R20C9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0" s="3"/>
      </tp>
      <tp>
        <v>2064.0268999999998</v>
        <stp/>
        <stp>##V3_BDHV12</stp>
        <stp>RCOM IN Equity</stp>
        <stp>BS_SH_OUT</stp>
        <stp>FY 2014</stp>
        <stp>FY 2014</stp>
        <stp>[FA1_ymffleas.xlsx]GAAP Highlights!R20C8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0" s="3"/>
      </tp>
      <tp>
        <v>1.4552</v>
        <stp/>
        <stp>##V3_BDHV12</stp>
        <stp>RCOM IN Equity</stp>
        <stp>HIGH_PX_TO_SALES_RATIO</stp>
        <stp>FY 2017</stp>
        <stp>FY 2017</stp>
        <stp>[FA1_ymffleas.xlsx]Multiples!R23C10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3" s="6"/>
      </tp>
      <tp>
        <v>56.103200000000001</v>
        <stp/>
        <stp>##V3_BDHV12</stp>
        <stp>RCOM IN Equity</stp>
        <stp>OPER_INC_GROWTH</stp>
        <stp>FY 2015</stp>
        <stp>FY 2015</stp>
        <stp>[FA1_ymffleas.xlsx]Growth!R9C9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9" s="22"/>
      </tp>
      <tp>
        <v>69890.399999999994</v>
        <stp/>
        <stp>##V3_BDHV12</stp>
        <stp>RCOM IN Equity</stp>
        <stp>EBITDA</stp>
        <stp>FY 2010</stp>
        <stp>FY 2010</stp>
        <stp>[FA1_ymffleas.xlsx]Addl - Overview!R14C3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14" s="29"/>
      </tp>
      <tp>
        <v>83760</v>
        <stp/>
        <stp>##V3_BDHV12</stp>
        <stp>RCOM IN Equity</stp>
        <stp>EBITDA</stp>
        <stp>FY 2011</stp>
        <stp>FY 2011</stp>
        <stp>[FA1_ymffleas.xlsx]Addl - Overview!R14C4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14" s="29"/>
      </tp>
      <tp>
        <v>57950</v>
        <stp/>
        <stp>##V3_BDHV12</stp>
        <stp>RCOM IN Equity</stp>
        <stp>EBITDA</stp>
        <stp>FY 2012</stp>
        <stp>FY 2012</stp>
        <stp>[FA1_ymffleas.xlsx]Addl - Overview!R14C5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14" s="29"/>
      </tp>
      <tp>
        <v>59410</v>
        <stp/>
        <stp>##V3_BDHV12</stp>
        <stp>RCOM IN Equity</stp>
        <stp>EBITDA</stp>
        <stp>FY 2013</stp>
        <stp>FY 2013</stp>
        <stp>[FA1_ymffleas.xlsx]Addl - Overview!R14C6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14" s="29"/>
      </tp>
      <tp>
        <v>67060</v>
        <stp/>
        <stp>##V3_BDHV12</stp>
        <stp>RCOM IN Equity</stp>
        <stp>EBITDA</stp>
        <stp>FY 2014</stp>
        <stp>FY 2014</stp>
        <stp>[FA1_ymffleas.xlsx]Addl - Overview!R14C7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14" s="29"/>
      </tp>
      <tp>
        <v>6.1855000000000002</v>
        <stp/>
        <stp>##V3_BDHV12</stp>
        <stp>RCOM IN Equity</stp>
        <stp>PROF_MARGIN</stp>
        <stp>FY 2012</stp>
        <stp>FY 2012</stp>
        <stp>[FA1_ymffleas.xlsx]Income - Adjusted!R126C5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E126" s="9"/>
      </tp>
      <tp>
        <v>0.73619999999999997</v>
        <stp/>
        <stp>##V3_BDHV12</stp>
        <stp>RCOM IN Equity</stp>
        <stp>AVERAGE_PRICE_TO_SALES_RATIO</stp>
        <stp>FY 2013</stp>
        <stp>FY 2013</stp>
        <stp>[FA1_ymffleas.xlsx]Multiples!R22C6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2" s="6"/>
      </tp>
      <tp>
        <v>4.9583000000000004</v>
        <stp/>
        <stp>##V3_BDHV12</stp>
        <stp>RCOM IN Equity</stp>
        <stp>PROF_MARGIN</stp>
        <stp>FY 2012</stp>
        <stp>FY 2012</stp>
        <stp>[FA1_ymffleas.xlsx]Income - GAAP!R104C5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04" s="10"/>
      </tp>
      <tp>
        <v>3.05</v>
        <stp/>
        <stp>##V3_BDHV12</stp>
        <stp>RCOM IN Equity</stp>
        <stp>IS_DILUTED_EPS</stp>
        <stp>FY 2015</stp>
        <stp>FY 2015</stp>
        <stp>[FA1_ymffleas.xlsx]GAAP Highlights!R10C9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0" s="3"/>
      </tp>
      <tp>
        <v>29.330300000000001</v>
        <stp/>
        <stp>##V3_BDHV12</stp>
        <stp>RCOM IN Equity</stp>
        <stp>ADJ_EPS_EX_SBC_AMORT_TOT_INT_BAS</stp>
        <stp>FY 2009</stp>
        <stp>FY 2009</stp>
        <stp>[FA1_ymffleas.xlsx]SBC &amp; Amort!R11C3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1" s="13"/>
      </tp>
      <tp>
        <v>12.042999999999999</v>
        <stp/>
        <stp>##V3_BDHV12</stp>
        <stp>RCOM IN Equity</stp>
        <stp>ADJ_EPS_EX_SBC_AMORT_TOT_INT_BAS</stp>
        <stp>FY 2012</stp>
        <stp>FY 2012</stp>
        <stp>[FA1_ymffleas.xlsx]SBC &amp; Amort!R11C6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1" s="13"/>
      </tp>
      <tp>
        <v>310</v>
        <stp/>
        <stp>##V3_BDHV12</stp>
        <stp>RCOM IN Equity</stp>
        <stp>ARDR_FAIR_VAL_POST_RETIRE_ASSETS</stp>
        <stp>FY 2012</stp>
        <stp>FY 2012</stp>
        <stp>[FA1_ymffleas.xlsx]Income - As Reported!R87C6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7" s="11"/>
      </tp>
      <tp>
        <v>290</v>
        <stp/>
        <stp>##V3_BDHV12</stp>
        <stp>RCOM IN Equity</stp>
        <stp>ARDR_FAIR_VAL_POST_RETIRE_ASSETS</stp>
        <stp>FY 2013</stp>
        <stp>FY 2013</stp>
        <stp>[FA1_ymffleas.xlsx]Income - As Reported!R87C7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7" s="11"/>
      </tp>
      <tp>
        <v>362.9</v>
        <stp/>
        <stp>##V3_BDHV12</stp>
        <stp>RCOM IN Equity</stp>
        <stp>ARDR_FAIR_VAL_POST_RETIRE_ASSETS</stp>
        <stp>FY 2010</stp>
        <stp>FY 2010</stp>
        <stp>[FA1_ymffleas.xlsx]Income - As Reported!R87C4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7" s="11"/>
      </tp>
      <tp>
        <v>320</v>
        <stp/>
        <stp>##V3_BDHV12</stp>
        <stp>RCOM IN Equity</stp>
        <stp>ARDR_FAIR_VAL_POST_RETIRE_ASSETS</stp>
        <stp>FY 2011</stp>
        <stp>FY 2011</stp>
        <stp>[FA1_ymffleas.xlsx]Income - As Reported!R87C5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7" s="11"/>
      </tp>
      <tp>
        <v>254.7</v>
        <stp/>
        <stp>##V3_BDHV12</stp>
        <stp>RCOM IN Equity</stp>
        <stp>ARDR_FAIR_VAL_POST_RETIRE_ASSETS</stp>
        <stp>FY 2009</stp>
        <stp>FY 2009</stp>
        <stp>[FA1_ymffleas.xlsx]Income - As Reported!R87C3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7" s="11"/>
      </tp>
      <tp>
        <v>160</v>
        <stp/>
        <stp>##V3_BDHV12</stp>
        <stp>RCOM IN Equity</stp>
        <stp>ARDR_FAIR_VAL_POST_RETIRE_ASSETS</stp>
        <stp>FY 2014</stp>
        <stp>FY 2014</stp>
        <stp>[FA1_ymffleas.xlsx]Income - As Reported!R87C8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7" s="11"/>
      </tp>
      <tp>
        <v>100</v>
        <stp/>
        <stp>##V3_BDHV12</stp>
        <stp>RCOM IN Equity</stp>
        <stp>ARDR_FAIR_VAL_POST_RETIRE_ASSETS</stp>
        <stp>FY 2015</stp>
        <stp>FY 2015</stp>
        <stp>[FA1_ymffleas.xlsx]Income - As Reported!R87C9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7" s="11"/>
      </tp>
      <tp>
        <v>9.4344999999999999</v>
        <stp/>
        <stp>##V3_BDHV12</stp>
        <stp>RCOM IN Equity</stp>
        <stp>ADJ_EPS_EX_SBC_AMORT_TOT_INT_BAS</stp>
        <stp>FY 2013</stp>
        <stp>FY 2013</stp>
        <stp>[FA1_ymffleas.xlsx]SBC &amp; Amort!R11C7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1" s="13"/>
      </tp>
      <tp>
        <v>24.687000000000001</v>
        <stp/>
        <stp>##V3_BDHV12</stp>
        <stp>RCOM IN Equity</stp>
        <stp>ADJ_EPS_EX_SBC_AMORT_TOT_INT_BAS</stp>
        <stp>FY 2010</stp>
        <stp>FY 2010</stp>
        <stp>[FA1_ymffleas.xlsx]SBC &amp; Amort!R11C4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1" s="13"/>
      </tp>
      <tp>
        <v>14.2578</v>
        <stp/>
        <stp>##V3_BDHV12</stp>
        <stp>RCOM IN Equity</stp>
        <stp>ADJ_EPS_EX_SBC_AMORT_TOT_INT_BAS</stp>
        <stp>FY 2011</stp>
        <stp>FY 2011</stp>
        <stp>[FA1_ymffleas.xlsx]SBC &amp; Amort!R11C5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1" s="13"/>
      </tp>
      <tp>
        <v>0</v>
        <stp/>
        <stp>##V3_BDHV12</stp>
        <stp>RCOM IN Equity</stp>
        <stp>DVD_PAYOUT_RATIO</stp>
        <stp>FY 2018</stp>
        <stp>FY 2018</stp>
        <stp>[FA1_ymffleas.xlsx]Profitability!R23C12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23" s="21"/>
      </tp>
      <tp t="s">
        <v>—</v>
        <stp/>
        <stp>##V3_BDHV12</stp>
        <stp>RCOM IN Equity</stp>
        <stp>ADJ_EPS_EX_SBC_AMORT_TOT_INT_BAS</stp>
        <stp>FY 2014</stp>
        <stp>FY 2014</stp>
        <stp>[FA1_ymffleas.xlsx]SBC &amp; Amort!R11C8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1" s="13"/>
      </tp>
      <tp>
        <v>5040</v>
        <stp/>
        <stp>##V3_BDHV12</stp>
        <stp>RCOM IN Equity</stp>
        <stp>BS_CASH_NEAR_CASH_ITEM</stp>
        <stp>FY 2014</stp>
        <stp>FY 2014</stp>
        <stp>[FA1_ymffleas.xlsx]Bal Sheet - Standardized!R9C8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" s="16"/>
      </tp>
      <tp>
        <v>14080</v>
        <stp/>
        <stp>##V3_BDHV12</stp>
        <stp>RCOM IN Equity</stp>
        <stp>BS_CASH_NEAR_CASH_ITEM</stp>
        <stp>FY 2015</stp>
        <stp>FY 2015</stp>
        <stp>[FA1_ymffleas.xlsx]Bal Sheet - Standardized!R9C9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" s="16"/>
      </tp>
      <tp>
        <v>5500</v>
        <stp/>
        <stp>##V3_BDHV12</stp>
        <stp>RCOM IN Equity</stp>
        <stp>BS_CASH_NEAR_CASH_ITEM</stp>
        <stp>FY 2012</stp>
        <stp>FY 2012</stp>
        <stp>[FA1_ymffleas.xlsx]Bal Sheet - Standardized!R9C6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" s="16"/>
      </tp>
      <tp>
        <v>7310</v>
        <stp/>
        <stp>##V3_BDHV12</stp>
        <stp>RCOM IN Equity</stp>
        <stp>BS_CASH_NEAR_CASH_ITEM</stp>
        <stp>FY 2013</stp>
        <stp>FY 2013</stp>
        <stp>[FA1_ymffleas.xlsx]Bal Sheet - Standardized!R9C7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" s="16"/>
      </tp>
      <tp>
        <v>8185.4</v>
        <stp/>
        <stp>##V3_BDHV12</stp>
        <stp>RCOM IN Equity</stp>
        <stp>BS_CASH_NEAR_CASH_ITEM</stp>
        <stp>FY 2010</stp>
        <stp>FY 2010</stp>
        <stp>[FA1_ymffleas.xlsx]Bal Sheet - Standardized!R9C4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" s="16"/>
      </tp>
      <tp>
        <v>48660</v>
        <stp/>
        <stp>##V3_BDHV12</stp>
        <stp>RCOM IN Equity</stp>
        <stp>BS_CASH_NEAR_CASH_ITEM</stp>
        <stp>FY 2011</stp>
        <stp>FY 2011</stp>
        <stp>[FA1_ymffleas.xlsx]Bal Sheet - Standardized!R9C5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" s="16"/>
      </tp>
      <tp>
        <v>16829</v>
        <stp/>
        <stp>##V3_BDHV12</stp>
        <stp>RCOM IN Equity</stp>
        <stp>BS_CASH_NEAR_CASH_ITEM</stp>
        <stp>FY 2009</stp>
        <stp>FY 2009</stp>
        <stp>[FA1_ymffleas.xlsx]Bal Sheet - Standardized!R9C3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" s="16"/>
      </tp>
      <tp t="s">
        <v>—</v>
        <stp/>
        <stp>##V3_BDHV12</stp>
        <stp>RCOM IN Equity</stp>
        <stp>ADJ_EPS_EX_SBC_AMORT_TOT_INT_BAS</stp>
        <stp>FY 2015</stp>
        <stp>FY 2015</stp>
        <stp>[FA1_ymffleas.xlsx]SBC &amp; Amort!R11C9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1" s="13"/>
      </tp>
      <tp>
        <v>31.075299999999999</v>
        <stp/>
        <stp>##V3_BDHV12</stp>
        <stp>RCOM IN Equity</stp>
        <stp>HIGH_EV_TO_T12M_EBIT</stp>
        <stp>FY 2013</stp>
        <stp>FY 2013</stp>
        <stp>[FA1_ymffleas.xlsx]Multiples!R48C6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48" s="6"/>
      </tp>
      <tp>
        <v>9640</v>
        <stp/>
        <stp>##V3_BDHV12</stp>
        <stp>RCOM IN Equity</stp>
        <stp>ARD_TOT_CASH_FLOWS_FROM_OPS</stp>
        <stp>FY 2018</stp>
        <stp>FY 2018</stp>
        <stp>[FA1_ymffleas.xlsx]As Reported Summary!R26C12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6" s="30"/>
      </tp>
      <tp>
        <v>141060</v>
        <stp/>
        <stp>##V3_BDHV12</stp>
        <stp>RCOM IN Equity</stp>
        <stp>ARD_TOT_CASH_FLOWS_FROM_OPS</stp>
        <stp>FY 2016</stp>
        <stp>FY 2016</stp>
        <stp>[FA1_ymffleas.xlsx]As Reported Summary!R26C10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6" s="30"/>
      </tp>
      <tp>
        <v>-3880</v>
        <stp/>
        <stp>##V3_BDHV12</stp>
        <stp>RCOM IN Equity</stp>
        <stp>ARD_TOT_CASH_FLOWS_FROM_OPS</stp>
        <stp>FY 2017</stp>
        <stp>FY 2017</stp>
        <stp>[FA1_ymffleas.xlsx]As Reported Summary!R26C11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6" s="30"/>
      </tp>
      <tp>
        <v>320</v>
        <stp/>
        <stp>##V3_BDHV12</stp>
        <stp>RCOM IN Equity</stp>
        <stp>BS_LT_INVEST</stp>
        <stp>FY 2018</stp>
        <stp>FY 2018</stp>
        <stp>[FA1_ymffleas.xlsx]Bal Sheet - Standardized!R49C12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9" s="16"/>
      </tp>
      <tp>
        <v>0</v>
        <stp/>
        <stp>##V3_BDHV12</stp>
        <stp>RCOM IN Equity</stp>
        <stp>BS_LT_INVEST</stp>
        <stp>FY 2016</stp>
        <stp>FY 2016</stp>
        <stp>[FA1_ymffleas.xlsx]Bal Sheet - Standardized!R49C10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9" s="16"/>
      </tp>
      <tp>
        <v>0</v>
        <stp/>
        <stp>##V3_BDHV12</stp>
        <stp>RCOM IN Equity</stp>
        <stp>BS_LT_INVEST</stp>
        <stp>FY 2017</stp>
        <stp>FY 2017</stp>
        <stp>[FA1_ymffleas.xlsx]Bal Sheet - Standardized!R49C11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9" s="16"/>
      </tp>
      <tp t="s">
        <v>—</v>
        <stp/>
        <stp>##V3_BDHV12</stp>
        <stp>RCOM IN Equity</stp>
        <stp>CASH_CONVERSION_CYCLE</stp>
        <stp>FY 2010</stp>
        <stp>FY 2010</stp>
        <stp>[FA1_ymffleas.xlsx]Bal Sheet - Standardized!R171C4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71" s="16"/>
      </tp>
      <tp>
        <v>5.07</v>
        <stp/>
        <stp>##V3_BDHV12</stp>
        <stp>RCOM IN Equity</stp>
        <stp>IS_DILUTED_EPS</stp>
        <stp>FY 2014</stp>
        <stp>FY 2014</stp>
        <stp>[FA1_ymffleas.xlsx]Income - GAAP!R93C7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93" s="10"/>
      </tp>
      <tp t="s">
        <v>—</v>
        <stp/>
        <stp>##V3_BDHV12</stp>
        <stp>RCOM IN Equity</stp>
        <stp>EBITDA_AFT_CAPEX_TO_CASH_INT_PD</stp>
        <stp>FY 2017</stp>
        <stp>FY 2017</stp>
        <stp>[FA1_ymffleas.xlsx]Credit!R21C11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1" s="23"/>
      </tp>
      <tp>
        <v>2.0735000000000001</v>
        <stp/>
        <stp>##V3_BDHV12</stp>
        <stp>RCOM IN Equity</stp>
        <stp>HIGH_PX_TO_SALES_RATIO</stp>
        <stp>FY 2011</stp>
        <stp>FY 2011</stp>
        <stp>[FA1_ymffleas.xlsx]Multiples!R23C4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3" s="6"/>
      </tp>
      <tp>
        <v>72600</v>
        <stp/>
        <stp>##V3_BDHV12</stp>
        <stp>RCOM IN Equity</stp>
        <stp>EBITDA</stp>
        <stp>FY 2016</stp>
        <stp>FY 2016</stp>
        <stp>[FA1_ymffleas.xlsx]Cash Flow - Standardized!R58C9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58" s="19"/>
      </tp>
      <tp>
        <v>72060</v>
        <stp/>
        <stp>##V3_BDHV12</stp>
        <stp>RCOM IN Equity</stp>
        <stp>EBITDA</stp>
        <stp>FY 2015</stp>
        <stp>FY 2015</stp>
        <stp>[FA1_ymffleas.xlsx]Cash Flow - Standardized!R58C8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58" s="19"/>
      </tp>
      <tp>
        <v>67060</v>
        <stp/>
        <stp>##V3_BDHV12</stp>
        <stp>RCOM IN Equity</stp>
        <stp>EBITDA</stp>
        <stp>FY 2014</stp>
        <stp>FY 2014</stp>
        <stp>[FA1_ymffleas.xlsx]Cash Flow - Standardized!R58C7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58" s="19"/>
      </tp>
      <tp>
        <v>59410</v>
        <stp/>
        <stp>##V3_BDHV12</stp>
        <stp>RCOM IN Equity</stp>
        <stp>EBITDA</stp>
        <stp>FY 2013</stp>
        <stp>FY 2013</stp>
        <stp>[FA1_ymffleas.xlsx]Cash Flow - Standardized!R58C6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58" s="19"/>
      </tp>
      <tp>
        <v>-21650</v>
        <stp/>
        <stp>##V3_BDHV12</stp>
        <stp>RCOM IN Equity</stp>
        <stp>ARD_CAPITAL_EXPENDITURES</stp>
        <stp>FY 2014</stp>
        <stp>FY 2014</stp>
        <stp>[FA1_ymffleas.xlsx]Cash Flow - As Reported!R44C8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4" s="20"/>
      </tp>
      <tp>
        <v>-24960</v>
        <stp/>
        <stp>##V3_BDHV12</stp>
        <stp>RCOM IN Equity</stp>
        <stp>ARD_CAPITAL_EXPENDITURES</stp>
        <stp>FY 2015</stp>
        <stp>FY 2015</stp>
        <stp>[FA1_ymffleas.xlsx]Cash Flow - As Reported!R44C9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4" s="20"/>
      </tp>
      <tp>
        <v>-122583.8</v>
        <stp/>
        <stp>##V3_BDHV12</stp>
        <stp>RCOM IN Equity</stp>
        <stp>ARD_CAPITAL_EXPENDITURES</stp>
        <stp>FY 2009</stp>
        <stp>FY 2009</stp>
        <stp>[FA1_ymffleas.xlsx]Cash Flow - As Reported!R44C3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4" s="20"/>
      </tp>
      <tp>
        <v>-74960.3</v>
        <stp/>
        <stp>##V3_BDHV12</stp>
        <stp>RCOM IN Equity</stp>
        <stp>ARD_CAPITAL_EXPENDITURES</stp>
        <stp>FY 2010</stp>
        <stp>FY 2010</stp>
        <stp>[FA1_ymffleas.xlsx]Cash Flow - As Reported!R44C4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4" s="20"/>
      </tp>
      <tp>
        <v>-103270</v>
        <stp/>
        <stp>##V3_BDHV12</stp>
        <stp>RCOM IN Equity</stp>
        <stp>ARD_CAPITAL_EXPENDITURES</stp>
        <stp>FY 2011</stp>
        <stp>FY 2011</stp>
        <stp>[FA1_ymffleas.xlsx]Cash Flow - As Reported!R44C5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4" s="20"/>
      </tp>
      <tp>
        <v>-48500</v>
        <stp/>
        <stp>##V3_BDHV12</stp>
        <stp>RCOM IN Equity</stp>
        <stp>ARD_CAPITAL_EXPENDITURES</stp>
        <stp>FY 2012</stp>
        <stp>FY 2012</stp>
        <stp>[FA1_ymffleas.xlsx]Cash Flow - As Reported!R44C6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4" s="20"/>
      </tp>
      <tp>
        <v>-21140</v>
        <stp/>
        <stp>##V3_BDHV12</stp>
        <stp>RCOM IN Equity</stp>
        <stp>ARD_CAPITAL_EXPENDITURES</stp>
        <stp>FY 2013</stp>
        <stp>FY 2013</stp>
        <stp>[FA1_ymffleas.xlsx]Cash Flow - As Reported!R44C7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4" s="20"/>
      </tp>
      <tp>
        <v>57950</v>
        <stp/>
        <stp>##V3_BDHV12</stp>
        <stp>RCOM IN Equity</stp>
        <stp>EBITDA</stp>
        <stp>FY 2012</stp>
        <stp>FY 2012</stp>
        <stp>[FA1_ymffleas.xlsx]Cash Flow - Standardized!R58C5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58" s="19"/>
      </tp>
      <tp>
        <v>83760</v>
        <stp/>
        <stp>##V3_BDHV12</stp>
        <stp>RCOM IN Equity</stp>
        <stp>EBITDA</stp>
        <stp>FY 2011</stp>
        <stp>FY 2011</stp>
        <stp>[FA1_ymffleas.xlsx]Cash Flow - Standardized!R58C4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58" s="19"/>
      </tp>
      <tp>
        <v>69890.399999999994</v>
        <stp/>
        <stp>##V3_BDHV12</stp>
        <stp>RCOM IN Equity</stp>
        <stp>EBITDA</stp>
        <stp>FY 2010</stp>
        <stp>FY 2010</stp>
        <stp>[FA1_ymffleas.xlsx]Cash Flow - Standardized!R58C3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58" s="19"/>
      </tp>
      <tp t="s">
        <v>—</v>
        <stp/>
        <stp>##V3_BDHV12</stp>
        <stp>RCOM IN Equity</stp>
        <stp>ARDR_PURCHASED_POWER_COSTS</stp>
        <stp>FY 2015</stp>
        <stp>FY 2015</stp>
        <stp>[FA1_ymffleas.xlsx]Income - As Reported!R93C9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3" s="11"/>
      </tp>
      <tp t="s">
        <v>—</v>
        <stp/>
        <stp>##V3_BDHV12</stp>
        <stp>RCOM IN Equity</stp>
        <stp>ARDR_PURCHASED_POWER_COSTS</stp>
        <stp>FY 2014</stp>
        <stp>FY 2014</stp>
        <stp>[FA1_ymffleas.xlsx]Income - As Reported!R93C8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3" s="11"/>
      </tp>
      <tp t="s">
        <v>—</v>
        <stp/>
        <stp>##V3_BDHV12</stp>
        <stp>RCOM IN Equity</stp>
        <stp>ARDR_PURCHASED_POWER_COSTS</stp>
        <stp>FY 2009</stp>
        <stp>FY 2009</stp>
        <stp>[FA1_ymffleas.xlsx]Income - As Reported!R93C3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3" s="11"/>
      </tp>
      <tp t="s">
        <v>—</v>
        <stp/>
        <stp>##V3_BDHV12</stp>
        <stp>RCOM IN Equity</stp>
        <stp>ARDR_PURCHASED_POWER_COSTS</stp>
        <stp>FY 2011</stp>
        <stp>FY 2011</stp>
        <stp>[FA1_ymffleas.xlsx]Income - As Reported!R93C5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3" s="11"/>
      </tp>
      <tp t="s">
        <v>—</v>
        <stp/>
        <stp>##V3_BDHV12</stp>
        <stp>RCOM IN Equity</stp>
        <stp>ARDR_PURCHASED_POWER_COSTS</stp>
        <stp>FY 2010</stp>
        <stp>FY 2010</stp>
        <stp>[FA1_ymffleas.xlsx]Income - As Reported!R93C4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3" s="11"/>
      </tp>
      <tp t="s">
        <v>—</v>
        <stp/>
        <stp>##V3_BDHV12</stp>
        <stp>RCOM IN Equity</stp>
        <stp>ARDR_PURCHASED_POWER_COSTS</stp>
        <stp>FY 2013</stp>
        <stp>FY 2013</stp>
        <stp>[FA1_ymffleas.xlsx]Income - As Reported!R93C7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3" s="11"/>
      </tp>
      <tp t="s">
        <v>—</v>
        <stp/>
        <stp>##V3_BDHV12</stp>
        <stp>RCOM IN Equity</stp>
        <stp>ARDR_PURCHASED_POWER_COSTS</stp>
        <stp>FY 2012</stp>
        <stp>FY 2012</stp>
        <stp>[FA1_ymffleas.xlsx]Income - As Reported!R93C6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3" s="11"/>
      </tp>
      <tp>
        <v>742320</v>
        <stp/>
        <stp>##V3_BDHV12</stp>
        <stp>RCOM IN Equity</stp>
        <stp>BS_TOT_NON_CUR_ASSET</stp>
        <stp>FY 2015</stp>
        <stp>FY 2015</stp>
        <stp>[FA1_ymffleas.xlsx]Bal Sheet - Standardized!R69C9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9" s="16"/>
      </tp>
      <tp>
        <v>773620</v>
        <stp/>
        <stp>##V3_BDHV12</stp>
        <stp>RCOM IN Equity</stp>
        <stp>BS_TOT_NON_CUR_ASSET</stp>
        <stp>FY 2014</stp>
        <stp>FY 2014</stp>
        <stp>[FA1_ymffleas.xlsx]Bal Sheet - Standardized!R69C8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9" s="16"/>
      </tp>
      <tp>
        <v>782750</v>
        <stp/>
        <stp>##V3_BDHV12</stp>
        <stp>RCOM IN Equity</stp>
        <stp>BS_TOT_NON_CUR_ASSET</stp>
        <stp>FY 2011</stp>
        <stp>FY 2011</stp>
        <stp>[FA1_ymffleas.xlsx]Bal Sheet - Standardized!R69C5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9" s="16"/>
      </tp>
      <tp>
        <v>763714</v>
        <stp/>
        <stp>##V3_BDHV12</stp>
        <stp>RCOM IN Equity</stp>
        <stp>BS_TOT_NON_CUR_ASSET</stp>
        <stp>FY 2010</stp>
        <stp>FY 2010</stp>
        <stp>[FA1_ymffleas.xlsx]Bal Sheet - Standardized!R69C4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9" s="16"/>
      </tp>
      <tp>
        <v>779210</v>
        <stp/>
        <stp>##V3_BDHV12</stp>
        <stp>RCOM IN Equity</stp>
        <stp>BS_TOT_NON_CUR_ASSET</stp>
        <stp>FY 2013</stp>
        <stp>FY 2013</stp>
        <stp>[FA1_ymffleas.xlsx]Bal Sheet - Standardized!R69C7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9" s="16"/>
      </tp>
      <tp>
        <v>797200</v>
        <stp/>
        <stp>##V3_BDHV12</stp>
        <stp>RCOM IN Equity</stp>
        <stp>BS_TOT_NON_CUR_ASSET</stp>
        <stp>FY 2012</stp>
        <stp>FY 2012</stp>
        <stp>[FA1_ymffleas.xlsx]Bal Sheet - Standardized!R69C6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9" s="16"/>
      </tp>
      <tp>
        <v>782082.9</v>
        <stp/>
        <stp>##V3_BDHV12</stp>
        <stp>RCOM IN Equity</stp>
        <stp>BS_TOT_NON_CUR_ASSET</stp>
        <stp>FY 2009</stp>
        <stp>FY 2009</stp>
        <stp>[FA1_ymffleas.xlsx]Bal Sheet - Standardized!R69C3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9" s="16"/>
      </tp>
      <tp>
        <v>-36.706200000000003</v>
        <stp/>
        <stp>##V3_BDHV12</stp>
        <stp>RCOM IN Equity</stp>
        <stp>OPERATING_INCOME_SEQ_GROWTH</stp>
        <stp>FY 2010</stp>
        <stp>FY 2010</stp>
        <stp>[FA1_ymffleas.xlsx]Growth!R62C4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62" s="22"/>
      </tp>
      <tp>
        <v>-9980</v>
        <stp/>
        <stp>##V3_BDHV12</stp>
        <stp>RCOM IN Equity</stp>
        <stp>TRAIL_12M_FREE_CASH_FLOW</stp>
        <stp>FY 2018</stp>
        <stp>FY 2018</stp>
        <stp>[FA1_ymffleas.xlsx]Yield Analysis!R9C12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" s="26"/>
      </tp>
      <tp>
        <v>-74800</v>
        <stp/>
        <stp>##V3_BDHV12</stp>
        <stp>RCOM IN Equity</stp>
        <stp>TRAIL_12M_FREE_CASH_FLOW</stp>
        <stp>FY 2017</stp>
        <stp>FY 2017</stp>
        <stp>[FA1_ymffleas.xlsx]Yield Analysis!R9C11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" s="26"/>
      </tp>
      <tp>
        <v>-11090</v>
        <stp/>
        <stp>##V3_BDHV12</stp>
        <stp>RCOM IN Equity</stp>
        <stp>TRAIL_12M_FREE_CASH_FLOW</stp>
        <stp>FY 2016</stp>
        <stp>FY 2016</stp>
        <stp>[FA1_ymffleas.xlsx]Yield Analysis!R9C10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" s="26"/>
      </tp>
      <tp>
        <v>67830</v>
        <stp/>
        <stp>##V3_BDHV12</stp>
        <stp>RCOM IN Equity</stp>
        <stp>OTHER_CURRENT_ASSETS_DETAILED</stp>
        <stp>FY 2016</stp>
        <stp>FY 2016</stp>
        <stp>[FA1_ymffleas.xlsx]Bal Sheet - Standardized!R31C10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1" s="16"/>
      </tp>
      <tp>
        <v>75950</v>
        <stp/>
        <stp>##V3_BDHV12</stp>
        <stp>RCOM IN Equity</stp>
        <stp>OTHER_CURRENT_ASSETS_DETAILED</stp>
        <stp>FY 2017</stp>
        <stp>FY 2017</stp>
        <stp>[FA1_ymffleas.xlsx]Bal Sheet - Standardized!R31C11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1" s="16"/>
      </tp>
      <tp>
        <v>424260</v>
        <stp/>
        <stp>##V3_BDHV12</stp>
        <stp>RCOM IN Equity</stp>
        <stp>OTHER_CURRENT_ASSETS_DETAILED</stp>
        <stp>FY 2018</stp>
        <stp>FY 2018</stp>
        <stp>[FA1_ymffleas.xlsx]Bal Sheet - Standardized!R31C12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1" s="16"/>
      </tp>
      <tp t="s">
        <v>—</v>
        <stp/>
        <stp>##V3_BDHV12</stp>
        <stp>RCOM IN Equity</stp>
        <stp>ACTUAL_SALES_PER_EMPL</stp>
        <stp>FY 2017</stp>
        <stp>FY 2017</stp>
        <stp>[FA1_ymffleas.xlsx]Income - Adjusted!R127C10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J127" s="9"/>
      </tp>
      <tp t="s">
        <v>—</v>
        <stp/>
        <stp>##V3_BDHV12</stp>
        <stp>RCOM IN Equity</stp>
        <stp>ARD_PROVISION_FOR_LT_INVESTMENTS</stp>
        <stp>FY 2015</stp>
        <stp>FY 2015</stp>
        <stp>[FA1_ymffleas.xlsx]Cash Flow - As Reported!R26C9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6" s="20"/>
      </tp>
      <tp t="s">
        <v>—</v>
        <stp/>
        <stp>##V3_BDHV12</stp>
        <stp>RCOM IN Equity</stp>
        <stp>ARD_PROVISION_FOR_LT_INVESTMENTS</stp>
        <stp>FY 2014</stp>
        <stp>FY 2014</stp>
        <stp>[FA1_ymffleas.xlsx]Cash Flow - As Reported!R26C8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6" s="20"/>
      </tp>
      <tp t="s">
        <v>—</v>
        <stp/>
        <stp>##V3_BDHV12</stp>
        <stp>RCOM IN Equity</stp>
        <stp>ARD_PROVISION_FOR_LT_INVESTMENTS</stp>
        <stp>FY 2009</stp>
        <stp>FY 2009</stp>
        <stp>[FA1_ymffleas.xlsx]Cash Flow - As Reported!R26C3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6" s="20"/>
      </tp>
      <tp t="s">
        <v>—</v>
        <stp/>
        <stp>##V3_BDHV12</stp>
        <stp>RCOM IN Equity</stp>
        <stp>ARD_PROVISION_FOR_LT_INVESTMENTS</stp>
        <stp>FY 2013</stp>
        <stp>FY 2013</stp>
        <stp>[FA1_ymffleas.xlsx]Cash Flow - As Reported!R26C7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6" s="20"/>
      </tp>
      <tp t="s">
        <v>—</v>
        <stp/>
        <stp>##V3_BDHV12</stp>
        <stp>RCOM IN Equity</stp>
        <stp>ARD_PROVISION_FOR_LT_INVESTMENTS</stp>
        <stp>FY 2012</stp>
        <stp>FY 2012</stp>
        <stp>[FA1_ymffleas.xlsx]Cash Flow - As Reported!R26C6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6" s="20"/>
      </tp>
      <tp t="s">
        <v>—</v>
        <stp/>
        <stp>##V3_BDHV12</stp>
        <stp>RCOM IN Equity</stp>
        <stp>ARD_PROVISION_FOR_LT_INVESTMENTS</stp>
        <stp>FY 2011</stp>
        <stp>FY 2011</stp>
        <stp>[FA1_ymffleas.xlsx]Cash Flow - As Reported!R26C5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6" s="20"/>
      </tp>
      <tp t="s">
        <v>—</v>
        <stp/>
        <stp>##V3_BDHV12</stp>
        <stp>RCOM IN Equity</stp>
        <stp>ARD_PROVISION_FOR_LT_INVESTMENTS</stp>
        <stp>FY 2010</stp>
        <stp>FY 2010</stp>
        <stp>[FA1_ymffleas.xlsx]Cash Flow - As Reported!R26C4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6" s="20"/>
      </tp>
      <tp>
        <v>1.5727</v>
        <stp/>
        <stp>##V3_BDHV12</stp>
        <stp>RCOM IN Equity</stp>
        <stp>HIGH_PX_TO_SALES_RATIO</stp>
        <stp>FY 2018</stp>
        <stp>FY 2018</stp>
        <stp>[FA1_ymffleas.xlsx]Multiples!R23C11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3" s="6"/>
      </tp>
      <tp>
        <v>3.5781999999999998</v>
        <stp/>
        <stp>##V3_BDHV12</stp>
        <stp>RCOM IN Equity</stp>
        <stp>OPER_INC_GROWTH</stp>
        <stp>FY 2014</stp>
        <stp>FY 2014</stp>
        <stp>[FA1_ymffleas.xlsx]Growth!R9C8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9" s="22"/>
      </tp>
      <tp>
        <v>-92.296599999999998</v>
        <stp/>
        <stp>##V3_BDHV12</stp>
        <stp>RCOM IN Equity</stp>
        <stp>IS_EPS</stp>
        <stp>FY 2018</stp>
        <stp>FY 2018</stp>
        <stp>[FA1_ymffleas.xlsx]GAAP Highlights!R9C12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9" s="3"/>
      </tp>
      <tp>
        <v>4.9024999999999999</v>
        <stp/>
        <stp>##V3_BDHV12</stp>
        <stp>RCOM IN Equity</stp>
        <stp>PROF_MARGIN</stp>
        <stp>FY 2011</stp>
        <stp>FY 2011</stp>
        <stp>[FA1_ymffleas.xlsx]Income - Adjusted!R126C4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D126" s="9"/>
      </tp>
      <tp>
        <v>1.3353999999999999</v>
        <stp/>
        <stp>##V3_BDHV12</stp>
        <stp>RCOM IN Equity</stp>
        <stp>AVERAGE_PRICE_TO_SALES_RATIO</stp>
        <stp>FY 2014</stp>
        <stp>FY 2014</stp>
        <stp>[FA1_ymffleas.xlsx]Multiples!R22C7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2" s="6"/>
      </tp>
      <tp>
        <v>0</v>
        <stp/>
        <stp>##V3_BDHV12</stp>
        <stp>RCOM IN Equity</stp>
        <stp>BS_PENSION_RSRV</stp>
        <stp>FY 2010</stp>
        <stp>FY 2010</stp>
        <stp>[FA1_ymffleas.xlsx]Bal Sheet - Standardized!R160C4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0" s="16"/>
      </tp>
      <tp>
        <v>0</v>
        <stp/>
        <stp>##V3_BDHV12</stp>
        <stp>RCOM IN Equity</stp>
        <stp>BS_PENSION_RSRV</stp>
        <stp>FY 2011</stp>
        <stp>FY 2011</stp>
        <stp>[FA1_ymffleas.xlsx]Bal Sheet - Standardized!R160C5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0" s="16"/>
      </tp>
      <tp>
        <v>0</v>
        <stp/>
        <stp>##V3_BDHV12</stp>
        <stp>RCOM IN Equity</stp>
        <stp>BS_PENSION_RSRV</stp>
        <stp>FY 2012</stp>
        <stp>FY 2012</stp>
        <stp>[FA1_ymffleas.xlsx]Bal Sheet - Standardized!R160C6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0" s="16"/>
      </tp>
      <tp>
        <v>0</v>
        <stp/>
        <stp>##V3_BDHV12</stp>
        <stp>RCOM IN Equity</stp>
        <stp>BS_PENSION_RSRV</stp>
        <stp>FY 2013</stp>
        <stp>FY 2013</stp>
        <stp>[FA1_ymffleas.xlsx]Bal Sheet - Standardized!R160C7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0" s="16"/>
      </tp>
      <tp>
        <v>0</v>
        <stp/>
        <stp>##V3_BDHV12</stp>
        <stp>RCOM IN Equity</stp>
        <stp>BS_PENSION_RSRV</stp>
        <stp>FY 2009</stp>
        <stp>FY 2009</stp>
        <stp>[FA1_ymffleas.xlsx]Bal Sheet - Standardized!R160C3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0" s="16"/>
      </tp>
      <tp>
        <v>0</v>
        <stp/>
        <stp>##V3_BDHV12</stp>
        <stp>RCOM IN Equity</stp>
        <stp>BS_PENSION_RSRV</stp>
        <stp>FY 2014</stp>
        <stp>FY 2014</stp>
        <stp>[FA1_ymffleas.xlsx]Bal Sheet - Standardized!R160C8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0" s="16"/>
      </tp>
      <tp>
        <v>0</v>
        <stp/>
        <stp>##V3_BDHV12</stp>
        <stp>RCOM IN Equity</stp>
        <stp>BS_PENSION_RSRV</stp>
        <stp>FY 2015</stp>
        <stp>FY 2015</stp>
        <stp>[FA1_ymffleas.xlsx]Bal Sheet - Standardized!R160C9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0" s="16"/>
      </tp>
      <tp>
        <v>480</v>
        <stp/>
        <stp>##V3_BDHV12</stp>
        <stp>RCOM IN Equity</stp>
        <stp>ARDR_PROJ_POST_RETIRE_BEN_OBLIG</stp>
        <stp>FY 2016</stp>
        <stp>FY 2016</stp>
        <stp>[FA1_ymffleas.xlsx]Bal Sheet - As Reported!R116C10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6" s="17"/>
      </tp>
      <tp>
        <v>570</v>
        <stp/>
        <stp>##V3_BDHV12</stp>
        <stp>RCOM IN Equity</stp>
        <stp>ARDR_PROJ_POST_RETIRE_BEN_OBLIG</stp>
        <stp>FY 2017</stp>
        <stp>FY 2017</stp>
        <stp>[FA1_ymffleas.xlsx]Bal Sheet - As Reported!R116C11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6" s="17"/>
      </tp>
      <tp>
        <v>410</v>
        <stp/>
        <stp>##V3_BDHV12</stp>
        <stp>RCOM IN Equity</stp>
        <stp>ARDR_PROJ_POST_RETIRE_BEN_OBLIG</stp>
        <stp>FY 2018</stp>
        <stp>FY 2018</stp>
        <stp>[FA1_ymffleas.xlsx]Bal Sheet - As Reported!R116C12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6" s="17"/>
      </tp>
      <tp>
        <v>6.0890000000000004</v>
        <stp/>
        <stp>##V3_BDHV12</stp>
        <stp>RCOM IN Equity</stp>
        <stp>PROF_MARGIN</stp>
        <stp>FY 2011</stp>
        <stp>FY 2011</stp>
        <stp>[FA1_ymffleas.xlsx]Income - GAAP!R104C4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04" s="10"/>
      </tp>
      <tp>
        <v>5.07</v>
        <stp/>
        <stp>##V3_BDHV12</stp>
        <stp>RCOM IN Equity</stp>
        <stp>IS_DILUTED_EPS</stp>
        <stp>FY 2014</stp>
        <stp>FY 2014</stp>
        <stp>[FA1_ymffleas.xlsx]GAAP Highlights!R10C8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0" s="3"/>
      </tp>
      <tp>
        <v>35.386099999999999</v>
        <stp/>
        <stp>##V3_BDHV12</stp>
        <stp>RCOM IN Equity</stp>
        <stp>HIGH_EV_TO_T12M_EBIT</stp>
        <stp>FY 2014</stp>
        <stp>FY 2014</stp>
        <stp>[FA1_ymffleas.xlsx]Multiples!R48C7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48" s="6"/>
      </tp>
      <tp t="s">
        <v>—</v>
        <stp/>
        <stp>##V3_BDHV12</stp>
        <stp>RCOM IN Equity</stp>
        <stp>IS_COMP_PTP_EX_STK_BASED_COMP</stp>
        <stp>FY 2018</stp>
        <stp>FY 2018</stp>
        <stp>[FA1_ymffleas.xlsx]Earnings!R37C12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7" s="4"/>
      </tp>
      <tp t="s">
        <v>—</v>
        <stp/>
        <stp>##V3_BDHV12</stp>
        <stp>RCOM IN Equity</stp>
        <stp>IS_COMP_PTP_EX_STK_BASED_COMP</stp>
        <stp>FY 2017</stp>
        <stp>FY 2017</stp>
        <stp>[FA1_ymffleas.xlsx]Earnings!R37C11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7" s="4"/>
      </tp>
      <tp t="s">
        <v>—</v>
        <stp/>
        <stp>##V3_BDHV12</stp>
        <stp>RCOM IN Equity</stp>
        <stp>IS_COMP_PTP_EX_STK_BASED_COMP</stp>
        <stp>FY 2016</stp>
        <stp>FY 2016</stp>
        <stp>[FA1_ymffleas.xlsx]Earnings!R37C10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7" s="4"/>
      </tp>
      <tp>
        <v>28.067299999999999</v>
        <stp/>
        <stp>##V3_BDHV12</stp>
        <stp>RCOM IN Equity</stp>
        <stp>ADJ_EPS_EX_AMORT_TOT_INTANG_DIL</stp>
        <stp>FY 2009</stp>
        <stp>FY 2009</stp>
        <stp>[FA1_ymffleas.xlsx]SBC &amp; Amort!R10C3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0" s="13"/>
      </tp>
      <tp>
        <v>23.685400000000001</v>
        <stp/>
        <stp>##V3_BDHV12</stp>
        <stp>RCOM IN Equity</stp>
        <stp>ADJ_EPS_EX_AMORT_TOT_INTANG_DIL</stp>
        <stp>FY 2010</stp>
        <stp>FY 2010</stp>
        <stp>[FA1_ymffleas.xlsx]SBC &amp; Amort!R10C4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0" s="13"/>
      </tp>
      <tp>
        <v>13.689500000000001</v>
        <stp/>
        <stp>##V3_BDHV12</stp>
        <stp>RCOM IN Equity</stp>
        <stp>ADJ_EPS_EX_AMORT_TOT_INTANG_DIL</stp>
        <stp>FY 2011</stp>
        <stp>FY 2011</stp>
        <stp>[FA1_ymffleas.xlsx]SBC &amp; Amort!R10C5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0" s="13"/>
      </tp>
      <tp>
        <v>11.8294</v>
        <stp/>
        <stp>##V3_BDHV12</stp>
        <stp>RCOM IN Equity</stp>
        <stp>ADJ_EPS_EX_AMORT_TOT_INTANG_DIL</stp>
        <stp>FY 2012</stp>
        <stp>FY 2012</stp>
        <stp>[FA1_ymffleas.xlsx]SBC &amp; Amort!R10C6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0" s="13"/>
      </tp>
      <tp>
        <v>72100</v>
        <stp/>
        <stp>##V3_BDHV12</stp>
        <stp>RCOM IN Equity</stp>
        <stp>EBITDA</stp>
        <stp>FY 2015</stp>
        <stp>FY 2015</stp>
        <stp>[FA1_ymffleas.xlsx]Reconciliation!R18C8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8" s="12"/>
      </tp>
      <tp>
        <v>9.4344999999999999</v>
        <stp/>
        <stp>##V3_BDHV12</stp>
        <stp>RCOM IN Equity</stp>
        <stp>ADJ_EPS_EX_AMORT_TOT_INTANG_DIL</stp>
        <stp>FY 2013</stp>
        <stp>FY 2013</stp>
        <stp>[FA1_ymffleas.xlsx]SBC &amp; Amort!R10C7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0" s="13"/>
      </tp>
      <tp>
        <v>72760</v>
        <stp/>
        <stp>##V3_BDHV12</stp>
        <stp>RCOM IN Equity</stp>
        <stp>EBITDA</stp>
        <stp>FY 2016</stp>
        <stp>FY 2016</stp>
        <stp>[FA1_ymffleas.xlsx]Reconciliation!R18C9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8" s="12"/>
      </tp>
      <tp t="s">
        <v>—</v>
        <stp/>
        <stp>##V3_BDHV12</stp>
        <stp>RCOM IN Equity</stp>
        <stp>ADJ_EPS_EX_AMORT_TOT_INTANG_DIL</stp>
        <stp>FY 2014</stp>
        <stp>FY 2014</stp>
        <stp>[FA1_ymffleas.xlsx]SBC &amp; Amort!R10C8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0" s="13"/>
      </tp>
      <tp>
        <v>59710</v>
        <stp/>
        <stp>##V3_BDHV12</stp>
        <stp>RCOM IN Equity</stp>
        <stp>EBITDA</stp>
        <stp>FY 2013</stp>
        <stp>FY 2013</stp>
        <stp>[FA1_ymffleas.xlsx]Reconciliation!R18C6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8" s="12"/>
      </tp>
      <tp t="s">
        <v>—</v>
        <stp/>
        <stp>##V3_BDHV12</stp>
        <stp>RCOM IN Equity</stp>
        <stp>ADJ_EPS_EX_AMORT_TOT_INTANG_DIL</stp>
        <stp>FY 2015</stp>
        <stp>FY 2015</stp>
        <stp>[FA1_ymffleas.xlsx]SBC &amp; Amort!R10C9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0" s="13"/>
      </tp>
      <tp>
        <v>67260</v>
        <stp/>
        <stp>##V3_BDHV12</stp>
        <stp>RCOM IN Equity</stp>
        <stp>EBITDA</stp>
        <stp>FY 2014</stp>
        <stp>FY 2014</stp>
        <stp>[FA1_ymffleas.xlsx]Reconciliation!R18C7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8" s="12"/>
      </tp>
      <tp t="s">
        <v>—</v>
        <stp/>
        <stp>##V3_BDHV12</stp>
        <stp>RCOM IN Equity</stp>
        <stp>CASH_CONVERSION_CYCLE</stp>
        <stp>FY 2011</stp>
        <stp>FY 2011</stp>
        <stp>[FA1_ymffleas.xlsx]Bal Sheet - Standardized!R171C5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71" s="16"/>
      </tp>
      <tp>
        <v>83760.800000000003</v>
        <stp/>
        <stp>##V3_BDHV12</stp>
        <stp>RCOM IN Equity</stp>
        <stp>EBITDA</stp>
        <stp>FY 2011</stp>
        <stp>FY 2011</stp>
        <stp>[FA1_ymffleas.xlsx]Reconciliation!R18C4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8" s="12"/>
      </tp>
      <tp>
        <v>61650</v>
        <stp/>
        <stp>##V3_BDHV12</stp>
        <stp>RCOM IN Equity</stp>
        <stp>EBITDA</stp>
        <stp>FY 2012</stp>
        <stp>FY 2012</stp>
        <stp>[FA1_ymffleas.xlsx]Reconciliation!R18C5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8" s="12"/>
      </tp>
      <tp>
        <v>72955</v>
        <stp/>
        <stp>##V3_BDHV12</stp>
        <stp>RCOM IN Equity</stp>
        <stp>EBITDA</stp>
        <stp>FY 2010</stp>
        <stp>FY 2010</stp>
        <stp>[FA1_ymffleas.xlsx]Reconciliation!R18C3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8" s="12"/>
      </tp>
      <tp>
        <v>3.26</v>
        <stp/>
        <stp>##V3_BDHV12</stp>
        <stp>RCOM IN Equity</stp>
        <stp>IS_DILUTED_EPS</stp>
        <stp>FY 2013</stp>
        <stp>FY 2013</stp>
        <stp>[FA1_ymffleas.xlsx]Income - GAAP!R93C6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93" s="10"/>
      </tp>
      <tp t="s">
        <v>—</v>
        <stp/>
        <stp>##V3_BDHV12</stp>
        <stp>RCOM IN Equity</stp>
        <stp>EBITDA_AFT_CAPEX_TO_CASH_INT_PD</stp>
        <stp>FY 2016</stp>
        <stp>FY 2016</stp>
        <stp>[FA1_ymffleas.xlsx]Credit!R21C10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1" s="23"/>
      </tp>
      <tp>
        <v>1.0638000000000001</v>
        <stp/>
        <stp>##V3_BDHV12</stp>
        <stp>RCOM IN Equity</stp>
        <stp>HIGH_PX_TO_SALES_RATIO</stp>
        <stp>FY 2012</stp>
        <stp>FY 2012</stp>
        <stp>[FA1_ymffleas.xlsx]Multiples!R23C5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3" s="6"/>
      </tp>
      <tp t="s">
        <v>—</v>
        <stp/>
        <stp>##V3_BDHV12</stp>
        <stp>RCOM IN Equity</stp>
        <stp>ARD_ACCTS_RECEIVABLE_TRADE</stp>
        <stp>FY 2015</stp>
        <stp>FY 2015</stp>
        <stp>[FA1_ymffleas.xlsx]Bal Sheet - As Reported!R40C9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0" s="17"/>
      </tp>
      <tp t="s">
        <v>—</v>
        <stp/>
        <stp>##V3_BDHV12</stp>
        <stp>RCOM IN Equity</stp>
        <stp>ARD_ACCTS_RECEIVABLE_TRADE</stp>
        <stp>FY 2014</stp>
        <stp>FY 2014</stp>
        <stp>[FA1_ymffleas.xlsx]Bal Sheet - As Reported!R40C8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0" s="17"/>
      </tp>
      <tp t="s">
        <v>—</v>
        <stp/>
        <stp>##V3_BDHV12</stp>
        <stp>RCOM IN Equity</stp>
        <stp>ARD_ACCTS_RECEIVABLE_TRADE</stp>
        <stp>FY 2013</stp>
        <stp>FY 2013</stp>
        <stp>[FA1_ymffleas.xlsx]Bal Sheet - As Reported!R40C7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0" s="17"/>
      </tp>
      <tp t="s">
        <v>—</v>
        <stp/>
        <stp>##V3_BDHV12</stp>
        <stp>RCOM IN Equity</stp>
        <stp>ARD_ACCTS_RECEIVABLE_TRADE</stp>
        <stp>FY 2012</stp>
        <stp>FY 2012</stp>
        <stp>[FA1_ymffleas.xlsx]Bal Sheet - As Reported!R40C6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0" s="17"/>
      </tp>
      <tp t="s">
        <v>—</v>
        <stp/>
        <stp>##V3_BDHV12</stp>
        <stp>RCOM IN Equity</stp>
        <stp>ARD_ACCTS_RECEIVABLE_TRADE</stp>
        <stp>FY 2011</stp>
        <stp>FY 2011</stp>
        <stp>[FA1_ymffleas.xlsx]Bal Sheet - As Reported!R40C5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0" s="17"/>
      </tp>
      <tp t="s">
        <v>—</v>
        <stp/>
        <stp>##V3_BDHV12</stp>
        <stp>RCOM IN Equity</stp>
        <stp>ARD_ACCTS_RECEIVABLE_TRADE</stp>
        <stp>FY 2010</stp>
        <stp>FY 2010</stp>
        <stp>[FA1_ymffleas.xlsx]Bal Sheet - As Reported!R40C4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0" s="17"/>
      </tp>
      <tp t="s">
        <v>—</v>
        <stp/>
        <stp>##V3_BDHV12</stp>
        <stp>RCOM IN Equity</stp>
        <stp>ARD_ACCTS_RECEIVABLE_TRADE</stp>
        <stp>FY 2009</stp>
        <stp>FY 2009</stp>
        <stp>[FA1_ymffleas.xlsx]Bal Sheet - As Reported!R40C3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0" s="17"/>
      </tp>
      <tp>
        <v>3.9889999999999999</v>
        <stp/>
        <stp>##V3_BDHV12</stp>
        <stp>RCOM IN Equity</stp>
        <stp>INT_BURDEN</stp>
        <stp>FY 2014</stp>
        <stp>FY 2014</stp>
        <stp>[FA1_ymffleas.xlsx]DuPont Analysis!R11C8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1" s="27"/>
      </tp>
      <tp>
        <v>15.782299999999999</v>
        <stp/>
        <stp>##V3_BDHV12</stp>
        <stp>RCOM IN Equity</stp>
        <stp>DEPR_EXP_TO_NET_SALES</stp>
        <stp>FY 2009</stp>
        <stp>FY 2009</stp>
        <stp>[FA1_ymffleas.xlsx]CAPEX &amp; Depreciation!R7C3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7" s="28"/>
      </tp>
      <tp>
        <v>80.88</v>
        <stp/>
        <stp>##V3_BDHV12</stp>
        <stp>RCOM IN Equity</stp>
        <stp>BOARD_MEETING_ATTENDANCE_PCT</stp>
        <stp>FY 2018</stp>
        <stp>FY 2018</stp>
        <stp>[FA1_ymffleas.xlsx]ESG - Overview!R27C12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7" s="34"/>
      </tp>
      <tp>
        <v>85.41</v>
        <stp/>
        <stp>##V3_BDHV12</stp>
        <stp>RCOM IN Equity</stp>
        <stp>BOARD_MEETING_ATTENDANCE_PCT</stp>
        <stp>FY 2017</stp>
        <stp>FY 2017</stp>
        <stp>[FA1_ymffleas.xlsx]ESG - Overview!R27C11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7" s="34"/>
      </tp>
      <tp>
        <v>85.71</v>
        <stp/>
        <stp>##V3_BDHV12</stp>
        <stp>RCOM IN Equity</stp>
        <stp>BOARD_MEETING_ATTENDANCE_PCT</stp>
        <stp>FY 2016</stp>
        <stp>FY 2016</stp>
        <stp>[FA1_ymffleas.xlsx]ESG - Overview!R27C10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7" s="34"/>
      </tp>
      <tp>
        <v>31480</v>
        <stp/>
        <stp>##V3_BDHV12</stp>
        <stp>RCOM IN Equity</stp>
        <stp>CFF_ACTIVITIES_DETAILED</stp>
        <stp>FY 2017</stp>
        <stp>FY 2017</stp>
        <stp>[FA1_ymffleas.xlsx]Cash Flow - Standardized!R48C10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8" s="19"/>
      </tp>
      <tp>
        <v>5590</v>
        <stp/>
        <stp>##V3_BDHV12</stp>
        <stp>RCOM IN Equity</stp>
        <stp>CFF_ACTIVITIES_DETAILED</stp>
        <stp>FY 2018</stp>
        <stp>FY 2018</stp>
        <stp>[FA1_ymffleas.xlsx]Cash Flow - Standardized!R48C11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8" s="19"/>
      </tp>
      <tp>
        <v>4.2274000000000003</v>
        <stp/>
        <stp>##V3_BDHV12</stp>
        <stp>RCOM IN Equity</stp>
        <stp>OPER_INC_TO_INT_EXP</stp>
        <stp>FY 2009</stp>
        <stp>FY 2009</stp>
        <stp>[FA1_ymffleas.xlsx]Credit!R18C3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8" s="23"/>
      </tp>
      <tp>
        <v>15.355</v>
        <stp/>
        <stp>##V3_BDHV12</stp>
        <stp>RCOM IN Equity</stp>
        <stp>OPERATING_INCOME_SEQ_GROWTH</stp>
        <stp>FY 2013</stp>
        <stp>FY 2013</stp>
        <stp>[FA1_ymffleas.xlsx]Growth!R62C7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62" s="22"/>
      </tp>
      <tp>
        <v>40</v>
        <stp/>
        <stp>##V3_BDHV12</stp>
        <stp>RCOM IN Equity</stp>
        <stp>ARDR_INTEREST_COST_OPRB</stp>
        <stp>FY 2015</stp>
        <stp>FY 2015</stp>
        <stp>[FA1_ymffleas.xlsx]Bal Sheet - As Reported!R206C9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6" s="17"/>
      </tp>
      <tp>
        <v>30</v>
        <stp/>
        <stp>##V3_BDHV12</stp>
        <stp>RCOM IN Equity</stp>
        <stp>ARDR_INTEREST_COST_OPRB</stp>
        <stp>FY 2014</stp>
        <stp>FY 2014</stp>
        <stp>[FA1_ymffleas.xlsx]Bal Sheet - As Reported!R206C8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6" s="17"/>
      </tp>
      <tp>
        <v>30</v>
        <stp/>
        <stp>##V3_BDHV12</stp>
        <stp>RCOM IN Equity</stp>
        <stp>ARDR_INTEREST_COST_OPRB</stp>
        <stp>FY 2013</stp>
        <stp>FY 2013</stp>
        <stp>[FA1_ymffleas.xlsx]Bal Sheet - As Reported!R206C7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6" s="17"/>
      </tp>
      <tp>
        <v>30</v>
        <stp/>
        <stp>##V3_BDHV12</stp>
        <stp>RCOM IN Equity</stp>
        <stp>ARDR_INTEREST_COST_OPRB</stp>
        <stp>FY 2012</stp>
        <stp>FY 2012</stp>
        <stp>[FA1_ymffleas.xlsx]Bal Sheet - As Reported!R206C6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6" s="17"/>
      </tp>
      <tp>
        <v>30</v>
        <stp/>
        <stp>##V3_BDHV12</stp>
        <stp>RCOM IN Equity</stp>
        <stp>ARDR_INTEREST_COST_OPRB</stp>
        <stp>FY 2011</stp>
        <stp>FY 2011</stp>
        <stp>[FA1_ymffleas.xlsx]Bal Sheet - As Reported!R206C5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6" s="17"/>
      </tp>
      <tp>
        <v>25</v>
        <stp/>
        <stp>##V3_BDHV12</stp>
        <stp>RCOM IN Equity</stp>
        <stp>ARDR_INTEREST_COST_OPRB</stp>
        <stp>FY 2010</stp>
        <stp>FY 2010</stp>
        <stp>[FA1_ymffleas.xlsx]Bal Sheet - As Reported!R206C4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6" s="17"/>
      </tp>
      <tp>
        <v>24.4</v>
        <stp/>
        <stp>##V3_BDHV12</stp>
        <stp>RCOM IN Equity</stp>
        <stp>ARDR_INTEREST_COST_OPRB</stp>
        <stp>FY 2009</stp>
        <stp>FY 2009</stp>
        <stp>[FA1_ymffleas.xlsx]Bal Sheet - As Reported!R206C3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6" s="17"/>
      </tp>
      <tp>
        <v>2.4527000000000001</v>
        <stp/>
        <stp>##V3_BDHV12</stp>
        <stp>RCOM IN Equity</stp>
        <stp>LOW_EV_TO_T12M_SALES</stp>
        <stp>FY 2015</stp>
        <stp>FY 2015</stp>
        <stp>[FA1_ymffleas.xlsx]Multiples!R39C8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39" s="6"/>
      </tp>
      <tp>
        <v>33890</v>
        <stp/>
        <stp>##V3_BDHV12</stp>
        <stp>RCOM IN Equity</stp>
        <stp>IS_OPER_INC</stp>
        <stp>FY 2015</stp>
        <stp>FY 2015</stp>
        <stp>[FA1_ymffleas.xlsx]Credit!R41C9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41" s="23"/>
      </tp>
      <tp>
        <v>21710</v>
        <stp/>
        <stp>##V3_BDHV12</stp>
        <stp>RCOM IN Equity</stp>
        <stp>IS_OPER_INC</stp>
        <stp>FY 2014</stp>
        <stp>FY 2014</stp>
        <stp>[FA1_ymffleas.xlsx]Credit!R41C8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41" s="23"/>
      </tp>
      <tp>
        <v>6390</v>
        <stp/>
        <stp>##V3_BDHV12</stp>
        <stp>RCOM IN Equity</stp>
        <stp>NET_INCOME</stp>
        <stp>FY 2016</stp>
        <stp>FY 2016</stp>
        <stp>[FA1_ymffleas.xlsx]Income - Adjusted!R99C9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99" s="9"/>
      </tp>
      <tp>
        <v>7140</v>
        <stp/>
        <stp>##V3_BDHV12</stp>
        <stp>RCOM IN Equity</stp>
        <stp>NET_INCOME</stp>
        <stp>FY 2015</stp>
        <stp>FY 2015</stp>
        <stp>[FA1_ymffleas.xlsx]Income - Adjusted!R99C8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99" s="9"/>
      </tp>
      <tp t="s">
        <v>—</v>
        <stp/>
        <stp>##V3_BDHV12</stp>
        <stp>RCOM IN Equity</stp>
        <stp>INVENT_TURN</stp>
        <stp>FY 2016</stp>
        <stp>FY 2016</stp>
        <stp>[FA1_ymffleas.xlsx]Working Capital!R8C10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8" s="25"/>
      </tp>
      <tp>
        <v>9280</v>
        <stp/>
        <stp>##V3_BDHV12</stp>
        <stp>RCOM IN Equity</stp>
        <stp>NET_INCOME</stp>
        <stp>FY 2012</stp>
        <stp>FY 2012</stp>
        <stp>[FA1_ymffleas.xlsx]Income - Adjusted!R99C5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99" s="9"/>
      </tp>
      <tp>
        <v>51229.8</v>
        <stp/>
        <stp>##V3_BDHV12</stp>
        <stp>RCOM IN Equity</stp>
        <stp>IS_OPER_INC</stp>
        <stp>FY 2009</stp>
        <stp>FY 2009</stp>
        <stp>[FA1_ymffleas.xlsx]Credit!R41C3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41" s="23"/>
      </tp>
      <tp>
        <v>13450</v>
        <stp/>
        <stp>##V3_BDHV12</stp>
        <stp>RCOM IN Equity</stp>
        <stp>NET_INCOME</stp>
        <stp>FY 2011</stp>
        <stp>FY 2011</stp>
        <stp>[FA1_ymffleas.xlsx]Income - Adjusted!R99C4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99" s="9"/>
      </tp>
      <tp>
        <v>10470</v>
        <stp/>
        <stp>##V3_BDHV12</stp>
        <stp>RCOM IN Equity</stp>
        <stp>NET_INCOME</stp>
        <stp>FY 2014</stp>
        <stp>FY 2014</stp>
        <stp>[FA1_ymffleas.xlsx]Income - Adjusted!R99C7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99" s="9"/>
      </tp>
      <tp>
        <v>6720</v>
        <stp/>
        <stp>##V3_BDHV12</stp>
        <stp>RCOM IN Equity</stp>
        <stp>NET_INCOME</stp>
        <stp>FY 2013</stp>
        <stp>FY 2013</stp>
        <stp>[FA1_ymffleas.xlsx]Income - Adjusted!R99C6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99" s="9"/>
      </tp>
      <tp>
        <v>20960</v>
        <stp/>
        <stp>##V3_BDHV12</stp>
        <stp>RCOM IN Equity</stp>
        <stp>IS_OPER_INC</stp>
        <stp>FY 2013</stp>
        <stp>FY 2013</stp>
        <stp>[FA1_ymffleas.xlsx]Credit!R41C7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41" s="23"/>
      </tp>
      <tp>
        <v>18170</v>
        <stp/>
        <stp>##V3_BDHV12</stp>
        <stp>RCOM IN Equity</stp>
        <stp>IS_OPER_INC</stp>
        <stp>FY 2012</stp>
        <stp>FY 2012</stp>
        <stp>[FA1_ymffleas.xlsx]Credit!R41C6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41" s="23"/>
      </tp>
      <tp>
        <v>46550</v>
        <stp/>
        <stp>##V3_BDHV12</stp>
        <stp>RCOM IN Equity</stp>
        <stp>NET_INCOME</stp>
        <stp>FY 2010</stp>
        <stp>FY 2010</stp>
        <stp>[FA1_ymffleas.xlsx]Income - Adjusted!R99C3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99" s="9"/>
      </tp>
      <tp>
        <v>18720</v>
        <stp/>
        <stp>##V3_BDHV12</stp>
        <stp>RCOM IN Equity</stp>
        <stp>IS_OPER_INC</stp>
        <stp>FY 2011</stp>
        <stp>FY 2011</stp>
        <stp>[FA1_ymffleas.xlsx]Credit!R41C5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41" s="23"/>
      </tp>
      <tp>
        <v>32425.3</v>
        <stp/>
        <stp>##V3_BDHV12</stp>
        <stp>RCOM IN Equity</stp>
        <stp>IS_OPER_INC</stp>
        <stp>FY 2010</stp>
        <stp>FY 2010</stp>
        <stp>[FA1_ymffleas.xlsx]Credit!R41C4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41" s="23"/>
      </tp>
      <tp>
        <v>-5.6855000000000002</v>
        <stp/>
        <stp>##V3_BDHV12</stp>
        <stp>RCOM IN Equity</stp>
        <stp>IS_EPS</stp>
        <stp>FY 2017</stp>
        <stp>FY 2017</stp>
        <stp>[FA1_ymffleas.xlsx]GAAP Highlights!R9C11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9" s="3"/>
      </tp>
      <tp>
        <v>0.84140000000000004</v>
        <stp/>
        <stp>##V3_BDHV12</stp>
        <stp>RCOM IN Equity</stp>
        <stp>TOTAL_DEBT_TO_EV</stp>
        <stp>FY 2017</stp>
        <stp>FY 2017</stp>
        <stp>[FA1_ymffleas.xlsx]Enterprise Value!R15C10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5" s="5"/>
      </tp>
      <tp>
        <v>0.89390000000000003</v>
        <stp/>
        <stp>##V3_BDHV12</stp>
        <stp>RCOM IN Equity</stp>
        <stp>TOTAL_DEBT_TO_EV</stp>
        <stp>FY 2018</stp>
        <stp>FY 2018</stp>
        <stp>[FA1_ymffleas.xlsx]Enterprise Value!R15C11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5" s="5"/>
      </tp>
      <tp>
        <v>5.0347</v>
        <stp/>
        <stp>##V3_BDHV12</stp>
        <stp>RCOM IN Equity</stp>
        <stp>PROF_MARGIN</stp>
        <stp>FY 2014</stp>
        <stp>FY 2014</stp>
        <stp>[FA1_ymffleas.xlsx]Income - Adjusted!R126C7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G126" s="9"/>
      </tp>
      <tp>
        <v>1.5234000000000001</v>
        <stp/>
        <stp>##V3_BDHV12</stp>
        <stp>RCOM IN Equity</stp>
        <stp>AVERAGE_PRICE_TO_SALES_RATIO</stp>
        <stp>FY 2011</stp>
        <stp>FY 2011</stp>
        <stp>[FA1_ymffleas.xlsx]Multiples!R22C4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2" s="6"/>
      </tp>
      <tp>
        <v>5</v>
        <stp/>
        <stp>##V3_BDHV12</stp>
        <stp>RCOM IN Equity</stp>
        <stp>PROF_MARGIN</stp>
        <stp>FY 2014</stp>
        <stp>FY 2014</stp>
        <stp>[FA1_ymffleas.xlsx]Income - GAAP!R104C7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04" s="10"/>
      </tp>
      <tp t="s">
        <v>—</v>
        <stp/>
        <stp>##V3_BDHV12</stp>
        <stp>RCOM IN Equity</stp>
        <stp>ARD_INTERIM_DIVIDEND_PAID</stp>
        <stp>FY 2015</stp>
        <stp>FY 2015</stp>
        <stp>[FA1_ymffleas.xlsx]Income - As Reported!R47C9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7" s="11"/>
      </tp>
      <tp t="s">
        <v>—</v>
        <stp/>
        <stp>##V3_BDHV12</stp>
        <stp>RCOM IN Equity</stp>
        <stp>ARD_INTERIM_DIVIDEND_PAID</stp>
        <stp>FY 2014</stp>
        <stp>FY 2014</stp>
        <stp>[FA1_ymffleas.xlsx]Income - As Reported!R47C8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7" s="11"/>
      </tp>
      <tp t="s">
        <v>—</v>
        <stp/>
        <stp>##V3_BDHV12</stp>
        <stp>RCOM IN Equity</stp>
        <stp>ARD_INTERIM_DIVIDEND_PAID</stp>
        <stp>FY 2013</stp>
        <stp>FY 2013</stp>
        <stp>[FA1_ymffleas.xlsx]Income - As Reported!R47C7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7" s="11"/>
      </tp>
      <tp t="s">
        <v>—</v>
        <stp/>
        <stp>##V3_BDHV12</stp>
        <stp>RCOM IN Equity</stp>
        <stp>ARD_INTERIM_DIVIDEND_PAID</stp>
        <stp>FY 2012</stp>
        <stp>FY 2012</stp>
        <stp>[FA1_ymffleas.xlsx]Income - As Reported!R47C6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7" s="11"/>
      </tp>
      <tp t="s">
        <v>—</v>
        <stp/>
        <stp>##V3_BDHV12</stp>
        <stp>RCOM IN Equity</stp>
        <stp>ARD_INTERIM_DIVIDEND_PAID</stp>
        <stp>FY 2011</stp>
        <stp>FY 2011</stp>
        <stp>[FA1_ymffleas.xlsx]Income - As Reported!R47C5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7" s="11"/>
      </tp>
      <tp t="s">
        <v>—</v>
        <stp/>
        <stp>##V3_BDHV12</stp>
        <stp>RCOM IN Equity</stp>
        <stp>ARD_INTERIM_DIVIDEND_PAID</stp>
        <stp>FY 2010</stp>
        <stp>FY 2010</stp>
        <stp>[FA1_ymffleas.xlsx]Income - As Reported!R47C4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7" s="11"/>
      </tp>
      <tp>
        <v>1651.2</v>
        <stp/>
        <stp>##V3_BDHV12</stp>
        <stp>RCOM IN Equity</stp>
        <stp>ARD_INTERIM_DIVIDEND_PAID</stp>
        <stp>FY 2009</stp>
        <stp>FY 2009</stp>
        <stp>[FA1_ymffleas.xlsx]Income - As Reported!R47C3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7" s="11"/>
      </tp>
      <tp>
        <v>160</v>
        <stp/>
        <stp>##V3_BDHV12</stp>
        <stp>RCOM IN Equity</stp>
        <stp>ARD_INCOME_TAX_EXP_BENEFIT</stp>
        <stp>FY 2018</stp>
        <stp>FY 2018</stp>
        <stp>[FA1_ymffleas.xlsx]Income - As Reported!R26C12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6" s="11"/>
      </tp>
      <tp t="s">
        <v>—</v>
        <stp/>
        <stp>##V3_BDHV12</stp>
        <stp>RCOM IN Equity</stp>
        <stp>ARD_INCOME_TAX_EXP_BENEFIT</stp>
        <stp>FY 2016</stp>
        <stp>FY 2016</stp>
        <stp>[FA1_ymffleas.xlsx]Income - As Reported!R26C10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6" s="11"/>
      </tp>
      <tp>
        <v>-900</v>
        <stp/>
        <stp>##V3_BDHV12</stp>
        <stp>RCOM IN Equity</stp>
        <stp>ARD_INCOME_TAX_EXP_BENEFIT</stp>
        <stp>FY 2017</stp>
        <stp>FY 2017</stp>
        <stp>[FA1_ymffleas.xlsx]Income - As Reported!R26C11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6" s="11"/>
      </tp>
      <tp>
        <v>0</v>
        <stp/>
        <stp>##V3_BDHV12</stp>
        <stp>RCOM IN Equity</stp>
        <stp>DVD_PAYOUT_RATIO</stp>
        <stp>FY 2016</stp>
        <stp>FY 2016</stp>
        <stp>[FA1_ymffleas.xlsx]Profitability!R23C10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3" s="21"/>
      </tp>
      <tp>
        <v>47.578000000000003</v>
        <stp/>
        <stp>##V3_BDHV12</stp>
        <stp>RCOM IN Equity</stp>
        <stp>SHORT_TERM_DEBT_1_YEAR_GROWTH</stp>
        <stp>FY 2018</stp>
        <stp>FY 2018</stp>
        <stp>[FA1_ymffleas.xlsx]Growth!R24C12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4" s="22"/>
      </tp>
      <tp>
        <v>59.849699999999999</v>
        <stp/>
        <stp>##V3_BDHV12</stp>
        <stp>RCOM IN Equity</stp>
        <stp>SHORT_TERM_DEBT_1_YEAR_GROWTH</stp>
        <stp>FY 2017</stp>
        <stp>FY 2017</stp>
        <stp>[FA1_ymffleas.xlsx]Growth!R24C11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4" s="22"/>
      </tp>
      <tp>
        <v>52.936799999999998</v>
        <stp/>
        <stp>##V3_BDHV12</stp>
        <stp>RCOM IN Equity</stp>
        <stp>SHORT_TERM_DEBT_1_YEAR_GROWTH</stp>
        <stp>FY 2016</stp>
        <stp>FY 2016</stp>
        <stp>[FA1_ymffleas.xlsx]Growth!R24C10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4" s="22"/>
      </tp>
      <tp>
        <v>30.3399</v>
        <stp/>
        <stp>##V3_BDHV12</stp>
        <stp>RCOM IN Equity</stp>
        <stp>HIGH_EV_TO_T12M_EBIT</stp>
        <stp>FY 2011</stp>
        <stp>FY 2011</stp>
        <stp>[FA1_ymffleas.xlsx]Multiples!R48C4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48" s="6"/>
      </tp>
      <tp>
        <v>3</v>
        <stp/>
        <stp>##V3_BDHV12</stp>
        <stp>RCOM IN Equity</stp>
        <stp>BOARD_DURATION</stp>
        <stp>FY 2010</stp>
        <stp>FY 2010</stp>
        <stp>[FA1_ymffleas.xlsx]ESG - Overview!R25C4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5" s="34"/>
      </tp>
      <tp>
        <v>3</v>
        <stp/>
        <stp>##V3_BDHV12</stp>
        <stp>RCOM IN Equity</stp>
        <stp>BOARD_DURATION</stp>
        <stp>FY 2011</stp>
        <stp>FY 2011</stp>
        <stp>[FA1_ymffleas.xlsx]ESG - Overview!R25C5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5" s="34"/>
      </tp>
      <tp>
        <v>3</v>
        <stp/>
        <stp>##V3_BDHV12</stp>
        <stp>RCOM IN Equity</stp>
        <stp>BOARD_DURATION</stp>
        <stp>FY 2012</stp>
        <stp>FY 2012</stp>
        <stp>[FA1_ymffleas.xlsx]ESG - Overview!R25C6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5" s="34"/>
      </tp>
      <tp>
        <v>3</v>
        <stp/>
        <stp>##V3_BDHV12</stp>
        <stp>RCOM IN Equity</stp>
        <stp>BOARD_DURATION</stp>
        <stp>FY 2013</stp>
        <stp>FY 2013</stp>
        <stp>[FA1_ymffleas.xlsx]ESG - Overview!R25C7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5" s="34"/>
      </tp>
      <tp>
        <v>2.59</v>
        <stp/>
        <stp>##V3_BDHV12</stp>
        <stp>RCOM IN Equity</stp>
        <stp>IS_EPS</stp>
        <stp>FY 2016</stp>
        <stp>FY 2016</stp>
        <stp>[FA1_ymffleas.xlsx]Income - GAAP!R88C9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88" s="10"/>
      </tp>
      <tp>
        <v>3</v>
        <stp/>
        <stp>##V3_BDHV12</stp>
        <stp>RCOM IN Equity</stp>
        <stp>BOARD_DURATION</stp>
        <stp>FY 2009</stp>
        <stp>FY 2009</stp>
        <stp>[FA1_ymffleas.xlsx]ESG - Overview!R25C3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5" s="34"/>
      </tp>
      <tp>
        <v>510</v>
        <stp/>
        <stp>##V3_BDHV12</stp>
        <stp>RCOM IN Equity</stp>
        <stp>ARDR_PENSION_POSTRETIRE_BEN_EXP</stp>
        <stp>FY 2015</stp>
        <stp>FY 2015</stp>
        <stp>[FA1_ymffleas.xlsx]Income - As Reported!R95C9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5" s="11"/>
      </tp>
      <tp>
        <v>560</v>
        <stp/>
        <stp>##V3_BDHV12</stp>
        <stp>RCOM IN Equity</stp>
        <stp>ARDR_PENSION_POSTRETIRE_BEN_EXP</stp>
        <stp>FY 2014</stp>
        <stp>FY 2014</stp>
        <stp>[FA1_ymffleas.xlsx]Income - As Reported!R95C8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5" s="11"/>
      </tp>
      <tp>
        <v>530</v>
        <stp/>
        <stp>##V3_BDHV12</stp>
        <stp>RCOM IN Equity</stp>
        <stp>ARDR_PENSION_POSTRETIRE_BEN_EXP</stp>
        <stp>FY 2013</stp>
        <stp>FY 2013</stp>
        <stp>[FA1_ymffleas.xlsx]Income - As Reported!R95C7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5" s="11"/>
      </tp>
      <tp>
        <v>530</v>
        <stp/>
        <stp>##V3_BDHV12</stp>
        <stp>RCOM IN Equity</stp>
        <stp>ARDR_PENSION_POSTRETIRE_BEN_EXP</stp>
        <stp>FY 2012</stp>
        <stp>FY 2012</stp>
        <stp>[FA1_ymffleas.xlsx]Income - As Reported!R95C6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5" s="11"/>
      </tp>
      <tp>
        <v>610</v>
        <stp/>
        <stp>##V3_BDHV12</stp>
        <stp>RCOM IN Equity</stp>
        <stp>ARDR_PENSION_POSTRETIRE_BEN_EXP</stp>
        <stp>FY 2011</stp>
        <stp>FY 2011</stp>
        <stp>[FA1_ymffleas.xlsx]Income - As Reported!R95C5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5" s="11"/>
      </tp>
      <tp>
        <v>565.6</v>
        <stp/>
        <stp>##V3_BDHV12</stp>
        <stp>RCOM IN Equity</stp>
        <stp>ARDR_PENSION_POSTRETIRE_BEN_EXP</stp>
        <stp>FY 2010</stp>
        <stp>FY 2010</stp>
        <stp>[FA1_ymffleas.xlsx]Income - As Reported!R95C4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5" s="11"/>
      </tp>
      <tp>
        <v>944.1</v>
        <stp/>
        <stp>##V3_BDHV12</stp>
        <stp>RCOM IN Equity</stp>
        <stp>ARDR_PENSION_POSTRETIRE_BEN_EXP</stp>
        <stp>FY 2009</stp>
        <stp>FY 2009</stp>
        <stp>[FA1_ymffleas.xlsx]Income - As Reported!R95C3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5" s="11"/>
      </tp>
      <tp>
        <v>-3259.5394999999999</v>
        <stp/>
        <stp>##V3_BDHV12</stp>
        <stp>RCOM IN Equity</stp>
        <stp>CASH_CONVERSION_CYCLE</stp>
        <stp>FY 2012</stp>
        <stp>FY 2012</stp>
        <stp>[FA1_ymffleas.xlsx]Bal Sheet - Standardized!R171C6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71" s="16"/>
      </tp>
      <tp>
        <v>3</v>
        <stp/>
        <stp>##V3_BDHV12</stp>
        <stp>RCOM IN Equity</stp>
        <stp>BOARD_DURATION</stp>
        <stp>FY 2014</stp>
        <stp>FY 2014</stp>
        <stp>[FA1_ymffleas.xlsx]ESG - Overview!R25C8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5" s="34"/>
      </tp>
      <tp>
        <v>5</v>
        <stp/>
        <stp>##V3_BDHV12</stp>
        <stp>RCOM IN Equity</stp>
        <stp>BOARD_DURATION</stp>
        <stp>FY 2015</stp>
        <stp>FY 2015</stp>
        <stp>[FA1_ymffleas.xlsx]ESG - Overview!R25C9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5" s="34"/>
      </tp>
      <tp t="s">
        <v>—</v>
        <stp/>
        <stp>##V3_BDHV12</stp>
        <stp>RCOM IN Equity</stp>
        <stp>ARDR_INT_EXP</stp>
        <stp>FY 2016</stp>
        <stp>FY 2016</stp>
        <stp>[FA1_ymffleas.xlsx]Income - As Reported!R69C10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9" s="11"/>
      </tp>
      <tp t="s">
        <v>—</v>
        <stp/>
        <stp>##V3_BDHV12</stp>
        <stp>RCOM IN Equity</stp>
        <stp>ARDR_INT_EXP</stp>
        <stp>FY 2017</stp>
        <stp>FY 2017</stp>
        <stp>[FA1_ymffleas.xlsx]Income - As Reported!R69C11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9" s="11"/>
      </tp>
      <tp t="s">
        <v>—</v>
        <stp/>
        <stp>##V3_BDHV12</stp>
        <stp>RCOM IN Equity</stp>
        <stp>ARDR_INT_EXP</stp>
        <stp>FY 2018</stp>
        <stp>FY 2018</stp>
        <stp>[FA1_ymffleas.xlsx]Income - As Reported!R69C12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9" s="11"/>
      </tp>
      <tp>
        <v>4.41</v>
        <stp/>
        <stp>##V3_BDHV12</stp>
        <stp>RCOM IN Equity</stp>
        <stp>IS_DILUTED_EPS</stp>
        <stp>FY 2012</stp>
        <stp>FY 2012</stp>
        <stp>[FA1_ymffleas.xlsx]Income - GAAP!R93C5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93" s="10"/>
      </tp>
      <tp t="s">
        <v>—</v>
        <stp/>
        <stp>##V3_BDHV12</stp>
        <stp>RCOM IN Equity</stp>
        <stp>IS_AMORT_OF_TOT_INTANG_P_BAS_SH</stp>
        <stp>FY 2015</stp>
        <stp>FY 2015</stp>
        <stp>[FA1_ymffleas.xlsx]SBC &amp; Amort!R27C9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7" s="13"/>
      </tp>
      <tp t="s">
        <v>—</v>
        <stp/>
        <stp>##V3_BDHV12</stp>
        <stp>RCOM IN Equity</stp>
        <stp>IS_AMORT_OF_TOT_INTANG_P_BAS_SH</stp>
        <stp>FY 2014</stp>
        <stp>FY 2014</stp>
        <stp>[FA1_ymffleas.xlsx]SBC &amp; Amort!R27C8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7" s="13"/>
      </tp>
      <tp>
        <v>1.0128999999999999</v>
        <stp/>
        <stp>##V3_BDHV12</stp>
        <stp>RCOM IN Equity</stp>
        <stp>HIGH_PX_TO_SALES_RATIO</stp>
        <stp>FY 2013</stp>
        <stp>FY 2013</stp>
        <stp>[FA1_ymffleas.xlsx]Multiples!R23C6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3" s="6"/>
      </tp>
      <tp>
        <v>9.0341000000000005</v>
        <stp/>
        <stp>##V3_BDHV12</stp>
        <stp>RCOM IN Equity</stp>
        <stp>IS_AMORT_OF_TOT_INTANG_P_BAS_SH</stp>
        <stp>FY 2011</stp>
        <stp>FY 2011</stp>
        <stp>[FA1_ymffleas.xlsx]SBC &amp; Amort!R27C5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7" s="13"/>
      </tp>
      <tp>
        <v>1.8452</v>
        <stp/>
        <stp>##V3_BDHV12</stp>
        <stp>RCOM IN Equity</stp>
        <stp>IS_AMORT_OF_TOT_INTANG_P_BAS_SH</stp>
        <stp>FY 2010</stp>
        <stp>FY 2010</stp>
        <stp>[FA1_ymffleas.xlsx]SBC &amp; Amort!R27C4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7" s="13"/>
      </tp>
      <tp>
        <v>6.1947999999999999</v>
        <stp/>
        <stp>##V3_BDHV12</stp>
        <stp>RCOM IN Equity</stp>
        <stp>IS_AMORT_OF_TOT_INTANG_P_BAS_SH</stp>
        <stp>FY 2013</stp>
        <stp>FY 2013</stp>
        <stp>[FA1_ymffleas.xlsx]SBC &amp; Amort!R27C7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7" s="13"/>
      </tp>
      <tp>
        <v>6.4504999999999999</v>
        <stp/>
        <stp>##V3_BDHV12</stp>
        <stp>RCOM IN Equity</stp>
        <stp>IS_AMORT_OF_TOT_INTANG_P_BAS_SH</stp>
        <stp>FY 2012</stp>
        <stp>FY 2012</stp>
        <stp>[FA1_ymffleas.xlsx]SBC &amp; Amort!R27C6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7" s="13"/>
      </tp>
      <tp>
        <v>65075.3</v>
        <stp/>
        <stp>##V3_BDHV12</stp>
        <stp>RCOM IN Equity</stp>
        <stp>ARD_TOT_CASH_FLOWS_FROM_OPS</stp>
        <stp>FY 2009</stp>
        <stp>FY 2009</stp>
        <stp>[FA1_ymffleas.xlsx]Cash Flow - As Reported!R16C3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" s="20"/>
      </tp>
      <tp>
        <v>38250</v>
        <stp/>
        <stp>##V3_BDHV12</stp>
        <stp>RCOM IN Equity</stp>
        <stp>ARD_TOT_CASH_FLOWS_FROM_OPS</stp>
        <stp>FY 2013</stp>
        <stp>FY 2013</stp>
        <stp>[FA1_ymffleas.xlsx]Cash Flow - As Reported!R16C7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" s="20"/>
      </tp>
      <tp>
        <v>57510</v>
        <stp/>
        <stp>##V3_BDHV12</stp>
        <stp>RCOM IN Equity</stp>
        <stp>ARD_TOT_CASH_FLOWS_FROM_OPS</stp>
        <stp>FY 2012</stp>
        <stp>FY 2012</stp>
        <stp>[FA1_ymffleas.xlsx]Cash Flow - As Reported!R16C6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" s="20"/>
      </tp>
      <tp>
        <v>24340</v>
        <stp/>
        <stp>##V3_BDHV12</stp>
        <stp>RCOM IN Equity</stp>
        <stp>ARD_TOT_CASH_FLOWS_FROM_OPS</stp>
        <stp>FY 2011</stp>
        <stp>FY 2011</stp>
        <stp>[FA1_ymffleas.xlsx]Cash Flow - As Reported!R16C5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" s="20"/>
      </tp>
      <tp>
        <v>96164.800000000003</v>
        <stp/>
        <stp>##V3_BDHV12</stp>
        <stp>RCOM IN Equity</stp>
        <stp>ARD_TOT_CASH_FLOWS_FROM_OPS</stp>
        <stp>FY 2010</stp>
        <stp>FY 2010</stp>
        <stp>[FA1_ymffleas.xlsx]Cash Flow - As Reported!R16C4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" s="20"/>
      </tp>
      <tp>
        <v>1.0682</v>
        <stp/>
        <stp>##V3_BDHV12</stp>
        <stp>RCOM IN Equity</stp>
        <stp>IS_AMORT_OF_TOT_INTANG_P_BAS_SH</stp>
        <stp>FY 2009</stp>
        <stp>FY 2009</stp>
        <stp>[FA1_ymffleas.xlsx]SBC &amp; Amort!R27C3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7" s="13"/>
      </tp>
      <tp>
        <v>31580</v>
        <stp/>
        <stp>##V3_BDHV12</stp>
        <stp>RCOM IN Equity</stp>
        <stp>ARD_TOT_CASH_FLOWS_FROM_OPS</stp>
        <stp>FY 2015</stp>
        <stp>FY 2015</stp>
        <stp>[FA1_ymffleas.xlsx]Cash Flow - As Reported!R16C9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" s="20"/>
      </tp>
      <tp>
        <v>68390</v>
        <stp/>
        <stp>##V3_BDHV12</stp>
        <stp>RCOM IN Equity</stp>
        <stp>ARD_TOT_CASH_FLOWS_FROM_OPS</stp>
        <stp>FY 2014</stp>
        <stp>FY 2014</stp>
        <stp>[FA1_ymffleas.xlsx]Cash Flow - As Reported!R16C8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" s="20"/>
      </tp>
      <tp>
        <v>27.733799999999999</v>
        <stp/>
        <stp>##V3_BDHV12</stp>
        <stp>RCOM IN Equity</stp>
        <stp>INT_BURDEN</stp>
        <stp>FY 2015</stp>
        <stp>FY 2015</stp>
        <stp>[FA1_ymffleas.xlsx]DuPont Analysis!R11C9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1" s="27"/>
      </tp>
      <tp>
        <v>88.567400000000006</v>
        <stp/>
        <stp>##V3_BDHV12</stp>
        <stp>RCOM IN Equity</stp>
        <stp>CASH_FLOW_GROWTH</stp>
        <stp>FY 2018</stp>
        <stp>FY 2018</stp>
        <stp>[FA1_ymffleas.xlsx]Growth!R30C12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30" s="22"/>
      </tp>
      <tp t="s">
        <v>—</v>
        <stp/>
        <stp>##V3_BDHV12</stp>
        <stp>RCOM IN Equity</stp>
        <stp>CASH_FLOW_GROWTH</stp>
        <stp>FY 2017</stp>
        <stp>FY 2017</stp>
        <stp>[FA1_ymffleas.xlsx]Growth!R30C11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0" s="22"/>
      </tp>
      <tp>
        <v>2826.1316999999999</v>
        <stp/>
        <stp>##V3_BDHV12</stp>
        <stp>RCOM IN Equity</stp>
        <stp>CASH_FLOW_GROWTH</stp>
        <stp>FY 2016</stp>
        <stp>FY 2016</stp>
        <stp>[FA1_ymffleas.xlsx]Growth!R30C10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0" s="22"/>
      </tp>
      <tp>
        <v>-920</v>
        <stp/>
        <stp>##V3_BDHV12</stp>
        <stp>RCOM IN Equity</stp>
        <stp>IS_DEFERRED_INCOME_TAX_BENEFIT</stp>
        <stp>FY 2017</stp>
        <stp>FY 2017</stp>
        <stp>[FA1_ymffleas.xlsx]Income - GAAP!R59C10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9" s="10"/>
      </tp>
      <tp>
        <v>120</v>
        <stp/>
        <stp>##V3_BDHV12</stp>
        <stp>RCOM IN Equity</stp>
        <stp>IS_DEFERRED_INCOME_TAX_BENEFIT</stp>
        <stp>FY 2018</stp>
        <stp>FY 2018</stp>
        <stp>[FA1_ymffleas.xlsx]Income - GAAP!R59C11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9" s="10"/>
      </tp>
      <tp>
        <v>24490</v>
        <stp/>
        <stp>##V3_BDHV12</stp>
        <stp>RCOM IN Equity</stp>
        <stp>BS_LT_INVEST</stp>
        <stp>FY 2014</stp>
        <stp>FY 2014</stp>
        <stp>[FA1_ymffleas.xlsx]Bal Sheet - Standardized!R49C8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9" s="16"/>
      </tp>
      <tp>
        <v>1250</v>
        <stp/>
        <stp>##V3_BDHV12</stp>
        <stp>RCOM IN Equity</stp>
        <stp>BS_LT_INVEST</stp>
        <stp>FY 2015</stp>
        <stp>FY 2015</stp>
        <stp>[FA1_ymffleas.xlsx]Bal Sheet - Standardized!R49C9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9" s="16"/>
      </tp>
      <tp>
        <v>1147.3</v>
        <stp/>
        <stp>##V3_BDHV12</stp>
        <stp>RCOM IN Equity</stp>
        <stp>BS_LT_INVEST</stp>
        <stp>FY 2010</stp>
        <stp>FY 2010</stp>
        <stp>[FA1_ymffleas.xlsx]Bal Sheet - Standardized!R49C4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9" s="16"/>
      </tp>
      <tp>
        <v>15720</v>
        <stp/>
        <stp>##V3_BDHV12</stp>
        <stp>RCOM IN Equity</stp>
        <stp>BS_LT_INVEST</stp>
        <stp>FY 2011</stp>
        <stp>FY 2011</stp>
        <stp>[FA1_ymffleas.xlsx]Bal Sheet - Standardized!R49C5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9" s="16"/>
      </tp>
      <tp>
        <v>14150</v>
        <stp/>
        <stp>##V3_BDHV12</stp>
        <stp>RCOM IN Equity</stp>
        <stp>BS_LT_INVEST</stp>
        <stp>FY 2012</stp>
        <stp>FY 2012</stp>
        <stp>[FA1_ymffleas.xlsx]Bal Sheet - Standardized!R49C6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9" s="16"/>
      </tp>
      <tp>
        <v>20700</v>
        <stp/>
        <stp>##V3_BDHV12</stp>
        <stp>RCOM IN Equity</stp>
        <stp>BS_LT_INVEST</stp>
        <stp>FY 2013</stp>
        <stp>FY 2013</stp>
        <stp>[FA1_ymffleas.xlsx]Bal Sheet - Standardized!R49C7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9" s="16"/>
      </tp>
      <tp>
        <v>2762.3</v>
        <stp/>
        <stp>##V3_BDHV12</stp>
        <stp>RCOM IN Equity</stp>
        <stp>BS_LT_INVEST</stp>
        <stp>FY 2009</stp>
        <stp>FY 2009</stp>
        <stp>[FA1_ymffleas.xlsx]Bal Sheet - Standardized!R49C3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9" s="16"/>
      </tp>
      <tp>
        <v>-2.9379999999999997</v>
        <stp/>
        <stp>##V3_BDHV12</stp>
        <stp>RCOM IN Equity</stp>
        <stp>OPERATING_INCOME_SEQ_GROWTH</stp>
        <stp>FY 2012</stp>
        <stp>FY 2012</stp>
        <stp>[FA1_ymffleas.xlsx]Growth!R62C6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62" s="22"/>
      </tp>
      <tp>
        <v>2.3388999999999998</v>
        <stp/>
        <stp>##V3_BDHV12</stp>
        <stp>RCOM IN Equity</stp>
        <stp>LOW_EV_TO_T12M_SALES</stp>
        <stp>FY 2016</stp>
        <stp>FY 2016</stp>
        <stp>[FA1_ymffleas.xlsx]Multiples!R39C9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39" s="6"/>
      </tp>
      <tp>
        <v>-20850</v>
        <stp/>
        <stp>##V3_BDHV12</stp>
        <stp>RCOM IN Equity</stp>
        <stp>OTHER_NONOP_INCOME_LOSS</stp>
        <stp>FY 2012</stp>
        <stp>FY 2012</stp>
        <stp>[FA1_ymffleas.xlsx]Income - GAAP!R51C5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51" s="10"/>
      </tp>
      <tp>
        <v>-4510</v>
        <stp/>
        <stp>##V3_BDHV12</stp>
        <stp>RCOM IN Equity</stp>
        <stp>OTHER_NONOP_INCOME_LOSS</stp>
        <stp>FY 2011</stp>
        <stp>FY 2011</stp>
        <stp>[FA1_ymffleas.xlsx]Income - GAAP!R51C4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51" s="10"/>
      </tp>
      <tp>
        <v>59.25</v>
        <stp/>
        <stp>##V3_BDHV12</stp>
        <stp>RCOM IN Equity</stp>
        <stp>PX_LAST</stp>
        <stp>FY 2015</stp>
        <stp>FY 2015</stp>
        <stp>[FA1_ymffleas.xlsx]Addl - Overview!R9C8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" s="29"/>
      </tp>
      <tp>
        <v>-13460</v>
        <stp/>
        <stp>##V3_BDHV12</stp>
        <stp>RCOM IN Equity</stp>
        <stp>OTHER_NONOP_INCOME_LOSS</stp>
        <stp>FY 2014</stp>
        <stp>FY 2014</stp>
        <stp>[FA1_ymffleas.xlsx]Income - GAAP!R51C7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51" s="10"/>
      </tp>
      <tp>
        <v>50</v>
        <stp/>
        <stp>##V3_BDHV12</stp>
        <stp>RCOM IN Equity</stp>
        <stp>PX_LAST</stp>
        <stp>FY 2016</stp>
        <stp>FY 2016</stp>
        <stp>[FA1_ymffleas.xlsx]Addl - Overview!R9C9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" s="29"/>
      </tp>
      <tp>
        <v>-16590</v>
        <stp/>
        <stp>##V3_BDHV12</stp>
        <stp>RCOM IN Equity</stp>
        <stp>OTHER_NONOP_INCOME_LOSS</stp>
        <stp>FY 2013</stp>
        <stp>FY 2013</stp>
        <stp>[FA1_ymffleas.xlsx]Income - GAAP!R51C6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51" s="10"/>
      </tp>
      <tp t="s">
        <v>—</v>
        <stp/>
        <stp>##V3_BDHV12</stp>
        <stp>RCOM IN Equity</stp>
        <stp>INVENT_TURN</stp>
        <stp>FY 2017</stp>
        <stp>FY 2017</stp>
        <stp>[FA1_ymffleas.xlsx]Working Capital!R8C11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8" s="25"/>
      </tp>
      <tp>
        <v>-4818.7</v>
        <stp/>
        <stp>##V3_BDHV12</stp>
        <stp>RCOM IN Equity</stp>
        <stp>OTHER_NONOP_INCOME_LOSS</stp>
        <stp>FY 2010</stp>
        <stp>FY 2010</stp>
        <stp>[FA1_ymffleas.xlsx]Income - GAAP!R51C3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51" s="10"/>
      </tp>
      <tp>
        <v>169.95</v>
        <stp/>
        <stp>##V3_BDHV12</stp>
        <stp>RCOM IN Equity</stp>
        <stp>PX_LAST</stp>
        <stp>FY 2010</stp>
        <stp>FY 2010</stp>
        <stp>[FA1_ymffleas.xlsx]Addl - Overview!R9C3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" s="29"/>
      </tp>
      <tp>
        <v>55.3</v>
        <stp/>
        <stp>##V3_BDHV12</stp>
        <stp>RCOM IN Equity</stp>
        <stp>PX_LAST</stp>
        <stp>FY 2013</stp>
        <stp>FY 2013</stp>
        <stp>[FA1_ymffleas.xlsx]Addl - Overview!R9C6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" s="29"/>
      </tp>
      <tp>
        <v>3120</v>
        <stp/>
        <stp>##V3_BDHV12</stp>
        <stp>RCOM IN Equity</stp>
        <stp>OTHER_NONOP_INCOME_LOSS</stp>
        <stp>FY 2016</stp>
        <stp>FY 2016</stp>
        <stp>[FA1_ymffleas.xlsx]Income - GAAP!R51C9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51" s="10"/>
      </tp>
      <tp>
        <v>128.9</v>
        <stp/>
        <stp>##V3_BDHV12</stp>
        <stp>RCOM IN Equity</stp>
        <stp>PX_LAST</stp>
        <stp>FY 2014</stp>
        <stp>FY 2014</stp>
        <stp>[FA1_ymffleas.xlsx]Addl - Overview!R9C7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" s="29"/>
      </tp>
      <tp>
        <v>-5220</v>
        <stp/>
        <stp>##V3_BDHV12</stp>
        <stp>RCOM IN Equity</stp>
        <stp>OTHER_NONOP_INCOME_LOSS</stp>
        <stp>FY 2015</stp>
        <stp>FY 2015</stp>
        <stp>[FA1_ymffleas.xlsx]Income - GAAP!R51C8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51" s="10"/>
      </tp>
      <tp>
        <v>107.65</v>
        <stp/>
        <stp>##V3_BDHV12</stp>
        <stp>RCOM IN Equity</stp>
        <stp>PX_LAST</stp>
        <stp>FY 2011</stp>
        <stp>FY 2011</stp>
        <stp>[FA1_ymffleas.xlsx]Addl - Overview!R9C4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" s="29"/>
      </tp>
      <tp>
        <v>84.05</v>
        <stp/>
        <stp>##V3_BDHV12</stp>
        <stp>RCOM IN Equity</stp>
        <stp>PX_LAST</stp>
        <stp>FY 2012</stp>
        <stp>FY 2012</stp>
        <stp>[FA1_ymffleas.xlsx]Addl - Overview!R9C5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" s="29"/>
      </tp>
      <tp>
        <v>2.59</v>
        <stp/>
        <stp>##V3_BDHV12</stp>
        <stp>RCOM IN Equity</stp>
        <stp>IS_EPS</stp>
        <stp>FY 2016</stp>
        <stp>FY 2016</stp>
        <stp>[FA1_ymffleas.xlsx]GAAP Highlights!R9C10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9" s="3"/>
      </tp>
      <tp t="s">
        <v>—</v>
        <stp/>
        <stp>##V3_BDHV12</stp>
        <stp>RCOM IN Equity</stp>
        <stp>IS_GAIN_LOSS_DISPOSAL_ASSETS</stp>
        <stp>FY 2017</stp>
        <stp>FY 2017</stp>
        <stp>[FA1_ymffleas.xlsx]Income - Adjusted!R60C10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0" s="9"/>
      </tp>
      <tp t="s">
        <v>—</v>
        <stp/>
        <stp>##V3_BDHV12</stp>
        <stp>RCOM IN Equity</stp>
        <stp>IS_GAIN_LOSS_DISPOSAL_ASSETS</stp>
        <stp>FY 2018</stp>
        <stp>FY 2018</stp>
        <stp>[FA1_ymffleas.xlsx]Income - Adjusted!R60C11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0" s="9"/>
      </tp>
      <tp>
        <v>3.4657999999999998</v>
        <stp/>
        <stp>##V3_BDHV12</stp>
        <stp>RCOM IN Equity</stp>
        <stp>PROF_MARGIN</stp>
        <stp>FY 2013</stp>
        <stp>FY 2013</stp>
        <stp>[FA1_ymffleas.xlsx]Income - Adjusted!R126C6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F126" s="9"/>
      </tp>
      <tp>
        <v>45930</v>
        <stp/>
        <stp>##V3_BDHV12</stp>
        <stp>RCOM IN Equity</stp>
        <stp>ARD_REVENUES</stp>
        <stp>FY 2018</stp>
        <stp>FY 2018</stp>
        <stp>[FA1_ymffleas.xlsx]As Reported Summary!R8C12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" s="30"/>
      </tp>
      <tp>
        <v>65540</v>
        <stp/>
        <stp>##V3_BDHV12</stp>
        <stp>RCOM IN Equity</stp>
        <stp>ARD_REVENUES</stp>
        <stp>FY 2017</stp>
        <stp>FY 2017</stp>
        <stp>[FA1_ymffleas.xlsx]As Reported Summary!R8C11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30"/>
      </tp>
      <tp>
        <v>219540</v>
        <stp/>
        <stp>##V3_BDHV12</stp>
        <stp>RCOM IN Equity</stp>
        <stp>ARD_REVENUES</stp>
        <stp>FY 2016</stp>
        <stp>FY 2016</stp>
        <stp>[FA1_ymffleas.xlsx]As Reported Summary!R8C10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30"/>
      </tp>
      <tp>
        <v>74.7</v>
        <stp/>
        <stp>##V3_BDHV12</stp>
        <stp>RCOM IN Equity</stp>
        <stp>ARD_TOTAL_EXCEPTIONAL_INC_CHARGE</stp>
        <stp>FY 2009</stp>
        <stp>FY 2009</stp>
        <stp>[FA1_ymffleas.xlsx]Income - As Reported!R31C3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1" s="11"/>
      </tp>
      <tp t="s">
        <v>—</v>
        <stp/>
        <stp>##V3_BDHV12</stp>
        <stp>RCOM IN Equity</stp>
        <stp>ARD_TOTAL_EXCEPTIONAL_INC_CHARGE</stp>
        <stp>FY 2012</stp>
        <stp>FY 2012</stp>
        <stp>[FA1_ymffleas.xlsx]Income - As Reported!R31C6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1" s="11"/>
      </tp>
      <tp t="s">
        <v>—</v>
        <stp/>
        <stp>##V3_BDHV12</stp>
        <stp>RCOM IN Equity</stp>
        <stp>ARD_TOTAL_EXCEPTIONAL_INC_CHARGE</stp>
        <stp>FY 2013</stp>
        <stp>FY 2013</stp>
        <stp>[FA1_ymffleas.xlsx]Income - As Reported!R31C7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1" s="11"/>
      </tp>
      <tp>
        <v>374.7</v>
        <stp/>
        <stp>##V3_BDHV12</stp>
        <stp>RCOM IN Equity</stp>
        <stp>ARD_TOTAL_EXCEPTIONAL_INC_CHARGE</stp>
        <stp>FY 2010</stp>
        <stp>FY 2010</stp>
        <stp>[FA1_ymffleas.xlsx]Income - As Reported!R31C4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1" s="11"/>
      </tp>
      <tp>
        <v>-50</v>
        <stp/>
        <stp>##V3_BDHV12</stp>
        <stp>RCOM IN Equity</stp>
        <stp>ARD_TOTAL_EXCEPTIONAL_INC_CHARGE</stp>
        <stp>FY 2011</stp>
        <stp>FY 2011</stp>
        <stp>[FA1_ymffleas.xlsx]Income - As Reported!R31C5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1" s="11"/>
      </tp>
      <tp t="s">
        <v>—</v>
        <stp/>
        <stp>##V3_BDHV12</stp>
        <stp>RCOM IN Equity</stp>
        <stp>ARD_TOTAL_EXCEPTIONAL_INC_CHARGE</stp>
        <stp>FY 2014</stp>
        <stp>FY 2014</stp>
        <stp>[FA1_ymffleas.xlsx]Income - As Reported!R31C8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1" s="11"/>
      </tp>
      <tp t="s">
        <v>—</v>
        <stp/>
        <stp>##V3_BDHV12</stp>
        <stp>RCOM IN Equity</stp>
        <stp>ARD_TOTAL_EXCEPTIONAL_INC_CHARGE</stp>
        <stp>FY 2015</stp>
        <stp>FY 2015</stp>
        <stp>[FA1_ymffleas.xlsx]Income - As Reported!R31C9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1" s="11"/>
      </tp>
      <tp>
        <v>0.81720000000000004</v>
        <stp/>
        <stp>##V3_BDHV12</stp>
        <stp>RCOM IN Equity</stp>
        <stp>AVERAGE_PRICE_TO_SALES_RATIO</stp>
        <stp>FY 2012</stp>
        <stp>FY 2012</stp>
        <stp>[FA1_ymffleas.xlsx]Multiples!R22C5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2" s="6"/>
      </tp>
      <tp>
        <v>-27857.8</v>
        <stp/>
        <stp>##V3_BDHV12</stp>
        <stp>RCOM IN Equity</stp>
        <stp>NON_CASH_ITEMS_DETAILED</stp>
        <stp>FY 2010</stp>
        <stp>FY 2010</stp>
        <stp>[FA1_ymffleas.xlsx]Cash Flow - Standardized!R9C3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" s="19"/>
      </tp>
      <tp>
        <v>-17720</v>
        <stp/>
        <stp>##V3_BDHV12</stp>
        <stp>RCOM IN Equity</stp>
        <stp>NON_CASH_ITEMS_DETAILED</stp>
        <stp>FY 2014</stp>
        <stp>FY 2014</stp>
        <stp>[FA1_ymffleas.xlsx]Cash Flow - Standardized!R9C7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" s="19"/>
      </tp>
      <tp>
        <v>-2730</v>
        <stp/>
        <stp>##V3_BDHV12</stp>
        <stp>RCOM IN Equity</stp>
        <stp>NON_CASH_ITEMS_DETAILED</stp>
        <stp>FY 2013</stp>
        <stp>FY 2013</stp>
        <stp>[FA1_ymffleas.xlsx]Cash Flow - Standardized!R9C6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" s="19"/>
      </tp>
      <tp>
        <v>-1590</v>
        <stp/>
        <stp>##V3_BDHV12</stp>
        <stp>RCOM IN Equity</stp>
        <stp>NON_CASH_ITEMS_DETAILED</stp>
        <stp>FY 2012</stp>
        <stp>FY 2012</stp>
        <stp>[FA1_ymffleas.xlsx]Cash Flow - Standardized!R9C5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" s="19"/>
      </tp>
      <tp>
        <v>-7300</v>
        <stp/>
        <stp>##V3_BDHV12</stp>
        <stp>RCOM IN Equity</stp>
        <stp>NON_CASH_ITEMS_DETAILED</stp>
        <stp>FY 2011</stp>
        <stp>FY 2011</stp>
        <stp>[FA1_ymffleas.xlsx]Cash Flow - Standardized!R9C4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" s="19"/>
      </tp>
      <tp>
        <v>21750</v>
        <stp/>
        <stp>##V3_BDHV12</stp>
        <stp>RCOM IN Equity</stp>
        <stp>NON_CASH_ITEMS_DETAILED</stp>
        <stp>FY 2016</stp>
        <stp>FY 2016</stp>
        <stp>[FA1_ymffleas.xlsx]Cash Flow - Standardized!R9C9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" s="19"/>
      </tp>
      <tp>
        <v>-2140</v>
        <stp/>
        <stp>##V3_BDHV12</stp>
        <stp>RCOM IN Equity</stp>
        <stp>NON_CASH_ITEMS_DETAILED</stp>
        <stp>FY 2015</stp>
        <stp>FY 2015</stp>
        <stp>[FA1_ymffleas.xlsx]Cash Flow - Standardized!R9C8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" s="19"/>
      </tp>
      <tp>
        <v>42.0899</v>
        <stp/>
        <stp>##V3_BDHV12</stp>
        <stp>RCOM IN Equity</stp>
        <stp>EBITDA_TO_REVENUE</stp>
        <stp>FY 2009</stp>
        <stp>FY 2009</stp>
        <stp>[FA1_ymffleas.xlsx]Profitability!R13C3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3" s="21"/>
      </tp>
      <tp>
        <v>3.4828999999999999</v>
        <stp/>
        <stp>##V3_BDHV12</stp>
        <stp>RCOM IN Equity</stp>
        <stp>PROF_MARGIN</stp>
        <stp>FY 2013</stp>
        <stp>FY 2013</stp>
        <stp>[FA1_ymffleas.xlsx]Income - GAAP!R104C6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04" s="10"/>
      </tp>
      <tp>
        <v>8560</v>
        <stp/>
        <stp>##V3_BDHV12</stp>
        <stp>RCOM IN Equity</stp>
        <stp>ARDR_WAGES_AND_SALARIES</stp>
        <stp>FY 2015</stp>
        <stp>FY 2015</stp>
        <stp>[FA1_ymffleas.xlsx]Income - As Reported!R107C9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7" s="11"/>
      </tp>
      <tp>
        <v>8750</v>
        <stp/>
        <stp>##V3_BDHV12</stp>
        <stp>RCOM IN Equity</stp>
        <stp>ARDR_WAGES_AND_SALARIES</stp>
        <stp>FY 2014</stp>
        <stp>FY 2014</stp>
        <stp>[FA1_ymffleas.xlsx]Income - As Reported!R107C8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7" s="11"/>
      </tp>
      <tp>
        <v>14441.3</v>
        <stp/>
        <stp>##V3_BDHV12</stp>
        <stp>RCOM IN Equity</stp>
        <stp>ARDR_WAGES_AND_SALARIES</stp>
        <stp>FY 2009</stp>
        <stp>FY 2009</stp>
        <stp>[FA1_ymffleas.xlsx]Income - As Reported!R107C3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7" s="11"/>
      </tp>
      <tp>
        <v>13250</v>
        <stp/>
        <stp>##V3_BDHV12</stp>
        <stp>RCOM IN Equity</stp>
        <stp>ARDR_WAGES_AND_SALARIES</stp>
        <stp>FY 2011</stp>
        <stp>FY 2011</stp>
        <stp>[FA1_ymffleas.xlsx]Income - As Reported!R107C5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7" s="11"/>
      </tp>
      <tp>
        <v>13458.2</v>
        <stp/>
        <stp>##V3_BDHV12</stp>
        <stp>RCOM IN Equity</stp>
        <stp>ARDR_WAGES_AND_SALARIES</stp>
        <stp>FY 2010</stp>
        <stp>FY 2010</stp>
        <stp>[FA1_ymffleas.xlsx]Income - As Reported!R107C4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7" s="11"/>
      </tp>
      <tp>
        <v>10570</v>
        <stp/>
        <stp>##V3_BDHV12</stp>
        <stp>RCOM IN Equity</stp>
        <stp>ARDR_WAGES_AND_SALARIES</stp>
        <stp>FY 2013</stp>
        <stp>FY 2013</stp>
        <stp>[FA1_ymffleas.xlsx]Income - As Reported!R107C7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7" s="11"/>
      </tp>
      <tp>
        <v>11480</v>
        <stp/>
        <stp>##V3_BDHV12</stp>
        <stp>RCOM IN Equity</stp>
        <stp>ARDR_WAGES_AND_SALARIES</stp>
        <stp>FY 2012</stp>
        <stp>FY 2012</stp>
        <stp>[FA1_ymffleas.xlsx]Income - As Reported!R107C6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7" s="11"/>
      </tp>
      <tp>
        <v>0</v>
        <stp/>
        <stp>##V3_BDHV12</stp>
        <stp>RCOM IN Equity</stp>
        <stp>DVD_PAYOUT_RATIO</stp>
        <stp>FY 2017</stp>
        <stp>FY 2017</stp>
        <stp>[FA1_ymffleas.xlsx]Profitability!R23C11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3" s="21"/>
      </tp>
      <tp>
        <v>14080</v>
        <stp/>
        <stp>##V3_BDHV12</stp>
        <stp>RCOM IN Equity</stp>
        <stp>ARD_CASH_AND_EQUIVALENTS</stp>
        <stp>FY 2015</stp>
        <stp>FY 2015</stp>
        <stp>[FA1_ymffleas.xlsx]Bal Sheet - As Reported!R39C9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9" s="17"/>
      </tp>
      <tp>
        <v>5040</v>
        <stp/>
        <stp>##V3_BDHV12</stp>
        <stp>RCOM IN Equity</stp>
        <stp>ARD_CASH_AND_EQUIVALENTS</stp>
        <stp>FY 2014</stp>
        <stp>FY 2014</stp>
        <stp>[FA1_ymffleas.xlsx]Bal Sheet - As Reported!R39C8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9" s="17"/>
      </tp>
      <tp>
        <v>7310</v>
        <stp/>
        <stp>##V3_BDHV12</stp>
        <stp>RCOM IN Equity</stp>
        <stp>ARD_CASH_AND_EQUIVALENTS</stp>
        <stp>FY 2013</stp>
        <stp>FY 2013</stp>
        <stp>[FA1_ymffleas.xlsx]Bal Sheet - As Reported!R39C7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9" s="17"/>
      </tp>
      <tp>
        <v>5500</v>
        <stp/>
        <stp>##V3_BDHV12</stp>
        <stp>RCOM IN Equity</stp>
        <stp>ARD_CASH_AND_EQUIVALENTS</stp>
        <stp>FY 2012</stp>
        <stp>FY 2012</stp>
        <stp>[FA1_ymffleas.xlsx]Bal Sheet - As Reported!R39C6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9" s="17"/>
      </tp>
      <tp>
        <v>48660</v>
        <stp/>
        <stp>##V3_BDHV12</stp>
        <stp>RCOM IN Equity</stp>
        <stp>ARD_CASH_AND_EQUIVALENTS</stp>
        <stp>FY 2011</stp>
        <stp>FY 2011</stp>
        <stp>[FA1_ymffleas.xlsx]Bal Sheet - As Reported!R39C5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9" s="17"/>
      </tp>
      <tp>
        <v>8185.4</v>
        <stp/>
        <stp>##V3_BDHV12</stp>
        <stp>RCOM IN Equity</stp>
        <stp>ARD_CASH_AND_EQUIVALENTS</stp>
        <stp>FY 2010</stp>
        <stp>FY 2010</stp>
        <stp>[FA1_ymffleas.xlsx]Bal Sheet - As Reported!R39C4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9" s="17"/>
      </tp>
      <tp>
        <v>16829</v>
        <stp/>
        <stp>##V3_BDHV12</stp>
        <stp>RCOM IN Equity</stp>
        <stp>ARD_CASH_AND_EQUIVALENTS</stp>
        <stp>FY 2009</stp>
        <stp>FY 2009</stp>
        <stp>[FA1_ymffleas.xlsx]Bal Sheet - As Reported!R39C3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9" s="17"/>
      </tp>
      <tp>
        <v>30.847100000000001</v>
        <stp/>
        <stp>##V3_BDHV12</stp>
        <stp>RCOM IN Equity</stp>
        <stp>HIGH_EV_TO_T12M_EBIT</stp>
        <stp>FY 2012</stp>
        <stp>FY 2012</stp>
        <stp>[FA1_ymffleas.xlsx]Multiples!R48C5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48" s="6"/>
      </tp>
      <tp>
        <v>3.05</v>
        <stp/>
        <stp>##V3_BDHV12</stp>
        <stp>RCOM IN Equity</stp>
        <stp>IS_EPS</stp>
        <stp>FY 2015</stp>
        <stp>FY 2015</stp>
        <stp>[FA1_ymffleas.xlsx]Income - GAAP!R88C8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88" s="10"/>
      </tp>
      <tp t="s">
        <v>—</v>
        <stp/>
        <stp>##V3_BDHV12</stp>
        <stp>RCOM IN Equity</stp>
        <stp>CASH_CONVERSION_CYCLE</stp>
        <stp>FY 2013</stp>
        <stp>FY 2013</stp>
        <stp>[FA1_ymffleas.xlsx]Bal Sheet - Standardized!R171C7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71" s="16"/>
      </tp>
      <tp>
        <v>6.2465999999999999</v>
        <stp/>
        <stp>##V3_BDHV12</stp>
        <stp>RCOM IN Equity</stp>
        <stp>IS_DILUTED_EPS</stp>
        <stp>FY 2011</stp>
        <stp>FY 2011</stp>
        <stp>[FA1_ymffleas.xlsx]Income - GAAP!R93C4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93" s="10"/>
      </tp>
      <tp>
        <v>0</v>
        <stp/>
        <stp>##V3_BDHV12</stp>
        <stp>RCOM IN Equity</stp>
        <stp>IS_OPEX_R&amp;D</stp>
        <stp>FY 2017</stp>
        <stp>FY 2017</stp>
        <stp>[FA1_ymffleas.xlsx]Income - Adjusted!R27C10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7" s="9"/>
      </tp>
      <tp>
        <v>0</v>
        <stp/>
        <stp>##V3_BDHV12</stp>
        <stp>RCOM IN Equity</stp>
        <stp>IS_OPEX_R&amp;D</stp>
        <stp>FY 2018</stp>
        <stp>FY 2018</stp>
        <stp>[FA1_ymffleas.xlsx]Income - Adjusted!R27C11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7" s="9"/>
      </tp>
      <tp t="s">
        <v>—</v>
        <stp/>
        <stp>##V3_BDHV12</stp>
        <stp>RCOM IN Equity</stp>
        <stp>EBITDA_AFT_CAPEX_TO_CASH_INT_PD</stp>
        <stp>FY 2018</stp>
        <stp>FY 2018</stp>
        <stp>[FA1_ymffleas.xlsx]Credit!R21C12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21" s="23"/>
      </tp>
      <tp>
        <v>0</v>
        <stp/>
        <stp>##V3_BDHV12</stp>
        <stp>RCOM IN Equity</stp>
        <stp>IS_XO_ITEMS_&amp;_ACCTG_CHNG_DIL_SH</stp>
        <stp>FY 2010</stp>
        <stp>FY 2010</stp>
        <stp>[FA1_ymffleas.xlsx]Reconciliation!R46C3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6" s="12"/>
      </tp>
      <tp>
        <v>0</v>
        <stp/>
        <stp>##V3_BDHV12</stp>
        <stp>RCOM IN Equity</stp>
        <stp>IS_XO_ITEMS_&amp;_ACCTG_CHNG_DIL_SH</stp>
        <stp>FY 2012</stp>
        <stp>FY 2012</stp>
        <stp>[FA1_ymffleas.xlsx]Reconciliation!R46C5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6" s="12"/>
      </tp>
      <tp>
        <v>0</v>
        <stp/>
        <stp>##V3_BDHV12</stp>
        <stp>RCOM IN Equity</stp>
        <stp>IS_XO_ITEMS_&amp;_ACCTG_CHNG_DIL_SH</stp>
        <stp>FY 2011</stp>
        <stp>FY 2011</stp>
        <stp>[FA1_ymffleas.xlsx]Reconciliation!R46C4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6" s="12"/>
      </tp>
      <tp>
        <v>0</v>
        <stp/>
        <stp>##V3_BDHV12</stp>
        <stp>RCOM IN Equity</stp>
        <stp>IS_XO_ITEMS_&amp;_ACCTG_CHNG_DIL_SH</stp>
        <stp>FY 2014</stp>
        <stp>FY 2014</stp>
        <stp>[FA1_ymffleas.xlsx]Reconciliation!R46C7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6" s="12"/>
      </tp>
      <tp>
        <v>0</v>
        <stp/>
        <stp>##V3_BDHV12</stp>
        <stp>RCOM IN Equity</stp>
        <stp>IS_XO_ITEMS_&amp;_ACCTG_CHNG_DIL_SH</stp>
        <stp>FY 2013</stp>
        <stp>FY 2013</stp>
        <stp>[FA1_ymffleas.xlsx]Reconciliation!R46C6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6" s="12"/>
      </tp>
      <tp>
        <v>1.7614000000000001</v>
        <stp/>
        <stp>##V3_BDHV12</stp>
        <stp>RCOM IN Equity</stp>
        <stp>HIGH_PX_TO_SALES_RATIO</stp>
        <stp>FY 2014</stp>
        <stp>FY 2014</stp>
        <stp>[FA1_ymffleas.xlsx]Multiples!R23C7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3" s="6"/>
      </tp>
      <tp>
        <v>0</v>
        <stp/>
        <stp>##V3_BDHV12</stp>
        <stp>RCOM IN Equity</stp>
        <stp>IS_XO_ITEMS_&amp;_ACCTG_CHNG_DIL_SH</stp>
        <stp>FY 2016</stp>
        <stp>FY 2016</stp>
        <stp>[FA1_ymffleas.xlsx]Reconciliation!R46C9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6" s="12"/>
      </tp>
      <tp>
        <v>0</v>
        <stp/>
        <stp>##V3_BDHV12</stp>
        <stp>RCOM IN Equity</stp>
        <stp>IS_XO_ITEMS_&amp;_ACCTG_CHNG_DIL_SH</stp>
        <stp>FY 2015</stp>
        <stp>FY 2015</stp>
        <stp>[FA1_ymffleas.xlsx]Reconciliation!R46C8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6" s="12"/>
      </tp>
      <tp>
        <v>38420</v>
        <stp/>
        <stp>##V3_BDHV12</stp>
        <stp>RCOM IN Equity</stp>
        <stp>LT_DEFERRED_REVENUE</stp>
        <stp>FY 2016</stp>
        <stp>FY 2016</stp>
        <stp>[FA1_ymffleas.xlsx]Bal Sheet - Standardized!R121C10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1" s="16"/>
      </tp>
      <tp>
        <v>33030</v>
        <stp/>
        <stp>##V3_BDHV12</stp>
        <stp>RCOM IN Equity</stp>
        <stp>LT_DEFERRED_REVENUE</stp>
        <stp>FY 2017</stp>
        <stp>FY 2017</stp>
        <stp>[FA1_ymffleas.xlsx]Bal Sheet - Standardized!R121C11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1" s="16"/>
      </tp>
      <tp>
        <v>29260</v>
        <stp/>
        <stp>##V3_BDHV12</stp>
        <stp>RCOM IN Equity</stp>
        <stp>LT_DEFERRED_REVENUE</stp>
        <stp>FY 2018</stp>
        <stp>FY 2018</stp>
        <stp>[FA1_ymffleas.xlsx]Bal Sheet - Standardized!R121C12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1" s="16"/>
      </tp>
      <tp>
        <v>158.89330000000001</v>
        <stp/>
        <stp>##V3_BDHV12</stp>
        <stp>RCOM IN Equity</stp>
        <stp>BOOK_VAL_PER_SH</stp>
        <stp>FY 2014</stp>
        <stp>FY 2014</stp>
        <stp>[FA1_ymffleas.xlsx]Addl - Overview!R28C7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8" s="29"/>
      </tp>
      <tp>
        <v>42210</v>
        <stp/>
        <stp>##V3_BDHV12</stp>
        <stp>RCOM IN Equity</stp>
        <stp>CF_DEPR_AMORT</stp>
        <stp>FY 2017</stp>
        <stp>FY 2017</stp>
        <stp>[FA1_ymffleas.xlsx]Cash Flow - Standardized!R8C10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19"/>
      </tp>
      <tp>
        <v>28670</v>
        <stp/>
        <stp>##V3_BDHV12</stp>
        <stp>RCOM IN Equity</stp>
        <stp>CF_DEPR_AMORT</stp>
        <stp>FY 2018</stp>
        <stp>FY 2018</stp>
        <stp>[FA1_ymffleas.xlsx]Cash Flow - Standardized!R8C11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19"/>
      </tp>
      <tp>
        <v>163.99979999999999</v>
        <stp/>
        <stp>##V3_BDHV12</stp>
        <stp>RCOM IN Equity</stp>
        <stp>BOOK_VAL_PER_SH</stp>
        <stp>FY 2013</stp>
        <stp>FY 2013</stp>
        <stp>[FA1_ymffleas.xlsx]Addl - Overview!R28C6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8" s="29"/>
      </tp>
      <tp>
        <v>58284.502099999998</v>
        <stp/>
        <stp>##V3_BDHV12</stp>
        <stp>RCOM IN Equity</stp>
        <stp>EARN_FOR_COMMON</stp>
        <stp>FY 2009</stp>
        <stp>FY 2009</stp>
        <stp>[FA1_ymffleas.xlsx]Earnings!R45C3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45" s="4"/>
      </tp>
      <tp>
        <v>16.9496</v>
        <stp/>
        <stp>##V3_BDHV12</stp>
        <stp>RCOM IN Equity</stp>
        <stp>DEPR_EXP_TO_NET_SALES</stp>
        <stp>FY 2011</stp>
        <stp>FY 2011</stp>
        <stp>[FA1_ymffleas.xlsx]CAPEX &amp; Depreciation!R7C5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7" s="28"/>
      </tp>
      <tp>
        <v>175.85040000000001</v>
        <stp/>
        <stp>##V3_BDHV12</stp>
        <stp>RCOM IN Equity</stp>
        <stp>BOOK_VAL_PER_SH</stp>
        <stp>FY 2012</stp>
        <stp>FY 2012</stp>
        <stp>[FA1_ymffleas.xlsx]Addl - Overview!R28C5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8" s="29"/>
      </tp>
      <tp>
        <v>196.21350000000001</v>
        <stp/>
        <stp>##V3_BDHV12</stp>
        <stp>RCOM IN Equity</stp>
        <stp>BOOK_VAL_PER_SH</stp>
        <stp>FY 2011</stp>
        <stp>FY 2011</stp>
        <stp>[FA1_ymffleas.xlsx]Addl - Overview!R28C4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8" s="29"/>
      </tp>
      <tp>
        <v>10829.2125</v>
        <stp/>
        <stp>##V3_BDHV12</stp>
        <stp>RCOM IN Equity</stp>
        <stp>EARN_FOR_COMMON</stp>
        <stp>FY 2011</stp>
        <stp>FY 2011</stp>
        <stp>[FA1_ymffleas.xlsx]Earnings!R45C5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45" s="4"/>
      </tp>
      <tp>
        <v>210.0779</v>
        <stp/>
        <stp>##V3_BDHV12</stp>
        <stp>RCOM IN Equity</stp>
        <stp>BOOK_VAL_PER_SH</stp>
        <stp>FY 2010</stp>
        <stp>FY 2010</stp>
        <stp>[FA1_ymffleas.xlsx]Addl - Overview!R28C3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8" s="29"/>
      </tp>
      <tp>
        <v>47190.099000000002</v>
        <stp/>
        <stp>##V3_BDHV12</stp>
        <stp>RCOM IN Equity</stp>
        <stp>EARN_FOR_COMMON</stp>
        <stp>FY 2010</stp>
        <stp>FY 2010</stp>
        <stp>[FA1_ymffleas.xlsx]Earnings!R45C4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45" s="4"/>
      </tp>
      <tp>
        <v>6686.9949999999999</v>
        <stp/>
        <stp>##V3_BDHV12</stp>
        <stp>RCOM IN Equity</stp>
        <stp>EARN_FOR_COMMON</stp>
        <stp>FY 2013</stp>
        <stp>FY 2013</stp>
        <stp>[FA1_ymffleas.xlsx]Earnings!R45C7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45" s="4"/>
      </tp>
      <tp>
        <v>11576.7</v>
        <stp/>
        <stp>##V3_BDHV12</stp>
        <stp>RCOM IN Equity</stp>
        <stp>EARN_FOR_COMMON</stp>
        <stp>FY 2012</stp>
        <stp>FY 2012</stp>
        <stp>[FA1_ymffleas.xlsx]Earnings!R45C6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45" s="4"/>
      </tp>
      <tp>
        <v>6930.7520000000004</v>
        <stp/>
        <stp>##V3_BDHV12</stp>
        <stp>RCOM IN Equity</stp>
        <stp>EARN_FOR_COMMON</stp>
        <stp>FY 2015</stp>
        <stp>FY 2015</stp>
        <stp>[FA1_ymffleas.xlsx]Earnings!R45C9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45" s="4"/>
      </tp>
      <tp>
        <v>10542.611000000001</v>
        <stp/>
        <stp>##V3_BDHV12</stp>
        <stp>RCOM IN Equity</stp>
        <stp>EARN_FOR_COMMON</stp>
        <stp>FY 2014</stp>
        <stp>FY 2014</stp>
        <stp>[FA1_ymffleas.xlsx]Earnings!R45C8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45" s="4"/>
      </tp>
      <tp>
        <v>180</v>
        <stp/>
        <stp>##V3_BDHV12</stp>
        <stp>RCOM IN Equity</stp>
        <stp>ARDR_OTHER_FINANCIAL_LOSSES</stp>
        <stp>FY 2018</stp>
        <stp>FY 2018</stp>
        <stp>[FA1_ymffleas.xlsx]Income - As Reported!R114C12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4" s="11"/>
      </tp>
      <tp>
        <v>300</v>
        <stp/>
        <stp>##V3_BDHV12</stp>
        <stp>RCOM IN Equity</stp>
        <stp>ARDR_OTHER_FINANCIAL_LOSSES</stp>
        <stp>FY 2017</stp>
        <stp>FY 2017</stp>
        <stp>[FA1_ymffleas.xlsx]Income - As Reported!R114C11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4" s="11"/>
      </tp>
      <tp>
        <v>6080</v>
        <stp/>
        <stp>##V3_BDHV12</stp>
        <stp>RCOM IN Equity</stp>
        <stp>ARDR_OTHER_FINANCIAL_LOSSES</stp>
        <stp>FY 2016</stp>
        <stp>FY 2016</stp>
        <stp>[FA1_ymffleas.xlsx]Income - As Reported!R114C10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4" s="11"/>
      </tp>
      <tp>
        <v>126.8914</v>
        <stp/>
        <stp>##V3_BDHV12</stp>
        <stp>RCOM IN Equity</stp>
        <stp>BOOK_VAL_PER_SH</stp>
        <stp>FY 2016</stp>
        <stp>FY 2016</stp>
        <stp>[FA1_ymffleas.xlsx]Addl - Overview!R28C9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8" s="29"/>
      </tp>
      <tp>
        <v>152.41589999999999</v>
        <stp/>
        <stp>##V3_BDHV12</stp>
        <stp>RCOM IN Equity</stp>
        <stp>BOOK_VAL_PER_SH</stp>
        <stp>FY 2015</stp>
        <stp>FY 2015</stp>
        <stp>[FA1_ymffleas.xlsx]Addl - Overview!R28C8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8" s="29"/>
      </tp>
      <tp>
        <v>2.0754000000000001</v>
        <stp/>
        <stp>##V3_BDHV12</stp>
        <stp>RCOM IN Equity</stp>
        <stp>OPER_INC_TO_INT_EXP</stp>
        <stp>FY 2011</stp>
        <stp>FY 2011</stp>
        <stp>[FA1_ymffleas.xlsx]Credit!R18C5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8" s="23"/>
      </tp>
      <tp>
        <v>47190.099000000002</v>
        <stp/>
        <stp>##V3_BDHV12</stp>
        <stp>RCOM IN Equity</stp>
        <stp>EARN_FOR_COMMON</stp>
        <stp>FY 2010</stp>
        <stp>FY 2010</stp>
        <stp>[FA1_ymffleas.xlsx]Reconciliation!R41C3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41" s="12"/>
      </tp>
      <tp>
        <v>6686.9949999999999</v>
        <stp/>
        <stp>##V3_BDHV12</stp>
        <stp>RCOM IN Equity</stp>
        <stp>EARN_FOR_COMMON</stp>
        <stp>FY 2013</stp>
        <stp>FY 2013</stp>
        <stp>[FA1_ymffleas.xlsx]Reconciliation!R41C6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41" s="12"/>
      </tp>
      <tp>
        <v>10542.611000000001</v>
        <stp/>
        <stp>##V3_BDHV12</stp>
        <stp>RCOM IN Equity</stp>
        <stp>EARN_FOR_COMMON</stp>
        <stp>FY 2014</stp>
        <stp>FY 2014</stp>
        <stp>[FA1_ymffleas.xlsx]Reconciliation!R41C7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41" s="12"/>
      </tp>
      <tp>
        <v>10829.2125</v>
        <stp/>
        <stp>##V3_BDHV12</stp>
        <stp>RCOM IN Equity</stp>
        <stp>EARN_FOR_COMMON</stp>
        <stp>FY 2011</stp>
        <stp>FY 2011</stp>
        <stp>[FA1_ymffleas.xlsx]Reconciliation!R41C4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41" s="12"/>
      </tp>
      <tp>
        <v>11576.7</v>
        <stp/>
        <stp>##V3_BDHV12</stp>
        <stp>RCOM IN Equity</stp>
        <stp>EARN_FOR_COMMON</stp>
        <stp>FY 2012</stp>
        <stp>FY 2012</stp>
        <stp>[FA1_ymffleas.xlsx]Reconciliation!R41C5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41" s="12"/>
      </tp>
      <tp>
        <v>15170</v>
        <stp/>
        <stp>##V3_BDHV12</stp>
        <stp>RCOM IN Equity</stp>
        <stp>ARD_PROF_BEFORE_TAX_MINORITY_INT</stp>
        <stp>FY 2011</stp>
        <stp>FY 2011</stp>
        <stp>[FA1_ymffleas.xlsx]Cash Flow - As Reported!R32C5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2" s="20"/>
      </tp>
      <tp>
        <v>52228.3</v>
        <stp/>
        <stp>##V3_BDHV12</stp>
        <stp>RCOM IN Equity</stp>
        <stp>ARD_PROF_BEFORE_TAX_MINORITY_INT</stp>
        <stp>FY 2010</stp>
        <stp>FY 2010</stp>
        <stp>[FA1_ymffleas.xlsx]Cash Flow - As Reported!R32C4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2" s="20"/>
      </tp>
      <tp>
        <v>8150</v>
        <stp/>
        <stp>##V3_BDHV12</stp>
        <stp>RCOM IN Equity</stp>
        <stp>ARD_PROF_BEFORE_TAX_MINORITY_INT</stp>
        <stp>FY 2013</stp>
        <stp>FY 2013</stp>
        <stp>[FA1_ymffleas.xlsx]Cash Flow - As Reported!R32C7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2" s="20"/>
      </tp>
      <tp>
        <v>8820</v>
        <stp/>
        <stp>##V3_BDHV12</stp>
        <stp>RCOM IN Equity</stp>
        <stp>ARD_PROF_BEFORE_TAX_MINORITY_INT</stp>
        <stp>FY 2012</stp>
        <stp>FY 2012</stp>
        <stp>[FA1_ymffleas.xlsx]Cash Flow - As Reported!R32C6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2" s="20"/>
      </tp>
      <tp>
        <v>61967.199999999997</v>
        <stp/>
        <stp>##V3_BDHV12</stp>
        <stp>RCOM IN Equity</stp>
        <stp>ARD_PROF_BEFORE_TAX_MINORITY_INT</stp>
        <stp>FY 2009</stp>
        <stp>FY 2009</stp>
        <stp>[FA1_ymffleas.xlsx]Cash Flow - As Reported!R32C3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2" s="20"/>
      </tp>
      <tp>
        <v>9460</v>
        <stp/>
        <stp>##V3_BDHV12</stp>
        <stp>RCOM IN Equity</stp>
        <stp>ARD_PROF_BEFORE_TAX_MINORITY_INT</stp>
        <stp>FY 2015</stp>
        <stp>FY 2015</stp>
        <stp>[FA1_ymffleas.xlsx]Cash Flow - As Reported!R32C9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2" s="20"/>
      </tp>
      <tp>
        <v>1160</v>
        <stp/>
        <stp>##V3_BDHV12</stp>
        <stp>RCOM IN Equity</stp>
        <stp>ARD_PROF_BEFORE_TAX_MINORITY_INT</stp>
        <stp>FY 2014</stp>
        <stp>FY 2014</stp>
        <stp>[FA1_ymffleas.xlsx]Cash Flow - As Reported!R32C8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2" s="20"/>
      </tp>
      <tp>
        <v>31.8505</v>
        <stp/>
        <stp>##V3_BDHV12</stp>
        <stp>RCOM IN Equity</stp>
        <stp>AVERAGE_EV_TO_T12M_EBIT</stp>
        <stp>FY 2014</stp>
        <stp>FY 2014</stp>
        <stp>[FA1_ymffleas.xlsx]Multiples!R47C7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47" s="6"/>
      </tp>
      <tp>
        <v>6930.7520000000004</v>
        <stp/>
        <stp>##V3_BDHV12</stp>
        <stp>RCOM IN Equity</stp>
        <stp>EARN_FOR_COMMON</stp>
        <stp>FY 2015</stp>
        <stp>FY 2015</stp>
        <stp>[FA1_ymffleas.xlsx]Reconciliation!R41C8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41" s="12"/>
      </tp>
      <tp>
        <v>4984.1149999999998</v>
        <stp/>
        <stp>##V3_BDHV12</stp>
        <stp>RCOM IN Equity</stp>
        <stp>EARN_FOR_COMMON</stp>
        <stp>FY 2016</stp>
        <stp>FY 2016</stp>
        <stp>[FA1_ymffleas.xlsx]Reconciliation!R41C9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41" s="12"/>
      </tp>
      <tp t="s">
        <v>—</v>
        <stp/>
        <stp>##V3_BDHV12</stp>
        <stp>RCOM IN Equity</stp>
        <stp>ARDR_OTHER_NONCURRENT_ASSET</stp>
        <stp>FY 2009</stp>
        <stp>FY 2009</stp>
        <stp>[FA1_ymffleas.xlsx]Bal Sheet - As Reported!R79C3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9" s="17"/>
      </tp>
      <tp t="s">
        <v>—</v>
        <stp/>
        <stp>##V3_BDHV12</stp>
        <stp>RCOM IN Equity</stp>
        <stp>ARDR_OTHER_NONCURRENT_ASSET</stp>
        <stp>FY 2010</stp>
        <stp>FY 2010</stp>
        <stp>[FA1_ymffleas.xlsx]Bal Sheet - As Reported!R79C4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9" s="17"/>
      </tp>
      <tp>
        <v>5430</v>
        <stp/>
        <stp>##V3_BDHV12</stp>
        <stp>RCOM IN Equity</stp>
        <stp>ARDR_OTHER_NONCURRENT_ASSET</stp>
        <stp>FY 2011</stp>
        <stp>FY 2011</stp>
        <stp>[FA1_ymffleas.xlsx]Bal Sheet - As Reported!R79C5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9" s="17"/>
      </tp>
      <tp>
        <v>14050</v>
        <stp/>
        <stp>##V3_BDHV12</stp>
        <stp>RCOM IN Equity</stp>
        <stp>ARDR_OTHER_NONCURRENT_ASSET</stp>
        <stp>FY 2012</stp>
        <stp>FY 2012</stp>
        <stp>[FA1_ymffleas.xlsx]Bal Sheet - As Reported!R79C6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9" s="17"/>
      </tp>
      <tp>
        <v>10580</v>
        <stp/>
        <stp>##V3_BDHV12</stp>
        <stp>RCOM IN Equity</stp>
        <stp>ARDR_OTHER_NONCURRENT_ASSET</stp>
        <stp>FY 2013</stp>
        <stp>FY 2013</stp>
        <stp>[FA1_ymffleas.xlsx]Bal Sheet - As Reported!R79C7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9" s="17"/>
      </tp>
      <tp>
        <v>12620</v>
        <stp/>
        <stp>##V3_BDHV12</stp>
        <stp>RCOM IN Equity</stp>
        <stp>ARDR_OTHER_NONCURRENT_ASSET</stp>
        <stp>FY 2014</stp>
        <stp>FY 2014</stp>
        <stp>[FA1_ymffleas.xlsx]Bal Sheet - As Reported!R79C8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9" s="17"/>
      </tp>
      <tp>
        <v>15520</v>
        <stp/>
        <stp>##V3_BDHV12</stp>
        <stp>RCOM IN Equity</stp>
        <stp>ARDR_OTHER_NONCURRENT_ASSET</stp>
        <stp>FY 2015</stp>
        <stp>FY 2015</stp>
        <stp>[FA1_ymffleas.xlsx]Bal Sheet - As Reported!R79C9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9" s="17"/>
      </tp>
      <tp>
        <v>37.668199999999999</v>
        <stp/>
        <stp>##V3_BDHV12</stp>
        <stp>RCOM IN Equity</stp>
        <stp>ACCOUNTS_RECEIVABLE_SEQ_GROWTH</stp>
        <stp>FY 2012</stp>
        <stp>FY 2012</stp>
        <stp>[FA1_ymffleas.xlsx]Growth!R69C6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9" s="22"/>
      </tp>
      <tp>
        <v>0</v>
        <stp/>
        <stp>##V3_BDHV12</stp>
        <stp>RCOM IN Equity</stp>
        <stp>DVD_PAYOUT_RATIO</stp>
        <stp>FY 2018</stp>
        <stp>FY 2018</stp>
        <stp>[FA1_ymffleas.xlsx]DuPont Analysis!R22C12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22" s="27"/>
      </tp>
      <tp>
        <v>-14.5494</v>
        <stp/>
        <stp>##V3_BDHV12</stp>
        <stp>RCOM IN Equity</stp>
        <stp>ACCOUNTS_RECEIVABLE_SEQ_GROWTH</stp>
        <stp>FY 2013</stp>
        <stp>FY 2013</stp>
        <stp>[FA1_ymffleas.xlsx]Growth!R69C7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9" s="22"/>
      </tp>
      <tp>
        <v>16.347100000000001</v>
        <stp/>
        <stp>##V3_BDHV12</stp>
        <stp>RCOM IN Equity</stp>
        <stp>ACCOUNTS_RECEIVABLE_SEQ_GROWTH</stp>
        <stp>FY 2010</stp>
        <stp>FY 2010</stp>
        <stp>[FA1_ymffleas.xlsx]Growth!R69C4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9" s="22"/>
      </tp>
      <tp>
        <v>107.57470000000001</v>
        <stp/>
        <stp>##V3_BDHV12</stp>
        <stp>RCOM IN Equity</stp>
        <stp>LOW_EV_TO_T12M_EBIT</stp>
        <stp>FY 2018</stp>
        <stp>FY 2018</stp>
        <stp>[FA1_ymffleas.xlsx]Multiples!R49C11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49" s="6"/>
      </tp>
      <tp>
        <v>1360</v>
        <stp/>
        <stp>##V3_BDHV12</stp>
        <stp>RCOM IN Equity</stp>
        <stp>ARDR_TOTAL_CAPITAL_LEASES</stp>
        <stp>FY 2015</stp>
        <stp>FY 2015</stp>
        <stp>[FA1_ymffleas.xlsx]Bal Sheet - As Reported!R114C9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4" s="17"/>
      </tp>
      <tp>
        <v>2900</v>
        <stp/>
        <stp>##V3_BDHV12</stp>
        <stp>RCOM IN Equity</stp>
        <stp>ARDR_TOTAL_CAPITAL_LEASES</stp>
        <stp>FY 2014</stp>
        <stp>FY 2014</stp>
        <stp>[FA1_ymffleas.xlsx]Bal Sheet - As Reported!R114C8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4" s="17"/>
      </tp>
      <tp t="s">
        <v>—</v>
        <stp/>
        <stp>##V3_BDHV12</stp>
        <stp>RCOM IN Equity</stp>
        <stp>ARDR_TOTAL_CAPITAL_LEASES</stp>
        <stp>FY 2011</stp>
        <stp>FY 2011</stp>
        <stp>[FA1_ymffleas.xlsx]Bal Sheet - As Reported!R114C5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4" s="17"/>
      </tp>
      <tp t="s">
        <v>—</v>
        <stp/>
        <stp>##V3_BDHV12</stp>
        <stp>RCOM IN Equity</stp>
        <stp>ARDR_TOTAL_CAPITAL_LEASES</stp>
        <stp>FY 2010</stp>
        <stp>FY 2010</stp>
        <stp>[FA1_ymffleas.xlsx]Bal Sheet - As Reported!R114C4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4" s="17"/>
      </tp>
      <tp t="s">
        <v>—</v>
        <stp/>
        <stp>##V3_BDHV12</stp>
        <stp>RCOM IN Equity</stp>
        <stp>ARDR_TOTAL_CAPITAL_LEASES</stp>
        <stp>FY 2013</stp>
        <stp>FY 2013</stp>
        <stp>[FA1_ymffleas.xlsx]Bal Sheet - As Reported!R114C7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4" s="17"/>
      </tp>
      <tp t="s">
        <v>—</v>
        <stp/>
        <stp>##V3_BDHV12</stp>
        <stp>RCOM IN Equity</stp>
        <stp>ARDR_TOTAL_CAPITAL_LEASES</stp>
        <stp>FY 2012</stp>
        <stp>FY 2012</stp>
        <stp>[FA1_ymffleas.xlsx]Bal Sheet - As Reported!R114C6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4" s="17"/>
      </tp>
      <tp t="s">
        <v>—</v>
        <stp/>
        <stp>##V3_BDHV12</stp>
        <stp>RCOM IN Equity</stp>
        <stp>ARDR_TOTAL_CAPITAL_LEASES</stp>
        <stp>FY 2009</stp>
        <stp>FY 2009</stp>
        <stp>[FA1_ymffleas.xlsx]Bal Sheet - As Reported!R114C3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4" s="17"/>
      </tp>
      <tp>
        <v>35.091500000000003</v>
        <stp/>
        <stp>##V3_BDHV12</stp>
        <stp>RCOM IN Equity</stp>
        <stp>ACCOUNTS_RECEIVABLE_SEQ_GROWTH</stp>
        <stp>FY 2011</stp>
        <stp>FY 2011</stp>
        <stp>[FA1_ymffleas.xlsx]Growth!R69C5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9" s="22"/>
      </tp>
      <tp>
        <v>-68.730199999999996</v>
        <stp/>
        <stp>##V3_BDHV12</stp>
        <stp>RCOM IN Equity</stp>
        <stp>ACCOUNTS_RECEIVABLE_SEQ_GROWTH</stp>
        <stp>FY 2009</stp>
        <stp>FY 2009</stp>
        <stp>[FA1_ymffleas.xlsx]Growth!R69C3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9" s="22"/>
      </tp>
      <tp>
        <v>740</v>
        <stp/>
        <stp>##V3_BDHV12</stp>
        <stp>RCOM IN Equity</stp>
        <stp>ARDR_MOTOR_VEHICLES_GROSS</stp>
        <stp>FY 2015</stp>
        <stp>FY 2015</stp>
        <stp>[FA1_ymffleas.xlsx]Bal Sheet - As Reported!R191C9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1" s="17"/>
      </tp>
      <tp>
        <v>730</v>
        <stp/>
        <stp>##V3_BDHV12</stp>
        <stp>RCOM IN Equity</stp>
        <stp>ARDR_MOTOR_VEHICLES_GROSS</stp>
        <stp>FY 2014</stp>
        <stp>FY 2014</stp>
        <stp>[FA1_ymffleas.xlsx]Bal Sheet - As Reported!R191C8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1" s="17"/>
      </tp>
      <tp>
        <v>740</v>
        <stp/>
        <stp>##V3_BDHV12</stp>
        <stp>RCOM IN Equity</stp>
        <stp>ARDR_MOTOR_VEHICLES_GROSS</stp>
        <stp>FY 2011</stp>
        <stp>FY 2011</stp>
        <stp>[FA1_ymffleas.xlsx]Bal Sheet - As Reported!R191C5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1" s="17"/>
      </tp>
      <tp>
        <v>757.6</v>
        <stp/>
        <stp>##V3_BDHV12</stp>
        <stp>RCOM IN Equity</stp>
        <stp>ARDR_MOTOR_VEHICLES_GROSS</stp>
        <stp>FY 2010</stp>
        <stp>FY 2010</stp>
        <stp>[FA1_ymffleas.xlsx]Bal Sheet - As Reported!R191C4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1" s="17"/>
      </tp>
      <tp>
        <v>740</v>
        <stp/>
        <stp>##V3_BDHV12</stp>
        <stp>RCOM IN Equity</stp>
        <stp>ARDR_MOTOR_VEHICLES_GROSS</stp>
        <stp>FY 2013</stp>
        <stp>FY 2013</stp>
        <stp>[FA1_ymffleas.xlsx]Bal Sheet - As Reported!R191C7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1" s="17"/>
      </tp>
      <tp>
        <v>740</v>
        <stp/>
        <stp>##V3_BDHV12</stp>
        <stp>RCOM IN Equity</stp>
        <stp>ARDR_MOTOR_VEHICLES_GROSS</stp>
        <stp>FY 2012</stp>
        <stp>FY 2012</stp>
        <stp>[FA1_ymffleas.xlsx]Bal Sheet - As Reported!R191C6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1" s="17"/>
      </tp>
      <tp>
        <v>762</v>
        <stp/>
        <stp>##V3_BDHV12</stp>
        <stp>RCOM IN Equity</stp>
        <stp>ARDR_MOTOR_VEHICLES_GROSS</stp>
        <stp>FY 2009</stp>
        <stp>FY 2009</stp>
        <stp>[FA1_ymffleas.xlsx]Bal Sheet - As Reported!R191C3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1" s="17"/>
      </tp>
      <tp t="s">
        <v>—</v>
        <stp/>
        <stp>##V3_BDHV12</stp>
        <stp>RCOM IN Equity</stp>
        <stp>IS_AMORT_OF_TOT_INTANG_PRETX</stp>
        <stp>FY 2018</stp>
        <stp>FY 2018</stp>
        <stp>[FA1_ymffleas.xlsx]SBC &amp; Amort!R25C12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5" s="13"/>
      </tp>
      <tp t="s">
        <v>—</v>
        <stp/>
        <stp>##V3_BDHV12</stp>
        <stp>RCOM IN Equity</stp>
        <stp>IS_AMORT_OF_TOT_INTANG_PRETX</stp>
        <stp>FY 2017</stp>
        <stp>FY 2017</stp>
        <stp>[FA1_ymffleas.xlsx]SBC &amp; Amort!R25C11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5" s="13"/>
      </tp>
      <tp t="s">
        <v>—</v>
        <stp/>
        <stp>##V3_BDHV12</stp>
        <stp>RCOM IN Equity</stp>
        <stp>IS_AMORT_OF_TOT_INTANG_PRETX</stp>
        <stp>FY 2016</stp>
        <stp>FY 2016</stp>
        <stp>[FA1_ymffleas.xlsx]SBC &amp; Amort!R25C10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5" s="13"/>
      </tp>
      <tp>
        <v>18210</v>
        <stp/>
        <stp>##V3_BDHV12</stp>
        <stp>RCOM IN Equity</stp>
        <stp>ARDR_OTHER_OPERATING_EXPENSES</stp>
        <stp>FY 2018</stp>
        <stp>FY 2018</stp>
        <stp>[FA1_ymffleas.xlsx]Income - As Reported!R68C12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8" s="11"/>
      </tp>
      <tp>
        <v>32520</v>
        <stp/>
        <stp>##V3_BDHV12</stp>
        <stp>RCOM IN Equity</stp>
        <stp>ARDR_OTHER_OPERATING_EXPENSES</stp>
        <stp>FY 2017</stp>
        <stp>FY 2017</stp>
        <stp>[FA1_ymffleas.xlsx]Income - As Reported!R68C11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8" s="11"/>
      </tp>
      <tp>
        <v>72870</v>
        <stp/>
        <stp>##V3_BDHV12</stp>
        <stp>RCOM IN Equity</stp>
        <stp>ARDR_OTHER_OPERATING_EXPENSES</stp>
        <stp>FY 2016</stp>
        <stp>FY 2016</stp>
        <stp>[FA1_ymffleas.xlsx]Income - As Reported!R68C10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8" s="11"/>
      </tp>
      <tp>
        <v>-28.399000000000001</v>
        <stp/>
        <stp>##V3_BDHV12</stp>
        <stp>RCOM IN Equity</stp>
        <stp>ACCOUNTS_RECEIVABLE_SEQ_GROWTH</stp>
        <stp>FY 2014</stp>
        <stp>FY 2014</stp>
        <stp>[FA1_ymffleas.xlsx]Growth!R69C8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9" s="22"/>
      </tp>
      <tp>
        <v>5.9450000000000003</v>
        <stp/>
        <stp>##V3_BDHV12</stp>
        <stp>RCOM IN Equity</stp>
        <stp>ACCOUNTS_RECEIVABLE_SEQ_GROWTH</stp>
        <stp>FY 2015</stp>
        <stp>FY 2015</stp>
        <stp>[FA1_ymffleas.xlsx]Growth!R69C9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9" s="22"/>
      </tp>
      <tp>
        <v>33.7879</v>
        <stp/>
        <stp>##V3_BDHV12</stp>
        <stp>RCOM IN Equity</stp>
        <stp>EBITDA_TO_REVENUE</stp>
        <stp>FY 2010</stp>
        <stp>FY 2010</stp>
        <stp>[FA1_ymffleas.xlsx]Profitability!R13C4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3" s="21"/>
      </tp>
      <tp>
        <v>0</v>
        <stp/>
        <stp>##V3_BDHV12</stp>
        <stp>RCOM IN Equity</stp>
        <stp>BS_MKT_SEC_OTHER_ST_INVEST</stp>
        <stp>FY 2018</stp>
        <stp>FY 2018</stp>
        <stp>[FA1_ymffleas.xlsx]Bal Sheet - Standardized!R11C12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" s="16"/>
      </tp>
      <tp>
        <v>0</v>
        <stp/>
        <stp>##V3_BDHV12</stp>
        <stp>RCOM IN Equity</stp>
        <stp>BS_MKT_SEC_OTHER_ST_INVEST</stp>
        <stp>FY 2017</stp>
        <stp>FY 2017</stp>
        <stp>[FA1_ymffleas.xlsx]Bal Sheet - Standardized!R11C11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" s="16"/>
      </tp>
      <tp>
        <v>0</v>
        <stp/>
        <stp>##V3_BDHV12</stp>
        <stp>RCOM IN Equity</stp>
        <stp>BS_MKT_SEC_OTHER_ST_INVEST</stp>
        <stp>FY 2016</stp>
        <stp>FY 2016</stp>
        <stp>[FA1_ymffleas.xlsx]Bal Sheet - Standardized!R11C10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" s="16"/>
      </tp>
      <tp t="s">
        <v>—</v>
        <stp/>
        <stp>##V3_BDHV12</stp>
        <stp>RCOM IN Equity</stp>
        <stp>ARD_PENSION_RELATED_ADJUSTMENTS</stp>
        <stp>FY 2011</stp>
        <stp>FY 2011</stp>
        <stp>[FA1_ymffleas.xlsx]Income - As Reported!R54C5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4" s="11"/>
      </tp>
      <tp t="s">
        <v>—</v>
        <stp/>
        <stp>##V3_BDHV12</stp>
        <stp>RCOM IN Equity</stp>
        <stp>ARD_PENSION_RELATED_ADJUSTMENTS</stp>
        <stp>FY 2010</stp>
        <stp>FY 2010</stp>
        <stp>[FA1_ymffleas.xlsx]Income - As Reported!R54C4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4" s="11"/>
      </tp>
      <tp t="s">
        <v>—</v>
        <stp/>
        <stp>##V3_BDHV12</stp>
        <stp>RCOM IN Equity</stp>
        <stp>ARD_PENSION_RELATED_ADJUSTMENTS</stp>
        <stp>FY 2013</stp>
        <stp>FY 2013</stp>
        <stp>[FA1_ymffleas.xlsx]Income - As Reported!R54C7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4" s="11"/>
      </tp>
      <tp t="s">
        <v>—</v>
        <stp/>
        <stp>##V3_BDHV12</stp>
        <stp>RCOM IN Equity</stp>
        <stp>ARD_PENSION_RELATED_ADJUSTMENTS</stp>
        <stp>FY 2012</stp>
        <stp>FY 2012</stp>
        <stp>[FA1_ymffleas.xlsx]Income - As Reported!R54C6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4" s="11"/>
      </tp>
      <tp t="s">
        <v>—</v>
        <stp/>
        <stp>##V3_BDHV12</stp>
        <stp>RCOM IN Equity</stp>
        <stp>ARD_PENSION_RELATED_ADJUSTMENTS</stp>
        <stp>FY 2009</stp>
        <stp>FY 2009</stp>
        <stp>[FA1_ymffleas.xlsx]Income - As Reported!R54C3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4" s="11"/>
      </tp>
      <tp t="s">
        <v>—</v>
        <stp/>
        <stp>##V3_BDHV12</stp>
        <stp>RCOM IN Equity</stp>
        <stp>ARD_PENSION_RELATED_ADJUSTMENTS</stp>
        <stp>FY 2015</stp>
        <stp>FY 2015</stp>
        <stp>[FA1_ymffleas.xlsx]Income - As Reported!R54C9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4" s="11"/>
      </tp>
      <tp t="s">
        <v>—</v>
        <stp/>
        <stp>##V3_BDHV12</stp>
        <stp>RCOM IN Equity</stp>
        <stp>ARD_PENSION_RELATED_ADJUSTMENTS</stp>
        <stp>FY 2014</stp>
        <stp>FY 2014</stp>
        <stp>[FA1_ymffleas.xlsx]Income - As Reported!R54C8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4" s="11"/>
      </tp>
      <tp>
        <v>916930</v>
        <stp/>
        <stp>##V3_BDHV12</stp>
        <stp>RCOM IN Equity</stp>
        <stp>BS_TOT_NON_CUR_ASSET</stp>
        <stp>FY 2016</stp>
        <stp>FY 2016</stp>
        <stp>[FA1_ymffleas.xlsx]Bal Sheet - Standardized!R69C10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9" s="16"/>
      </tp>
      <tp>
        <v>867240</v>
        <stp/>
        <stp>##V3_BDHV12</stp>
        <stp>RCOM IN Equity</stp>
        <stp>BS_TOT_NON_CUR_ASSET</stp>
        <stp>FY 2017</stp>
        <stp>FY 2017</stp>
        <stp>[FA1_ymffleas.xlsx]Bal Sheet - Standardized!R69C11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9" s="16"/>
      </tp>
      <tp>
        <v>291190</v>
        <stp/>
        <stp>##V3_BDHV12</stp>
        <stp>RCOM IN Equity</stp>
        <stp>BS_TOT_NON_CUR_ASSET</stp>
        <stp>FY 2018</stp>
        <stp>FY 2018</stp>
        <stp>[FA1_ymffleas.xlsx]Bal Sheet - Standardized!R69C12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9" s="16"/>
      </tp>
      <tp>
        <v>21.619299999999999</v>
        <stp/>
        <stp>##V3_BDHV12</stp>
        <stp>RCOM IN Equity</stp>
        <stp>IS_DILUTED_EPS</stp>
        <stp>FY 2010</stp>
        <stp>FY 2010</stp>
        <stp>[FA1_ymffleas.xlsx]Income - GAAP!R93C3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93" s="10"/>
      </tp>
      <tp>
        <v>40</v>
        <stp/>
        <stp>##V3_BDHV12</stp>
        <stp>RCOM IN Equity</stp>
        <stp>IS_GAIN_LOSS_ON_DISP_OF_AST_OP</stp>
        <stp>FY 2015</stp>
        <stp>FY 2015</stp>
        <stp>[FA1_ymffleas.xlsx]Reconciliation!R22C8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2" s="12"/>
      </tp>
      <tp>
        <v>160</v>
        <stp/>
        <stp>##V3_BDHV12</stp>
        <stp>RCOM IN Equity</stp>
        <stp>IS_GAIN_LOSS_ON_DISP_OF_AST_OP</stp>
        <stp>FY 2016</stp>
        <stp>FY 2016</stp>
        <stp>[FA1_ymffleas.xlsx]Reconciliation!R22C9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2" s="12"/>
      </tp>
      <tp>
        <v>14.9</v>
        <stp/>
        <stp>##V3_BDHV12</stp>
        <stp>RCOM IN Equity</stp>
        <stp>IS_GAIN_LOSS_ON_DISP_OF_AST_OP</stp>
        <stp>FY 2010</stp>
        <stp>FY 2010</stp>
        <stp>[FA1_ymffleas.xlsx]Reconciliation!R22C3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2" s="12"/>
      </tp>
      <tp>
        <v>0.8</v>
        <stp/>
        <stp>##V3_BDHV12</stp>
        <stp>RCOM IN Equity</stp>
        <stp>IS_GAIN_LOSS_ON_DISP_OF_AST_OP</stp>
        <stp>FY 2011</stp>
        <stp>FY 2011</stp>
        <stp>[FA1_ymffleas.xlsx]Reconciliation!R22C4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2" s="12"/>
      </tp>
      <tp t="s">
        <v>—</v>
        <stp/>
        <stp>##V3_BDHV12</stp>
        <stp>RCOM IN Equity</stp>
        <stp>IS_GAIN_LOSS_ON_DISP_OF_AST_OP</stp>
        <stp>FY 2012</stp>
        <stp>FY 2012</stp>
        <stp>[FA1_ymffleas.xlsx]Reconciliation!R22C5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2" s="12"/>
      </tp>
      <tp>
        <v>300</v>
        <stp/>
        <stp>##V3_BDHV12</stp>
        <stp>RCOM IN Equity</stp>
        <stp>IS_GAIN_LOSS_ON_DISP_OF_AST_OP</stp>
        <stp>FY 2013</stp>
        <stp>FY 2013</stp>
        <stp>[FA1_ymffleas.xlsx]Reconciliation!R22C6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2" s="12"/>
      </tp>
      <tp>
        <v>200</v>
        <stp/>
        <stp>##V3_BDHV12</stp>
        <stp>RCOM IN Equity</stp>
        <stp>IS_GAIN_LOSS_ON_DISP_OF_AST_OP</stp>
        <stp>FY 2014</stp>
        <stp>FY 2014</stp>
        <stp>[FA1_ymffleas.xlsx]Reconciliation!R22C7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2" s="12"/>
      </tp>
      <tp>
        <v>231830</v>
        <stp/>
        <stp>##V3_BDHV12</stp>
        <stp>RCOM IN Equity</stp>
        <stp>BS_ST_BORROW</stp>
        <stp>FY 2017</stp>
        <stp>FY 2017</stp>
        <stp>[FA1_ymffleas.xlsx]Bal Sheet - Standardized!R85C11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5" s="16"/>
      </tp>
      <tp>
        <v>145030</v>
        <stp/>
        <stp>##V3_BDHV12</stp>
        <stp>RCOM IN Equity</stp>
        <stp>BS_ST_BORROW</stp>
        <stp>FY 2016</stp>
        <stp>FY 2016</stp>
        <stp>[FA1_ymffleas.xlsx]Bal Sheet - Standardized!R85C10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5" s="16"/>
      </tp>
      <tp>
        <v>342130</v>
        <stp/>
        <stp>##V3_BDHV12</stp>
        <stp>RCOM IN Equity</stp>
        <stp>BS_ST_BORROW</stp>
        <stp>FY 2018</stp>
        <stp>FY 2018</stp>
        <stp>[FA1_ymffleas.xlsx]Bal Sheet - Standardized!R85C12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5" s="16"/>
      </tp>
      <tp>
        <v>18654.900000000001</v>
        <stp/>
        <stp>##V3_BDHV12</stp>
        <stp>RCOM IN Equity</stp>
        <stp>ARDR_GENERAL_ADMINISTRATIVE_EXP</stp>
        <stp>FY 2009</stp>
        <stp>FY 2009</stp>
        <stp>[FA1_ymffleas.xlsx]Income - As Reported!R75C3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5" s="11"/>
      </tp>
      <tp>
        <v>9680</v>
        <stp/>
        <stp>##V3_BDHV12</stp>
        <stp>RCOM IN Equity</stp>
        <stp>ARDR_GENERAL_ADMINISTRATIVE_EXP</stp>
        <stp>FY 2012</stp>
        <stp>FY 2012</stp>
        <stp>[FA1_ymffleas.xlsx]Income - As Reported!R75C6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5" s="11"/>
      </tp>
      <tp>
        <v>12080</v>
        <stp/>
        <stp>##V3_BDHV12</stp>
        <stp>RCOM IN Equity</stp>
        <stp>ARDR_GENERAL_ADMINISTRATIVE_EXP</stp>
        <stp>FY 2013</stp>
        <stp>FY 2013</stp>
        <stp>[FA1_ymffleas.xlsx]Income - As Reported!R75C7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5" s="11"/>
      </tp>
      <tp>
        <v>12829.5</v>
        <stp/>
        <stp>##V3_BDHV12</stp>
        <stp>RCOM IN Equity</stp>
        <stp>ARDR_GENERAL_ADMINISTRATIVE_EXP</stp>
        <stp>FY 2010</stp>
        <stp>FY 2010</stp>
        <stp>[FA1_ymffleas.xlsx]Income - As Reported!R75C4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5" s="11"/>
      </tp>
      <tp>
        <v>11710</v>
        <stp/>
        <stp>##V3_BDHV12</stp>
        <stp>RCOM IN Equity</stp>
        <stp>ARDR_GENERAL_ADMINISTRATIVE_EXP</stp>
        <stp>FY 2011</stp>
        <stp>FY 2011</stp>
        <stp>[FA1_ymffleas.xlsx]Income - As Reported!R75C5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5" s="11"/>
      </tp>
      <tp>
        <v>14770</v>
        <stp/>
        <stp>##V3_BDHV12</stp>
        <stp>RCOM IN Equity</stp>
        <stp>ARDR_GENERAL_ADMINISTRATIVE_EXP</stp>
        <stp>FY 2014</stp>
        <stp>FY 2014</stp>
        <stp>[FA1_ymffleas.xlsx]Income - As Reported!R75C8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5" s="11"/>
      </tp>
      <tp>
        <v>10320</v>
        <stp/>
        <stp>##V3_BDHV12</stp>
        <stp>RCOM IN Equity</stp>
        <stp>ARDR_GENERAL_ADMINISTRATIVE_EXP</stp>
        <stp>FY 2015</stp>
        <stp>FY 2015</stp>
        <stp>[FA1_ymffleas.xlsx]Income - As Reported!R75C9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5" s="11"/>
      </tp>
      <tp>
        <v>-4.2618</v>
        <stp/>
        <stp>##V3_BDHV12</stp>
        <stp>RCOM IN Equity</stp>
        <stp>GEO_GROW_EBITDA</stp>
        <stp>FY 2017</stp>
        <stp>FY 2017</stp>
        <stp>[FA1_ymffleas.xlsx]Growth!R37C11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37" s="22"/>
      </tp>
      <tp>
        <v>45930</v>
        <stp/>
        <stp>##V3_BDHV12</stp>
        <stp>RCOM IN Equity</stp>
        <stp>ARD_REVENUES</stp>
        <stp>FY 2018</stp>
        <stp>FY 2018</stp>
        <stp>[FA1_ymffleas.xlsx]Income - As Reported!R8C12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" s="11"/>
      </tp>
      <tp>
        <v>219540</v>
        <stp/>
        <stp>##V3_BDHV12</stp>
        <stp>RCOM IN Equity</stp>
        <stp>ARD_REVENUES</stp>
        <stp>FY 2016</stp>
        <stp>FY 2016</stp>
        <stp>[FA1_ymffleas.xlsx]Income - As Reported!R8C10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11"/>
      </tp>
      <tp>
        <v>65540</v>
        <stp/>
        <stp>##V3_BDHV12</stp>
        <stp>RCOM IN Equity</stp>
        <stp>ARD_REVENUES</stp>
        <stp>FY 2017</stp>
        <stp>FY 2017</stp>
        <stp>[FA1_ymffleas.xlsx]Income - As Reported!R8C11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11"/>
      </tp>
      <tp>
        <v>13.848599999999999</v>
        <stp/>
        <stp>##V3_BDHV12</stp>
        <stp>RCOM IN Equity</stp>
        <stp>DEPR_EXP_TO_NET_SALES</stp>
        <stp>FY 2010</stp>
        <stp>FY 2010</stp>
        <stp>[FA1_ymffleas.xlsx]CAPEX &amp; Depreciation!R7C4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7" s="28"/>
      </tp>
      <tp>
        <v>-74800</v>
        <stp/>
        <stp>##V3_BDHV12</stp>
        <stp>RCOM IN Equity</stp>
        <stp>CF_FREE_CASH_FLOW</stp>
        <stp>FY 2017</stp>
        <stp>FY 2017</stp>
        <stp>[FA1_ymffleas.xlsx]Adj Highlights!R25C10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5" s="2"/>
      </tp>
      <tp>
        <v>-9980</v>
        <stp/>
        <stp>##V3_BDHV12</stp>
        <stp>RCOM IN Equity</stp>
        <stp>CF_FREE_CASH_FLOW</stp>
        <stp>FY 2018</stp>
        <stp>FY 2018</stp>
        <stp>[FA1_ymffleas.xlsx]Adj Highlights!R25C11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5" s="2"/>
      </tp>
      <tp>
        <v>2.7029999999999998</v>
        <stp/>
        <stp>##V3_BDHV12</stp>
        <stp>RCOM IN Equity</stp>
        <stp>AVERAGE_PRICE_TO_TANGIBLE_BPS</stp>
        <stp>FY 2015</stp>
        <stp>FY 2015</stp>
        <stp>[FA1_ymffleas.xlsx]Multiples!R17C8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7" s="6"/>
      </tp>
      <tp>
        <v>1.0737000000000001</v>
        <stp/>
        <stp>##V3_BDHV12</stp>
        <stp>RCOM IN Equity</stp>
        <stp>AVERAGE_PRICE_TO_TANGIBLE_BPS</stp>
        <stp>FY 2016</stp>
        <stp>FY 2016</stp>
        <stp>[FA1_ymffleas.xlsx]Multiples!R17C9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7" s="6"/>
      </tp>
      <tp>
        <v>2.4157999999999999</v>
        <stp/>
        <stp>##V3_BDHV12</stp>
        <stp>RCOM IN Equity</stp>
        <stp>OPER_INC_TO_INT_EXP</stp>
        <stp>FY 2010</stp>
        <stp>FY 2010</stp>
        <stp>[FA1_ymffleas.xlsx]Credit!R18C4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8" s="23"/>
      </tp>
      <tp>
        <v>2.7008999999999999</v>
        <stp/>
        <stp>##V3_BDHV12</stp>
        <stp>RCOM IN Equity</stp>
        <stp>AVERAGE_PRICE_TO_TANGIBLE_BPS</stp>
        <stp>FY 2010</stp>
        <stp>FY 2010</stp>
        <stp>[FA1_ymffleas.xlsx]Multiples!R17C3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7" s="6"/>
      </tp>
      <tp>
        <v>1.6436999999999999</v>
        <stp/>
        <stp>##V3_BDHV12</stp>
        <stp>RCOM IN Equity</stp>
        <stp>AVERAGE_PRICE_TO_TANGIBLE_BPS</stp>
        <stp>FY 2013</stp>
        <stp>FY 2013</stp>
        <stp>[FA1_ymffleas.xlsx]Multiples!R17C6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7" s="6"/>
      </tp>
      <tp>
        <v>3.3569</v>
        <stp/>
        <stp>##V3_BDHV12</stp>
        <stp>RCOM IN Equity</stp>
        <stp>AVERAGE_PRICE_TO_TANGIBLE_BPS</stp>
        <stp>FY 2014</stp>
        <stp>FY 2014</stp>
        <stp>[FA1_ymffleas.xlsx]Multiples!R17C7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7" s="6"/>
      </tp>
      <tp>
        <v>1.5358000000000001</v>
        <stp/>
        <stp>##V3_BDHV12</stp>
        <stp>RCOM IN Equity</stp>
        <stp>AVERAGE_PRICE_TO_TANGIBLE_BPS</stp>
        <stp>FY 2011</stp>
        <stp>FY 2011</stp>
        <stp>[FA1_ymffleas.xlsx]Multiples!R17C4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7" s="6"/>
      </tp>
      <tp>
        <v>0.89400000000000002</v>
        <stp/>
        <stp>##V3_BDHV12</stp>
        <stp>RCOM IN Equity</stp>
        <stp>AVERAGE_PRICE_TO_TANGIBLE_BPS</stp>
        <stp>FY 2012</stp>
        <stp>FY 2012</stp>
        <stp>[FA1_ymffleas.xlsx]Multiples!R17C5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7" s="6"/>
      </tp>
      <tp>
        <v>2488.9796999999999</v>
        <stp/>
        <stp>##V3_BDHV12</stp>
        <stp>RCOM IN Equity</stp>
        <stp>BS_SH_OUT</stp>
        <stp>FY 2015</stp>
        <stp>FY 2015</stp>
        <stp>[FA1_ymffleas.xlsx]Addl - Overview!R10C8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0" s="29"/>
      </tp>
      <tp>
        <v>2488.9796999999999</v>
        <stp/>
        <stp>##V3_BDHV12</stp>
        <stp>RCOM IN Equity</stp>
        <stp>BS_SH_OUT</stp>
        <stp>FY 2016</stp>
        <stp>FY 2016</stp>
        <stp>[FA1_ymffleas.xlsx]Addl - Overview!R10C9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0" s="29"/>
      </tp>
      <tp>
        <v>0.86760000000000004</v>
        <stp/>
        <stp>##V3_BDHV12</stp>
        <stp>RCOM IN Equity</stp>
        <stp>PX_TO_CASH_FLOW</stp>
        <stp>FY 2016</stp>
        <stp>FY 2016</stp>
        <stp>[FA1_ymffleas.xlsx]Multiples!R26C9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6" s="6"/>
      </tp>
      <tp>
        <v>28.453499999999998</v>
        <stp/>
        <stp>##V3_BDHV12</stp>
        <stp>RCOM IN Equity</stp>
        <stp>PX_TO_CASH_FLOW</stp>
        <stp>FY 2015</stp>
        <stp>FY 2015</stp>
        <stp>[FA1_ymffleas.xlsx]Multiples!R26C8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6" s="6"/>
      </tp>
      <tp>
        <v>4.2592999999999996</v>
        <stp/>
        <stp>##V3_BDHV12</stp>
        <stp>RCOM IN Equity</stp>
        <stp>PX_TO_CASH_FLOW</stp>
        <stp>FY 2012</stp>
        <stp>FY 2012</stp>
        <stp>[FA1_ymffleas.xlsx]Multiples!R26C5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6" s="6"/>
      </tp>
      <tp>
        <v>20.726900000000001</v>
        <stp/>
        <stp>##V3_BDHV12</stp>
        <stp>RCOM IN Equity</stp>
        <stp>PX_TO_CASH_FLOW</stp>
        <stp>FY 2011</stp>
        <stp>FY 2011</stp>
        <stp>[FA1_ymffleas.xlsx]Multiples!R26C4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6" s="6"/>
      </tp>
      <tp>
        <v>6.8748000000000005</v>
        <stp/>
        <stp>##V3_BDHV12</stp>
        <stp>RCOM IN Equity</stp>
        <stp>PX_TO_CASH_FLOW</stp>
        <stp>FY 2014</stp>
        <stp>FY 2014</stp>
        <stp>[FA1_ymffleas.xlsx]Multiples!R26C7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6" s="6"/>
      </tp>
      <tp>
        <v>28.544</v>
        <stp/>
        <stp>##V3_BDHV12</stp>
        <stp>RCOM IN Equity</stp>
        <stp>AVERAGE_EV_TO_T12M_EBIT</stp>
        <stp>FY 2013</stp>
        <stp>FY 2013</stp>
        <stp>[FA1_ymffleas.xlsx]Multiples!R47C6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47" s="6"/>
      </tp>
      <tp>
        <v>2064.0268999999998</v>
        <stp/>
        <stp>##V3_BDHV12</stp>
        <stp>RCOM IN Equity</stp>
        <stp>BS_SH_OUT</stp>
        <stp>FY 2010</stp>
        <stp>FY 2010</stp>
        <stp>[FA1_ymffleas.xlsx]Addl - Overview!R10C3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0" s="29"/>
      </tp>
      <tp>
        <v>8.3314000000000004</v>
        <stp/>
        <stp>##V3_BDHV12</stp>
        <stp>RCOM IN Equity</stp>
        <stp>PX_TO_CASH_FLOW</stp>
        <stp>FY 2013</stp>
        <stp>FY 2013</stp>
        <stp>[FA1_ymffleas.xlsx]Multiples!R26C6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6" s="6"/>
      </tp>
      <tp>
        <v>2064.0268999999998</v>
        <stp/>
        <stp>##V3_BDHV12</stp>
        <stp>RCOM IN Equity</stp>
        <stp>BS_SH_OUT</stp>
        <stp>FY 2011</stp>
        <stp>FY 2011</stp>
        <stp>[FA1_ymffleas.xlsx]Addl - Overview!R10C4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0" s="29"/>
      </tp>
      <tp>
        <v>2064.0268999999998</v>
        <stp/>
        <stp>##V3_BDHV12</stp>
        <stp>RCOM IN Equity</stp>
        <stp>BS_SH_OUT</stp>
        <stp>FY 2012</stp>
        <stp>FY 2012</stp>
        <stp>[FA1_ymffleas.xlsx]Addl - Overview!R10C5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0" s="29"/>
      </tp>
      <tp>
        <v>2064.0268999999998</v>
        <stp/>
        <stp>##V3_BDHV12</stp>
        <stp>RCOM IN Equity</stp>
        <stp>BS_SH_OUT</stp>
        <stp>FY 2013</stp>
        <stp>FY 2013</stp>
        <stp>[FA1_ymffleas.xlsx]Addl - Overview!R10C6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0" s="29"/>
      </tp>
      <tp>
        <v>4.2906000000000004</v>
        <stp/>
        <stp>##V3_BDHV12</stp>
        <stp>RCOM IN Equity</stp>
        <stp>PX_TO_CASH_FLOW</stp>
        <stp>FY 2010</stp>
        <stp>FY 2010</stp>
        <stp>[FA1_ymffleas.xlsx]Multiples!R26C3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6" s="6"/>
      </tp>
      <tp>
        <v>2064.0268999999998</v>
        <stp/>
        <stp>##V3_BDHV12</stp>
        <stp>RCOM IN Equity</stp>
        <stp>BS_SH_OUT</stp>
        <stp>FY 2014</stp>
        <stp>FY 2014</stp>
        <stp>[FA1_ymffleas.xlsx]Addl - Overview!R10C7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0" s="29"/>
      </tp>
      <tp>
        <v>18.033300000000001</v>
        <stp/>
        <stp>##V3_BDHV12</stp>
        <stp>RCOM IN Equity</stp>
        <stp>LOW_EV_TO_T12M_EBIT</stp>
        <stp>FY 2017</stp>
        <stp>FY 2017</stp>
        <stp>[FA1_ymffleas.xlsx]Multiples!R49C10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49" s="6"/>
      </tp>
      <tp>
        <v>89255.8</v>
        <stp/>
        <stp>##V3_BDHV12</stp>
        <stp>RCOM IN Equity</stp>
        <stp>ARD_TOT_CF_FROM_OPS_BEF_WORK_CAP</stp>
        <stp>FY 2009</stp>
        <stp>FY 2009</stp>
        <stp>[FA1_ymffleas.xlsx]Cash Flow - As Reported!R20C3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" s="20"/>
      </tp>
      <tp>
        <v>85610</v>
        <stp/>
        <stp>##V3_BDHV12</stp>
        <stp>RCOM IN Equity</stp>
        <stp>ARD_TOT_CF_FROM_OPS_BEF_WORK_CAP</stp>
        <stp>FY 2011</stp>
        <stp>FY 2011</stp>
        <stp>[FA1_ymffleas.xlsx]Cash Flow - As Reported!R20C5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" s="20"/>
      </tp>
      <tp>
        <v>73687.399999999994</v>
        <stp/>
        <stp>##V3_BDHV12</stp>
        <stp>RCOM IN Equity</stp>
        <stp>ARD_TOT_CF_FROM_OPS_BEF_WORK_CAP</stp>
        <stp>FY 2010</stp>
        <stp>FY 2010</stp>
        <stp>[FA1_ymffleas.xlsx]Cash Flow - As Reported!R20C4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" s="20"/>
      </tp>
      <tp>
        <v>64950</v>
        <stp/>
        <stp>##V3_BDHV12</stp>
        <stp>RCOM IN Equity</stp>
        <stp>ARD_TOT_CF_FROM_OPS_BEF_WORK_CAP</stp>
        <stp>FY 2013</stp>
        <stp>FY 2013</stp>
        <stp>[FA1_ymffleas.xlsx]Cash Flow - As Reported!R20C7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" s="20"/>
      </tp>
      <tp>
        <v>63440</v>
        <stp/>
        <stp>##V3_BDHV12</stp>
        <stp>RCOM IN Equity</stp>
        <stp>ARD_TOT_CF_FROM_OPS_BEF_WORK_CAP</stp>
        <stp>FY 2012</stp>
        <stp>FY 2012</stp>
        <stp>[FA1_ymffleas.xlsx]Cash Flow - As Reported!R20C6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" s="20"/>
      </tp>
      <tp>
        <v>74250</v>
        <stp/>
        <stp>##V3_BDHV12</stp>
        <stp>RCOM IN Equity</stp>
        <stp>ARD_TOT_CF_FROM_OPS_BEF_WORK_CAP</stp>
        <stp>FY 2015</stp>
        <stp>FY 2015</stp>
        <stp>[FA1_ymffleas.xlsx]Cash Flow - As Reported!R20C9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" s="20"/>
      </tp>
      <tp>
        <v>70500</v>
        <stp/>
        <stp>##V3_BDHV12</stp>
        <stp>RCOM IN Equity</stp>
        <stp>ARD_TOT_CF_FROM_OPS_BEF_WORK_CAP</stp>
        <stp>FY 2014</stp>
        <stp>FY 2014</stp>
        <stp>[FA1_ymffleas.xlsx]Cash Flow - As Reported!R20C8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" s="20"/>
      </tp>
      <tp>
        <v>1010</v>
        <stp/>
        <stp>##V3_BDHV12</stp>
        <stp>RCOM IN Equity</stp>
        <stp>LT_CAPITAL_LEASE_OBLIGATIONS</stp>
        <stp>FY 2016</stp>
        <stp>FY 2016</stp>
        <stp>[FA1_ymffleas.xlsx]Bal Sheet - Standardized!R107C10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7" s="16"/>
      </tp>
      <tp>
        <v>880</v>
        <stp/>
        <stp>##V3_BDHV12</stp>
        <stp>RCOM IN Equity</stp>
        <stp>LT_CAPITAL_LEASE_OBLIGATIONS</stp>
        <stp>FY 2017</stp>
        <stp>FY 2017</stp>
        <stp>[FA1_ymffleas.xlsx]Bal Sheet - Standardized!R107C11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7" s="16"/>
      </tp>
      <tp>
        <v>0</v>
        <stp/>
        <stp>##V3_BDHV12</stp>
        <stp>RCOM IN Equity</stp>
        <stp>LT_CAPITAL_LEASE_OBLIGATIONS</stp>
        <stp>FY 2018</stp>
        <stp>FY 2018</stp>
        <stp>[FA1_ymffleas.xlsx]Bal Sheet - Standardized!R107C12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7" s="16"/>
      </tp>
      <tp>
        <v>2.2757999999999998</v>
        <stp/>
        <stp>##V3_BDHV12</stp>
        <stp>RCOM IN Equity</stp>
        <stp>AVERAGE_PRICE_TO_SALES_RATIO</stp>
        <stp>FY 2010</stp>
        <stp>FY 2010</stp>
        <stp>[FA1_ymffleas.xlsx]Multiples!R22C3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2" s="6"/>
      </tp>
      <tp>
        <v>37.9193</v>
        <stp/>
        <stp>##V3_BDHV12</stp>
        <stp>RCOM IN Equity</stp>
        <stp>EBITDA_TO_REVENUE</stp>
        <stp>FY 2011</stp>
        <stp>FY 2011</stp>
        <stp>[FA1_ymffleas.xlsx]Profitability!R13C5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3" s="21"/>
      </tp>
      <tp>
        <v>25000</v>
        <stp/>
        <stp>##V3_BDHV12</stp>
        <stp>RCOM IN Equity</stp>
        <stp>ARDR_AUTHORIZED_CAPITAL</stp>
        <stp>FY 2018</stp>
        <stp>FY 2018</stp>
        <stp>[FA1_ymffleas.xlsx]Bal Sheet - As Reported!R136C12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6" s="17"/>
      </tp>
      <tp>
        <v>25000</v>
        <stp/>
        <stp>##V3_BDHV12</stp>
        <stp>RCOM IN Equity</stp>
        <stp>ARDR_AUTHORIZED_CAPITAL</stp>
        <stp>FY 2017</stp>
        <stp>FY 2017</stp>
        <stp>[FA1_ymffleas.xlsx]Bal Sheet - As Reported!R136C11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6" s="17"/>
      </tp>
      <tp>
        <v>25000</v>
        <stp/>
        <stp>##V3_BDHV12</stp>
        <stp>RCOM IN Equity</stp>
        <stp>ARDR_AUTHORIZED_CAPITAL</stp>
        <stp>FY 2016</stp>
        <stp>FY 2016</stp>
        <stp>[FA1_ymffleas.xlsx]Bal Sheet - As Reported!R136C10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6" s="17"/>
      </tp>
      <tp t="s">
        <v>—</v>
        <stp/>
        <stp>##V3_BDHV12</stp>
        <stp>RCOM IN Equity</stp>
        <stp>ARDR_FINAL_DIVIDEND_PER_SHARE</stp>
        <stp>FY 2017</stp>
        <stp>FY 2017</stp>
        <stp>[FA1_ymffleas.xlsx]Income - As Reported!R104C11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04" s="11"/>
      </tp>
      <tp t="s">
        <v>—</v>
        <stp/>
        <stp>##V3_BDHV12</stp>
        <stp>RCOM IN Equity</stp>
        <stp>ARDR_FINAL_DIVIDEND_PER_SHARE</stp>
        <stp>FY 2016</stp>
        <stp>FY 2016</stp>
        <stp>[FA1_ymffleas.xlsx]Income - As Reported!R104C10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04" s="11"/>
      </tp>
      <tp t="s">
        <v>—</v>
        <stp/>
        <stp>##V3_BDHV12</stp>
        <stp>RCOM IN Equity</stp>
        <stp>ARDR_FINAL_DIVIDEND_PER_SHARE</stp>
        <stp>FY 2018</stp>
        <stp>FY 2018</stp>
        <stp>[FA1_ymffleas.xlsx]Income - As Reported!R104C12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04" s="11"/>
      </tp>
      <tp>
        <v>19.742899999999999</v>
        <stp/>
        <stp>##V3_BDHV12</stp>
        <stp>RCOM IN Equity</stp>
        <stp>HIGH_EV_TO_T12M_EBIT</stp>
        <stp>FY 2010</stp>
        <stp>FY 2010</stp>
        <stp>[FA1_ymffleas.xlsx]Multiples!R48C3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48" s="6"/>
      </tp>
      <tp>
        <v>0</v>
        <stp/>
        <stp>##V3_BDHV12</stp>
        <stp>RCOM IN Equity</stp>
        <stp>ARDR_CRNT_CAPITAL_LEASE</stp>
        <stp>FY 2018</stp>
        <stp>FY 2018</stp>
        <stp>[FA1_ymffleas.xlsx]Bal Sheet - As Reported!R198C12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8" s="17"/>
      </tp>
      <tp>
        <v>20</v>
        <stp/>
        <stp>##V3_BDHV12</stp>
        <stp>RCOM IN Equity</stp>
        <stp>ARDR_CRNT_CAPITAL_LEASE</stp>
        <stp>FY 2017</stp>
        <stp>FY 2017</stp>
        <stp>[FA1_ymffleas.xlsx]Bal Sheet - As Reported!R198C11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8" s="17"/>
      </tp>
      <tp>
        <v>100</v>
        <stp/>
        <stp>##V3_BDHV12</stp>
        <stp>RCOM IN Equity</stp>
        <stp>ARDR_CRNT_CAPITAL_LEASE</stp>
        <stp>FY 2016</stp>
        <stp>FY 2016</stp>
        <stp>[FA1_ymffleas.xlsx]Bal Sheet - As Reported!R198C10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8" s="17"/>
      </tp>
      <tp>
        <v>39.610100000000003</v>
        <stp/>
        <stp>##V3_BDHV12</stp>
        <stp>RCOM IN Equity</stp>
        <stp>CASH_FLOW_PER_SH</stp>
        <stp>FY 2010</stp>
        <stp>FY 2010</stp>
        <stp>[FA1_ymffleas.xlsx]Per Share!R22C3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2" s="7"/>
      </tp>
      <tp>
        <v>22.553000000000001</v>
        <stp/>
        <stp>##V3_BDHV12</stp>
        <stp>RCOM IN Equity</stp>
        <stp>IS_EARN_BEF_XO_ITEMS_PER_SH</stp>
        <stp>FY 2010</stp>
        <stp>FY 2010</stp>
        <stp>[FA1_ymffleas.xlsx]Income - Adjusted!R111C3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11" s="9"/>
      </tp>
      <tp>
        <v>19.7333</v>
        <stp/>
        <stp>##V3_BDHV12</stp>
        <stp>RCOM IN Equity</stp>
        <stp>CASH_FLOW_PER_SH</stp>
        <stp>FY 2012</stp>
        <stp>FY 2012</stp>
        <stp>[FA1_ymffleas.xlsx]Per Share!R22C5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2" s="7"/>
      </tp>
      <tp>
        <v>4.5</v>
        <stp/>
        <stp>##V3_BDHV12</stp>
        <stp>RCOM IN Equity</stp>
        <stp>IS_EARN_BEF_XO_ITEMS_PER_SH</stp>
        <stp>FY 2012</stp>
        <stp>FY 2012</stp>
        <stp>[FA1_ymffleas.xlsx]Income - Adjusted!R111C5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11" s="9"/>
      </tp>
      <tp>
        <v>5.1936999999999998</v>
        <stp/>
        <stp>##V3_BDHV12</stp>
        <stp>RCOM IN Equity</stp>
        <stp>CASH_FLOW_PER_SH</stp>
        <stp>FY 2011</stp>
        <stp>FY 2011</stp>
        <stp>[FA1_ymffleas.xlsx]Per Share!R22C4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2" s="7"/>
      </tp>
      <tp>
        <v>6.5164</v>
        <stp/>
        <stp>##V3_BDHV12</stp>
        <stp>RCOM IN Equity</stp>
        <stp>IS_EARN_BEF_XO_ITEMS_PER_SH</stp>
        <stp>FY 2011</stp>
        <stp>FY 2011</stp>
        <stp>[FA1_ymffleas.xlsx]Income - Adjusted!R111C4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11" s="9"/>
      </tp>
      <tp>
        <v>18.7498</v>
        <stp/>
        <stp>##V3_BDHV12</stp>
        <stp>RCOM IN Equity</stp>
        <stp>CASH_FLOW_PER_SH</stp>
        <stp>FY 2014</stp>
        <stp>FY 2014</stp>
        <stp>[FA1_ymffleas.xlsx]Per Share!R22C7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2" s="7"/>
      </tp>
      <tp>
        <v>5.07</v>
        <stp/>
        <stp>##V3_BDHV12</stp>
        <stp>RCOM IN Equity</stp>
        <stp>IS_EARN_BEF_XO_ITEMS_PER_SH</stp>
        <stp>FY 2014</stp>
        <stp>FY 2014</stp>
        <stp>[FA1_ymffleas.xlsx]Income - Adjusted!R111C7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11" s="9"/>
      </tp>
      <tp>
        <v>6.6375000000000002</v>
        <stp/>
        <stp>##V3_BDHV12</stp>
        <stp>RCOM IN Equity</stp>
        <stp>CASH_FLOW_PER_SH</stp>
        <stp>FY 2013</stp>
        <stp>FY 2013</stp>
        <stp>[FA1_ymffleas.xlsx]Per Share!R22C6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2" s="7"/>
      </tp>
      <tp>
        <v>3.26</v>
        <stp/>
        <stp>##V3_BDHV12</stp>
        <stp>RCOM IN Equity</stp>
        <stp>IS_EARN_BEF_XO_ITEMS_PER_SH</stp>
        <stp>FY 2013</stp>
        <stp>FY 2013</stp>
        <stp>[FA1_ymffleas.xlsx]Income - Adjusted!R111C6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11" s="9"/>
      </tp>
      <tp t="s">
        <v>—</v>
        <stp/>
        <stp>##V3_BDHV12</stp>
        <stp>RCOM IN Equity</stp>
        <stp>ARD_FINANCIAL_INCOME</stp>
        <stp>FY 2016</stp>
        <stp>FY 2016</stp>
        <stp>[FA1_ymffleas.xlsx]Income - As Reported!R34C10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4" s="11"/>
      </tp>
      <tp t="s">
        <v>—</v>
        <stp/>
        <stp>##V3_BDHV12</stp>
        <stp>RCOM IN Equity</stp>
        <stp>ARD_FINANCIAL_INCOME</stp>
        <stp>FY 2017</stp>
        <stp>FY 2017</stp>
        <stp>[FA1_ymffleas.xlsx]Income - As Reported!R34C11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4" s="11"/>
      </tp>
      <tp t="s">
        <v>—</v>
        <stp/>
        <stp>##V3_BDHV12</stp>
        <stp>RCOM IN Equity</stp>
        <stp>ARD_FINANCIAL_INCOME</stp>
        <stp>FY 2018</stp>
        <stp>FY 2018</stp>
        <stp>[FA1_ymffleas.xlsx]Income - As Reported!R34C12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4" s="11"/>
      </tp>
      <tp>
        <v>57.628500000000003</v>
        <stp/>
        <stp>##V3_BDHV12</stp>
        <stp>RCOM IN Equity</stp>
        <stp>CASH_FLOW_PER_SH</stp>
        <stp>FY 2016</stp>
        <stp>FY 2016</stp>
        <stp>[FA1_ymffleas.xlsx]Per Share!R22C9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2" s="7"/>
      </tp>
      <tp>
        <v>2.59</v>
        <stp/>
        <stp>##V3_BDHV12</stp>
        <stp>RCOM IN Equity</stp>
        <stp>IS_EARN_BEF_XO_ITEMS_PER_SH</stp>
        <stp>FY 2016</stp>
        <stp>FY 2016</stp>
        <stp>[FA1_ymffleas.xlsx]Income - Adjusted!R111C9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11" s="9"/>
      </tp>
      <tp>
        <v>2.0823</v>
        <stp/>
        <stp>##V3_BDHV12</stp>
        <stp>RCOM IN Equity</stp>
        <stp>CASH_FLOW_PER_SH</stp>
        <stp>FY 2015</stp>
        <stp>FY 2015</stp>
        <stp>[FA1_ymffleas.xlsx]Per Share!R22C8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2" s="7"/>
      </tp>
      <tp>
        <v>3.05</v>
        <stp/>
        <stp>##V3_BDHV12</stp>
        <stp>RCOM IN Equity</stp>
        <stp>IS_EARN_BEF_XO_ITEMS_PER_SH</stp>
        <stp>FY 2015</stp>
        <stp>FY 2015</stp>
        <stp>[FA1_ymffleas.xlsx]Income - Adjusted!R111C8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11" s="9"/>
      </tp>
      <tp>
        <v>-2.8193000000000001</v>
        <stp/>
        <stp>##V3_BDHV12</stp>
        <stp>RCOM IN Equity</stp>
        <stp>GEO_GROW_EBITDA</stp>
        <stp>FY 2016</stp>
        <stp>FY 2016</stp>
        <stp>[FA1_ymffleas.xlsx]Growth!R37C10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37" s="22"/>
      </tp>
      <tp>
        <v>5120</v>
        <stp/>
        <stp>##V3_BDHV12</stp>
        <stp>RCOM IN Equity</stp>
        <stp>ARDR_MIN_NONCONTROL_INT_SE</stp>
        <stp>FY 2015</stp>
        <stp>FY 2015</stp>
        <stp>[FA1_ymffleas.xlsx]Bal Sheet - As Reported!R94C9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4" s="17"/>
      </tp>
      <tp>
        <v>7430</v>
        <stp/>
        <stp>##V3_BDHV12</stp>
        <stp>RCOM IN Equity</stp>
        <stp>ARDR_MIN_NONCONTROL_INT_SE</stp>
        <stp>FY 2014</stp>
        <stp>FY 2014</stp>
        <stp>[FA1_ymffleas.xlsx]Bal Sheet - As Reported!R94C8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4" s="17"/>
      </tp>
      <tp>
        <v>6549.2</v>
        <stp/>
        <stp>##V3_BDHV12</stp>
        <stp>RCOM IN Equity</stp>
        <stp>ARDR_MIN_NONCONTROL_INT_SE</stp>
        <stp>FY 2009</stp>
        <stp>FY 2009</stp>
        <stp>[FA1_ymffleas.xlsx]Bal Sheet - As Reported!R94C3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4" s="17"/>
      </tp>
      <tp>
        <v>8240</v>
        <stp/>
        <stp>##V3_BDHV12</stp>
        <stp>RCOM IN Equity</stp>
        <stp>ARDR_MIN_NONCONTROL_INT_SE</stp>
        <stp>FY 2011</stp>
        <stp>FY 2011</stp>
        <stp>[FA1_ymffleas.xlsx]Bal Sheet - As Reported!R94C5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4" s="17"/>
      </tp>
      <tp>
        <v>6583.9</v>
        <stp/>
        <stp>##V3_BDHV12</stp>
        <stp>RCOM IN Equity</stp>
        <stp>ARDR_MIN_NONCONTROL_INT_SE</stp>
        <stp>FY 2010</stp>
        <stp>FY 2010</stp>
        <stp>[FA1_ymffleas.xlsx]Bal Sheet - As Reported!R94C4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4" s="17"/>
      </tp>
      <tp>
        <v>7250</v>
        <stp/>
        <stp>##V3_BDHV12</stp>
        <stp>RCOM IN Equity</stp>
        <stp>ARDR_MIN_NONCONTROL_INT_SE</stp>
        <stp>FY 2013</stp>
        <stp>FY 2013</stp>
        <stp>[FA1_ymffleas.xlsx]Bal Sheet - As Reported!R94C7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4" s="17"/>
      </tp>
      <tp>
        <v>8600</v>
        <stp/>
        <stp>##V3_BDHV12</stp>
        <stp>RCOM IN Equity</stp>
        <stp>ARDR_MIN_NONCONTROL_INT_SE</stp>
        <stp>FY 2012</stp>
        <stp>FY 2012</stp>
        <stp>[FA1_ymffleas.xlsx]Bal Sheet - As Reported!R94C6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4" s="17"/>
      </tp>
      <tp>
        <v>9.8890999999999991</v>
        <stp/>
        <stp>##V3_BDHV12</stp>
        <stp>RCOM IN Equity</stp>
        <stp>DEPR_EXP_TO_NET_SALES</stp>
        <stp>FY 2013</stp>
        <stp>FY 2013</stp>
        <stp>[FA1_ymffleas.xlsx]CAPEX &amp; Depreciation!R7C7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7" s="28"/>
      </tp>
      <tp>
        <v>15.409800000000001</v>
        <stp/>
        <stp>##V3_BDHV12</stp>
        <stp>RCOM IN Equity</stp>
        <stp>ACCOUNTS_PAYABLE_5_YEAR_GROWTH</stp>
        <stp>FY 2017</stp>
        <stp>FY 2017</stp>
        <stp>[FA1_ymffleas.xlsx]Growth!R50C11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50" s="22"/>
      </tp>
      <tp>
        <v>25.0443</v>
        <stp/>
        <stp>##V3_BDHV12</stp>
        <stp>RCOM IN Equity</stp>
        <stp>ACCOUNTS_PAYABLE_5_YEAR_GROWTH</stp>
        <stp>FY 2016</stp>
        <stp>FY 2016</stp>
        <stp>[FA1_ymffleas.xlsx]Growth!R50C10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50" s="22"/>
      </tp>
      <tp>
        <v>15.542199999999999</v>
        <stp/>
        <stp>##V3_BDHV12</stp>
        <stp>RCOM IN Equity</stp>
        <stp>ACCOUNTS_PAYABLE_5_YEAR_GROWTH</stp>
        <stp>FY 2018</stp>
        <stp>FY 2018</stp>
        <stp>[FA1_ymffleas.xlsx]Growth!R50C12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50" s="22"/>
      </tp>
      <tp>
        <v>280</v>
        <stp/>
        <stp>##V3_BDHV12</stp>
        <stp>RCOM IN Equity</stp>
        <stp>ARDR_OP_LEASES_EXP_2_TO_5YRS</stp>
        <stp>FY 2015</stp>
        <stp>FY 2015</stp>
        <stp>[FA1_ymffleas.xlsx]Bal Sheet - As Reported!R170C9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0" s="17"/>
      </tp>
      <tp>
        <v>460</v>
        <stp/>
        <stp>##V3_BDHV12</stp>
        <stp>RCOM IN Equity</stp>
        <stp>ARDR_OP_LEASES_EXP_2_TO_5YRS</stp>
        <stp>FY 2014</stp>
        <stp>FY 2014</stp>
        <stp>[FA1_ymffleas.xlsx]Bal Sheet - As Reported!R170C8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0" s="17"/>
      </tp>
      <tp>
        <v>26.5</v>
        <stp/>
        <stp>##V3_BDHV12</stp>
        <stp>RCOM IN Equity</stp>
        <stp>ARDR_OP_LEASES_EXP_2_TO_5YRS</stp>
        <stp>FY 2009</stp>
        <stp>FY 2009</stp>
        <stp>[FA1_ymffleas.xlsx]Bal Sheet - As Reported!R170C3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0" s="17"/>
      </tp>
      <tp>
        <v>20</v>
        <stp/>
        <stp>##V3_BDHV12</stp>
        <stp>RCOM IN Equity</stp>
        <stp>ARDR_OP_LEASES_EXP_2_TO_5YRS</stp>
        <stp>FY 2011</stp>
        <stp>FY 2011</stp>
        <stp>[FA1_ymffleas.xlsx]Bal Sheet - As Reported!R170C5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0" s="17"/>
      </tp>
      <tp>
        <v>20398.900000000001</v>
        <stp/>
        <stp>##V3_BDHV12</stp>
        <stp>RCOM IN Equity</stp>
        <stp>ARDR_OP_LEASES_EXP_2_TO_5YRS</stp>
        <stp>FY 2010</stp>
        <stp>FY 2010</stp>
        <stp>[FA1_ymffleas.xlsx]Bal Sheet - As Reported!R170C4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0" s="17"/>
      </tp>
      <tp>
        <v>140</v>
        <stp/>
        <stp>##V3_BDHV12</stp>
        <stp>RCOM IN Equity</stp>
        <stp>ARDR_OP_LEASES_EXP_2_TO_5YRS</stp>
        <stp>FY 2013</stp>
        <stp>FY 2013</stp>
        <stp>[FA1_ymffleas.xlsx]Bal Sheet - As Reported!R170C7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0" s="17"/>
      </tp>
      <tp>
        <v>20</v>
        <stp/>
        <stp>##V3_BDHV12</stp>
        <stp>RCOM IN Equity</stp>
        <stp>ARDR_OP_LEASES_EXP_2_TO_5YRS</stp>
        <stp>FY 2012</stp>
        <stp>FY 2012</stp>
        <stp>[FA1_ymffleas.xlsx]Bal Sheet - As Reported!R170C6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0" s="17"/>
      </tp>
      <tp>
        <v>498010</v>
        <stp/>
        <stp>##V3_BDHV12</stp>
        <stp>RCOM IN Equity</stp>
        <stp>ARD_PROPERTY_PLANT_EQUIP_NET</stp>
        <stp>FY 2017</stp>
        <stp>FY 2017</stp>
        <stp>[FA1_ymffleas.xlsx]Bal Sheet - As Reported!R28C11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8" s="17"/>
      </tp>
      <tp>
        <v>507740</v>
        <stp/>
        <stp>##V3_BDHV12</stp>
        <stp>RCOM IN Equity</stp>
        <stp>ARD_PROPERTY_PLANT_EQUIP_NET</stp>
        <stp>FY 2016</stp>
        <stp>FY 2016</stp>
        <stp>[FA1_ymffleas.xlsx]Bal Sheet - As Reported!R28C10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8" s="17"/>
      </tp>
      <tp>
        <v>165010</v>
        <stp/>
        <stp>##V3_BDHV12</stp>
        <stp>RCOM IN Equity</stp>
        <stp>ARD_PROPERTY_PLANT_EQUIP_NET</stp>
        <stp>FY 2018</stp>
        <stp>FY 2018</stp>
        <stp>[FA1_ymffleas.xlsx]Bal Sheet - As Reported!R28C12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8" s="17"/>
      </tp>
      <tp>
        <v>0.9254</v>
        <stp/>
        <stp>##V3_BDHV12</stp>
        <stp>RCOM IN Equity</stp>
        <stp>OPER_INC_TO_INT_EXP</stp>
        <stp>FY 2013</stp>
        <stp>FY 2013</stp>
        <stp>[FA1_ymffleas.xlsx]Credit!R18C7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8" s="23"/>
      </tp>
      <tp t="s">
        <v>—</v>
        <stp/>
        <stp>##V3_BDHV12</stp>
        <stp>RCOM IN Equity</stp>
        <stp>ARD_INCOME_TAX_EXP_BENEFIT</stp>
        <stp>FY 2014</stp>
        <stp>FY 2014</stp>
        <stp>[FA1_ymffleas.xlsx]Income - As Reported!R26C8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6" s="11"/>
      </tp>
      <tp t="s">
        <v>—</v>
        <stp/>
        <stp>##V3_BDHV12</stp>
        <stp>RCOM IN Equity</stp>
        <stp>ARD_INCOME_TAX_EXP_BENEFIT</stp>
        <stp>FY 2015</stp>
        <stp>FY 2015</stp>
        <stp>[FA1_ymffleas.xlsx]Income - As Reported!R26C9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6" s="11"/>
      </tp>
      <tp t="s">
        <v>—</v>
        <stp/>
        <stp>##V3_BDHV12</stp>
        <stp>RCOM IN Equity</stp>
        <stp>ARD_INCOME_TAX_EXP_BENEFIT</stp>
        <stp>FY 2012</stp>
        <stp>FY 2012</stp>
        <stp>[FA1_ymffleas.xlsx]Income - As Reported!R26C6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6" s="11"/>
      </tp>
      <tp t="s">
        <v>—</v>
        <stp/>
        <stp>##V3_BDHV12</stp>
        <stp>RCOM IN Equity</stp>
        <stp>ARD_INCOME_TAX_EXP_BENEFIT</stp>
        <stp>FY 2013</stp>
        <stp>FY 2013</stp>
        <stp>[FA1_ymffleas.xlsx]Income - As Reported!R26C7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6" s="11"/>
      </tp>
      <tp t="s">
        <v>—</v>
        <stp/>
        <stp>##V3_BDHV12</stp>
        <stp>RCOM IN Equity</stp>
        <stp>ARD_INCOME_TAX_EXP_BENEFIT</stp>
        <stp>FY 2010</stp>
        <stp>FY 2010</stp>
        <stp>[FA1_ymffleas.xlsx]Income - As Reported!R26C4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6" s="11"/>
      </tp>
      <tp t="s">
        <v>—</v>
        <stp/>
        <stp>##V3_BDHV12</stp>
        <stp>RCOM IN Equity</stp>
        <stp>ARD_INCOME_TAX_EXP_BENEFIT</stp>
        <stp>FY 2011</stp>
        <stp>FY 2011</stp>
        <stp>[FA1_ymffleas.xlsx]Income - As Reported!R26C5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6" s="11"/>
      </tp>
      <tp t="s">
        <v>—</v>
        <stp/>
        <stp>##V3_BDHV12</stp>
        <stp>RCOM IN Equity</stp>
        <stp>ARD_INCOME_TAX_EXP_BENEFIT</stp>
        <stp>FY 2009</stp>
        <stp>FY 2009</stp>
        <stp>[FA1_ymffleas.xlsx]Income - As Reported!R26C3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6" s="11"/>
      </tp>
      <tp>
        <v>0</v>
        <stp/>
        <stp>##V3_BDHV12</stp>
        <stp>RCOM IN Equity</stp>
        <stp>CF_CASH_FOR_ACQUIS_SUBSIDIARIES</stp>
        <stp>FY 2018</stp>
        <stp>FY 2018</stp>
        <stp>[FA1_ymffleas.xlsx]Cash Flow - Standardized!R31C11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1" s="19"/>
      </tp>
      <tp>
        <v>0</v>
        <stp/>
        <stp>##V3_BDHV12</stp>
        <stp>RCOM IN Equity</stp>
        <stp>CF_CASH_FOR_ACQUIS_SUBSIDIARIES</stp>
        <stp>FY 2017</stp>
        <stp>FY 2017</stp>
        <stp>[FA1_ymffleas.xlsx]Cash Flow - Standardized!R31C10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1" s="19"/>
      </tp>
      <tp>
        <v>27.1586</v>
        <stp/>
        <stp>##V3_BDHV12</stp>
        <stp>RCOM IN Equity</stp>
        <stp>OPERATING_INCOME_SEQ_GROWTH</stp>
        <stp>FY 2009</stp>
        <stp>FY 2009</stp>
        <stp>[FA1_ymffleas.xlsx]Growth!R62C3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62" s="22"/>
      </tp>
      <tp>
        <v>-10490</v>
        <stp/>
        <stp>##V3_BDHV12</stp>
        <stp>RCOM IN Equity</stp>
        <stp>ARD_INCR_DECR_IN_TRADE_OTHER_REC</stp>
        <stp>FY 2011</stp>
        <stp>FY 2011</stp>
        <stp>[FA1_ymffleas.xlsx]Cash Flow - As Reported!R31C5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1" s="20"/>
      </tp>
      <tp>
        <v>16318.4</v>
        <stp/>
        <stp>##V3_BDHV12</stp>
        <stp>RCOM IN Equity</stp>
        <stp>ARD_INCR_DECR_IN_TRADE_OTHER_REC</stp>
        <stp>FY 2010</stp>
        <stp>FY 2010</stp>
        <stp>[FA1_ymffleas.xlsx]Cash Flow - As Reported!R31C4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1" s="20"/>
      </tp>
      <tp>
        <v>-5530</v>
        <stp/>
        <stp>##V3_BDHV12</stp>
        <stp>RCOM IN Equity</stp>
        <stp>ARD_INCR_DECR_IN_TRADE_OTHER_REC</stp>
        <stp>FY 2013</stp>
        <stp>FY 2013</stp>
        <stp>[FA1_ymffleas.xlsx]Cash Flow - As Reported!R31C7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1" s="20"/>
      </tp>
      <tp>
        <v>-24230</v>
        <stp/>
        <stp>##V3_BDHV12</stp>
        <stp>RCOM IN Equity</stp>
        <stp>ARD_INCR_DECR_IN_TRADE_OTHER_REC</stp>
        <stp>FY 2012</stp>
        <stp>FY 2012</stp>
        <stp>[FA1_ymffleas.xlsx]Cash Flow - As Reported!R31C6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1" s="20"/>
      </tp>
      <tp>
        <v>-2457.5</v>
        <stp/>
        <stp>##V3_BDHV12</stp>
        <stp>RCOM IN Equity</stp>
        <stp>ARD_INCR_DECR_IN_TRADE_OTHER_REC</stp>
        <stp>FY 2009</stp>
        <stp>FY 2009</stp>
        <stp>[FA1_ymffleas.xlsx]Cash Flow - As Reported!R31C3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1" s="20"/>
      </tp>
      <tp>
        <v>-34340</v>
        <stp/>
        <stp>##V3_BDHV12</stp>
        <stp>RCOM IN Equity</stp>
        <stp>ARD_INCR_DECR_IN_TRADE_OTHER_REC</stp>
        <stp>FY 2015</stp>
        <stp>FY 2015</stp>
        <stp>[FA1_ymffleas.xlsx]Cash Flow - As Reported!R31C9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1" s="20"/>
      </tp>
      <tp>
        <v>-5810</v>
        <stp/>
        <stp>##V3_BDHV12</stp>
        <stp>RCOM IN Equity</stp>
        <stp>ARD_INCR_DECR_IN_TRADE_OTHER_REC</stp>
        <stp>FY 2014</stp>
        <stp>FY 2014</stp>
        <stp>[FA1_ymffleas.xlsx]Cash Flow - As Reported!R31C8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1" s="20"/>
      </tp>
      <tp>
        <v>28.114000000000001</v>
        <stp/>
        <stp>##V3_BDHV12</stp>
        <stp>RCOM IN Equity</stp>
        <stp>AVERAGE_EV_TO_T12M_EBIT</stp>
        <stp>FY 2012</stp>
        <stp>FY 2012</stp>
        <stp>[FA1_ymffleas.xlsx]Multiples!R47C5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47" s="6"/>
      </tp>
      <tp>
        <v>0</v>
        <stp/>
        <stp>##V3_BDHV12</stp>
        <stp>RCOM IN Equity</stp>
        <stp>DVD_PAYOUT_RATIO</stp>
        <stp>FY 2016</stp>
        <stp>FY 2016</stp>
        <stp>[FA1_ymffleas.xlsx]DuPont Analysis!R22C10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2" s="27"/>
      </tp>
      <tp>
        <v>-8.0000000000000002E-3</v>
        <stp/>
        <stp>##V3_BDHV12</stp>
        <stp>RCOM IN Equity</stp>
        <stp>IS_SALE_INVESTMENTS_DILUTED_SH</stp>
        <stp>FY 2016</stp>
        <stp>FY 2016</stp>
        <stp>[FA1_ymffleas.xlsx]Reconciliation!R50C9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50" s="12"/>
      </tp>
      <tp>
        <v>-8.4099999999999994E-2</v>
        <stp/>
        <stp>##V3_BDHV12</stp>
        <stp>RCOM IN Equity</stp>
        <stp>IS_SALE_INVESTMENTS_DILUTED_SH</stp>
        <stp>FY 2015</stp>
        <stp>FY 2015</stp>
        <stp>[FA1_ymffleas.xlsx]Reconciliation!R50C8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50" s="12"/>
      </tp>
      <tp>
        <v>-0.64219999999999999</v>
        <stp/>
        <stp>##V3_BDHV12</stp>
        <stp>RCOM IN Equity</stp>
        <stp>IS_SALE_INVESTMENTS_DILUTED_SH</stp>
        <stp>FY 2010</stp>
        <stp>FY 2010</stp>
        <stp>[FA1_ymffleas.xlsx]Reconciliation!R50C3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50" s="12"/>
      </tp>
      <tp t="s">
        <v>—</v>
        <stp/>
        <stp>##V3_BDHV12</stp>
        <stp>RCOM IN Equity</stp>
        <stp>ARDR_ACTUARIAL_LOSSES_GAINS_OPEB</stp>
        <stp>FY 2009</stp>
        <stp>FY 2009</stp>
        <stp>[FA1_ymffleas.xlsx]Bal Sheet - As Reported!R213C3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13" s="17"/>
      </tp>
      <tp t="s">
        <v>—</v>
        <stp/>
        <stp>##V3_BDHV12</stp>
        <stp>RCOM IN Equity</stp>
        <stp>ARDR_ACTUARIAL_LOSSES_GAINS_OPEB</stp>
        <stp>FY 2010</stp>
        <stp>FY 2010</stp>
        <stp>[FA1_ymffleas.xlsx]Bal Sheet - As Reported!R213C4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13" s="17"/>
      </tp>
      <tp t="s">
        <v>—</v>
        <stp/>
        <stp>##V3_BDHV12</stp>
        <stp>RCOM IN Equity</stp>
        <stp>ARDR_ACTUARIAL_LOSSES_GAINS_OPEB</stp>
        <stp>FY 2011</stp>
        <stp>FY 2011</stp>
        <stp>[FA1_ymffleas.xlsx]Bal Sheet - As Reported!R213C5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13" s="17"/>
      </tp>
      <tp>
        <v>-40</v>
        <stp/>
        <stp>##V3_BDHV12</stp>
        <stp>RCOM IN Equity</stp>
        <stp>ARDR_ACTUARIAL_LOSSES_GAINS_OPEB</stp>
        <stp>FY 2012</stp>
        <stp>FY 2012</stp>
        <stp>[FA1_ymffleas.xlsx]Bal Sheet - As Reported!R213C6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13" s="17"/>
      </tp>
      <tp>
        <v>10</v>
        <stp/>
        <stp>##V3_BDHV12</stp>
        <stp>RCOM IN Equity</stp>
        <stp>ARDR_ACTUARIAL_LOSSES_GAINS_OPEB</stp>
        <stp>FY 2013</stp>
        <stp>FY 2013</stp>
        <stp>[FA1_ymffleas.xlsx]Bal Sheet - As Reported!R213C7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13" s="17"/>
      </tp>
      <tp>
        <v>80</v>
        <stp/>
        <stp>##V3_BDHV12</stp>
        <stp>RCOM IN Equity</stp>
        <stp>ARDR_ACTUARIAL_LOSSES_GAINS_OPEB</stp>
        <stp>FY 2014</stp>
        <stp>FY 2014</stp>
        <stp>[FA1_ymffleas.xlsx]Bal Sheet - As Reported!R213C8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13" s="17"/>
      </tp>
      <tp>
        <v>30</v>
        <stp/>
        <stp>##V3_BDHV12</stp>
        <stp>RCOM IN Equity</stp>
        <stp>ARDR_ACTUARIAL_LOSSES_GAINS_OPEB</stp>
        <stp>FY 2015</stp>
        <stp>FY 2015</stp>
        <stp>[FA1_ymffleas.xlsx]Bal Sheet - As Reported!R213C9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13" s="17"/>
      </tp>
      <tp>
        <v>-2.8799999999999999E-2</v>
        <stp/>
        <stp>##V3_BDHV12</stp>
        <stp>RCOM IN Equity</stp>
        <stp>IS_SALE_INVESTMENTS_DILUTED_SH</stp>
        <stp>FY 2014</stp>
        <stp>FY 2014</stp>
        <stp>[FA1_ymffleas.xlsx]Reconciliation!R50C7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50" s="12"/>
      </tp>
      <tp>
        <v>-0.1119</v>
        <stp/>
        <stp>##V3_BDHV12</stp>
        <stp>RCOM IN Equity</stp>
        <stp>IS_SALE_INVESTMENTS_DILUTED_SH</stp>
        <stp>FY 2013</stp>
        <stp>FY 2013</stp>
        <stp>[FA1_ymffleas.xlsx]Reconciliation!R50C6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50" s="12"/>
      </tp>
      <tp>
        <v>-7.3800000000000004E-2</v>
        <stp/>
        <stp>##V3_BDHV12</stp>
        <stp>RCOM IN Equity</stp>
        <stp>IS_SALE_INVESTMENTS_DILUTED_SH</stp>
        <stp>FY 2012</stp>
        <stp>FY 2012</stp>
        <stp>[FA1_ymffleas.xlsx]Reconciliation!R50C5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50" s="12"/>
      </tp>
      <tp>
        <v>71.116900000000001</v>
        <stp/>
        <stp>##V3_BDHV12</stp>
        <stp>RCOM IN Equity</stp>
        <stp>EBITDA_MARGIN</stp>
        <stp>FY 2017</stp>
        <stp>FY 2017</stp>
        <stp>[FA1_ymffleas.xlsx]Income - Adjusted!R122C10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J122" s="9"/>
      </tp>
      <tp>
        <v>-0.17879999999999999</v>
        <stp/>
        <stp>##V3_BDHV12</stp>
        <stp>RCOM IN Equity</stp>
        <stp>IS_SALE_INVESTMENTS_DILUTED_SH</stp>
        <stp>FY 2011</stp>
        <stp>FY 2011</stp>
        <stp>[FA1_ymffleas.xlsx]Reconciliation!R50C4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50" s="12"/>
      </tp>
      <tp>
        <v>2820</v>
        <stp/>
        <stp>##V3_BDHV12</stp>
        <stp>RCOM IN Equity</stp>
        <stp>PREFERRED_EQUITY_&amp;_MINORITY_INT</stp>
        <stp>FY 2016</stp>
        <stp>FY 2016</stp>
        <stp>[FA1_ymffleas.xlsx]Adj Highlights!R8C9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2"/>
      </tp>
      <tp>
        <v>5120</v>
        <stp/>
        <stp>##V3_BDHV12</stp>
        <stp>RCOM IN Equity</stp>
        <stp>PREFERRED_EQUITY_&amp;_MINORITY_INT</stp>
        <stp>FY 2015</stp>
        <stp>FY 2015</stp>
        <stp>[FA1_ymffleas.xlsx]Adj Highlights!R8C8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2"/>
      </tp>
      <tp>
        <v>6583.9</v>
        <stp/>
        <stp>##V3_BDHV12</stp>
        <stp>RCOM IN Equity</stp>
        <stp>PREFERRED_EQUITY_&amp;_MINORITY_INT</stp>
        <stp>FY 2010</stp>
        <stp>FY 2010</stp>
        <stp>[FA1_ymffleas.xlsx]Adj Highlights!R8C3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2"/>
      </tp>
      <tp>
        <v>8600</v>
        <stp/>
        <stp>##V3_BDHV12</stp>
        <stp>RCOM IN Equity</stp>
        <stp>PREFERRED_EQUITY_&amp;_MINORITY_INT</stp>
        <stp>FY 2012</stp>
        <stp>FY 2012</stp>
        <stp>[FA1_ymffleas.xlsx]Adj Highlights!R8C5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2"/>
      </tp>
      <tp>
        <v>8240</v>
        <stp/>
        <stp>##V3_BDHV12</stp>
        <stp>RCOM IN Equity</stp>
        <stp>PREFERRED_EQUITY_&amp;_MINORITY_INT</stp>
        <stp>FY 2011</stp>
        <stp>FY 2011</stp>
        <stp>[FA1_ymffleas.xlsx]Adj Highlights!R8C4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2"/>
      </tp>
      <tp>
        <v>7430</v>
        <stp/>
        <stp>##V3_BDHV12</stp>
        <stp>RCOM IN Equity</stp>
        <stp>PREFERRED_EQUITY_&amp;_MINORITY_INT</stp>
        <stp>FY 2014</stp>
        <stp>FY 2014</stp>
        <stp>[FA1_ymffleas.xlsx]Adj Highlights!R8C7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2"/>
      </tp>
      <tp>
        <v>7250</v>
        <stp/>
        <stp>##V3_BDHV12</stp>
        <stp>RCOM IN Equity</stp>
        <stp>PREFERRED_EQUITY_&amp;_MINORITY_INT</stp>
        <stp>FY 2013</stp>
        <stp>FY 2013</stp>
        <stp>[FA1_ymffleas.xlsx]Adj Highlights!R8C6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2"/>
      </tp>
      <tp>
        <v>22.813600000000001</v>
        <stp/>
        <stp>##V3_BDHV12</stp>
        <stp>RCOM IN Equity</stp>
        <stp>PROF_MARGIN</stp>
        <stp>FY 2010</stp>
        <stp>FY 2010</stp>
        <stp>[FA1_ymffleas.xlsx]Income - Adjusted!R126C3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C126" s="9"/>
      </tp>
      <tp>
        <v>30.962800000000001</v>
        <stp/>
        <stp>##V3_BDHV12</stp>
        <stp>RCOM IN Equity</stp>
        <stp>EBITDA_TO_REVENUE</stp>
        <stp>FY 2012</stp>
        <stp>FY 2012</stp>
        <stp>[FA1_ymffleas.xlsx]Profitability!R13C6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3" s="21"/>
      </tp>
      <tp>
        <v>22.504200000000001</v>
        <stp/>
        <stp>##V3_BDHV12</stp>
        <stp>RCOM IN Equity</stp>
        <stp>PROF_MARGIN</stp>
        <stp>FY 2010</stp>
        <stp>FY 2010</stp>
        <stp>[FA1_ymffleas.xlsx]Income - GAAP!R104C3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04" s="10"/>
      </tp>
      <tp>
        <v>132.1199</v>
        <stp/>
        <stp>##V3_BDHV12</stp>
        <stp>RCOM IN Equity</stp>
        <stp>NET_DEBT_TO_SHRHLDR_EQTY</stp>
        <stp>FY 2016</stp>
        <stp>FY 2016</stp>
        <stp>[FA1_ymffleas.xlsx]Bal Sheet - Standardized!R168C10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8" s="16"/>
      </tp>
      <tp>
        <v>153.3329</v>
        <stp/>
        <stp>##V3_BDHV12</stp>
        <stp>RCOM IN Equity</stp>
        <stp>NET_DEBT_TO_SHRHLDR_EQTY</stp>
        <stp>FY 2017</stp>
        <stp>FY 2017</stp>
        <stp>[FA1_ymffleas.xlsx]Bal Sheet - Standardized!R168C11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8" s="16"/>
      </tp>
      <tp>
        <v>12.8409</v>
        <stp/>
        <stp>##V3_BDHV12</stp>
        <stp>RCOM IN Equity</stp>
        <stp>OPER_MARGIN</stp>
        <stp>FY 2016</stp>
        <stp>FY 2016</stp>
        <stp>[FA1_ymffleas.xlsx]Income - Adjusted!R125C9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I125" s="9"/>
      </tp>
      <tp>
        <v>1494.2856999999999</v>
        <stp/>
        <stp>##V3_BDHV12</stp>
        <stp>RCOM IN Equity</stp>
        <stp>NET_DEBT_TO_SHRHLDR_EQTY</stp>
        <stp>FY 2018</stp>
        <stp>FY 2018</stp>
        <stp>[FA1_ymffleas.xlsx]Bal Sheet - Standardized!R168C12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8" s="16"/>
      </tp>
      <tp>
        <v>0</v>
        <stp/>
        <stp>##V3_BDHV12</stp>
        <stp>RCOM IN Equity</stp>
        <stp>ARDR_PV_OF_CAPITAL_LEASE_YEAR_5</stp>
        <stp>FY 2018</stp>
        <stp>FY 2018</stp>
        <stp>[FA1_ymffleas.xlsx]Bal Sheet - As Reported!R214C12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14" s="17"/>
      </tp>
      <tp>
        <v>390</v>
        <stp/>
        <stp>##V3_BDHV12</stp>
        <stp>RCOM IN Equity</stp>
        <stp>ARDR_PV_OF_CAPITAL_LEASE_YEAR_5</stp>
        <stp>FY 2017</stp>
        <stp>FY 2017</stp>
        <stp>[FA1_ymffleas.xlsx]Bal Sheet - As Reported!R214C11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14" s="17"/>
      </tp>
      <tp>
        <v>540</v>
        <stp/>
        <stp>##V3_BDHV12</stp>
        <stp>RCOM IN Equity</stp>
        <stp>ARDR_PV_OF_CAPITAL_LEASE_YEAR_5</stp>
        <stp>FY 2016</stp>
        <stp>FY 2016</stp>
        <stp>[FA1_ymffleas.xlsx]Bal Sheet - As Reported!R214C10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14" s="17"/>
      </tp>
      <tp>
        <v>-14400</v>
        <stp/>
        <stp>##V3_BDHV12</stp>
        <stp>RCOM IN Equity</stp>
        <stp>IS_COMPREHENSIVE_INCOME</stp>
        <stp>FY 2017</stp>
        <stp>FY 2017</stp>
        <stp>[FA1_ymffleas.xlsx]Comprehensive Income!R12C10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" s="33"/>
      </tp>
      <tp>
        <v>238820</v>
        <stp/>
        <stp>##V3_BDHV12</stp>
        <stp>RCOM IN Equity</stp>
        <stp>IS_COMPREHENSIVE_INCOME</stp>
        <stp>FY 2018</stp>
        <stp>FY 2018</stp>
        <stp>[FA1_ymffleas.xlsx]Comprehensive Income!R12C11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" s="33"/>
      </tp>
      <tp>
        <v>2.3066</v>
        <stp/>
        <stp>##V3_BDHV12</stp>
        <stp>RCOM IN Equity</stp>
        <stp>SALES_GROWTH</stp>
        <stp>FY 2015</stp>
        <stp>FY 2015</stp>
        <stp>[FA1_ymffleas.xlsx]Growth!R7C9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7" s="22"/>
      </tp>
      <tp>
        <v>12.767300000000001</v>
        <stp/>
        <stp>##V3_BDHV12</stp>
        <stp>RCOM IN Equity</stp>
        <stp>OPER_MARGIN</stp>
        <stp>FY 2016</stp>
        <stp>FY 2016</stp>
        <stp>[FA1_ymffleas.xlsx]Income - GAAP!R103C9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03" s="10"/>
      </tp>
      <tp>
        <v>-5.9966999999999997</v>
        <stp/>
        <stp>##V3_BDHV12</stp>
        <stp>RCOM IN Equity</stp>
        <stp>SHORT_TERM_DEBT_5_YEAR_GROWTH</stp>
        <stp>FY 2016</stp>
        <stp>FY 2016</stp>
        <stp>[FA1_ymffleas.xlsx]Growth!R51C10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51" s="22"/>
      </tp>
      <tp>
        <v>21.775600000000001</v>
        <stp/>
        <stp>##V3_BDHV12</stp>
        <stp>RCOM IN Equity</stp>
        <stp>SHORT_TERM_DEBT_5_YEAR_GROWTH</stp>
        <stp>FY 2017</stp>
        <stp>FY 2017</stp>
        <stp>[FA1_ymffleas.xlsx]Growth!R51C11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51" s="22"/>
      </tp>
      <tp>
        <v>21.598800000000001</v>
        <stp/>
        <stp>##V3_BDHV12</stp>
        <stp>RCOM IN Equity</stp>
        <stp>SHORT_TERM_DEBT_5_YEAR_GROWTH</stp>
        <stp>FY 2018</stp>
        <stp>FY 2018</stp>
        <stp>[FA1_ymffleas.xlsx]Growth!R51C12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51" s="22"/>
      </tp>
      <tp t="s">
        <v>—</v>
        <stp/>
        <stp>##V3_BDHV12</stp>
        <stp>RCOM IN Equity</stp>
        <stp>ARD_FINANCE_INCOME_RECEIVED</stp>
        <stp>FY 2014</stp>
        <stp>FY 2014</stp>
        <stp>[FA1_ymffleas.xlsx]Cash Flow - As Reported!R41C8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1" s="20"/>
      </tp>
      <tp t="s">
        <v>—</v>
        <stp/>
        <stp>##V3_BDHV12</stp>
        <stp>RCOM IN Equity</stp>
        <stp>ARD_FINANCE_INCOME_RECEIVED</stp>
        <stp>FY 2015</stp>
        <stp>FY 2015</stp>
        <stp>[FA1_ymffleas.xlsx]Cash Flow - As Reported!R41C9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1" s="20"/>
      </tp>
      <tp>
        <v>-15780.6</v>
        <stp/>
        <stp>##V3_BDHV12</stp>
        <stp>RCOM IN Equity</stp>
        <stp>ARD_FINANCE_INCOME_RECEIVED</stp>
        <stp>FY 2009</stp>
        <stp>FY 2009</stp>
        <stp>[FA1_ymffleas.xlsx]Cash Flow - As Reported!R41C3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1" s="20"/>
      </tp>
      <tp>
        <v>-717.7</v>
        <stp/>
        <stp>##V3_BDHV12</stp>
        <stp>RCOM IN Equity</stp>
        <stp>ARD_FINANCE_INCOME_RECEIVED</stp>
        <stp>FY 2010</stp>
        <stp>FY 2010</stp>
        <stp>[FA1_ymffleas.xlsx]Cash Flow - As Reported!R41C4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1" s="20"/>
      </tp>
      <tp>
        <v>-110</v>
        <stp/>
        <stp>##V3_BDHV12</stp>
        <stp>RCOM IN Equity</stp>
        <stp>ARD_FINANCE_INCOME_RECEIVED</stp>
        <stp>FY 2011</stp>
        <stp>FY 2011</stp>
        <stp>[FA1_ymffleas.xlsx]Cash Flow - As Reported!R41C5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1" s="20"/>
      </tp>
      <tp t="s">
        <v>—</v>
        <stp/>
        <stp>##V3_BDHV12</stp>
        <stp>RCOM IN Equity</stp>
        <stp>ARD_FINANCE_INCOME_RECEIVED</stp>
        <stp>FY 2012</stp>
        <stp>FY 2012</stp>
        <stp>[FA1_ymffleas.xlsx]Cash Flow - As Reported!R41C6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1" s="20"/>
      </tp>
      <tp t="s">
        <v>—</v>
        <stp/>
        <stp>##V3_BDHV12</stp>
        <stp>RCOM IN Equity</stp>
        <stp>ARD_FINANCE_INCOME_RECEIVED</stp>
        <stp>FY 2013</stp>
        <stp>FY 2013</stp>
        <stp>[FA1_ymffleas.xlsx]Cash Flow - As Reported!R41C7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1" s="20"/>
      </tp>
      <tp>
        <v>0</v>
        <stp/>
        <stp>##V3_BDHV12</stp>
        <stp>RCOM IN Equity</stp>
        <stp>IS_REVENUE_ADJUSTMENTS</stp>
        <stp>FY 2016</stp>
        <stp>FY 2016</stp>
        <stp>[FA1_ymffleas.xlsx]Reconciliation!R8C9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12"/>
      </tp>
      <tp>
        <v>0</v>
        <stp/>
        <stp>##V3_BDHV12</stp>
        <stp>RCOM IN Equity</stp>
        <stp>IS_REVENUE_ADJUSTMENTS</stp>
        <stp>FY 2015</stp>
        <stp>FY 2015</stp>
        <stp>[FA1_ymffleas.xlsx]Reconciliation!R8C8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12"/>
      </tp>
      <tp>
        <v>0</v>
        <stp/>
        <stp>##V3_BDHV12</stp>
        <stp>RCOM IN Equity</stp>
        <stp>IS_REVENUE_ADJUSTMENTS</stp>
        <stp>FY 2010</stp>
        <stp>FY 2010</stp>
        <stp>[FA1_ymffleas.xlsx]Reconciliation!R8C3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12"/>
      </tp>
      <tp>
        <v>0</v>
        <stp/>
        <stp>##V3_BDHV12</stp>
        <stp>RCOM IN Equity</stp>
        <stp>IS_REVENUE_ADJUSTMENTS</stp>
        <stp>FY 2014</stp>
        <stp>FY 2014</stp>
        <stp>[FA1_ymffleas.xlsx]Reconciliation!R8C7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12"/>
      </tp>
      <tp>
        <v>0</v>
        <stp/>
        <stp>##V3_BDHV12</stp>
        <stp>RCOM IN Equity</stp>
        <stp>IS_REVENUE_ADJUSTMENTS</stp>
        <stp>FY 2013</stp>
        <stp>FY 2013</stp>
        <stp>[FA1_ymffleas.xlsx]Reconciliation!R8C6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12"/>
      </tp>
      <tp>
        <v>0</v>
        <stp/>
        <stp>##V3_BDHV12</stp>
        <stp>RCOM IN Equity</stp>
        <stp>IS_REVENUE_ADJUSTMENTS</stp>
        <stp>FY 2012</stp>
        <stp>FY 2012</stp>
        <stp>[FA1_ymffleas.xlsx]Reconciliation!R8C5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12"/>
      </tp>
      <tp>
        <v>0</v>
        <stp/>
        <stp>##V3_BDHV12</stp>
        <stp>RCOM IN Equity</stp>
        <stp>IS_REVENUE_ADJUSTMENTS</stp>
        <stp>FY 2011</stp>
        <stp>FY 2011</stp>
        <stp>[FA1_ymffleas.xlsx]Reconciliation!R8C4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12"/>
      </tp>
      <tp t="s">
        <v>—</v>
        <stp/>
        <stp>##V3_BDHV12</stp>
        <stp>RCOM IN Equity</stp>
        <stp>ARD_LONG_TERM_LOANS_OTHER_DEBTOR</stp>
        <stp>FY 2009</stp>
        <stp>FY 2009</stp>
        <stp>[FA1_ymffleas.xlsx]Bal Sheet - As Reported!R32C3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2" s="17"/>
      </tp>
      <tp t="s">
        <v>—</v>
        <stp/>
        <stp>##V3_BDHV12</stp>
        <stp>RCOM IN Equity</stp>
        <stp>ARD_LONG_TERM_LOANS_OTHER_DEBTOR</stp>
        <stp>FY 2010</stp>
        <stp>FY 2010</stp>
        <stp>[FA1_ymffleas.xlsx]Bal Sheet - As Reported!R32C4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2" s="17"/>
      </tp>
      <tp>
        <v>20590</v>
        <stp/>
        <stp>##V3_BDHV12</stp>
        <stp>RCOM IN Equity</stp>
        <stp>ARD_LONG_TERM_LOANS_OTHER_DEBTOR</stp>
        <stp>FY 2011</stp>
        <stp>FY 2011</stp>
        <stp>[FA1_ymffleas.xlsx]Bal Sheet - As Reported!R32C5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2" s="17"/>
      </tp>
      <tp>
        <v>24820</v>
        <stp/>
        <stp>##V3_BDHV12</stp>
        <stp>RCOM IN Equity</stp>
        <stp>ARD_LONG_TERM_LOANS_OTHER_DEBTOR</stp>
        <stp>FY 2012</stp>
        <stp>FY 2012</stp>
        <stp>[FA1_ymffleas.xlsx]Bal Sheet - As Reported!R32C6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2" s="17"/>
      </tp>
      <tp>
        <v>32100</v>
        <stp/>
        <stp>##V3_BDHV12</stp>
        <stp>RCOM IN Equity</stp>
        <stp>ARD_LONG_TERM_LOANS_OTHER_DEBTOR</stp>
        <stp>FY 2013</stp>
        <stp>FY 2013</stp>
        <stp>[FA1_ymffleas.xlsx]Bal Sheet - As Reported!R32C7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2" s="17"/>
      </tp>
      <tp>
        <v>37010</v>
        <stp/>
        <stp>##V3_BDHV12</stp>
        <stp>RCOM IN Equity</stp>
        <stp>ARD_LONG_TERM_LOANS_OTHER_DEBTOR</stp>
        <stp>FY 2014</stp>
        <stp>FY 2014</stp>
        <stp>[FA1_ymffleas.xlsx]Bal Sheet - As Reported!R32C8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2" s="17"/>
      </tp>
      <tp>
        <v>43690</v>
        <stp/>
        <stp>##V3_BDHV12</stp>
        <stp>RCOM IN Equity</stp>
        <stp>ARD_LONG_TERM_LOANS_OTHER_DEBTOR</stp>
        <stp>FY 2015</stp>
        <stp>FY 2015</stp>
        <stp>[FA1_ymffleas.xlsx]Bal Sheet - As Reported!R32C9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2" s="17"/>
      </tp>
      <tp>
        <v>8.7464999999999993</v>
        <stp/>
        <stp>##V3_BDHV12</stp>
        <stp>RCOM IN Equity</stp>
        <stp>DEPR_EXP_TO_NET_SALES</stp>
        <stp>FY 2012</stp>
        <stp>FY 2012</stp>
        <stp>[FA1_ymffleas.xlsx]CAPEX &amp; Depreciation!R7C6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7" s="28"/>
      </tp>
      <tp t="s">
        <v>—</v>
        <stp/>
        <stp>##V3_BDHV12</stp>
        <stp>RCOM IN Equity</stp>
        <stp>IS_GAIN_LOSS_ON_INVESTMENTS</stp>
        <stp>FY 2017</stp>
        <stp>FY 2017</stp>
        <stp>[FA1_ymffleas.xlsx]Income - Adjusted!R70C10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0" s="9"/>
      </tp>
      <tp t="s">
        <v>—</v>
        <stp/>
        <stp>##V3_BDHV12</stp>
        <stp>RCOM IN Equity</stp>
        <stp>IS_GAIN_LOSS_ON_INVESTMENTS</stp>
        <stp>FY 2018</stp>
        <stp>FY 2018</stp>
        <stp>[FA1_ymffleas.xlsx]Income - Adjusted!R70C11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0" s="9"/>
      </tp>
      <tp>
        <v>7.2095000000000002</v>
        <stp/>
        <stp>##V3_BDHV12</stp>
        <stp>RCOM IN Equity</stp>
        <stp>BS_OPTIONS_OUTSTANDING</stp>
        <stp>FY 2011</stp>
        <stp>FY 2011</stp>
        <stp>[FA1_ymffleas.xlsx]Bal Sheet - Standardized!R166C5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6" s="16"/>
      </tp>
      <tp>
        <v>10.445399999999999</v>
        <stp/>
        <stp>##V3_BDHV12</stp>
        <stp>RCOM IN Equity</stp>
        <stp>BS_OPTIONS_OUTSTANDING</stp>
        <stp>FY 2010</stp>
        <stp>FY 2010</stp>
        <stp>[FA1_ymffleas.xlsx]Bal Sheet - Standardized!R166C4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6" s="16"/>
      </tp>
      <tp>
        <v>0.39150000000000001</v>
        <stp/>
        <stp>##V3_BDHV12</stp>
        <stp>RCOM IN Equity</stp>
        <stp>BS_OPTIONS_OUTSTANDING</stp>
        <stp>FY 2013</stp>
        <stp>FY 2013</stp>
        <stp>[FA1_ymffleas.xlsx]Bal Sheet - Standardized!R166C7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6" s="16"/>
      </tp>
      <tp>
        <v>3.0177999999999998</v>
        <stp/>
        <stp>##V3_BDHV12</stp>
        <stp>RCOM IN Equity</stp>
        <stp>BS_OPTIONS_OUTSTANDING</stp>
        <stp>FY 2012</stp>
        <stp>FY 2012</stp>
        <stp>[FA1_ymffleas.xlsx]Bal Sheet - Standardized!R166C6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6" s="16"/>
      </tp>
      <tp>
        <v>1.2302</v>
        <stp/>
        <stp>##V3_BDHV12</stp>
        <stp>RCOM IN Equity</stp>
        <stp>OPER_INC_TO_INT_EXP</stp>
        <stp>FY 2012</stp>
        <stp>FY 2012</stp>
        <stp>[FA1_ymffleas.xlsx]Credit!R18C6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8" s="23"/>
      </tp>
      <tp>
        <v>1.6073</v>
        <stp/>
        <stp>##V3_BDHV12</stp>
        <stp>RCOM IN Equity</stp>
        <stp>BS_OPTIONS_OUTSTANDING</stp>
        <stp>FY 2009</stp>
        <stp>FY 2009</stp>
        <stp>[FA1_ymffleas.xlsx]Bal Sheet - Standardized!R166C3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6" s="16"/>
      </tp>
      <tp>
        <v>217700</v>
        <stp/>
        <stp>##V3_BDHV12</stp>
        <stp>RCOM IN Equity</stp>
        <stp>ARD_REVENUES</stp>
        <stp>FY 2015</stp>
        <stp>FY 2015</stp>
        <stp>[FA1_ymffleas.xlsx]As Reported Summary!R8C9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30"/>
      </tp>
      <tp>
        <v>212380</v>
        <stp/>
        <stp>##V3_BDHV12</stp>
        <stp>RCOM IN Equity</stp>
        <stp>ARD_REVENUES</stp>
        <stp>FY 2014</stp>
        <stp>FY 2014</stp>
        <stp>[FA1_ymffleas.xlsx]As Reported Summary!R8C8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30"/>
      </tp>
      <tp>
        <v>205610</v>
        <stp/>
        <stp>##V3_BDHV12</stp>
        <stp>RCOM IN Equity</stp>
        <stp>ARD_REVENUES</stp>
        <stp>FY 2013</stp>
        <stp>FY 2013</stp>
        <stp>[FA1_ymffleas.xlsx]As Reported Summary!R8C7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30"/>
      </tp>
      <tp>
        <v>196770</v>
        <stp/>
        <stp>##V3_BDHV12</stp>
        <stp>RCOM IN Equity</stp>
        <stp>ARD_REVENUES</stp>
        <stp>FY 2012</stp>
        <stp>FY 2012</stp>
        <stp>[FA1_ymffleas.xlsx]As Reported Summary!R8C6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30"/>
      </tp>
      <tp>
        <v>224310</v>
        <stp/>
        <stp>##V3_BDHV12</stp>
        <stp>RCOM IN Equity</stp>
        <stp>ARD_REVENUES</stp>
        <stp>FY 2011</stp>
        <stp>FY 2011</stp>
        <stp>[FA1_ymffleas.xlsx]As Reported Summary!R8C5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30"/>
      </tp>
      <tp>
        <v>214963.8</v>
        <stp/>
        <stp>##V3_BDHV12</stp>
        <stp>RCOM IN Equity</stp>
        <stp>ARD_REVENUES</stp>
        <stp>FY 2010</stp>
        <stp>FY 2010</stp>
        <stp>[FA1_ymffleas.xlsx]As Reported Summary!R8C4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30"/>
      </tp>
      <tp>
        <v>222505.4</v>
        <stp/>
        <stp>##V3_BDHV12</stp>
        <stp>RCOM IN Equity</stp>
        <stp>ARD_REVENUES</stp>
        <stp>FY 2009</stp>
        <stp>FY 2009</stp>
        <stp>[FA1_ymffleas.xlsx]As Reported Summary!R8C3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30"/>
      </tp>
      <tp>
        <v>291140</v>
        <stp/>
        <stp>##V3_BDHV12</stp>
        <stp>RCOM IN Equity</stp>
        <stp>BS_LT_BORROW</stp>
        <stp>FY 2016</stp>
        <stp>FY 2016</stp>
        <stp>[FA1_ymffleas.xlsx]Credit!R8C10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23"/>
      </tp>
      <tp>
        <v>225500</v>
        <stp/>
        <stp>##V3_BDHV12</stp>
        <stp>RCOM IN Equity</stp>
        <stp>BS_LT_BORROW</stp>
        <stp>FY 2017</stp>
        <stp>FY 2017</stp>
        <stp>[FA1_ymffleas.xlsx]Credit!R8C11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23"/>
      </tp>
      <tp>
        <v>130700</v>
        <stp/>
        <stp>##V3_BDHV12</stp>
        <stp>RCOM IN Equity</stp>
        <stp>BS_LT_BORROW</stp>
        <stp>FY 2018</stp>
        <stp>FY 2018</stp>
        <stp>[FA1_ymffleas.xlsx]Credit!R8C12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" s="23"/>
      </tp>
      <tp>
        <v>342130</v>
        <stp/>
        <stp>##V3_BDHV12</stp>
        <stp>RCOM IN Equity</stp>
        <stp>BS_ST_BORROW</stp>
        <stp>FY 2018</stp>
        <stp>FY 2018</stp>
        <stp>[FA1_ymffleas.xlsx]Credit!R7C12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" s="23"/>
      </tp>
      <tp>
        <v>231830</v>
        <stp/>
        <stp>##V3_BDHV12</stp>
        <stp>RCOM IN Equity</stp>
        <stp>BS_ST_BORROW</stp>
        <stp>FY 2017</stp>
        <stp>FY 2017</stp>
        <stp>[FA1_ymffleas.xlsx]Credit!R7C11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" s="23"/>
      </tp>
      <tp>
        <v>145030</v>
        <stp/>
        <stp>##V3_BDHV12</stp>
        <stp>RCOM IN Equity</stp>
        <stp>BS_ST_BORROW</stp>
        <stp>FY 2016</stp>
        <stp>FY 2016</stp>
        <stp>[FA1_ymffleas.xlsx]Credit!R7C10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" s="23"/>
      </tp>
      <tp>
        <v>1.3376000000000001</v>
        <stp/>
        <stp>##V3_BDHV12</stp>
        <stp>RCOM IN Equity</stp>
        <stp>BS_OPTIONS_OUTSTANDING</stp>
        <stp>FY 2015</stp>
        <stp>FY 2015</stp>
        <stp>[FA1_ymffleas.xlsx]Bal Sheet - Standardized!R166C9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6" s="16"/>
      </tp>
      <tp>
        <v>45930</v>
        <stp/>
        <stp>##V3_BDHV12</stp>
        <stp>RCOM IN Equity</stp>
        <stp>SALES_REV_TURN</stp>
        <stp>FY 2018</stp>
        <stp>FY 2018</stp>
        <stp>[FA1_ymffleas.xlsx]GAAP %!R6C11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6" s="15"/>
      </tp>
      <tp>
        <v>2.1514000000000002</v>
        <stp/>
        <stp>##V3_BDHV12</stp>
        <stp>RCOM IN Equity</stp>
        <stp>BS_OPTIONS_OUTSTANDING</stp>
        <stp>FY 2014</stp>
        <stp>FY 2014</stp>
        <stp>[FA1_ymffleas.xlsx]Bal Sheet - Standardized!R166C8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6" s="16"/>
      </tp>
      <tp>
        <v>65540</v>
        <stp/>
        <stp>##V3_BDHV12</stp>
        <stp>RCOM IN Equity</stp>
        <stp>SALES_REV_TURN</stp>
        <stp>FY 2017</stp>
        <stp>FY 2017</stp>
        <stp>[FA1_ymffleas.xlsx]GAAP %!R6C10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6" s="15"/>
      </tp>
      <tp>
        <v>5530</v>
        <stp/>
        <stp>##V3_BDHV12</stp>
        <stp>RCOM IN Equity</stp>
        <stp>IS_GENERAL_AND_ADMINISTRATIVE</stp>
        <stp>FY 2017</stp>
        <stp>FY 2017</stp>
        <stp>[FA1_ymffleas.xlsx]Income - GAAP!R25C10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25" s="10"/>
      </tp>
      <tp>
        <v>-30</v>
        <stp/>
        <stp>##V3_BDHV12</stp>
        <stp>RCOM IN Equity</stp>
        <stp>IS_SH_PRO_EQY_MT_INV_NET_OF_TAX</stp>
        <stp>FY 2015</stp>
        <stp>FY 2015</stp>
        <stp>[FA1_ymffleas.xlsx]Income - GAAP!R63C8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63" s="10"/>
      </tp>
      <tp>
        <v>4920</v>
        <stp/>
        <stp>##V3_BDHV12</stp>
        <stp>RCOM IN Equity</stp>
        <stp>IS_GENERAL_AND_ADMINISTRATIVE</stp>
        <stp>FY 2018</stp>
        <stp>FY 2018</stp>
        <stp>[FA1_ymffleas.xlsx]Income - GAAP!R25C11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25" s="10"/>
      </tp>
      <tp t="s">
        <v>—</v>
        <stp/>
        <stp>##V3_BDHV12</stp>
        <stp>RCOM IN Equity</stp>
        <stp>IS_SH_PRO_EQY_MT_INV_NET_OF_TAX</stp>
        <stp>FY 2016</stp>
        <stp>FY 2016</stp>
        <stp>[FA1_ymffleas.xlsx]Income - GAAP!R63C9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63" s="10"/>
      </tp>
      <tp>
        <v>28646</v>
        <stp/>
        <stp>##V3_BDHV12</stp>
        <stp>RCOM IN Equity</stp>
        <stp>IS_DEPR_EXP</stp>
        <stp>FY 2010</stp>
        <stp>FY 2010</stp>
        <stp>[FA1_ymffleas.xlsx]Income - GAAP!R110C3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0" s="10"/>
      </tp>
      <tp t="s">
        <v>—</v>
        <stp/>
        <stp>##V3_BDHV12</stp>
        <stp>RCOM IN Equity</stp>
        <stp>IS_DEPR_EXP</stp>
        <stp>FY 2014</stp>
        <stp>FY 2014</stp>
        <stp>[FA1_ymffleas.xlsx]Income - GAAP!R110C7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0" s="10"/>
      </tp>
      <tp>
        <v>19080</v>
        <stp/>
        <stp>##V3_BDHV12</stp>
        <stp>RCOM IN Equity</stp>
        <stp>IS_DEPR_EXP</stp>
        <stp>FY 2013</stp>
        <stp>FY 2013</stp>
        <stp>[FA1_ymffleas.xlsx]Income - GAAP!R110C6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0" s="10"/>
      </tp>
      <tp>
        <v>16370</v>
        <stp/>
        <stp>##V3_BDHV12</stp>
        <stp>RCOM IN Equity</stp>
        <stp>IS_DEPR_EXP</stp>
        <stp>FY 2012</stp>
        <stp>FY 2012</stp>
        <stp>[FA1_ymffleas.xlsx]Income - GAAP!R110C5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0" s="10"/>
      </tp>
      <tp>
        <v>37440</v>
        <stp/>
        <stp>##V3_BDHV12</stp>
        <stp>RCOM IN Equity</stp>
        <stp>IS_DEPR_EXP</stp>
        <stp>FY 2011</stp>
        <stp>FY 2011</stp>
        <stp>[FA1_ymffleas.xlsx]Income - GAAP!R110C4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0" s="10"/>
      </tp>
      <tp t="s">
        <v>—</v>
        <stp/>
        <stp>##V3_BDHV12</stp>
        <stp>RCOM IN Equity</stp>
        <stp>IS_DEPR_EXP</stp>
        <stp>FY 2016</stp>
        <stp>FY 2016</stp>
        <stp>[FA1_ymffleas.xlsx]Income - GAAP!R110C9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0" s="10"/>
      </tp>
      <tp t="s">
        <v>—</v>
        <stp/>
        <stp>##V3_BDHV12</stp>
        <stp>RCOM IN Equity</stp>
        <stp>IS_DEPR_EXP</stp>
        <stp>FY 2015</stp>
        <stp>FY 2015</stp>
        <stp>[FA1_ymffleas.xlsx]Income - GAAP!R110C8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0" s="10"/>
      </tp>
      <tp>
        <v>100</v>
        <stp/>
        <stp>##V3_BDHV12</stp>
        <stp>RCOM IN Equity</stp>
        <stp>IS_SH_PRO_EQY_MT_INV_NET_OF_TAX</stp>
        <stp>FY 2011</stp>
        <stp>FY 2011</stp>
        <stp>[FA1_ymffleas.xlsx]Income - GAAP!R63C4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63" s="10"/>
      </tp>
      <tp>
        <v>-10</v>
        <stp/>
        <stp>##V3_BDHV12</stp>
        <stp>RCOM IN Equity</stp>
        <stp>IS_SH_PRO_EQY_MT_INV_NET_OF_TAX</stp>
        <stp>FY 2012</stp>
        <stp>FY 2012</stp>
        <stp>[FA1_ymffleas.xlsx]Income - GAAP!R63C5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63" s="10"/>
      </tp>
      <tp>
        <v>-10</v>
        <stp/>
        <stp>##V3_BDHV12</stp>
        <stp>RCOM IN Equity</stp>
        <stp>IS_SH_PRO_EQY_MT_INV_NET_OF_TAX</stp>
        <stp>FY 2013</stp>
        <stp>FY 2013</stp>
        <stp>[FA1_ymffleas.xlsx]Income - GAAP!R63C6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63" s="10"/>
      </tp>
      <tp>
        <v>17.650500000000001</v>
        <stp/>
        <stp>##V3_BDHV12</stp>
        <stp>RCOM IN Equity</stp>
        <stp>AVERAGE_EV_TO_T12M_EBIT</stp>
        <stp>FY 2011</stp>
        <stp>FY 2011</stp>
        <stp>[FA1_ymffleas.xlsx]Multiples!R47C4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47" s="6"/>
      </tp>
      <tp t="s">
        <v>—</v>
        <stp/>
        <stp>##V3_BDHV12</stp>
        <stp>RCOM IN Equity</stp>
        <stp>ARDR_EQY_INVEST_ASSOC_AFFILIATES</stp>
        <stp>FY 2009</stp>
        <stp>FY 2009</stp>
        <stp>[FA1_ymffleas.xlsx]Bal Sheet - As Reported!R169C3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9" s="17"/>
      </tp>
      <tp t="s">
        <v>—</v>
        <stp/>
        <stp>##V3_BDHV12</stp>
        <stp>RCOM IN Equity</stp>
        <stp>ARDR_EQY_INVEST_ASSOC_AFFILIATES</stp>
        <stp>FY 2013</stp>
        <stp>FY 2013</stp>
        <stp>[FA1_ymffleas.xlsx]Bal Sheet - As Reported!R169C7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9" s="17"/>
      </tp>
      <tp t="s">
        <v>—</v>
        <stp/>
        <stp>##V3_BDHV12</stp>
        <stp>RCOM IN Equity</stp>
        <stp>ARDR_EQY_INVEST_ASSOC_AFFILIATES</stp>
        <stp>FY 2012</stp>
        <stp>FY 2012</stp>
        <stp>[FA1_ymffleas.xlsx]Bal Sheet - As Reported!R169C6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9" s="17"/>
      </tp>
      <tp t="s">
        <v>—</v>
        <stp/>
        <stp>##V3_BDHV12</stp>
        <stp>RCOM IN Equity</stp>
        <stp>ARDR_EQY_INVEST_ASSOC_AFFILIATES</stp>
        <stp>FY 2011</stp>
        <stp>FY 2011</stp>
        <stp>[FA1_ymffleas.xlsx]Bal Sheet - As Reported!R169C5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9" s="17"/>
      </tp>
      <tp t="s">
        <v>—</v>
        <stp/>
        <stp>##V3_BDHV12</stp>
        <stp>RCOM IN Equity</stp>
        <stp>ARDR_EQY_INVEST_ASSOC_AFFILIATES</stp>
        <stp>FY 2010</stp>
        <stp>FY 2010</stp>
        <stp>[FA1_ymffleas.xlsx]Bal Sheet - As Reported!R169C4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9" s="17"/>
      </tp>
      <tp t="s">
        <v>—</v>
        <stp/>
        <stp>##V3_BDHV12</stp>
        <stp>RCOM IN Equity</stp>
        <stp>ARDR_EQY_INVEST_ASSOC_AFFILIATES</stp>
        <stp>FY 2015</stp>
        <stp>FY 2015</stp>
        <stp>[FA1_ymffleas.xlsx]Bal Sheet - As Reported!R169C9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9" s="17"/>
      </tp>
      <tp t="s">
        <v>—</v>
        <stp/>
        <stp>##V3_BDHV12</stp>
        <stp>RCOM IN Equity</stp>
        <stp>ARDR_EQY_INVEST_ASSOC_AFFILIATES</stp>
        <stp>FY 2014</stp>
        <stp>FY 2014</stp>
        <stp>[FA1_ymffleas.xlsx]Bal Sheet - As Reported!R169C8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9" s="17"/>
      </tp>
      <tp>
        <v>-20</v>
        <stp/>
        <stp>##V3_BDHV12</stp>
        <stp>RCOM IN Equity</stp>
        <stp>IS_SH_PRO_EQY_MT_INV_NET_OF_TAX</stp>
        <stp>FY 2014</stp>
        <stp>FY 2014</stp>
        <stp>[FA1_ymffleas.xlsx]Income - GAAP!R63C7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63" s="10"/>
      </tp>
      <tp>
        <v>31.9</v>
        <stp/>
        <stp>##V3_BDHV12</stp>
        <stp>RCOM IN Equity</stp>
        <stp>IS_SH_PRO_EQY_MT_INV_NET_OF_TAX</stp>
        <stp>FY 2010</stp>
        <stp>FY 2010</stp>
        <stp>[FA1_ymffleas.xlsx]Income - GAAP!R63C3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63" s="10"/>
      </tp>
      <tp t="s">
        <v>—</v>
        <stp/>
        <stp>##V3_BDHV12</stp>
        <stp>RCOM IN Equity</stp>
        <stp>ARD_OTHER_FINANCIAL_LIAB_ST</stp>
        <stp>FY 2009</stp>
        <stp>FY 2009</stp>
        <stp>[FA1_ymffleas.xlsx]Bal Sheet - As Reported!R60C3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0" s="17"/>
      </tp>
      <tp t="s">
        <v>—</v>
        <stp/>
        <stp>##V3_BDHV12</stp>
        <stp>RCOM IN Equity</stp>
        <stp>ARD_OTHER_FINANCIAL_LIAB_ST</stp>
        <stp>FY 2011</stp>
        <stp>FY 2011</stp>
        <stp>[FA1_ymffleas.xlsx]Bal Sheet - As Reported!R60C5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0" s="17"/>
      </tp>
      <tp t="s">
        <v>—</v>
        <stp/>
        <stp>##V3_BDHV12</stp>
        <stp>RCOM IN Equity</stp>
        <stp>ARD_OTHER_FINANCIAL_LIAB_ST</stp>
        <stp>FY 2010</stp>
        <stp>FY 2010</stp>
        <stp>[FA1_ymffleas.xlsx]Bal Sheet - As Reported!R60C4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0" s="17"/>
      </tp>
      <tp t="s">
        <v>—</v>
        <stp/>
        <stp>##V3_BDHV12</stp>
        <stp>RCOM IN Equity</stp>
        <stp>ARD_OTHER_FINANCIAL_LIAB_ST</stp>
        <stp>FY 2013</stp>
        <stp>FY 2013</stp>
        <stp>[FA1_ymffleas.xlsx]Bal Sheet - As Reported!R60C7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0" s="17"/>
      </tp>
      <tp t="s">
        <v>—</v>
        <stp/>
        <stp>##V3_BDHV12</stp>
        <stp>RCOM IN Equity</stp>
        <stp>ARD_OTHER_FINANCIAL_LIAB_ST</stp>
        <stp>FY 2012</stp>
        <stp>FY 2012</stp>
        <stp>[FA1_ymffleas.xlsx]Bal Sheet - As Reported!R60C6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0" s="17"/>
      </tp>
      <tp t="s">
        <v>—</v>
        <stp/>
        <stp>##V3_BDHV12</stp>
        <stp>RCOM IN Equity</stp>
        <stp>ARD_OTHER_FINANCIAL_LIAB_ST</stp>
        <stp>FY 2015</stp>
        <stp>FY 2015</stp>
        <stp>[FA1_ymffleas.xlsx]Bal Sheet - As Reported!R60C9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0" s="17"/>
      </tp>
      <tp t="s">
        <v>—</v>
        <stp/>
        <stp>##V3_BDHV12</stp>
        <stp>RCOM IN Equity</stp>
        <stp>ARD_OTHER_FINANCIAL_LIAB_ST</stp>
        <stp>FY 2014</stp>
        <stp>FY 2014</stp>
        <stp>[FA1_ymffleas.xlsx]Bal Sheet - As Reported!R60C8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0" s="17"/>
      </tp>
      <tp>
        <v>3.2926000000000002</v>
        <stp/>
        <stp>##V3_BDHV12</stp>
        <stp>RCOM IN Equity</stp>
        <stp>FREE_CASH_FLOW_PER_SH</stp>
        <stp>FY 2010</stp>
        <stp>FY 2010</stp>
        <stp>[FA1_ymffleas.xlsx]Cash Flow - Standardized!R64C3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4" s="19"/>
      </tp>
      <tp>
        <v>0</v>
        <stp/>
        <stp>##V3_BDHV12</stp>
        <stp>RCOM IN Equity</stp>
        <stp>DVD_PAYOUT_RATIO</stp>
        <stp>FY 2017</stp>
        <stp>FY 2017</stp>
        <stp>[FA1_ymffleas.xlsx]DuPont Analysis!R22C11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2" s="27"/>
      </tp>
      <tp>
        <v>11.1111</v>
        <stp/>
        <stp>##V3_BDHV12</stp>
        <stp>RCOM IN Equity</stp>
        <stp>ESG_DISCLOSURE_SCORE</stp>
        <stp>FY 2015</stp>
        <stp>FY 2015</stp>
        <stp>[FA1_ymffleas.xlsx]ESG - Overview!R6C9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" s="34"/>
      </tp>
      <tp>
        <v>11.1111</v>
        <stp/>
        <stp>##V3_BDHV12</stp>
        <stp>RCOM IN Equity</stp>
        <stp>ESG_DISCLOSURE_SCORE</stp>
        <stp>FY 2014</stp>
        <stp>FY 2014</stp>
        <stp>[FA1_ymffleas.xlsx]ESG - Overview!R6C8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" s="34"/>
      </tp>
      <tp>
        <v>8.2606000000000002</v>
        <stp/>
        <stp>##V3_BDHV12</stp>
        <stp>RCOM IN Equity</stp>
        <stp>FREE_CASH_FLOW_PER_SH</stp>
        <stp>FY 2014</stp>
        <stp>FY 2014</stp>
        <stp>[FA1_ymffleas.xlsx]Cash Flow - Standardized!R64C7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4" s="19"/>
      </tp>
      <tp>
        <v>-3.6046</v>
        <stp/>
        <stp>##V3_BDHV12</stp>
        <stp>RCOM IN Equity</stp>
        <stp>FREE_CASH_FLOW_PER_SH</stp>
        <stp>FY 2013</stp>
        <stp>FY 2013</stp>
        <stp>[FA1_ymffleas.xlsx]Cash Flow - Standardized!R64C6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4" s="19"/>
      </tp>
      <tp>
        <v>-3.7645</v>
        <stp/>
        <stp>##V3_BDHV12</stp>
        <stp>RCOM IN Equity</stp>
        <stp>FREE_CASH_FLOW_PER_SH</stp>
        <stp>FY 2012</stp>
        <stp>FY 2012</stp>
        <stp>[FA1_ymffleas.xlsx]Cash Flow - Standardized!R64C5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4" s="19"/>
      </tp>
      <tp>
        <v>-44.839500000000001</v>
        <stp/>
        <stp>##V3_BDHV12</stp>
        <stp>RCOM IN Equity</stp>
        <stp>FREE_CASH_FLOW_PER_SH</stp>
        <stp>FY 2011</stp>
        <stp>FY 2011</stp>
        <stp>[FA1_ymffleas.xlsx]Cash Flow - Standardized!R64C4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4" s="19"/>
      </tp>
      <tp>
        <v>23180</v>
        <stp/>
        <stp>##V3_BDHV12</stp>
        <stp>RCOM IN Equity</stp>
        <stp>ARDR_ACCOUNTS_PAYABLE_TRADE</stp>
        <stp>FY 2012</stp>
        <stp>FY 2012</stp>
        <stp>[FA1_ymffleas.xlsx]Bal Sheet - As Reported!R80C6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0" s="17"/>
      </tp>
      <tp>
        <v>23640</v>
        <stp/>
        <stp>##V3_BDHV12</stp>
        <stp>RCOM IN Equity</stp>
        <stp>ARDR_ACCOUNTS_PAYABLE_TRADE</stp>
        <stp>FY 2013</stp>
        <stp>FY 2013</stp>
        <stp>[FA1_ymffleas.xlsx]Bal Sheet - As Reported!R80C7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0" s="17"/>
      </tp>
      <tp>
        <v>19290.099999999999</v>
        <stp/>
        <stp>##V3_BDHV12</stp>
        <stp>RCOM IN Equity</stp>
        <stp>ARDR_ACCOUNTS_PAYABLE_TRADE</stp>
        <stp>FY 2010</stp>
        <stp>FY 2010</stp>
        <stp>[FA1_ymffleas.xlsx]Bal Sheet - As Reported!R80C4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0" s="17"/>
      </tp>
      <tp>
        <v>18890</v>
        <stp/>
        <stp>##V3_BDHV12</stp>
        <stp>RCOM IN Equity</stp>
        <stp>ARDR_ACCOUNTS_PAYABLE_TRADE</stp>
        <stp>FY 2011</stp>
        <stp>FY 2011</stp>
        <stp>[FA1_ymffleas.xlsx]Bal Sheet - As Reported!R80C5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0" s="17"/>
      </tp>
      <tp>
        <v>4765.3999999999996</v>
        <stp/>
        <stp>##V3_BDHV12</stp>
        <stp>RCOM IN Equity</stp>
        <stp>ARDR_ACCOUNTS_PAYABLE_TRADE</stp>
        <stp>FY 2009</stp>
        <stp>FY 2009</stp>
        <stp>[FA1_ymffleas.xlsx]Bal Sheet - As Reported!R80C3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0" s="17"/>
      </tp>
      <tp>
        <v>35160</v>
        <stp/>
        <stp>##V3_BDHV12</stp>
        <stp>RCOM IN Equity</stp>
        <stp>ARDR_ACCOUNTS_PAYABLE_TRADE</stp>
        <stp>FY 2014</stp>
        <stp>FY 2014</stp>
        <stp>[FA1_ymffleas.xlsx]Bal Sheet - As Reported!R80C8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0" s="17"/>
      </tp>
      <tp>
        <v>62060</v>
        <stp/>
        <stp>##V3_BDHV12</stp>
        <stp>RCOM IN Equity</stp>
        <stp>ARDR_ACCOUNTS_PAYABLE_TRADE</stp>
        <stp>FY 2015</stp>
        <stp>FY 2015</stp>
        <stp>[FA1_ymffleas.xlsx]Bal Sheet - As Reported!R80C9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0" s="17"/>
      </tp>
      <tp>
        <v>-4.4940999999999995</v>
        <stp/>
        <stp>##V3_BDHV12</stp>
        <stp>RCOM IN Equity</stp>
        <stp>FREE_CASH_FLOW_PER_SH</stp>
        <stp>FY 2016</stp>
        <stp>FY 2016</stp>
        <stp>[FA1_ymffleas.xlsx]Cash Flow - Standardized!R64C9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4" s="19"/>
      </tp>
      <tp>
        <v>11.1111</v>
        <stp/>
        <stp>##V3_BDHV12</stp>
        <stp>RCOM IN Equity</stp>
        <stp>ESG_DISCLOSURE_SCORE</stp>
        <stp>FY 2009</stp>
        <stp>FY 2009</stp>
        <stp>[FA1_ymffleas.xlsx]ESG - Overview!R6C3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" s="34"/>
      </tp>
      <tp>
        <v>-8.6121999999999996</v>
        <stp/>
        <stp>##V3_BDHV12</stp>
        <stp>RCOM IN Equity</stp>
        <stp>FREE_CASH_FLOW_PER_SH</stp>
        <stp>FY 2015</stp>
        <stp>FY 2015</stp>
        <stp>[FA1_ymffleas.xlsx]Cash Flow - Standardized!R64C8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4" s="19"/>
      </tp>
      <tp>
        <v>11.1111</v>
        <stp/>
        <stp>##V3_BDHV12</stp>
        <stp>RCOM IN Equity</stp>
        <stp>ESG_DISCLOSURE_SCORE</stp>
        <stp>FY 2011</stp>
        <stp>FY 2011</stp>
        <stp>[FA1_ymffleas.xlsx]ESG - Overview!R6C5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" s="34"/>
      </tp>
      <tp t="s">
        <v>—</v>
        <stp/>
        <stp>##V3_BDHV12</stp>
        <stp>RCOM IN Equity</stp>
        <stp>ESG_DISCLOSURE_SCORE</stp>
        <stp>FY 2010</stp>
        <stp>FY 2010</stp>
        <stp>[FA1_ymffleas.xlsx]ESG - Overview!R6C4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" s="34"/>
      </tp>
      <tp>
        <v>286780</v>
        <stp/>
        <stp>##V3_BDHV12</stp>
        <stp>RCOM IN Equity</stp>
        <stp>ARD_LT_DEBT</stp>
        <stp>FY 2013</stp>
        <stp>FY 2013</stp>
        <stp>[FA1_ymffleas.xlsx]Bal Sheet - As Reported!R17C7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" s="17"/>
      </tp>
      <tp>
        <v>296460</v>
        <stp/>
        <stp>##V3_BDHV12</stp>
        <stp>RCOM IN Equity</stp>
        <stp>ARD_LT_DEBT</stp>
        <stp>FY 2012</stp>
        <stp>FY 2012</stp>
        <stp>[FA1_ymffleas.xlsx]Bal Sheet - As Reported!R17C6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" s="17"/>
      </tp>
      <tp>
        <v>193130</v>
        <stp/>
        <stp>##V3_BDHV12</stp>
        <stp>RCOM IN Equity</stp>
        <stp>ARD_LT_DEBT</stp>
        <stp>FY 2011</stp>
        <stp>FY 2011</stp>
        <stp>[FA1_ymffleas.xlsx]Bal Sheet - As Reported!R17C5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" s="17"/>
      </tp>
      <tp>
        <v>297154.2</v>
        <stp/>
        <stp>##V3_BDHV12</stp>
        <stp>RCOM IN Equity</stp>
        <stp>ARD_LT_DEBT</stp>
        <stp>FY 2010</stp>
        <stp>FY 2010</stp>
        <stp>[FA1_ymffleas.xlsx]Bal Sheet - As Reported!R17C4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" s="17"/>
      </tp>
      <tp>
        <v>391622.5</v>
        <stp/>
        <stp>##V3_BDHV12</stp>
        <stp>RCOM IN Equity</stp>
        <stp>ARD_LT_DEBT</stp>
        <stp>FY 2009</stp>
        <stp>FY 2009</stp>
        <stp>[FA1_ymffleas.xlsx]Bal Sheet - As Reported!R17C3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" s="17"/>
      </tp>
      <tp>
        <v>303560</v>
        <stp/>
        <stp>##V3_BDHV12</stp>
        <stp>RCOM IN Equity</stp>
        <stp>ARD_LT_DEBT</stp>
        <stp>FY 2015</stp>
        <stp>FY 2015</stp>
        <stp>[FA1_ymffleas.xlsx]Bal Sheet - As Reported!R17C9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" s="17"/>
      </tp>
      <tp>
        <v>279130</v>
        <stp/>
        <stp>##V3_BDHV12</stp>
        <stp>RCOM IN Equity</stp>
        <stp>ARD_LT_DEBT</stp>
        <stp>FY 2014</stp>
        <stp>FY 2014</stp>
        <stp>[FA1_ymffleas.xlsx]Bal Sheet - As Reported!R17C8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" s="17"/>
      </tp>
      <tp>
        <v>11.1111</v>
        <stp/>
        <stp>##V3_BDHV12</stp>
        <stp>RCOM IN Equity</stp>
        <stp>ESG_DISCLOSURE_SCORE</stp>
        <stp>FY 2013</stp>
        <stp>FY 2013</stp>
        <stp>[FA1_ymffleas.xlsx]ESG - Overview!R6C7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" s="34"/>
      </tp>
      <tp>
        <v>67.711699999999993</v>
        <stp/>
        <stp>##V3_BDHV12</stp>
        <stp>RCOM IN Equity</stp>
        <stp>EBITDA_MARGIN</stp>
        <stp>FY 2018</stp>
        <stp>FY 2018</stp>
        <stp>[FA1_ymffleas.xlsx]Income - Adjusted!R122C11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K122" s="9"/>
      </tp>
      <tp t="s">
        <v>—</v>
        <stp/>
        <stp>##V3_BDHV12</stp>
        <stp>RCOM IN Equity</stp>
        <stp>ESG_DISCLOSURE_SCORE</stp>
        <stp>FY 2012</stp>
        <stp>FY 2012</stp>
        <stp>[FA1_ymffleas.xlsx]ESG - Overview!R6C6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" s="34"/>
      </tp>
      <tp t="s">
        <v>—</v>
        <stp/>
        <stp>##V3_BDHV12</stp>
        <stp>RCOM IN Equity</stp>
        <stp>ARDR_TOTAL_FINL_LOSSES_GAINS</stp>
        <stp>FY 2018</stp>
        <stp>FY 2018</stp>
        <stp>[FA1_ymffleas.xlsx]Income - As Reported!R105C12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5" s="11"/>
      </tp>
      <tp t="s">
        <v>—</v>
        <stp/>
        <stp>##V3_BDHV12</stp>
        <stp>RCOM IN Equity</stp>
        <stp>ARDR_TOTAL_FINL_LOSSES_GAINS</stp>
        <stp>FY 2017</stp>
        <stp>FY 2017</stp>
        <stp>[FA1_ymffleas.xlsx]Income - As Reported!R105C11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5" s="11"/>
      </tp>
      <tp t="s">
        <v>—</v>
        <stp/>
        <stp>##V3_BDHV12</stp>
        <stp>RCOM IN Equity</stp>
        <stp>ARDR_TOTAL_FINL_LOSSES_GAINS</stp>
        <stp>FY 2016</stp>
        <stp>FY 2016</stp>
        <stp>[FA1_ymffleas.xlsx]Income - As Reported!R105C10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5" s="11"/>
      </tp>
      <tp>
        <v>30.792000000000002</v>
        <stp/>
        <stp>##V3_BDHV12</stp>
        <stp>RCOM IN Equity</stp>
        <stp>EBITDA_TO_REVENUE</stp>
        <stp>FY 2013</stp>
        <stp>FY 2013</stp>
        <stp>[FA1_ymffleas.xlsx]Profitability!R13C7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3" s="21"/>
      </tp>
      <tp>
        <v>15.838100000000001</v>
        <stp/>
        <stp>##V3_BDHV12</stp>
        <stp>RCOM IN Equity</stp>
        <stp>OPER_MARGIN</stp>
        <stp>FY 2015</stp>
        <stp>FY 2015</stp>
        <stp>[FA1_ymffleas.xlsx]Income - Adjusted!R125C8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H125" s="9"/>
      </tp>
      <tp>
        <v>8.5311000000000003</v>
        <stp/>
        <stp>##V3_BDHV12</stp>
        <stp>RCOM IN Equity</stp>
        <stp>SALES_GROWTH</stp>
        <stp>FY 2014</stp>
        <stp>FY 2014</stp>
        <stp>[FA1_ymffleas.xlsx]Growth!R7C8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7" s="22"/>
      </tp>
      <tp t="s">
        <v>—</v>
        <stp/>
        <stp>##V3_BDHV12</stp>
        <stp>RCOM IN Equity</stp>
        <stp>ARD_ASSETS_HELD_FOR_SALE</stp>
        <stp>FY 2011</stp>
        <stp>FY 2011</stp>
        <stp>[FA1_ymffleas.xlsx]Bal Sheet - As Reported!R42C5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2" s="17"/>
      </tp>
      <tp t="s">
        <v>—</v>
        <stp/>
        <stp>##V3_BDHV12</stp>
        <stp>RCOM IN Equity</stp>
        <stp>ARD_ASSETS_HELD_FOR_SALE</stp>
        <stp>FY 2010</stp>
        <stp>FY 2010</stp>
        <stp>[FA1_ymffleas.xlsx]Bal Sheet - As Reported!R42C4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2" s="17"/>
      </tp>
      <tp t="s">
        <v>—</v>
        <stp/>
        <stp>##V3_BDHV12</stp>
        <stp>RCOM IN Equity</stp>
        <stp>ARD_ASSETS_HELD_FOR_SALE</stp>
        <stp>FY 2013</stp>
        <stp>FY 2013</stp>
        <stp>[FA1_ymffleas.xlsx]Bal Sheet - As Reported!R42C7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2" s="17"/>
      </tp>
      <tp t="s">
        <v>—</v>
        <stp/>
        <stp>##V3_BDHV12</stp>
        <stp>RCOM IN Equity</stp>
        <stp>ARD_ASSETS_HELD_FOR_SALE</stp>
        <stp>FY 2012</stp>
        <stp>FY 2012</stp>
        <stp>[FA1_ymffleas.xlsx]Bal Sheet - As Reported!R42C6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2" s="17"/>
      </tp>
      <tp t="s">
        <v>—</v>
        <stp/>
        <stp>##V3_BDHV12</stp>
        <stp>RCOM IN Equity</stp>
        <stp>ARD_ASSETS_HELD_FOR_SALE</stp>
        <stp>FY 2009</stp>
        <stp>FY 2009</stp>
        <stp>[FA1_ymffleas.xlsx]Bal Sheet - As Reported!R42C3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2" s="17"/>
      </tp>
      <tp t="s">
        <v>—</v>
        <stp/>
        <stp>##V3_BDHV12</stp>
        <stp>RCOM IN Equity</stp>
        <stp>ARD_ASSETS_HELD_FOR_SALE</stp>
        <stp>FY 2015</stp>
        <stp>FY 2015</stp>
        <stp>[FA1_ymffleas.xlsx]Bal Sheet - As Reported!R42C9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2" s="17"/>
      </tp>
      <tp t="s">
        <v>—</v>
        <stp/>
        <stp>##V3_BDHV12</stp>
        <stp>RCOM IN Equity</stp>
        <stp>ARD_ASSETS_HELD_FOR_SALE</stp>
        <stp>FY 2014</stp>
        <stp>FY 2014</stp>
        <stp>[FA1_ymffleas.xlsx]Bal Sheet - As Reported!R42C8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2" s="17"/>
      </tp>
      <tp>
        <v>15.8194</v>
        <stp/>
        <stp>##V3_BDHV12</stp>
        <stp>RCOM IN Equity</stp>
        <stp>OPER_MARGIN</stp>
        <stp>FY 2015</stp>
        <stp>FY 2015</stp>
        <stp>[FA1_ymffleas.xlsx]Income - GAAP!R103C8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03" s="10"/>
      </tp>
      <tp>
        <v>2167406</v>
        <stp/>
        <stp>##V3_BDHV12</stp>
        <stp>RCOM IN Equity</stp>
        <stp>ARDR_TOTAL_NUMBER_OF_SHRHLDRS</stp>
        <stp>FY 2009</stp>
        <stp>FY 2009</stp>
        <stp>[FA1_ymffleas.xlsx]Bal Sheet - As Reported!R153C3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53" s="17"/>
      </tp>
      <tp>
        <v>2162907</v>
        <stp/>
        <stp>##V3_BDHV12</stp>
        <stp>RCOM IN Equity</stp>
        <stp>ARDR_TOTAL_NUMBER_OF_SHRHLDRS</stp>
        <stp>FY 2010</stp>
        <stp>FY 2010</stp>
        <stp>[FA1_ymffleas.xlsx]Bal Sheet - As Reported!R153C4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53" s="17"/>
      </tp>
      <tp>
        <v>2098743</v>
        <stp/>
        <stp>##V3_BDHV12</stp>
        <stp>RCOM IN Equity</stp>
        <stp>ARDR_TOTAL_NUMBER_OF_SHRHLDRS</stp>
        <stp>FY 2011</stp>
        <stp>FY 2011</stp>
        <stp>[FA1_ymffleas.xlsx]Bal Sheet - As Reported!R153C5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53" s="17"/>
      </tp>
      <tp>
        <v>2.5979999999999999</v>
        <stp/>
        <stp>##V3_BDHV12</stp>
        <stp>RCOM IN Equity</stp>
        <stp>FNCL_LVRG</stp>
        <stp>FY 2015</stp>
        <stp>FY 2015</stp>
        <stp>[FA1_ymffleas.xlsx]DuPont Analysis!R17C9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7" s="27"/>
      </tp>
      <tp>
        <v>1952760</v>
        <stp/>
        <stp>##V3_BDHV12</stp>
        <stp>RCOM IN Equity</stp>
        <stp>ARDR_TOTAL_NUMBER_OF_SHRHLDRS</stp>
        <stp>FY 2012</stp>
        <stp>FY 2012</stp>
        <stp>[FA1_ymffleas.xlsx]Bal Sheet - As Reported!R153C6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53" s="17"/>
      </tp>
      <tp>
        <v>2.7147000000000001</v>
        <stp/>
        <stp>##V3_BDHV12</stp>
        <stp>RCOM IN Equity</stp>
        <stp>FNCL_LVRG</stp>
        <stp>FY 2014</stp>
        <stp>FY 2014</stp>
        <stp>[FA1_ymffleas.xlsx]DuPont Analysis!R17C8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7" s="27"/>
      </tp>
      <tp>
        <v>1879525</v>
        <stp/>
        <stp>##V3_BDHV12</stp>
        <stp>RCOM IN Equity</stp>
        <stp>ARDR_TOTAL_NUMBER_OF_SHRHLDRS</stp>
        <stp>FY 2013</stp>
        <stp>FY 2013</stp>
        <stp>[FA1_ymffleas.xlsx]Bal Sheet - As Reported!R153C7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53" s="17"/>
      </tp>
      <tp>
        <v>2.601</v>
        <stp/>
        <stp>##V3_BDHV12</stp>
        <stp>RCOM IN Equity</stp>
        <stp>FNCL_LVRG</stp>
        <stp>FY 2013</stp>
        <stp>FY 2013</stp>
        <stp>[FA1_ymffleas.xlsx]DuPont Analysis!R17C7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7" s="27"/>
      </tp>
      <tp>
        <v>1720386</v>
        <stp/>
        <stp>##V3_BDHV12</stp>
        <stp>RCOM IN Equity</stp>
        <stp>ARDR_TOTAL_NUMBER_OF_SHRHLDRS</stp>
        <stp>FY 2014</stp>
        <stp>FY 2014</stp>
        <stp>[FA1_ymffleas.xlsx]Bal Sheet - As Reported!R153C8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53" s="17"/>
      </tp>
      <tp>
        <v>2.4348999999999998</v>
        <stp/>
        <stp>##V3_BDHV12</stp>
        <stp>RCOM IN Equity</stp>
        <stp>FNCL_LVRG</stp>
        <stp>FY 2012</stp>
        <stp>FY 2012</stp>
        <stp>[FA1_ymffleas.xlsx]DuPont Analysis!R17C6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7" s="27"/>
      </tp>
      <tp>
        <v>1657702</v>
        <stp/>
        <stp>##V3_BDHV12</stp>
        <stp>RCOM IN Equity</stp>
        <stp>ARDR_TOTAL_NUMBER_OF_SHRHLDRS</stp>
        <stp>FY 2015</stp>
        <stp>FY 2015</stp>
        <stp>[FA1_ymffleas.xlsx]Bal Sheet - As Reported!R153C9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53" s="17"/>
      </tp>
      <tp t="s">
        <v>—</v>
        <stp/>
        <stp>##V3_BDHV12</stp>
        <stp>RCOM IN Equity</stp>
        <stp>CASH_CONVERSION_CYCLE</stp>
        <stp>FY 2009</stp>
        <stp>FY 2009</stp>
        <stp>[FA1_ymffleas.xlsx]Bal Sheet - Standardized!R171C3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71" s="16"/>
      </tp>
      <tp>
        <v>2.2334000000000001</v>
        <stp/>
        <stp>##V3_BDHV12</stp>
        <stp>RCOM IN Equity</stp>
        <stp>FNCL_LVRG</stp>
        <stp>FY 2011</stp>
        <stp>FY 2011</stp>
        <stp>[FA1_ymffleas.xlsx]DuPont Analysis!R17C5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7" s="27"/>
      </tp>
      <tp>
        <v>2.2743000000000002</v>
        <stp/>
        <stp>##V3_BDHV12</stp>
        <stp>RCOM IN Equity</stp>
        <stp>FNCL_LVRG</stp>
        <stp>FY 2010</stp>
        <stp>FY 2010</stp>
        <stp>[FA1_ymffleas.xlsx]DuPont Analysis!R17C4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7" s="27"/>
      </tp>
      <tp>
        <v>2.5196000000000001</v>
        <stp/>
        <stp>##V3_BDHV12</stp>
        <stp>RCOM IN Equity</stp>
        <stp>FNCL_LVRG</stp>
        <stp>FY 2009</stp>
        <stp>FY 2009</stp>
        <stp>[FA1_ymffleas.xlsx]DuPont Analysis!R17C3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7" s="27"/>
      </tp>
      <tp>
        <v>-37265.9</v>
        <stp/>
        <stp>##V3_BDHV12</stp>
        <stp>RCOM IN Equity</stp>
        <stp>T12M_CHG_LT_DEBT</stp>
        <stp>FY 2010</stp>
        <stp>FY 2010</stp>
        <stp>[FA1_ymffleas.xlsx]Yield Analysis!R16C4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" s="26"/>
      </tp>
      <tp>
        <v>69510</v>
        <stp/>
        <stp>##V3_BDHV12</stp>
        <stp>RCOM IN Equity</stp>
        <stp>T12M_CHG_LT_DEBT</stp>
        <stp>FY 2011</stp>
        <stp>FY 2011</stp>
        <stp>[FA1_ymffleas.xlsx]Yield Analysis!R16C5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" s="26"/>
      </tp>
      <tp>
        <v>18950</v>
        <stp/>
        <stp>##V3_BDHV12</stp>
        <stp>RCOM IN Equity</stp>
        <stp>T12M_CHG_LT_DEBT</stp>
        <stp>FY 2012</stp>
        <stp>FY 2012</stp>
        <stp>[FA1_ymffleas.xlsx]Yield Analysis!R16C6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" s="26"/>
      </tp>
      <tp>
        <v>-10530</v>
        <stp/>
        <stp>##V3_BDHV12</stp>
        <stp>RCOM IN Equity</stp>
        <stp>T12M_CHG_LT_DEBT</stp>
        <stp>FY 2013</stp>
        <stp>FY 2013</stp>
        <stp>[FA1_ymffleas.xlsx]Yield Analysis!R16C7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" s="26"/>
      </tp>
      <tp>
        <v>89291.8</v>
        <stp/>
        <stp>##V3_BDHV12</stp>
        <stp>RCOM IN Equity</stp>
        <stp>T12M_CHG_LT_DEBT</stp>
        <stp>FY 2009</stp>
        <stp>FY 2009</stp>
        <stp>[FA1_ymffleas.xlsx]Yield Analysis!R16C3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" s="26"/>
      </tp>
      <tp>
        <v>-14960</v>
        <stp/>
        <stp>##V3_BDHV12</stp>
        <stp>RCOM IN Equity</stp>
        <stp>T12M_CHG_LT_DEBT</stp>
        <stp>FY 2014</stp>
        <stp>FY 2014</stp>
        <stp>[FA1_ymffleas.xlsx]Yield Analysis!R16C8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" s="26"/>
      </tp>
      <tp>
        <v>10780</v>
        <stp/>
        <stp>##V3_BDHV12</stp>
        <stp>RCOM IN Equity</stp>
        <stp>T12M_CHG_LT_DEBT</stp>
        <stp>FY 2015</stp>
        <stp>FY 2015</stp>
        <stp>[FA1_ymffleas.xlsx]Yield Analysis!R16C9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" s="26"/>
      </tp>
      <tp>
        <v>-71.106300000000005</v>
        <stp/>
        <stp>##V3_BDHV12</stp>
        <stp>RCOM IN Equity</stp>
        <stp>DILUTED_EPS_BEF_XO_ITEMS_GROWTH</stp>
        <stp>FY 2011</stp>
        <stp>FY 2011</stp>
        <stp>[FA1_ymffleas.xlsx]Growth!R12C5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2" s="22"/>
      </tp>
      <tp t="s">
        <v>—</v>
        <stp/>
        <stp>##V3_BDHV12</stp>
        <stp>RCOM IN Equity</stp>
        <stp>ARDR_AMORT_OF_INTANGIBLE_ASSETS</stp>
        <stp>FY 2014</stp>
        <stp>FY 2014</stp>
        <stp>[FA1_ymffleas.xlsx]Income - As Reported!R92C8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2" s="11"/>
      </tp>
      <tp t="s">
        <v>—</v>
        <stp/>
        <stp>##V3_BDHV12</stp>
        <stp>RCOM IN Equity</stp>
        <stp>ARDR_AMORT_OF_INTANGIBLE_ASSETS</stp>
        <stp>FY 2015</stp>
        <stp>FY 2015</stp>
        <stp>[FA1_ymffleas.xlsx]Income - As Reported!R92C9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2" s="11"/>
      </tp>
      <tp>
        <v>3340</v>
        <stp/>
        <stp>##V3_BDHV12</stp>
        <stp>RCOM IN Equity</stp>
        <stp>ARDR_AMORT_OF_INTANGIBLE_ASSETS</stp>
        <stp>FY 2009</stp>
        <stp>FY 2009</stp>
        <stp>[FA1_ymffleas.xlsx]Income - As Reported!R92C3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2" s="11"/>
      </tp>
      <tp>
        <v>19710</v>
        <stp/>
        <stp>##V3_BDHV12</stp>
        <stp>RCOM IN Equity</stp>
        <stp>ARDR_AMORT_OF_INTANGIBLE_ASSETS</stp>
        <stp>FY 2012</stp>
        <stp>FY 2012</stp>
        <stp>[FA1_ymffleas.xlsx]Income - As Reported!R92C6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2" s="11"/>
      </tp>
      <tp>
        <v>19370</v>
        <stp/>
        <stp>##V3_BDHV12</stp>
        <stp>RCOM IN Equity</stp>
        <stp>ARDR_AMORT_OF_INTANGIBLE_ASSETS</stp>
        <stp>FY 2013</stp>
        <stp>FY 2013</stp>
        <stp>[FA1_ymffleas.xlsx]Income - As Reported!R92C7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2" s="11"/>
      </tp>
      <tp>
        <v>5769.6</v>
        <stp/>
        <stp>##V3_BDHV12</stp>
        <stp>RCOM IN Equity</stp>
        <stp>ARDR_AMORT_OF_INTANGIBLE_ASSETS</stp>
        <stp>FY 2010</stp>
        <stp>FY 2010</stp>
        <stp>[FA1_ymffleas.xlsx]Income - As Reported!R92C4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2" s="11"/>
      </tp>
      <tp>
        <v>27600</v>
        <stp/>
        <stp>##V3_BDHV12</stp>
        <stp>RCOM IN Equity</stp>
        <stp>ARDR_AMORT_OF_INTANGIBLE_ASSETS</stp>
        <stp>FY 2011</stp>
        <stp>FY 2011</stp>
        <stp>[FA1_ymffleas.xlsx]Income - As Reported!R92C5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2" s="11"/>
      </tp>
      <tp>
        <v>-22.922499999999999</v>
        <stp/>
        <stp>##V3_BDHV12</stp>
        <stp>RCOM IN Equity</stp>
        <stp>DILUTED_EPS_BEF_XO_ITEMS_GROWTH</stp>
        <stp>FY 2010</stp>
        <stp>FY 2010</stp>
        <stp>[FA1_ymffleas.xlsx]Growth!R12C4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2" s="22"/>
      </tp>
      <tp>
        <v>-26.077100000000002</v>
        <stp/>
        <stp>##V3_BDHV12</stp>
        <stp>RCOM IN Equity</stp>
        <stp>DILUTED_EPS_BEF_XO_ITEMS_GROWTH</stp>
        <stp>FY 2013</stp>
        <stp>FY 2013</stp>
        <stp>[FA1_ymffleas.xlsx]Growth!R12C7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2" s="22"/>
      </tp>
      <tp>
        <v>38700</v>
        <stp/>
        <stp>##V3_BDHV12</stp>
        <stp>RCOM IN Equity</stp>
        <stp>CF_CASH_FROM_OPER</stp>
        <stp>FY 2014</stp>
        <stp>FY 2014</stp>
        <stp>[FA1_ymffleas.xlsx]GAAP Highlights!R22C8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2" s="3"/>
      </tp>
      <tp>
        <v>4860</v>
        <stp/>
        <stp>##V3_BDHV12</stp>
        <stp>RCOM IN Equity</stp>
        <stp>CF_CASH_FROM_OPER</stp>
        <stp>FY 2015</stp>
        <stp>FY 2015</stp>
        <stp>[FA1_ymffleas.xlsx]GAAP Highlights!R22C9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2" s="3"/>
      </tp>
      <tp>
        <v>81756.399999999994</v>
        <stp/>
        <stp>##V3_BDHV12</stp>
        <stp>RCOM IN Equity</stp>
        <stp>CF_CASH_FROM_OPER</stp>
        <stp>FY 2010</stp>
        <stp>FY 2010</stp>
        <stp>[FA1_ymffleas.xlsx]GAAP Highlights!R22C4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2" s="3"/>
      </tp>
      <tp>
        <v>10720</v>
        <stp/>
        <stp>##V3_BDHV12</stp>
        <stp>RCOM IN Equity</stp>
        <stp>CF_CASH_FROM_OPER</stp>
        <stp>FY 2011</stp>
        <stp>FY 2011</stp>
        <stp>[FA1_ymffleas.xlsx]GAAP Highlights!R22C5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2" s="3"/>
      </tp>
      <tp>
        <v>40730</v>
        <stp/>
        <stp>##V3_BDHV12</stp>
        <stp>RCOM IN Equity</stp>
        <stp>CF_CASH_FROM_OPER</stp>
        <stp>FY 2012</stp>
        <stp>FY 2012</stp>
        <stp>[FA1_ymffleas.xlsx]GAAP Highlights!R22C6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2" s="3"/>
      </tp>
      <tp>
        <v>13700</v>
        <stp/>
        <stp>##V3_BDHV12</stp>
        <stp>RCOM IN Equity</stp>
        <stp>CF_CASH_FROM_OPER</stp>
        <stp>FY 2013</stp>
        <stp>FY 2013</stp>
        <stp>[FA1_ymffleas.xlsx]GAAP Highlights!R22C7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2" s="3"/>
      </tp>
      <tp>
        <v>51300.9</v>
        <stp/>
        <stp>##V3_BDHV12</stp>
        <stp>RCOM IN Equity</stp>
        <stp>CF_CASH_FROM_OPER</stp>
        <stp>FY 2009</stp>
        <stp>FY 2009</stp>
        <stp>[FA1_ymffleas.xlsx]GAAP Highlights!R22C3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2" s="3"/>
      </tp>
      <tp>
        <v>-29.401800000000001</v>
        <stp/>
        <stp>##V3_BDHV12</stp>
        <stp>RCOM IN Equity</stp>
        <stp>DILUTED_EPS_BEF_XO_ITEMS_GROWTH</stp>
        <stp>FY 2012</stp>
        <stp>FY 2012</stp>
        <stp>[FA1_ymffleas.xlsx]Growth!R12C6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2" s="22"/>
      </tp>
      <tp>
        <v>20.7959</v>
        <stp/>
        <stp>##V3_BDHV12</stp>
        <stp>RCOM IN Equity</stp>
        <stp>DILUTED_EPS_BEF_XO_ITEMS_GROWTH</stp>
        <stp>FY 2009</stp>
        <stp>FY 2009</stp>
        <stp>[FA1_ymffleas.xlsx]Growth!R12C3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2" s="22"/>
      </tp>
      <tp>
        <v>3.6021000000000001</v>
        <stp/>
        <stp>##V3_BDHV12</stp>
        <stp>RCOM IN Equity</stp>
        <stp>HIGH_PX_TO_SALES_RATIO</stp>
        <stp>FY 2010</stp>
        <stp>FY 2010</stp>
        <stp>[FA1_ymffleas.xlsx]Multiples!R23C3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3" s="6"/>
      </tp>
      <tp>
        <v>-12.142200000000001</v>
        <stp/>
        <stp>##V3_BDHV12</stp>
        <stp>RCOM IN Equity</stp>
        <stp>GEO_GROW_EBITDA</stp>
        <stp>FY 2018</stp>
        <stp>FY 2018</stp>
        <stp>[FA1_ymffleas.xlsx]Growth!R37C12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37" s="22"/>
      </tp>
      <tp>
        <v>-39.842199999999998</v>
        <stp/>
        <stp>##V3_BDHV12</stp>
        <stp>RCOM IN Equity</stp>
        <stp>DILUTED_EPS_BEF_XO_ITEMS_GROWTH</stp>
        <stp>FY 2015</stp>
        <stp>FY 2015</stp>
        <stp>[FA1_ymffleas.xlsx]Growth!R12C9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2" s="22"/>
      </tp>
      <tp>
        <v>55.521500000000003</v>
        <stp/>
        <stp>##V3_BDHV12</stp>
        <stp>RCOM IN Equity</stp>
        <stp>DILUTED_EPS_BEF_XO_ITEMS_GROWTH</stp>
        <stp>FY 2014</stp>
        <stp>FY 2014</stp>
        <stp>[FA1_ymffleas.xlsx]Growth!R12C8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2" s="22"/>
      </tp>
      <tp>
        <v>2765.5331000000001</v>
        <stp/>
        <stp>##V3_BDHV12</stp>
        <stp>RCOM IN Equity</stp>
        <stp>ARDR_SHARES_OUTSTANDING</stp>
        <stp>FY 2018</stp>
        <stp>FY 2018</stp>
        <stp>[FA1_ymffleas.xlsx]Bal Sheet - As Reported!R98C12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98" s="17"/>
      </tp>
      <tp>
        <v>2488.9796999999999</v>
        <stp/>
        <stp>##V3_BDHV12</stp>
        <stp>RCOM IN Equity</stp>
        <stp>ARDR_SHARES_OUTSTANDING</stp>
        <stp>FY 2017</stp>
        <stp>FY 2017</stp>
        <stp>[FA1_ymffleas.xlsx]Bal Sheet - As Reported!R98C11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8" s="17"/>
      </tp>
      <tp t="s">
        <v>—</v>
        <stp/>
        <stp>##V3_BDHV12</stp>
        <stp>RCOM IN Equity</stp>
        <stp>ARD_EQY_IN_EARN_AFFILIATE_JV</stp>
        <stp>FY 2018</stp>
        <stp>FY 2018</stp>
        <stp>[FA1_ymffleas.xlsx]Income - As Reported!R23C12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3" s="11"/>
      </tp>
      <tp t="s">
        <v>—</v>
        <stp/>
        <stp>##V3_BDHV12</stp>
        <stp>RCOM IN Equity</stp>
        <stp>ARD_EQY_IN_EARN_AFFILIATE_JV</stp>
        <stp>FY 2017</stp>
        <stp>FY 2017</stp>
        <stp>[FA1_ymffleas.xlsx]Income - As Reported!R23C11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3" s="11"/>
      </tp>
      <tp t="s">
        <v>—</v>
        <stp/>
        <stp>##V3_BDHV12</stp>
        <stp>RCOM IN Equity</stp>
        <stp>ARD_EQY_IN_EARN_AFFILIATE_JV</stp>
        <stp>FY 2016</stp>
        <stp>FY 2016</stp>
        <stp>[FA1_ymffleas.xlsx]Income - As Reported!R23C10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3" s="11"/>
      </tp>
      <tp>
        <v>2488.9796999999999</v>
        <stp/>
        <stp>##V3_BDHV12</stp>
        <stp>RCOM IN Equity</stp>
        <stp>ARDR_SHARES_OUTSTANDING</stp>
        <stp>FY 2016</stp>
        <stp>FY 2016</stp>
        <stp>[FA1_ymffleas.xlsx]Bal Sheet - As Reported!R98C10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8" s="17"/>
      </tp>
      <tp>
        <v>30190</v>
        <stp/>
        <stp>##V3_BDHV12</stp>
        <stp>RCOM IN Equity</stp>
        <stp>OTHER_CURRENT_LIABS_DETAILED</stp>
        <stp>FY 2014</stp>
        <stp>FY 2014</stp>
        <stp>[FA1_ymffleas.xlsx]Bal Sheet - Standardized!R99C8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9" s="16"/>
      </tp>
      <tp>
        <v>28600</v>
        <stp/>
        <stp>##V3_BDHV12</stp>
        <stp>RCOM IN Equity</stp>
        <stp>OTHER_CURRENT_LIABS_DETAILED</stp>
        <stp>FY 2015</stp>
        <stp>FY 2015</stp>
        <stp>[FA1_ymffleas.xlsx]Bal Sheet - Standardized!R99C9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9" s="16"/>
      </tp>
      <tp>
        <v>147675</v>
        <stp/>
        <stp>##V3_BDHV12</stp>
        <stp>RCOM IN Equity</stp>
        <stp>OTHER_CURRENT_LIABS_DETAILED</stp>
        <stp>FY 2009</stp>
        <stp>FY 2009</stp>
        <stp>[FA1_ymffleas.xlsx]Bal Sheet - Standardized!R99C3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9" s="16"/>
      </tp>
      <tp>
        <v>137815.20000000001</v>
        <stp/>
        <stp>##V3_BDHV12</stp>
        <stp>RCOM IN Equity</stp>
        <stp>OTHER_CURRENT_LIABS_DETAILED</stp>
        <stp>FY 2010</stp>
        <stp>FY 2010</stp>
        <stp>[FA1_ymffleas.xlsx]Bal Sheet - Standardized!R99C4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9" s="16"/>
      </tp>
      <tp>
        <v>65520</v>
        <stp/>
        <stp>##V3_BDHV12</stp>
        <stp>RCOM IN Equity</stp>
        <stp>OTHER_CURRENT_LIABS_DETAILED</stp>
        <stp>FY 2011</stp>
        <stp>FY 2011</stp>
        <stp>[FA1_ymffleas.xlsx]Bal Sheet - Standardized!R99C5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9" s="16"/>
      </tp>
      <tp>
        <v>55600</v>
        <stp/>
        <stp>##V3_BDHV12</stp>
        <stp>RCOM IN Equity</stp>
        <stp>OTHER_CURRENT_LIABS_DETAILED</stp>
        <stp>FY 2012</stp>
        <stp>FY 2012</stp>
        <stp>[FA1_ymffleas.xlsx]Bal Sheet - Standardized!R99C6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9" s="16"/>
      </tp>
      <tp>
        <v>38140</v>
        <stp/>
        <stp>##V3_BDHV12</stp>
        <stp>RCOM IN Equity</stp>
        <stp>OTHER_CURRENT_LIABS_DETAILED</stp>
        <stp>FY 2013</stp>
        <stp>FY 2013</stp>
        <stp>[FA1_ymffleas.xlsx]Bal Sheet - Standardized!R99C7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9" s="16"/>
      </tp>
      <tp t="s">
        <v>—</v>
        <stp/>
        <stp>##V3_BDHV12</stp>
        <stp>RCOM IN Equity</stp>
        <stp>DEPR_EXP_TO_NET_SALES</stp>
        <stp>FY 2015</stp>
        <stp>FY 2015</stp>
        <stp>[FA1_ymffleas.xlsx]CAPEX &amp; Depreciation!R7C9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7" s="28"/>
      </tp>
      <tp>
        <v>25000</v>
        <stp/>
        <stp>##V3_BDHV12</stp>
        <stp>RCOM IN Equity</stp>
        <stp>ARDR_AUTHORIZED_CAPITAL</stp>
        <stp>FY 2015</stp>
        <stp>FY 2015</stp>
        <stp>[FA1_ymffleas.xlsx]Bal Sheet - As Reported!R136C9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6" s="17"/>
      </tp>
      <tp>
        <v>25000</v>
        <stp/>
        <stp>##V3_BDHV12</stp>
        <stp>RCOM IN Equity</stp>
        <stp>ARDR_AUTHORIZED_CAPITAL</stp>
        <stp>FY 2014</stp>
        <stp>FY 2014</stp>
        <stp>[FA1_ymffleas.xlsx]Bal Sheet - As Reported!R136C8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6" s="17"/>
      </tp>
      <tp>
        <v>15000</v>
        <stp/>
        <stp>##V3_BDHV12</stp>
        <stp>RCOM IN Equity</stp>
        <stp>ARDR_AUTHORIZED_CAPITAL</stp>
        <stp>FY 2009</stp>
        <stp>FY 2009</stp>
        <stp>[FA1_ymffleas.xlsx]Bal Sheet - As Reported!R136C3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6" s="17"/>
      </tp>
      <tp>
        <v>25000</v>
        <stp/>
        <stp>##V3_BDHV12</stp>
        <stp>RCOM IN Equity</stp>
        <stp>ARDR_AUTHORIZED_CAPITAL</stp>
        <stp>FY 2013</stp>
        <stp>FY 2013</stp>
        <stp>[FA1_ymffleas.xlsx]Bal Sheet - As Reported!R136C7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6" s="17"/>
      </tp>
      <tp>
        <v>15000</v>
        <stp/>
        <stp>##V3_BDHV12</stp>
        <stp>RCOM IN Equity</stp>
        <stp>ARDR_AUTHORIZED_CAPITAL</stp>
        <stp>FY 2012</stp>
        <stp>FY 2012</stp>
        <stp>[FA1_ymffleas.xlsx]Bal Sheet - As Reported!R136C6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6" s="17"/>
      </tp>
      <tp>
        <v>15000</v>
        <stp/>
        <stp>##V3_BDHV12</stp>
        <stp>RCOM IN Equity</stp>
        <stp>ARDR_AUTHORIZED_CAPITAL</stp>
        <stp>FY 2011</stp>
        <stp>FY 2011</stp>
        <stp>[FA1_ymffleas.xlsx]Bal Sheet - As Reported!R136C5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6" s="17"/>
      </tp>
      <tp>
        <v>15000</v>
        <stp/>
        <stp>##V3_BDHV12</stp>
        <stp>RCOM IN Equity</stp>
        <stp>ARDR_AUTHORIZED_CAPITAL</stp>
        <stp>FY 2010</stp>
        <stp>FY 2010</stp>
        <stp>[FA1_ymffleas.xlsx]Bal Sheet - As Reported!R136C4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6" s="17"/>
      </tp>
      <tp>
        <v>1.3765000000000001</v>
        <stp/>
        <stp>##V3_BDHV12</stp>
        <stp>RCOM IN Equity</stp>
        <stp>OPER_INC_TO_INT_EXP</stp>
        <stp>FY 2015</stp>
        <stp>FY 2015</stp>
        <stp>[FA1_ymffleas.xlsx]Credit!R18C9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8" s="23"/>
      </tp>
      <tp t="s">
        <v>—</v>
        <stp/>
        <stp>##V3_BDHV12</stp>
        <stp>RCOM IN Equity</stp>
        <stp>ACTUAL_SALES_PER_EMPL</stp>
        <stp>FY 2017</stp>
        <stp>FY 2017</stp>
        <stp>[FA1_ymffleas.xlsx]Income - GAAP!R105C10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05" s="10"/>
      </tp>
      <tp>
        <v>1930</v>
        <stp/>
        <stp>##V3_BDHV12</stp>
        <stp>RCOM IN Equity</stp>
        <stp>CF_CHANGE_IN_INVENTORIES</stp>
        <stp>FY 2016</stp>
        <stp>FY 2016</stp>
        <stp>[FA1_ymffleas.xlsx]Cash Flow - Standardized!R12C9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" s="19"/>
      </tp>
      <tp>
        <v>140</v>
        <stp/>
        <stp>##V3_BDHV12</stp>
        <stp>RCOM IN Equity</stp>
        <stp>CF_CHANGE_IN_INVENTORIES</stp>
        <stp>FY 2015</stp>
        <stp>FY 2015</stp>
        <stp>[FA1_ymffleas.xlsx]Cash Flow - Standardized!R12C8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" s="19"/>
      </tp>
      <tp>
        <v>-490</v>
        <stp/>
        <stp>##V3_BDHV12</stp>
        <stp>RCOM IN Equity</stp>
        <stp>CF_CHANGE_IN_INVENTORIES</stp>
        <stp>FY 2012</stp>
        <stp>FY 2012</stp>
        <stp>[FA1_ymffleas.xlsx]Cash Flow - Standardized!R12C5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" s="19"/>
      </tp>
      <tp>
        <v>270</v>
        <stp/>
        <stp>##V3_BDHV12</stp>
        <stp>RCOM IN Equity</stp>
        <stp>CF_CHANGE_IN_INVENTORIES</stp>
        <stp>FY 2011</stp>
        <stp>FY 2011</stp>
        <stp>[FA1_ymffleas.xlsx]Cash Flow - Standardized!R12C4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" s="19"/>
      </tp>
      <tp>
        <v>820</v>
        <stp/>
        <stp>##V3_BDHV12</stp>
        <stp>RCOM IN Equity</stp>
        <stp>CF_CHANGE_IN_INVENTORIES</stp>
        <stp>FY 2014</stp>
        <stp>FY 2014</stp>
        <stp>[FA1_ymffleas.xlsx]Cash Flow - Standardized!R12C7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" s="19"/>
      </tp>
      <tp>
        <v>700</v>
        <stp/>
        <stp>##V3_BDHV12</stp>
        <stp>RCOM IN Equity</stp>
        <stp>CF_CHANGE_IN_INVENTORIES</stp>
        <stp>FY 2013</stp>
        <stp>FY 2013</stp>
        <stp>[FA1_ymffleas.xlsx]Cash Flow - Standardized!R12C6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" s="19"/>
      </tp>
      <tp>
        <v>-19.100000000000001</v>
        <stp/>
        <stp>##V3_BDHV12</stp>
        <stp>RCOM IN Equity</stp>
        <stp>CF_CHANGE_IN_INVENTORIES</stp>
        <stp>FY 2010</stp>
        <stp>FY 2010</stp>
        <stp>[FA1_ymffleas.xlsx]Cash Flow - Standardized!R12C3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" s="19"/>
      </tp>
      <tp>
        <v>0.81379999999999997</v>
        <stp/>
        <stp>##V3_BDHV12</stp>
        <stp>RCOM IN Equity</stp>
        <stp>ARDR_OPTIONS_CANCELLED_FORFEITED</stp>
        <stp>FY 2015</stp>
        <stp>FY 2015</stp>
        <stp>[FA1_ymffleas.xlsx]Bal Sheet - As Reported!R197C9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7" s="17"/>
      </tp>
      <tp>
        <v>1.2578</v>
        <stp/>
        <stp>##V3_BDHV12</stp>
        <stp>RCOM IN Equity</stp>
        <stp>ARDR_OPTIONS_CANCELLED_FORFEITED</stp>
        <stp>FY 2014</stp>
        <stp>FY 2014</stp>
        <stp>[FA1_ymffleas.xlsx]Bal Sheet - As Reported!R197C8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7" s="17"/>
      </tp>
      <tp t="s">
        <v>—</v>
        <stp/>
        <stp>##V3_BDHV12</stp>
        <stp>RCOM IN Equity</stp>
        <stp>ARDR_OPTIONS_CANCELLED_FORFEITED</stp>
        <stp>FY 2009</stp>
        <stp>FY 2009</stp>
        <stp>[FA1_ymffleas.xlsx]Bal Sheet - As Reported!R197C3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7" s="17"/>
      </tp>
      <tp t="s">
        <v>—</v>
        <stp/>
        <stp>##V3_BDHV12</stp>
        <stp>RCOM IN Equity</stp>
        <stp>ARDR_OPTIONS_CANCELLED_FORFEITED</stp>
        <stp>FY 2011</stp>
        <stp>FY 2011</stp>
        <stp>[FA1_ymffleas.xlsx]Bal Sheet - As Reported!R197C5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7" s="17"/>
      </tp>
      <tp t="s">
        <v>—</v>
        <stp/>
        <stp>##V3_BDHV12</stp>
        <stp>RCOM IN Equity</stp>
        <stp>ARDR_OPTIONS_CANCELLED_FORFEITED</stp>
        <stp>FY 2010</stp>
        <stp>FY 2010</stp>
        <stp>[FA1_ymffleas.xlsx]Bal Sheet - As Reported!R197C4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7" s="17"/>
      </tp>
      <tp>
        <v>0.1777</v>
        <stp/>
        <stp>##V3_BDHV12</stp>
        <stp>RCOM IN Equity</stp>
        <stp>ARDR_OPTIONS_CANCELLED_FORFEITED</stp>
        <stp>FY 2013</stp>
        <stp>FY 2013</stp>
        <stp>[FA1_ymffleas.xlsx]Bal Sheet - As Reported!R197C7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7" s="17"/>
      </tp>
      <tp>
        <v>0.89449999999999996</v>
        <stp/>
        <stp>##V3_BDHV12</stp>
        <stp>RCOM IN Equity</stp>
        <stp>ARDR_OPTIONS_CANCELLED_FORFEITED</stp>
        <stp>FY 2012</stp>
        <stp>FY 2012</stp>
        <stp>[FA1_ymffleas.xlsx]Bal Sheet - As Reported!R197C6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7" s="17"/>
      </tp>
      <tp>
        <v>2467.7006999999999</v>
        <stp/>
        <stp>##V3_BDHV12</stp>
        <stp>RCOM IN Equity</stp>
        <stp>IS_SH_FOR_DILUTED_EPS</stp>
        <stp>FY 2016</stp>
        <stp>FY 2016</stp>
        <stp>[FA1_ymffleas.xlsx]Per Share!R7C9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" s="7"/>
      </tp>
      <tp>
        <v>2333.9049</v>
        <stp/>
        <stp>##V3_BDHV12</stp>
        <stp>RCOM IN Equity</stp>
        <stp>IS_SH_FOR_DILUTED_EPS</stp>
        <stp>FY 2015</stp>
        <stp>FY 2015</stp>
        <stp>[FA1_ymffleas.xlsx]Per Share!R7C8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" s="7"/>
      </tp>
      <tp t="s">
        <v>—</v>
        <stp/>
        <stp>##V3_BDHV12</stp>
        <stp>RCOM IN Equity</stp>
        <stp>CASH_CONVERSION_CYCLE</stp>
        <stp>FY 2018</stp>
        <stp>FY 2018</stp>
        <stp>[FA1_ymffleas.xlsx]Working Capital!R13C12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3" s="25"/>
      </tp>
      <tp>
        <v>2153.1658000000002</v>
        <stp/>
        <stp>##V3_BDHV12</stp>
        <stp>RCOM IN Equity</stp>
        <stp>IS_SH_FOR_DILUTED_EPS</stp>
        <stp>FY 2010</stp>
        <stp>FY 2010</stp>
        <stp>[FA1_ymffleas.xlsx]Per Share!R7C3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" s="7"/>
      </tp>
      <tp>
        <v>2064.0268999999998</v>
        <stp/>
        <stp>##V3_BDHV12</stp>
        <stp>RCOM IN Equity</stp>
        <stp>IS_SH_FOR_DILUTED_EPS</stp>
        <stp>FY 2014</stp>
        <stp>FY 2014</stp>
        <stp>[FA1_ymffleas.xlsx]Per Share!R7C7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" s="7"/>
      </tp>
      <tp>
        <v>2064.0268999999998</v>
        <stp/>
        <stp>##V3_BDHV12</stp>
        <stp>RCOM IN Equity</stp>
        <stp>IS_SH_FOR_DILUTED_EPS</stp>
        <stp>FY 2013</stp>
        <stp>FY 2013</stp>
        <stp>[FA1_ymffleas.xlsx]Per Share!R7C6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" s="7"/>
      </tp>
      <tp>
        <v>2104.0468999999998</v>
        <stp/>
        <stp>##V3_BDHV12</stp>
        <stp>RCOM IN Equity</stp>
        <stp>IS_SH_FOR_DILUTED_EPS</stp>
        <stp>FY 2012</stp>
        <stp>FY 2012</stp>
        <stp>[FA1_ymffleas.xlsx]Per Share!R7C5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" s="7"/>
      </tp>
      <tp>
        <v>2153.1658000000002</v>
        <stp/>
        <stp>##V3_BDHV12</stp>
        <stp>RCOM IN Equity</stp>
        <stp>IS_SH_FOR_DILUTED_EPS</stp>
        <stp>FY 2011</stp>
        <stp>FY 2011</stp>
        <stp>[FA1_ymffleas.xlsx]Per Share!R7C4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" s="7"/>
      </tp>
      <tp>
        <v>2467.7006999999999</v>
        <stp/>
        <stp>##V3_BDHV12</stp>
        <stp>RCOM IN Equity</stp>
        <stp>IS_AVG_NUM_SH_FOR_EPS</stp>
        <stp>FY 2016</stp>
        <stp>FY 2016</stp>
        <stp>[FA1_ymffleas.xlsx]Per Share!R8C9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" s="7"/>
      </tp>
      <tp>
        <v>2333.9049</v>
        <stp/>
        <stp>##V3_BDHV12</stp>
        <stp>RCOM IN Equity</stp>
        <stp>IS_AVG_NUM_SH_FOR_EPS</stp>
        <stp>FY 2015</stp>
        <stp>FY 2015</stp>
        <stp>[FA1_ymffleas.xlsx]Per Share!R8C8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" s="7"/>
      </tp>
      <tp>
        <v>1540</v>
        <stp/>
        <stp>##V3_BDHV12</stp>
        <stp>RCOM IN Equity</stp>
        <stp>BS_PREPAID_EXPENSE_LT</stp>
        <stp>FY 2016</stp>
        <stp>FY 2016</stp>
        <stp>[FA1_ymffleas.xlsx]Bal Sheet - Standardized!R61C10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1" s="16"/>
      </tp>
      <tp>
        <v>1420</v>
        <stp/>
        <stp>##V3_BDHV12</stp>
        <stp>RCOM IN Equity</stp>
        <stp>BS_PREPAID_EXPENSE_LT</stp>
        <stp>FY 2017</stp>
        <stp>FY 2017</stp>
        <stp>[FA1_ymffleas.xlsx]Bal Sheet - Standardized!R61C11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1" s="16"/>
      </tp>
      <tp>
        <v>1030</v>
        <stp/>
        <stp>##V3_BDHV12</stp>
        <stp>RCOM IN Equity</stp>
        <stp>BS_PREPAID_EXPENSE_LT</stp>
        <stp>FY 2018</stp>
        <stp>FY 2018</stp>
        <stp>[FA1_ymffleas.xlsx]Bal Sheet - Standardized!R61C12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1" s="16"/>
      </tp>
      <tp>
        <v>2064.0268999999998</v>
        <stp/>
        <stp>##V3_BDHV12</stp>
        <stp>RCOM IN Equity</stp>
        <stp>IS_AVG_NUM_SH_FOR_EPS</stp>
        <stp>FY 2010</stp>
        <stp>FY 2010</stp>
        <stp>[FA1_ymffleas.xlsx]Per Share!R8C3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" s="7"/>
      </tp>
      <tp>
        <v>2064.0268999999998</v>
        <stp/>
        <stp>##V3_BDHV12</stp>
        <stp>RCOM IN Equity</stp>
        <stp>IS_AVG_NUM_SH_FOR_EPS</stp>
        <stp>FY 2014</stp>
        <stp>FY 2014</stp>
        <stp>[FA1_ymffleas.xlsx]Per Share!R8C7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" s="7"/>
      </tp>
      <tp>
        <v>2064.0268999999998</v>
        <stp/>
        <stp>##V3_BDHV12</stp>
        <stp>RCOM IN Equity</stp>
        <stp>IS_AVG_NUM_SH_FOR_EPS</stp>
        <stp>FY 2013</stp>
        <stp>FY 2013</stp>
        <stp>[FA1_ymffleas.xlsx]Per Share!R8C6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" s="7"/>
      </tp>
      <tp>
        <v>2064.0268999999998</v>
        <stp/>
        <stp>##V3_BDHV12</stp>
        <stp>RCOM IN Equity</stp>
        <stp>IS_AVG_NUM_SH_FOR_EPS</stp>
        <stp>FY 2012</stp>
        <stp>FY 2012</stp>
        <stp>[FA1_ymffleas.xlsx]Per Share!R8C5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" s="7"/>
      </tp>
      <tp>
        <v>2064.0268999999998</v>
        <stp/>
        <stp>##V3_BDHV12</stp>
        <stp>RCOM IN Equity</stp>
        <stp>IS_AVG_NUM_SH_FOR_EPS</stp>
        <stp>FY 2011</stp>
        <stp>FY 2011</stp>
        <stp>[FA1_ymffleas.xlsx]Per Share!R8C4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" s="7"/>
      </tp>
      <tp t="s">
        <v>—</v>
        <stp/>
        <stp>##V3_BDHV12</stp>
        <stp>RCOM IN Equity</stp>
        <stp>INV_TO_CASH_DAYS</stp>
        <stp>FY 2017</stp>
        <stp>FY 2017</stp>
        <stp>[FA1_ymffleas.xlsx]Working Capital!R14C11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4" s="25"/>
      </tp>
      <tp>
        <v>100</v>
        <stp/>
        <stp>##V3_BDHV12</stp>
        <stp>RCOM IN Equity</stp>
        <stp>ARDR_DVD_ACCRUED_PAYABLE</stp>
        <stp>FY 2014</stp>
        <stp>FY 2014</stp>
        <stp>[FA1_ymffleas.xlsx]Bal Sheet - As Reported!R86C8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6" s="17"/>
      </tp>
      <tp>
        <v>80</v>
        <stp/>
        <stp>##V3_BDHV12</stp>
        <stp>RCOM IN Equity</stp>
        <stp>ARDR_DVD_ACCRUED_PAYABLE</stp>
        <stp>FY 2015</stp>
        <stp>FY 2015</stp>
        <stp>[FA1_ymffleas.xlsx]Bal Sheet - As Reported!R86C9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6" s="17"/>
      </tp>
      <tp>
        <v>1807.1</v>
        <stp/>
        <stp>##V3_BDHV12</stp>
        <stp>RCOM IN Equity</stp>
        <stp>ARDR_DVD_ACCRUED_PAYABLE</stp>
        <stp>FY 2010</stp>
        <stp>FY 2010</stp>
        <stp>[FA1_ymffleas.xlsx]Bal Sheet - As Reported!R86C4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6" s="17"/>
      </tp>
      <tp>
        <v>1100</v>
        <stp/>
        <stp>##V3_BDHV12</stp>
        <stp>RCOM IN Equity</stp>
        <stp>ARDR_DVD_ACCRUED_PAYABLE</stp>
        <stp>FY 2011</stp>
        <stp>FY 2011</stp>
        <stp>[FA1_ymffleas.xlsx]Bal Sheet - As Reported!R86C5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6" s="17"/>
      </tp>
      <tp>
        <v>610</v>
        <stp/>
        <stp>##V3_BDHV12</stp>
        <stp>RCOM IN Equity</stp>
        <stp>ARDR_DVD_ACCRUED_PAYABLE</stp>
        <stp>FY 2012</stp>
        <stp>FY 2012</stp>
        <stp>[FA1_ymffleas.xlsx]Bal Sheet - As Reported!R86C6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6" s="17"/>
      </tp>
      <tp>
        <v>610</v>
        <stp/>
        <stp>##V3_BDHV12</stp>
        <stp>RCOM IN Equity</stp>
        <stp>ARDR_DVD_ACCRUED_PAYABLE</stp>
        <stp>FY 2013</stp>
        <stp>FY 2013</stp>
        <stp>[FA1_ymffleas.xlsx]Bal Sheet - As Reported!R86C7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6" s="17"/>
      </tp>
      <tp>
        <v>1683.2</v>
        <stp/>
        <stp>##V3_BDHV12</stp>
        <stp>RCOM IN Equity</stp>
        <stp>ARDR_DVD_ACCRUED_PAYABLE</stp>
        <stp>FY 2009</stp>
        <stp>FY 2009</stp>
        <stp>[FA1_ymffleas.xlsx]Bal Sheet - As Reported!R86C3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6" s="17"/>
      </tp>
      <tp>
        <v>32.024799999999999</v>
        <stp/>
        <stp>##V3_BDHV12</stp>
        <stp>RCOM IN Equity</stp>
        <stp>EBITDA_TO_REVENUE</stp>
        <stp>FY 2014</stp>
        <stp>FY 2014</stp>
        <stp>[FA1_ymffleas.xlsx]Profitability!R13C8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3" s="21"/>
      </tp>
      <tp>
        <v>10.463200000000001</v>
        <stp/>
        <stp>##V3_BDHV12</stp>
        <stp>RCOM IN Equity</stp>
        <stp>OPER_MARGIN</stp>
        <stp>FY 2014</stp>
        <stp>FY 2014</stp>
        <stp>[FA1_ymffleas.xlsx]Income - Adjusted!R125C7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G125" s="9"/>
      </tp>
      <tp>
        <v>3.0882999999999998</v>
        <stp/>
        <stp>##V3_BDHV12</stp>
        <stp>RCOM IN Equity</stp>
        <stp>SALES_GROWTH</stp>
        <stp>FY 2013</stp>
        <stp>FY 2013</stp>
        <stp>[FA1_ymffleas.xlsx]Growth!R7C7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7" s="22"/>
      </tp>
      <tp>
        <v>10.367699999999999</v>
        <stp/>
        <stp>##V3_BDHV12</stp>
        <stp>RCOM IN Equity</stp>
        <stp>OPER_MARGIN</stp>
        <stp>FY 2014</stp>
        <stp>FY 2014</stp>
        <stp>[FA1_ymffleas.xlsx]Income - GAAP!R103C7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03" s="10"/>
      </tp>
      <tp>
        <v>45410</v>
        <stp/>
        <stp>##V3_BDHV12</stp>
        <stp>RCOM IN Equity</stp>
        <stp>EBITDA_AFTER_CAPEX</stp>
        <stp>FY 2014</stp>
        <stp>FY 2014</stp>
        <stp>[FA1_ymffleas.xlsx]Credit!R40C8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40" s="23"/>
      </tp>
      <tp>
        <v>47100</v>
        <stp/>
        <stp>##V3_BDHV12</stp>
        <stp>RCOM IN Equity</stp>
        <stp>EBITDA_AFTER_CAPEX</stp>
        <stp>FY 2015</stp>
        <stp>FY 2015</stp>
        <stp>[FA1_ymffleas.xlsx]Credit!R40C9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40" s="23"/>
      </tp>
      <tp t="s">
        <v>—</v>
        <stp/>
        <stp>##V3_BDHV12</stp>
        <stp>RCOM IN Equity</stp>
        <stp>MODIFIED_WORKING_CPTL_SEQ_GRWTH</stp>
        <stp>FY 2014</stp>
        <stp>FY 2014</stp>
        <stp>[FA1_ymffleas.xlsx]Growth!R73C8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3" s="22"/>
      </tp>
      <tp t="s">
        <v>—</v>
        <stp/>
        <stp>##V3_BDHV12</stp>
        <stp>RCOM IN Equity</stp>
        <stp>MODIFIED_WORKING_CPTL_SEQ_GRWTH</stp>
        <stp>FY 2015</stp>
        <stp>FY 2015</stp>
        <stp>[FA1_ymffleas.xlsx]Growth!R73C9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3" s="22"/>
      </tp>
      <tp t="s">
        <v>—</v>
        <stp/>
        <stp>##V3_BDHV12</stp>
        <stp>RCOM IN Equity</stp>
        <stp>DILUTED_EPS_AFT_XO_ITEMS_GROWTH</stp>
        <stp>FY 2017</stp>
        <stp>FY 2017</stp>
        <stp>[FA1_ymffleas.xlsx]Growth!R11C11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1" s="22"/>
      </tp>
      <tp>
        <v>22.553000000000001</v>
        <stp/>
        <stp>##V3_BDHV12</stp>
        <stp>RCOM IN Equity</stp>
        <stp>IS_EPS</stp>
        <stp>FY 2010</stp>
        <stp>FY 2010</stp>
        <stp>[FA1_ymffleas.xlsx]Income - GAAP!R88C3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88" s="10"/>
      </tp>
      <tp t="s">
        <v>—</v>
        <stp/>
        <stp>##V3_BDHV12</stp>
        <stp>RCOM IN Equity</stp>
        <stp>ARD_DEPRECIATION_EXP</stp>
        <stp>FY 2018</stp>
        <stp>FY 2018</stp>
        <stp>[FA1_ymffleas.xlsx]Income - As Reported!R15C12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" s="11"/>
      </tp>
      <tp t="s">
        <v>—</v>
        <stp/>
        <stp>##V3_BDHV12</stp>
        <stp>RCOM IN Equity</stp>
        <stp>ARD_DEPRECIATION_EXP</stp>
        <stp>FY 2017</stp>
        <stp>FY 2017</stp>
        <stp>[FA1_ymffleas.xlsx]Income - As Reported!R15C11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" s="11"/>
      </tp>
      <tp t="s">
        <v>—</v>
        <stp/>
        <stp>##V3_BDHV12</stp>
        <stp>RCOM IN Equity</stp>
        <stp>ARD_DEPRECIATION_EXP</stp>
        <stp>FY 2016</stp>
        <stp>FY 2016</stp>
        <stp>[FA1_ymffleas.xlsx]Income - As Reported!R15C10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" s="11"/>
      </tp>
      <tp>
        <v>-142.93809999999999</v>
        <stp/>
        <stp>##V3_BDHV12</stp>
        <stp>RCOM IN Equity</stp>
        <stp>MODIFIED_WORKING_CPTL_SEQ_GRWTH</stp>
        <stp>FY 2010</stp>
        <stp>FY 2010</stp>
        <stp>[FA1_ymffleas.xlsx]Growth!R73C4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3" s="22"/>
      </tp>
      <tp t="s">
        <v>—</v>
        <stp/>
        <stp>##V3_BDHV12</stp>
        <stp>RCOM IN Equity</stp>
        <stp>MODIFIED_WORKING_CPTL_SEQ_GRWTH</stp>
        <stp>FY 2011</stp>
        <stp>FY 2011</stp>
        <stp>[FA1_ymffleas.xlsx]Growth!R73C5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3" s="22"/>
      </tp>
      <tp>
        <v>-35277</v>
        <stp/>
        <stp>##V3_BDHV12</stp>
        <stp>RCOM IN Equity</stp>
        <stp>EBITDA_AFTER_CAPEX</stp>
        <stp>FY 2009</stp>
        <stp>FY 2009</stp>
        <stp>[FA1_ymffleas.xlsx]Credit!R40C3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40" s="23"/>
      </tp>
      <tp t="s">
        <v>—</v>
        <stp/>
        <stp>##V3_BDHV12</stp>
        <stp>RCOM IN Equity</stp>
        <stp>MODIFIED_WORKING_CPTL_SEQ_GRWTH</stp>
        <stp>FY 2012</stp>
        <stp>FY 2012</stp>
        <stp>[FA1_ymffleas.xlsx]Growth!R73C6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3" s="22"/>
      </tp>
      <tp t="s">
        <v>—</v>
        <stp/>
        <stp>##V3_BDHV12</stp>
        <stp>RCOM IN Equity</stp>
        <stp>NET_INCOME_TO_COMMON_SEQ_GROWTH</stp>
        <stp>FY 2018</stp>
        <stp>FY 2018</stp>
        <stp>[FA1_ymffleas.xlsx]Growth!R63C12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63" s="22"/>
      </tp>
      <tp>
        <v>-425.55560000000003</v>
        <stp/>
        <stp>##V3_BDHV12</stp>
        <stp>RCOM IN Equity</stp>
        <stp>MODIFIED_WORKING_CPTL_SEQ_GRWTH</stp>
        <stp>FY 2013</stp>
        <stp>FY 2013</stp>
        <stp>[FA1_ymffleas.xlsx]Growth!R73C7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3" s="22"/>
      </tp>
      <tp>
        <v>9450</v>
        <stp/>
        <stp>##V3_BDHV12</stp>
        <stp>RCOM IN Equity</stp>
        <stp>EBITDA_AFTER_CAPEX</stp>
        <stp>FY 2012</stp>
        <stp>FY 2012</stp>
        <stp>[FA1_ymffleas.xlsx]Credit!R40C6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40" s="23"/>
      </tp>
      <tp>
        <v>38270</v>
        <stp/>
        <stp>##V3_BDHV12</stp>
        <stp>RCOM IN Equity</stp>
        <stp>EBITDA_AFTER_CAPEX</stp>
        <stp>FY 2013</stp>
        <stp>FY 2013</stp>
        <stp>[FA1_ymffleas.xlsx]Credit!R40C7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40" s="23"/>
      </tp>
      <tp>
        <v>1.4562999999999999</v>
        <stp/>
        <stp>##V3_BDHV12</stp>
        <stp>RCOM IN Equity</stp>
        <stp>LOW_PRICE_TO_TANGIBLE_BPS</stp>
        <stp>FY 2017</stp>
        <stp>FY 2017</stp>
        <stp>[FA1_ymffleas.xlsx]Multiples!R19C10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9" s="6"/>
      </tp>
      <tp>
        <v>-5069.8999999999996</v>
        <stp/>
        <stp>##V3_BDHV12</stp>
        <stp>RCOM IN Equity</stp>
        <stp>EBITDA_AFTER_CAPEX</stp>
        <stp>FY 2010</stp>
        <stp>FY 2010</stp>
        <stp>[FA1_ymffleas.xlsx]Credit!R40C4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40" s="23"/>
      </tp>
      <tp t="s">
        <v>—</v>
        <stp/>
        <stp>##V3_BDHV12</stp>
        <stp>RCOM IN Equity</stp>
        <stp>MODIFIED_WORKING_CPTL_SEQ_GRWTH</stp>
        <stp>FY 2009</stp>
        <stp>FY 2009</stp>
        <stp>[FA1_ymffleas.xlsx]Growth!R73C3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3" s="22"/>
      </tp>
      <tp>
        <v>-37265.9</v>
        <stp/>
        <stp>##V3_BDHV12</stp>
        <stp>RCOM IN Equity</stp>
        <stp>T12M_CHG_LT_DEBT</stp>
        <stp>FY 2010</stp>
        <stp>FY 2010</stp>
        <stp>[FA1_ymffleas.xlsx]Yield Analysis!R39C4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9" s="26"/>
      </tp>
      <tp>
        <v>69510</v>
        <stp/>
        <stp>##V3_BDHV12</stp>
        <stp>RCOM IN Equity</stp>
        <stp>T12M_CHG_LT_DEBT</stp>
        <stp>FY 2011</stp>
        <stp>FY 2011</stp>
        <stp>[FA1_ymffleas.xlsx]Yield Analysis!R39C5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9" s="26"/>
      </tp>
      <tp>
        <v>18950</v>
        <stp/>
        <stp>##V3_BDHV12</stp>
        <stp>RCOM IN Equity</stp>
        <stp>T12M_CHG_LT_DEBT</stp>
        <stp>FY 2012</stp>
        <stp>FY 2012</stp>
        <stp>[FA1_ymffleas.xlsx]Yield Analysis!R39C6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9" s="26"/>
      </tp>
      <tp>
        <v>-10530</v>
        <stp/>
        <stp>##V3_BDHV12</stp>
        <stp>RCOM IN Equity</stp>
        <stp>T12M_CHG_LT_DEBT</stp>
        <stp>FY 2013</stp>
        <stp>FY 2013</stp>
        <stp>[FA1_ymffleas.xlsx]Yield Analysis!R39C7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9" s="26"/>
      </tp>
      <tp>
        <v>89291.8</v>
        <stp/>
        <stp>##V3_BDHV12</stp>
        <stp>RCOM IN Equity</stp>
        <stp>T12M_CHG_LT_DEBT</stp>
        <stp>FY 2009</stp>
        <stp>FY 2009</stp>
        <stp>[FA1_ymffleas.xlsx]Yield Analysis!R39C3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9" s="26"/>
      </tp>
      <tp>
        <v>-14960</v>
        <stp/>
        <stp>##V3_BDHV12</stp>
        <stp>RCOM IN Equity</stp>
        <stp>T12M_CHG_LT_DEBT</stp>
        <stp>FY 2014</stp>
        <stp>FY 2014</stp>
        <stp>[FA1_ymffleas.xlsx]Yield Analysis!R39C8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9" s="26"/>
      </tp>
      <tp>
        <v>10780</v>
        <stp/>
        <stp>##V3_BDHV12</stp>
        <stp>RCOM IN Equity</stp>
        <stp>T12M_CHG_LT_DEBT</stp>
        <stp>FY 2015</stp>
        <stp>FY 2015</stp>
        <stp>[FA1_ymffleas.xlsx]Yield Analysis!R39C9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9" s="26"/>
      </tp>
      <tp>
        <v>0.38400000000000001</v>
        <stp/>
        <stp>##V3_BDHV12</stp>
        <stp>RCOM IN Equity</stp>
        <stp>LOW_PRICE_TO_TANGIBLE_BPS</stp>
        <stp>FY 2018</stp>
        <stp>FY 2018</stp>
        <stp>[FA1_ymffleas.xlsx]Multiples!R19C11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9" s="6"/>
      </tp>
      <tp>
        <v>-19510</v>
        <stp/>
        <stp>##V3_BDHV12</stp>
        <stp>RCOM IN Equity</stp>
        <stp>EBITDA_AFTER_CAPEX</stp>
        <stp>FY 2011</stp>
        <stp>FY 2011</stp>
        <stp>[FA1_ymffleas.xlsx]Credit!R40C5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40" s="23"/>
      </tp>
      <tp>
        <v>55.25</v>
        <stp/>
        <stp>##V3_BDHV12</stp>
        <stp>RCOM IN Equity</stp>
        <stp>PX_OPEN</stp>
        <stp>FY 2014</stp>
        <stp>FY 2014</stp>
        <stp>[FA1_ymffleas.xlsx]Stock Value!R8C7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" s="8"/>
      </tp>
      <tp>
        <v>84.35</v>
        <stp/>
        <stp>##V3_BDHV12</stp>
        <stp>RCOM IN Equity</stp>
        <stp>PX_OPEN</stp>
        <stp>FY 2013</stp>
        <stp>FY 2013</stp>
        <stp>[FA1_ymffleas.xlsx]Stock Value!R8C6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" s="8"/>
      </tp>
      <tp>
        <v>110.4</v>
        <stp/>
        <stp>##V3_BDHV12</stp>
        <stp>RCOM IN Equity</stp>
        <stp>PX_OPEN</stp>
        <stp>FY 2012</stp>
        <stp>FY 2012</stp>
        <stp>[FA1_ymffleas.xlsx]Stock Value!R8C5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" s="8"/>
      </tp>
      <tp t="s">
        <v>—</v>
        <stp/>
        <stp>##V3_BDHV12</stp>
        <stp>RCOM IN Equity</stp>
        <stp>ARD_INT_EXP_NET</stp>
        <stp>FY 2010</stp>
        <stp>FY 2010</stp>
        <stp>[FA1_ymffleas.xlsx]Income - As Reported!R24C4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4" s="11"/>
      </tp>
      <tp t="s">
        <v>—</v>
        <stp/>
        <stp>##V3_BDHV12</stp>
        <stp>RCOM IN Equity</stp>
        <stp>ARD_INT_EXP_NET</stp>
        <stp>FY 2011</stp>
        <stp>FY 2011</stp>
        <stp>[FA1_ymffleas.xlsx]Income - As Reported!R24C5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4" s="11"/>
      </tp>
      <tp>
        <v>16300</v>
        <stp/>
        <stp>##V3_BDHV12</stp>
        <stp>RCOM IN Equity</stp>
        <stp>ARD_INT_EXP_NET</stp>
        <stp>FY 2012</stp>
        <stp>FY 2012</stp>
        <stp>[FA1_ymffleas.xlsx]Income - As Reported!R24C6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4" s="11"/>
      </tp>
      <tp t="s">
        <v>—</v>
        <stp/>
        <stp>##V3_BDHV12</stp>
        <stp>RCOM IN Equity</stp>
        <stp>ARD_INT_EXP_NET</stp>
        <stp>FY 2013</stp>
        <stp>FY 2013</stp>
        <stp>[FA1_ymffleas.xlsx]Income - As Reported!R24C7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4" s="11"/>
      </tp>
      <tp t="s">
        <v>—</v>
        <stp/>
        <stp>##V3_BDHV12</stp>
        <stp>RCOM IN Equity</stp>
        <stp>ARD_INT_EXP_NET</stp>
        <stp>FY 2009</stp>
        <stp>FY 2009</stp>
        <stp>[FA1_ymffleas.xlsx]Income - As Reported!R24C3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4" s="11"/>
      </tp>
      <tp t="s">
        <v>—</v>
        <stp/>
        <stp>##V3_BDHV12</stp>
        <stp>RCOM IN Equity</stp>
        <stp>ARD_INT_EXP_NET</stp>
        <stp>FY 2014</stp>
        <stp>FY 2014</stp>
        <stp>[FA1_ymffleas.xlsx]Income - As Reported!R24C8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4" s="11"/>
      </tp>
      <tp t="s">
        <v>—</v>
        <stp/>
        <stp>##V3_BDHV12</stp>
        <stp>RCOM IN Equity</stp>
        <stp>ARD_INT_EXP_NET</stp>
        <stp>FY 2015</stp>
        <stp>FY 2015</stp>
        <stp>[FA1_ymffleas.xlsx]Income - As Reported!R24C9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4" s="11"/>
      </tp>
      <tp>
        <v>170.95</v>
        <stp/>
        <stp>##V3_BDHV12</stp>
        <stp>RCOM IN Equity</stp>
        <stp>PX_OPEN</stp>
        <stp>FY 2011</stp>
        <stp>FY 2011</stp>
        <stp>[FA1_ymffleas.xlsx]Stock Value!R8C4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" s="8"/>
      </tp>
      <tp>
        <v>175.15</v>
        <stp/>
        <stp>##V3_BDHV12</stp>
        <stp>RCOM IN Equity</stp>
        <stp>PX_OPEN</stp>
        <stp>FY 2010</stp>
        <stp>FY 2010</stp>
        <stp>[FA1_ymffleas.xlsx]Stock Value!R8C3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" s="8"/>
      </tp>
      <tp>
        <v>20.808</v>
        <stp/>
        <stp>##V3_BDHV12</stp>
        <stp>RCOM IN Equity</stp>
        <stp>EBITDA_TO_INTEREST_EXPN</stp>
        <stp>FY 2017</stp>
        <stp>FY 2017</stp>
        <stp>[FA1_ymffleas.xlsx]Credit!R16C11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6" s="23"/>
      </tp>
      <tp>
        <v>59.25</v>
        <stp/>
        <stp>##V3_BDHV12</stp>
        <stp>RCOM IN Equity</stp>
        <stp>PX_OPEN</stp>
        <stp>FY 2016</stp>
        <stp>FY 2016</stp>
        <stp>[FA1_ymffleas.xlsx]Stock Value!R8C9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" s="8"/>
      </tp>
      <tp>
        <v>129.69999999999999</v>
        <stp/>
        <stp>##V3_BDHV12</stp>
        <stp>RCOM IN Equity</stp>
        <stp>PX_OPEN</stp>
        <stp>FY 2015</stp>
        <stp>FY 2015</stp>
        <stp>[FA1_ymffleas.xlsx]Stock Value!R8C8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" s="8"/>
      </tp>
      <tp>
        <v>83.624799999999993</v>
        <stp/>
        <stp>##V3_BDHV12</stp>
        <stp>RCOM IN Equity</stp>
        <stp>INT_BURDEN</stp>
        <stp>FY 2009</stp>
        <stp>FY 2009</stp>
        <stp>[FA1_ymffleas.xlsx]DuPont Analysis!R11C3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1" s="27"/>
      </tp>
      <tp t="s">
        <v>—</v>
        <stp/>
        <stp>##V3_BDHV12</stp>
        <stp>RCOM IN Equity</stp>
        <stp>DEPR_EXP_TO_NET_SALES</stp>
        <stp>FY 2014</stp>
        <stp>FY 2014</stp>
        <stp>[FA1_ymffleas.xlsx]CAPEX &amp; Depreciation!R7C8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7" s="28"/>
      </tp>
      <tp t="s">
        <v>—</v>
        <stp/>
        <stp>##V3_BDHV12</stp>
        <stp>RCOM IN Equity</stp>
        <stp>CF_FREE_CASH_FLOW_FIRM</stp>
        <stp>FY 2017</stp>
        <stp>FY 2017</stp>
        <stp>[FA1_ymffleas.xlsx]Cash Flow - Standardized!R62C10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62" s="19"/>
      </tp>
      <tp t="s">
        <v>—</v>
        <stp/>
        <stp>##V3_BDHV12</stp>
        <stp>RCOM IN Equity</stp>
        <stp>CF_FREE_CASH_FLOW_FIRM</stp>
        <stp>FY 2018</stp>
        <stp>FY 2018</stp>
        <stp>[FA1_ymffleas.xlsx]Cash Flow - Standardized!R62C11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62" s="19"/>
      </tp>
      <tp>
        <v>10846.7</v>
        <stp/>
        <stp>##V3_BDHV12</stp>
        <stp>RCOM IN Equity</stp>
        <stp>IS_GENERAL_AND_ADMINISTRATIVE</stp>
        <stp>FY 2010</stp>
        <stp>FY 2010</stp>
        <stp>[FA1_ymffleas.xlsx]Income - GAAP!R25C3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25" s="10"/>
      </tp>
      <tp>
        <v>11000</v>
        <stp/>
        <stp>##V3_BDHV12</stp>
        <stp>RCOM IN Equity</stp>
        <stp>IS_GENERAL_AND_ADMINISTRATIVE</stp>
        <stp>FY 2013</stp>
        <stp>FY 2013</stp>
        <stp>[FA1_ymffleas.xlsx]Income - GAAP!R25C6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25" s="10"/>
      </tp>
      <tp>
        <v>0.77810000000000001</v>
        <stp/>
        <stp>##V3_BDHV12</stp>
        <stp>RCOM IN Equity</stp>
        <stp>OPER_INC_TO_INT_EXP</stp>
        <stp>FY 2014</stp>
        <stp>FY 2014</stp>
        <stp>[FA1_ymffleas.xlsx]Credit!R18C8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8" s="23"/>
      </tp>
      <tp>
        <v>11880</v>
        <stp/>
        <stp>##V3_BDHV12</stp>
        <stp>RCOM IN Equity</stp>
        <stp>IS_GENERAL_AND_ADMINISTRATIVE</stp>
        <stp>FY 2014</stp>
        <stp>FY 2014</stp>
        <stp>[FA1_ymffleas.xlsx]Income - GAAP!R25C7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25" s="10"/>
      </tp>
      <tp>
        <v>380</v>
        <stp/>
        <stp>##V3_BDHV12</stp>
        <stp>RCOM IN Equity</stp>
        <stp>ARDR_PROJ_POST_RETIRE_BEN_OBLIG</stp>
        <stp>FY 2011</stp>
        <stp>FY 2011</stp>
        <stp>[FA1_ymffleas.xlsx]Bal Sheet - As Reported!R116C5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6" s="17"/>
      </tp>
      <tp>
        <v>350.7</v>
        <stp/>
        <stp>##V3_BDHV12</stp>
        <stp>RCOM IN Equity</stp>
        <stp>ARDR_PROJ_POST_RETIRE_BEN_OBLIG</stp>
        <stp>FY 2010</stp>
        <stp>FY 2010</stp>
        <stp>[FA1_ymffleas.xlsx]Bal Sheet - As Reported!R116C4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6" s="17"/>
      </tp>
      <tp>
        <v>390</v>
        <stp/>
        <stp>##V3_BDHV12</stp>
        <stp>RCOM IN Equity</stp>
        <stp>ARDR_PROJ_POST_RETIRE_BEN_OBLIG</stp>
        <stp>FY 2013</stp>
        <stp>FY 2013</stp>
        <stp>[FA1_ymffleas.xlsx]Bal Sheet - As Reported!R116C7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6" s="17"/>
      </tp>
      <tp>
        <v>340</v>
        <stp/>
        <stp>##V3_BDHV12</stp>
        <stp>RCOM IN Equity</stp>
        <stp>ARDR_PROJ_POST_RETIRE_BEN_OBLIG</stp>
        <stp>FY 2012</stp>
        <stp>FY 2012</stp>
        <stp>[FA1_ymffleas.xlsx]Bal Sheet - As Reported!R116C6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6" s="17"/>
      </tp>
      <tp>
        <v>357.9</v>
        <stp/>
        <stp>##V3_BDHV12</stp>
        <stp>RCOM IN Equity</stp>
        <stp>ARDR_PROJ_POST_RETIRE_BEN_OBLIG</stp>
        <stp>FY 2009</stp>
        <stp>FY 2009</stp>
        <stp>[FA1_ymffleas.xlsx]Bal Sheet - As Reported!R116C3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6" s="17"/>
      </tp>
      <tp>
        <v>410</v>
        <stp/>
        <stp>##V3_BDHV12</stp>
        <stp>RCOM IN Equity</stp>
        <stp>ARDR_PROJ_POST_RETIRE_BEN_OBLIG</stp>
        <stp>FY 2015</stp>
        <stp>FY 2015</stp>
        <stp>[FA1_ymffleas.xlsx]Bal Sheet - As Reported!R116C9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6" s="17"/>
      </tp>
      <tp>
        <v>410</v>
        <stp/>
        <stp>##V3_BDHV12</stp>
        <stp>RCOM IN Equity</stp>
        <stp>ARDR_PROJ_POST_RETIRE_BEN_OBLIG</stp>
        <stp>FY 2014</stp>
        <stp>FY 2014</stp>
        <stp>[FA1_ymffleas.xlsx]Bal Sheet - As Reported!R116C8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6" s="17"/>
      </tp>
      <tp>
        <v>10020</v>
        <stp/>
        <stp>##V3_BDHV12</stp>
        <stp>RCOM IN Equity</stp>
        <stp>IS_GENERAL_AND_ADMINISTRATIVE</stp>
        <stp>FY 2011</stp>
        <stp>FY 2011</stp>
        <stp>[FA1_ymffleas.xlsx]Income - GAAP!R25C4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25" s="10"/>
      </tp>
      <tp>
        <v>9070</v>
        <stp/>
        <stp>##V3_BDHV12</stp>
        <stp>RCOM IN Equity</stp>
        <stp>IS_GENERAL_AND_ADMINISTRATIVE</stp>
        <stp>FY 2012</stp>
        <stp>FY 2012</stp>
        <stp>[FA1_ymffleas.xlsx]Income - GAAP!R25C5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25" s="10"/>
      </tp>
      <tp>
        <v>9160</v>
        <stp/>
        <stp>##V3_BDHV12</stp>
        <stp>RCOM IN Equity</stp>
        <stp>IS_GENERAL_AND_ADMINISTRATIVE</stp>
        <stp>FY 2015</stp>
        <stp>FY 2015</stp>
        <stp>[FA1_ymffleas.xlsx]Income - GAAP!R25C8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25" s="10"/>
      </tp>
      <tp>
        <v>3190</v>
        <stp/>
        <stp>##V3_BDHV12</stp>
        <stp>RCOM IN Equity</stp>
        <stp>IS_GENERAL_AND_ADMINISTRATIVE</stp>
        <stp>FY 2016</stp>
        <stp>FY 2016</stp>
        <stp>[FA1_ymffleas.xlsx]Income - GAAP!R25C9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25" s="10"/>
      </tp>
      <tp t="s">
        <v>—</v>
        <stp/>
        <stp>##V3_BDHV12</stp>
        <stp>RCOM IN Equity</stp>
        <stp>ACTUAL_SALES_PER_EMPL</stp>
        <stp>FY 2018</stp>
        <stp>FY 2018</stp>
        <stp>[FA1_ymffleas.xlsx]Income - GAAP!R105C11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05" s="10"/>
      </tp>
      <tp>
        <v>0.50649999999999995</v>
        <stp/>
        <stp>##V3_BDHV12</stp>
        <stp>RCOM IN Equity</stp>
        <stp>IS_DIL_EPS_BEF_XO</stp>
        <stp>FY 2017</stp>
        <stp>FY 2017</stp>
        <stp>[FA1_ymffleas.xlsx]Per Share!R18C10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8" s="7"/>
      </tp>
      <tp>
        <v>0.18970000000000001</v>
        <stp/>
        <stp>##V3_BDHV12</stp>
        <stp>RCOM IN Equity</stp>
        <stp>IS_DIL_EPS_BEF_XO</stp>
        <stp>FY 2018</stp>
        <stp>FY 2018</stp>
        <stp>[FA1_ymffleas.xlsx]Per Share!R18C11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8" s="7"/>
      </tp>
      <tp>
        <v>-3.9173</v>
        <stp/>
        <stp>##V3_BDHV12</stp>
        <stp>RCOM IN Equity</stp>
        <stp>FIXED_ASSETS_SEQUENTIAL_GROWTH</stp>
        <stp>FY 2015</stp>
        <stp>FY 2015</stp>
        <stp>[FA1_ymffleas.xlsx]Growth!R71C9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1" s="22"/>
      </tp>
      <tp>
        <v>-2.2383999999999999</v>
        <stp/>
        <stp>##V3_BDHV12</stp>
        <stp>RCOM IN Equity</stp>
        <stp>FIXED_ASSETS_SEQUENTIAL_GROWTH</stp>
        <stp>FY 2014</stp>
        <stp>FY 2014</stp>
        <stp>[FA1_ymffleas.xlsx]Growth!R71C8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1" s="22"/>
      </tp>
      <tp>
        <v>4.6300999999999997</v>
        <stp/>
        <stp>##V3_BDHV12</stp>
        <stp>RCOM IN Equity</stp>
        <stp>FIXED_ASSETS_SEQUENTIAL_GROWTH</stp>
        <stp>FY 2011</stp>
        <stp>FY 2011</stp>
        <stp>[FA1_ymffleas.xlsx]Growth!R71C5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1" s="22"/>
      </tp>
      <tp>
        <v>0.55930000000000002</v>
        <stp/>
        <stp>##V3_BDHV12</stp>
        <stp>RCOM IN Equity</stp>
        <stp>FIXED_ASSETS_SEQUENTIAL_GROWTH</stp>
        <stp>FY 2010</stp>
        <stp>FY 2010</stp>
        <stp>[FA1_ymffleas.xlsx]Growth!R71C4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1" s="22"/>
      </tp>
      <tp>
        <v>2.9293</v>
        <stp/>
        <stp>##V3_BDHV12</stp>
        <stp>RCOM IN Equity</stp>
        <stp>LOW_EV_TO_T12M_SALES</stp>
        <stp>FY 2010</stp>
        <stp>FY 2010</stp>
        <stp>[FA1_ymffleas.xlsx]Multiples!R39C3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39" s="6"/>
      </tp>
      <tp>
        <v>-0.76990000000000003</v>
        <stp/>
        <stp>##V3_BDHV12</stp>
        <stp>RCOM IN Equity</stp>
        <stp>FIXED_ASSETS_SEQUENTIAL_GROWTH</stp>
        <stp>FY 2013</stp>
        <stp>FY 2013</stp>
        <stp>[FA1_ymffleas.xlsx]Growth!R71C7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1" s="22"/>
      </tp>
      <tp>
        <v>-13.08</v>
        <stp/>
        <stp>##V3_BDHV12</stp>
        <stp>RCOM IN Equity</stp>
        <stp>FIXED_ASSETS_SEQUENTIAL_GROWTH</stp>
        <stp>FY 2012</stp>
        <stp>FY 2012</stp>
        <stp>[FA1_ymffleas.xlsx]Growth!R71C6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1" s="22"/>
      </tp>
      <tp>
        <v>184291</v>
        <stp/>
        <stp>##V3_BDHV12</stp>
        <stp>RCOM IN Equity</stp>
        <stp>BEST_SALES</stp>
        <stp>FY 2018</stp>
        <stp>FY 2018</stp>
        <stp>[FA1_ymffleas.xlsx]Earnings!R7C12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" s="4"/>
      </tp>
      <tp>
        <v>8.9033999999999995</v>
        <stp/>
        <stp>##V3_BDHV12</stp>
        <stp>RCOM IN Equity</stp>
        <stp>FIXED_ASSETS_SEQUENTIAL_GROWTH</stp>
        <stp>FY 2009</stp>
        <stp>FY 2009</stp>
        <stp>[FA1_ymffleas.xlsx]Growth!R71C3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1" s="22"/>
      </tp>
      <tp>
        <v>217552.21100000001</v>
        <stp/>
        <stp>##V3_BDHV12</stp>
        <stp>RCOM IN Equity</stp>
        <stp>BEST_SALES</stp>
        <stp>FY 2016</stp>
        <stp>FY 2016</stp>
        <stp>[FA1_ymffleas.xlsx]Earnings!R7C10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" s="4"/>
      </tp>
      <tp>
        <v>205372.6</v>
        <stp/>
        <stp>##V3_BDHV12</stp>
        <stp>RCOM IN Equity</stp>
        <stp>BEST_SALES</stp>
        <stp>FY 2017</stp>
        <stp>FY 2017</stp>
        <stp>[FA1_ymffleas.xlsx]Earnings!R7C11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" s="4"/>
      </tp>
      <tp t="s">
        <v>—</v>
        <stp/>
        <stp>##V3_BDHV12</stp>
        <stp>RCOM IN Equity</stp>
        <stp>ARD_PROV_DOUBTFUL_DEBT_WRITEBACK</stp>
        <stp>FY 2009</stp>
        <stp>FY 2009</stp>
        <stp>[FA1_ymffleas.xlsx]Cash Flow - As Reported!R36C3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6" s="20"/>
      </tp>
      <tp>
        <v>0</v>
        <stp/>
        <stp>##V3_BDHV12</stp>
        <stp>RCOM IN Equity</stp>
        <stp>ARD_PROV_DOUBTFUL_DEBT_WRITEBACK</stp>
        <stp>FY 2012</stp>
        <stp>FY 2012</stp>
        <stp>[FA1_ymffleas.xlsx]Cash Flow - As Reported!R36C6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6" s="20"/>
      </tp>
      <tp>
        <v>-1920</v>
        <stp/>
        <stp>##V3_BDHV12</stp>
        <stp>RCOM IN Equity</stp>
        <stp>ARD_PROV_DOUBTFUL_DEBT_WRITEBACK</stp>
        <stp>FY 2013</stp>
        <stp>FY 2013</stp>
        <stp>[FA1_ymffleas.xlsx]Cash Flow - As Reported!R36C7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6" s="20"/>
      </tp>
      <tp t="s">
        <v>—</v>
        <stp/>
        <stp>##V3_BDHV12</stp>
        <stp>RCOM IN Equity</stp>
        <stp>ARD_PROV_DOUBTFUL_DEBT_WRITEBACK</stp>
        <stp>FY 2010</stp>
        <stp>FY 2010</stp>
        <stp>[FA1_ymffleas.xlsx]Cash Flow - As Reported!R36C4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6" s="20"/>
      </tp>
      <tp t="s">
        <v>—</v>
        <stp/>
        <stp>##V3_BDHV12</stp>
        <stp>RCOM IN Equity</stp>
        <stp>ARD_PROV_DOUBTFUL_DEBT_WRITEBACK</stp>
        <stp>FY 2011</stp>
        <stp>FY 2011</stp>
        <stp>[FA1_ymffleas.xlsx]Cash Flow - As Reported!R36C5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6" s="20"/>
      </tp>
      <tp>
        <v>-4500</v>
        <stp/>
        <stp>##V3_BDHV12</stp>
        <stp>RCOM IN Equity</stp>
        <stp>ARD_PROV_DOUBTFUL_DEBT_WRITEBACK</stp>
        <stp>FY 2014</stp>
        <stp>FY 2014</stp>
        <stp>[FA1_ymffleas.xlsx]Cash Flow - As Reported!R36C8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6" s="20"/>
      </tp>
      <tp>
        <v>-840</v>
        <stp/>
        <stp>##V3_BDHV12</stp>
        <stp>RCOM IN Equity</stp>
        <stp>ARD_PROV_DOUBTFUL_DEBT_WRITEBACK</stp>
        <stp>FY 2015</stp>
        <stp>FY 2015</stp>
        <stp>[FA1_ymffleas.xlsx]Cash Flow - As Reported!R36C9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6" s="20"/>
      </tp>
      <tp>
        <v>0</v>
        <stp/>
        <stp>##V3_BDHV12</stp>
        <stp>RCOM IN Equity</stp>
        <stp>IS_TOT_CASH_COM_DVD</stp>
        <stp>FY 2016</stp>
        <stp>FY 2016</stp>
        <stp>[FA1_ymffleas.xlsx]Income - GAAP!R107C9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7" s="10"/>
      </tp>
      <tp>
        <v>0</v>
        <stp/>
        <stp>##V3_BDHV12</stp>
        <stp>RCOM IN Equity</stp>
        <stp>IS_TOT_CASH_COM_DVD</stp>
        <stp>FY 2015</stp>
        <stp>FY 2015</stp>
        <stp>[FA1_ymffleas.xlsx]Income - GAAP!R107C8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7" s="10"/>
      </tp>
      <tp>
        <v>0</v>
        <stp/>
        <stp>##V3_BDHV12</stp>
        <stp>RCOM IN Equity</stp>
        <stp>IS_TOT_CASH_COM_DVD</stp>
        <stp>FY 2014</stp>
        <stp>FY 2014</stp>
        <stp>[FA1_ymffleas.xlsx]Income - GAAP!R107C7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7" s="10"/>
      </tp>
      <tp>
        <v>520</v>
        <stp/>
        <stp>##V3_BDHV12</stp>
        <stp>RCOM IN Equity</stp>
        <stp>IS_TOT_CASH_COM_DVD</stp>
        <stp>FY 2013</stp>
        <stp>FY 2013</stp>
        <stp>[FA1_ymffleas.xlsx]Income - GAAP!R107C6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7" s="10"/>
      </tp>
      <tp>
        <v>520</v>
        <stp/>
        <stp>##V3_BDHV12</stp>
        <stp>RCOM IN Equity</stp>
        <stp>IS_TOT_CASH_COM_DVD</stp>
        <stp>FY 2012</stp>
        <stp>FY 2012</stp>
        <stp>[FA1_ymffleas.xlsx]Income - GAAP!R107C5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7" s="10"/>
      </tp>
      <tp>
        <v>1030</v>
        <stp/>
        <stp>##V3_BDHV12</stp>
        <stp>RCOM IN Equity</stp>
        <stp>IS_TOT_CASH_COM_DVD</stp>
        <stp>FY 2011</stp>
        <stp>FY 2011</stp>
        <stp>[FA1_ymffleas.xlsx]Income - GAAP!R107C4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7" s="10"/>
      </tp>
      <tp>
        <v>1754.4</v>
        <stp/>
        <stp>##V3_BDHV12</stp>
        <stp>RCOM IN Equity</stp>
        <stp>IS_TOT_CASH_COM_DVD</stp>
        <stp>FY 2010</stp>
        <stp>FY 2010</stp>
        <stp>[FA1_ymffleas.xlsx]Income - GAAP!R107C3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7" s="10"/>
      </tp>
      <tp>
        <v>2110</v>
        <stp/>
        <stp>##V3_BDHV12</stp>
        <stp>RCOM IN Equity</stp>
        <stp>ARDR_RENTAL_EXP</stp>
        <stp>FY 2015</stp>
        <stp>FY 2015</stp>
        <stp>[FA1_ymffleas.xlsx]Income - As Reported!R113C9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3" s="11"/>
      </tp>
      <tp>
        <v>2250</v>
        <stp/>
        <stp>##V3_BDHV12</stp>
        <stp>RCOM IN Equity</stp>
        <stp>ARDR_RENTAL_EXP</stp>
        <stp>FY 2014</stp>
        <stp>FY 2014</stp>
        <stp>[FA1_ymffleas.xlsx]Income - As Reported!R113C8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3" s="11"/>
      </tp>
      <tp t="s">
        <v>—</v>
        <stp/>
        <stp>##V3_BDHV12</stp>
        <stp>RCOM IN Equity</stp>
        <stp>ARDR_RENTAL_EXP</stp>
        <stp>FY 2009</stp>
        <stp>FY 2009</stp>
        <stp>[FA1_ymffleas.xlsx]Income - As Reported!R113C3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3" s="11"/>
      </tp>
      <tp>
        <v>3640</v>
        <stp/>
        <stp>##V3_BDHV12</stp>
        <stp>RCOM IN Equity</stp>
        <stp>ARDR_RENTAL_EXP</stp>
        <stp>FY 2013</stp>
        <stp>FY 2013</stp>
        <stp>[FA1_ymffleas.xlsx]Income - As Reported!R113C7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3" s="11"/>
      </tp>
      <tp>
        <v>3040</v>
        <stp/>
        <stp>##V3_BDHV12</stp>
        <stp>RCOM IN Equity</stp>
        <stp>ARDR_RENTAL_EXP</stp>
        <stp>FY 2012</stp>
        <stp>FY 2012</stp>
        <stp>[FA1_ymffleas.xlsx]Income - As Reported!R113C6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3" s="11"/>
      </tp>
      <tp>
        <v>3420</v>
        <stp/>
        <stp>##V3_BDHV12</stp>
        <stp>RCOM IN Equity</stp>
        <stp>ARDR_RENTAL_EXP</stp>
        <stp>FY 2011</stp>
        <stp>FY 2011</stp>
        <stp>[FA1_ymffleas.xlsx]Income - As Reported!R113C5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3" s="11"/>
      </tp>
      <tp>
        <v>3950.2</v>
        <stp/>
        <stp>##V3_BDHV12</stp>
        <stp>RCOM IN Equity</stp>
        <stp>ARDR_RENTAL_EXP</stp>
        <stp>FY 2010</stp>
        <stp>FY 2010</stp>
        <stp>[FA1_ymffleas.xlsx]Income - As Reported!R113C4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3" s="11"/>
      </tp>
      <tp>
        <v>15.2887</v>
        <stp/>
        <stp>##V3_BDHV12</stp>
        <stp>RCOM IN Equity</stp>
        <stp>TOT_CAP_EXPEND_GROWTH</stp>
        <stp>FY 2015</stp>
        <stp>FY 2015</stp>
        <stp>[FA1_ymffleas.xlsx]CAPEX &amp; Depreciation!R16C9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" s="28"/>
      </tp>
      <tp>
        <v>2.4125000000000001</v>
        <stp/>
        <stp>##V3_BDHV12</stp>
        <stp>RCOM IN Equity</stp>
        <stp>TOT_CAP_EXPEND_GROWTH</stp>
        <stp>FY 2014</stp>
        <stp>FY 2014</stp>
        <stp>[FA1_ymffleas.xlsx]CAPEX &amp; Depreciation!R16C8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" s="28"/>
      </tp>
      <tp t="s">
        <v>—</v>
        <stp/>
        <stp>##V3_BDHV12</stp>
        <stp>RCOM IN Equity</stp>
        <stp>INV_TO_CASH_DAYS</stp>
        <stp>FY 2016</stp>
        <stp>FY 2016</stp>
        <stp>[FA1_ymffleas.xlsx]Working Capital!R14C10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4" s="25"/>
      </tp>
      <tp>
        <v>40</v>
        <stp/>
        <stp>##V3_BDHV12</stp>
        <stp>RCOM IN Equity</stp>
        <stp>ARDR_INTEREST_COST_OPRB</stp>
        <stp>FY 2017</stp>
        <stp>FY 2017</stp>
        <stp>[FA1_ymffleas.xlsx]Bal Sheet - As Reported!R206C11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6" s="17"/>
      </tp>
      <tp>
        <v>30</v>
        <stp/>
        <stp>##V3_BDHV12</stp>
        <stp>RCOM IN Equity</stp>
        <stp>ARDR_INTEREST_COST_OPRB</stp>
        <stp>FY 2016</stp>
        <stp>FY 2016</stp>
        <stp>[FA1_ymffleas.xlsx]Bal Sheet - As Reported!R206C10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6" s="17"/>
      </tp>
      <tp>
        <v>40</v>
        <stp/>
        <stp>##V3_BDHV12</stp>
        <stp>RCOM IN Equity</stp>
        <stp>ARDR_INTEREST_COST_OPRB</stp>
        <stp>FY 2018</stp>
        <stp>FY 2018</stp>
        <stp>[FA1_ymffleas.xlsx]Bal Sheet - As Reported!R206C12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6" s="17"/>
      </tp>
      <tp t="s">
        <v>—</v>
        <stp/>
        <stp>##V3_BDHV12</stp>
        <stp>RCOM IN Equity</stp>
        <stp>ARDR_OPTIONS_GRANTED_DURING_PER</stp>
        <stp>FY 2018</stp>
        <stp>FY 2018</stp>
        <stp>[FA1_ymffleas.xlsx]Bal Sheet - As Reported!R145C12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5" s="17"/>
      </tp>
      <tp t="s">
        <v>—</v>
        <stp/>
        <stp>##V3_BDHV12</stp>
        <stp>RCOM IN Equity</stp>
        <stp>ARDR_OPTIONS_GRANTED_DURING_PER</stp>
        <stp>FY 2017</stp>
        <stp>FY 2017</stp>
        <stp>[FA1_ymffleas.xlsx]Bal Sheet - As Reported!R145C11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5" s="17"/>
      </tp>
      <tp t="s">
        <v>—</v>
        <stp/>
        <stp>##V3_BDHV12</stp>
        <stp>RCOM IN Equity</stp>
        <stp>ARDR_OPTIONS_GRANTED_DURING_PER</stp>
        <stp>FY 2016</stp>
        <stp>FY 2016</stp>
        <stp>[FA1_ymffleas.xlsx]Bal Sheet - As Reported!R145C10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5" s="17"/>
      </tp>
      <tp>
        <v>-29.5212</v>
        <stp/>
        <stp>##V3_BDHV12</stp>
        <stp>RCOM IN Equity</stp>
        <stp>TOT_CAP_EXPEND_GROWTH</stp>
        <stp>FY 2009</stp>
        <stp>FY 2009</stp>
        <stp>[FA1_ymffleas.xlsx]CAPEX &amp; Depreciation!R16C3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" s="28"/>
      </tp>
      <tp t="s">
        <v>—</v>
        <stp/>
        <stp>##V3_BDHV12</stp>
        <stp>RCOM IN Equity</stp>
        <stp>ARDR_INCOME_TAX_ACCRUED_PAYABLE</stp>
        <stp>FY 2017</stp>
        <stp>FY 2017</stp>
        <stp>[FA1_ymffleas.xlsx]Bal Sheet - As Reported!R101C11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1" s="17"/>
      </tp>
      <tp t="s">
        <v>—</v>
        <stp/>
        <stp>##V3_BDHV12</stp>
        <stp>RCOM IN Equity</stp>
        <stp>ARDR_INCOME_TAX_ACCRUED_PAYABLE</stp>
        <stp>FY 2016</stp>
        <stp>FY 2016</stp>
        <stp>[FA1_ymffleas.xlsx]Bal Sheet - As Reported!R101C10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1" s="17"/>
      </tp>
      <tp t="s">
        <v>—</v>
        <stp/>
        <stp>##V3_BDHV12</stp>
        <stp>RCOM IN Equity</stp>
        <stp>ARDR_INCOME_TAX_ACCRUED_PAYABLE</stp>
        <stp>FY 2018</stp>
        <stp>FY 2018</stp>
        <stp>[FA1_ymffleas.xlsx]Bal Sheet - As Reported!R101C12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1" s="17"/>
      </tp>
      <tp>
        <v>-56.412399999999998</v>
        <stp/>
        <stp>##V3_BDHV12</stp>
        <stp>RCOM IN Equity</stp>
        <stp>TOT_CAP_EXPEND_GROWTH</stp>
        <stp>FY 2013</stp>
        <stp>FY 2013</stp>
        <stp>[FA1_ymffleas.xlsx]CAPEX &amp; Depreciation!R16C7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" s="28"/>
      </tp>
      <tp>
        <v>-53.035699999999999</v>
        <stp/>
        <stp>##V3_BDHV12</stp>
        <stp>RCOM IN Equity</stp>
        <stp>TOT_CAP_EXPEND_GROWTH</stp>
        <stp>FY 2012</stp>
        <stp>FY 2012</stp>
        <stp>[FA1_ymffleas.xlsx]CAPEX &amp; Depreciation!R16C6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" s="28"/>
      </tp>
      <tp t="s">
        <v>—</v>
        <stp/>
        <stp>##V3_BDHV12</stp>
        <stp>RCOM IN Equity</stp>
        <stp>ARDR_PROPOSED_FINAL_DIVIDEND</stp>
        <stp>FY 2017</stp>
        <stp>FY 2017</stp>
        <stp>[FA1_ymffleas.xlsx]Income - As Reported!R115C11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5" s="11"/>
      </tp>
      <tp>
        <v>0</v>
        <stp/>
        <stp>##V3_BDHV12</stp>
        <stp>RCOM IN Equity</stp>
        <stp>ARDR_PROPOSED_FINAL_DIVIDEND</stp>
        <stp>FY 2016</stp>
        <stp>FY 2016</stp>
        <stp>[FA1_ymffleas.xlsx]Income - As Reported!R115C10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5" s="11"/>
      </tp>
      <tp t="s">
        <v>—</v>
        <stp/>
        <stp>##V3_BDHV12</stp>
        <stp>RCOM IN Equity</stp>
        <stp>ARDR_PROPOSED_FINAL_DIVIDEND</stp>
        <stp>FY 2018</stp>
        <stp>FY 2018</stp>
        <stp>[FA1_ymffleas.xlsx]Income - As Reported!R115C12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5" s="11"/>
      </tp>
      <tp>
        <v>37.766300000000001</v>
        <stp/>
        <stp>##V3_BDHV12</stp>
        <stp>RCOM IN Equity</stp>
        <stp>TOT_CAP_EXPEND_GROWTH</stp>
        <stp>FY 2011</stp>
        <stp>FY 2011</stp>
        <stp>[FA1_ymffleas.xlsx]CAPEX &amp; Depreciation!R16C5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" s="28"/>
      </tp>
      <tp>
        <v>-38.849800000000002</v>
        <stp/>
        <stp>##V3_BDHV12</stp>
        <stp>RCOM IN Equity</stp>
        <stp>TOT_CAP_EXPEND_GROWTH</stp>
        <stp>FY 2010</stp>
        <stp>FY 2010</stp>
        <stp>[FA1_ymffleas.xlsx]CAPEX &amp; Depreciation!R16C4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" s="28"/>
      </tp>
      <tp>
        <v>33.636699999999998</v>
        <stp/>
        <stp>##V3_BDHV12</stp>
        <stp>RCOM IN Equity</stp>
        <stp>EBITDA_TO_REVENUE</stp>
        <stp>FY 2015</stp>
        <stp>FY 2015</stp>
        <stp>[FA1_ymffleas.xlsx]Profitability!R13C9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3" s="21"/>
      </tp>
      <tp>
        <v>11.019</v>
        <stp/>
        <stp>##V3_BDHV12</stp>
        <stp>RCOM IN Equity</stp>
        <stp>OPER_MARGIN</stp>
        <stp>FY 2013</stp>
        <stp>FY 2013</stp>
        <stp>[FA1_ymffleas.xlsx]Income - Adjusted!R125C6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F125" s="9"/>
      </tp>
      <tp>
        <v>-15.27</v>
        <stp/>
        <stp>##V3_BDHV12</stp>
        <stp>RCOM IN Equity</stp>
        <stp>SALES_GROWTH</stp>
        <stp>FY 2012</stp>
        <stp>FY 2012</stp>
        <stp>[FA1_ymffleas.xlsx]Growth!R7C6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7" s="22"/>
      </tp>
      <tp>
        <v>25000</v>
        <stp/>
        <stp>##V3_BDHV12</stp>
        <stp>RCOM IN Equity</stp>
        <stp>ARDR_AUTH_COMM_CAPT_AMT</stp>
        <stp>FY 2018</stp>
        <stp>FY 2018</stp>
        <stp>[FA1_ymffleas.xlsx]Bal Sheet - As Reported!R160C12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0" s="17"/>
      </tp>
      <tp>
        <v>25000</v>
        <stp/>
        <stp>##V3_BDHV12</stp>
        <stp>RCOM IN Equity</stp>
        <stp>ARDR_AUTH_COMM_CAPT_AMT</stp>
        <stp>FY 2017</stp>
        <stp>FY 2017</stp>
        <stp>[FA1_ymffleas.xlsx]Bal Sheet - As Reported!R160C11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0" s="17"/>
      </tp>
      <tp>
        <v>25000</v>
        <stp/>
        <stp>##V3_BDHV12</stp>
        <stp>RCOM IN Equity</stp>
        <stp>ARDR_AUTH_COMM_CAPT_AMT</stp>
        <stp>FY 2016</stp>
        <stp>FY 2016</stp>
        <stp>[FA1_ymffleas.xlsx]Bal Sheet - As Reported!R160C10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0" s="17"/>
      </tp>
      <tp>
        <v>10.8635</v>
        <stp/>
        <stp>##V3_BDHV12</stp>
        <stp>RCOM IN Equity</stp>
        <stp>OPER_MARGIN</stp>
        <stp>FY 2013</stp>
        <stp>FY 2013</stp>
        <stp>[FA1_ymffleas.xlsx]Income - GAAP!R103C6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03" s="10"/>
      </tp>
      <tp>
        <v>-30</v>
        <stp/>
        <stp>##V3_BDHV12</stp>
        <stp>RCOM IN Equity</stp>
        <stp>ARD_AFTER_TAX_EQTY_METHOD_INVEST</stp>
        <stp>FY 2015</stp>
        <stp>FY 2015</stp>
        <stp>[FA1_ymffleas.xlsx]Income - As Reported!R39C9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9" s="11"/>
      </tp>
      <tp>
        <v>-20</v>
        <stp/>
        <stp>##V3_BDHV12</stp>
        <stp>RCOM IN Equity</stp>
        <stp>ARD_AFTER_TAX_EQTY_METHOD_INVEST</stp>
        <stp>FY 2014</stp>
        <stp>FY 2014</stp>
        <stp>[FA1_ymffleas.xlsx]Income - As Reported!R39C8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9" s="11"/>
      </tp>
      <tp>
        <v>-15.9</v>
        <stp/>
        <stp>##V3_BDHV12</stp>
        <stp>RCOM IN Equity</stp>
        <stp>ARD_AFTER_TAX_EQTY_METHOD_INVEST</stp>
        <stp>FY 2009</stp>
        <stp>FY 2009</stp>
        <stp>[FA1_ymffleas.xlsx]Income - As Reported!R39C3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9" s="11"/>
      </tp>
      <tp>
        <v>-10</v>
        <stp/>
        <stp>##V3_BDHV12</stp>
        <stp>RCOM IN Equity</stp>
        <stp>ARD_AFTER_TAX_EQTY_METHOD_INVEST</stp>
        <stp>FY 2013</stp>
        <stp>FY 2013</stp>
        <stp>[FA1_ymffleas.xlsx]Income - As Reported!R39C7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9" s="11"/>
      </tp>
      <tp>
        <v>-10</v>
        <stp/>
        <stp>##V3_BDHV12</stp>
        <stp>RCOM IN Equity</stp>
        <stp>ARD_AFTER_TAX_EQTY_METHOD_INVEST</stp>
        <stp>FY 2012</stp>
        <stp>FY 2012</stp>
        <stp>[FA1_ymffleas.xlsx]Income - As Reported!R39C6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9" s="11"/>
      </tp>
      <tp>
        <v>100</v>
        <stp/>
        <stp>##V3_BDHV12</stp>
        <stp>RCOM IN Equity</stp>
        <stp>ARD_AFTER_TAX_EQTY_METHOD_INVEST</stp>
        <stp>FY 2011</stp>
        <stp>FY 2011</stp>
        <stp>[FA1_ymffleas.xlsx]Income - As Reported!R39C5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9" s="11"/>
      </tp>
      <tp>
        <v>31.9</v>
        <stp/>
        <stp>##V3_BDHV12</stp>
        <stp>RCOM IN Equity</stp>
        <stp>ARD_AFTER_TAX_EQTY_METHOD_INVEST</stp>
        <stp>FY 2010</stp>
        <stp>FY 2010</stp>
        <stp>[FA1_ymffleas.xlsx]Income - As Reported!R39C4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9" s="11"/>
      </tp>
      <tp>
        <v>100</v>
        <stp/>
        <stp>##V3_BDHV12</stp>
        <stp>RCOM IN Equity</stp>
        <stp>ST_CAPITAL_LEASE_OBLIGATIONS</stp>
        <stp>FY 2016</stp>
        <stp>FY 2016</stp>
        <stp>[FA1_ymffleas.xlsx]Bal Sheet - Standardized!R89C10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9" s="16"/>
      </tp>
      <tp>
        <v>20</v>
        <stp/>
        <stp>##V3_BDHV12</stp>
        <stp>RCOM IN Equity</stp>
        <stp>ST_CAPITAL_LEASE_OBLIGATIONS</stp>
        <stp>FY 2017</stp>
        <stp>FY 2017</stp>
        <stp>[FA1_ymffleas.xlsx]Bal Sheet - Standardized!R89C11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9" s="16"/>
      </tp>
      <tp>
        <v>0</v>
        <stp/>
        <stp>##V3_BDHV12</stp>
        <stp>RCOM IN Equity</stp>
        <stp>ST_CAPITAL_LEASE_OBLIGATIONS</stp>
        <stp>FY 2018</stp>
        <stp>FY 2018</stp>
        <stp>[FA1_ymffleas.xlsx]Bal Sheet - Standardized!R89C12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9" s="16"/>
      </tp>
      <tp>
        <v>-36810</v>
        <stp/>
        <stp>##V3_BDHV12</stp>
        <stp>RCOM IN Equity</stp>
        <stp>CF_PYMT_LT_DEBT_&amp;_CAPITAL_LEASE</stp>
        <stp>FY 2018</stp>
        <stp>FY 2018</stp>
        <stp>[FA1_ymffleas.xlsx]Cash Flow - Standardized!R42C11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2" s="19"/>
      </tp>
      <tp>
        <v>-62110</v>
        <stp/>
        <stp>##V3_BDHV12</stp>
        <stp>RCOM IN Equity</stp>
        <stp>CF_PYMT_LT_DEBT_&amp;_CAPITAL_LEASE</stp>
        <stp>FY 2017</stp>
        <stp>FY 2017</stp>
        <stp>[FA1_ymffleas.xlsx]Cash Flow - Standardized!R42C10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2" s="19"/>
      </tp>
      <tp>
        <v>-7.9168000000000003</v>
        <stp/>
        <stp>##V3_BDHV12</stp>
        <stp>RCOM IN Equity</stp>
        <stp>TOTAL_CAPITAL_5_YEAR_GROWTH</stp>
        <stp>FY 2018</stp>
        <stp>FY 2018</stp>
        <stp>[FA1_ymffleas.xlsx]Growth!R54C12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54" s="22"/>
      </tp>
      <tp>
        <v>-15.082000000000001</v>
        <stp/>
        <stp>##V3_BDHV12</stp>
        <stp>RCOM IN Equity</stp>
        <stp>DILUTED_EPS_AFT_XO_ITEMS_GROWTH</stp>
        <stp>FY 2016</stp>
        <stp>FY 2016</stp>
        <stp>[FA1_ymffleas.xlsx]Growth!R11C10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1" s="22"/>
      </tp>
      <tp>
        <v>-0.2014</v>
        <stp/>
        <stp>##V3_BDHV12</stp>
        <stp>RCOM IN Equity</stp>
        <stp>TOTAL_CAPITAL_5_YEAR_GROWTH</stp>
        <stp>FY 2017</stp>
        <stp>FY 2017</stp>
        <stp>[FA1_ymffleas.xlsx]Growth!R54C11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54" s="22"/>
      </tp>
      <tp>
        <v>-1.2530000000000001</v>
        <stp/>
        <stp>##V3_BDHV12</stp>
        <stp>RCOM IN Equity</stp>
        <stp>TOTAL_CAPITAL_5_YEAR_GROWTH</stp>
        <stp>FY 2016</stp>
        <stp>FY 2016</stp>
        <stp>[FA1_ymffleas.xlsx]Growth!R54C10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54" s="22"/>
      </tp>
      <tp>
        <v>30520</v>
        <stp/>
        <stp>##V3_BDHV12</stp>
        <stp>RCOM IN Equity</stp>
        <stp>CF_PROC_LT_DEBT_&amp;_CAPITAL_LEASE</stp>
        <stp>FY 2018</stp>
        <stp>FY 2018</stp>
        <stp>[FA1_ymffleas.xlsx]Cash Flow - Standardized!R41C11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1" s="19"/>
      </tp>
      <tp>
        <v>43670</v>
        <stp/>
        <stp>##V3_BDHV12</stp>
        <stp>RCOM IN Equity</stp>
        <stp>CF_PROC_LT_DEBT_&amp;_CAPITAL_LEASE</stp>
        <stp>FY 2017</stp>
        <stp>FY 2017</stp>
        <stp>[FA1_ymffleas.xlsx]Cash Flow - Standardized!R41C10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1" s="19"/>
      </tp>
      <tp>
        <v>246460</v>
        <stp/>
        <stp>##V3_BDHV12</stp>
        <stp>RCOM IN Equity</stp>
        <stp>ARDR_BANK_LOANS_NONCURRENT</stp>
        <stp>FY 2012</stp>
        <stp>FY 2012</stp>
        <stp>[FA1_ymffleas.xlsx]Bal Sheet - As Reported!R137C6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7" s="17"/>
      </tp>
      <tp>
        <v>236780</v>
        <stp/>
        <stp>##V3_BDHV12</stp>
        <stp>RCOM IN Equity</stp>
        <stp>ARDR_BANK_LOANS_NONCURRENT</stp>
        <stp>FY 2013</stp>
        <stp>FY 2013</stp>
        <stp>[FA1_ymffleas.xlsx]Bal Sheet - As Reported!R137C7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7" s="17"/>
      </tp>
      <tp>
        <v>97922.7</v>
        <stp/>
        <stp>##V3_BDHV12</stp>
        <stp>RCOM IN Equity</stp>
        <stp>ARDR_BANK_LOANS_NONCURRENT</stp>
        <stp>FY 2010</stp>
        <stp>FY 2010</stp>
        <stp>[FA1_ymffleas.xlsx]Bal Sheet - As Reported!R137C4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7" s="17"/>
      </tp>
      <tp>
        <v>163130</v>
        <stp/>
        <stp>##V3_BDHV12</stp>
        <stp>RCOM IN Equity</stp>
        <stp>ARDR_BANK_LOANS_NONCURRENT</stp>
        <stp>FY 2011</stp>
        <stp>FY 2011</stp>
        <stp>[FA1_ymffleas.xlsx]Bal Sheet - As Reported!R137C5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7" s="17"/>
      </tp>
      <tp>
        <v>172071.2</v>
        <stp/>
        <stp>##V3_BDHV12</stp>
        <stp>RCOM IN Equity</stp>
        <stp>ARDR_BANK_LOANS_NONCURRENT</stp>
        <stp>FY 2009</stp>
        <stp>FY 2009</stp>
        <stp>[FA1_ymffleas.xlsx]Bal Sheet - As Reported!R137C3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7" s="17"/>
      </tp>
      <tp>
        <v>222650</v>
        <stp/>
        <stp>##V3_BDHV12</stp>
        <stp>RCOM IN Equity</stp>
        <stp>ARDR_BANK_LOANS_NONCURRENT</stp>
        <stp>FY 2014</stp>
        <stp>FY 2014</stp>
        <stp>[FA1_ymffleas.xlsx]Bal Sheet - As Reported!R137C8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7" s="17"/>
      </tp>
      <tp>
        <v>232260</v>
        <stp/>
        <stp>##V3_BDHV12</stp>
        <stp>RCOM IN Equity</stp>
        <stp>ARDR_BANK_LOANS_NONCURRENT</stp>
        <stp>FY 2015</stp>
        <stp>FY 2015</stp>
        <stp>[FA1_ymffleas.xlsx]Bal Sheet - As Reported!R137C9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7" s="17"/>
      </tp>
      <tp>
        <v>0</v>
        <stp/>
        <stp>##V3_BDHV12</stp>
        <stp>RCOM IN Equity</stp>
        <stp>ARD_DEBT_FIN_ISSUANCE_COSTS</stp>
        <stp>FY 2013</stp>
        <stp>FY 2013</stp>
        <stp>[FA1_ymffleas.xlsx]Cash Flow - As Reported!R59C7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9" s="20"/>
      </tp>
      <tp>
        <v>-1770</v>
        <stp/>
        <stp>##V3_BDHV12</stp>
        <stp>RCOM IN Equity</stp>
        <stp>ARD_DEBT_FIN_ISSUANCE_COSTS</stp>
        <stp>FY 2012</stp>
        <stp>FY 2012</stp>
        <stp>[FA1_ymffleas.xlsx]Cash Flow - As Reported!R59C6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9" s="20"/>
      </tp>
      <tp t="s">
        <v>—</v>
        <stp/>
        <stp>##V3_BDHV12</stp>
        <stp>RCOM IN Equity</stp>
        <stp>ARD_DEBT_FIN_ISSUANCE_COSTS</stp>
        <stp>FY 2011</stp>
        <stp>FY 2011</stp>
        <stp>[FA1_ymffleas.xlsx]Cash Flow - As Reported!R59C5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9" s="20"/>
      </tp>
      <tp t="s">
        <v>—</v>
        <stp/>
        <stp>##V3_BDHV12</stp>
        <stp>RCOM IN Equity</stp>
        <stp>ARD_DEBT_FIN_ISSUANCE_COSTS</stp>
        <stp>FY 2010</stp>
        <stp>FY 2010</stp>
        <stp>[FA1_ymffleas.xlsx]Cash Flow - As Reported!R59C4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9" s="20"/>
      </tp>
      <tp t="s">
        <v>—</v>
        <stp/>
        <stp>##V3_BDHV12</stp>
        <stp>RCOM IN Equity</stp>
        <stp>ARD_DEBT_FIN_ISSUANCE_COSTS</stp>
        <stp>FY 2009</stp>
        <stp>FY 2009</stp>
        <stp>[FA1_ymffleas.xlsx]Cash Flow - As Reported!R59C3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9" s="20"/>
      </tp>
      <tp t="s">
        <v>—</v>
        <stp/>
        <stp>##V3_BDHV12</stp>
        <stp>RCOM IN Equity</stp>
        <stp>ARD_DEBT_FIN_ISSUANCE_COSTS</stp>
        <stp>FY 2015</stp>
        <stp>FY 2015</stp>
        <stp>[FA1_ymffleas.xlsx]Cash Flow - As Reported!R59C9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9" s="20"/>
      </tp>
      <tp t="s">
        <v>—</v>
        <stp/>
        <stp>##V3_BDHV12</stp>
        <stp>RCOM IN Equity</stp>
        <stp>ARD_DEBT_FIN_ISSUANCE_COSTS</stp>
        <stp>FY 2014</stp>
        <stp>FY 2014</stp>
        <stp>[FA1_ymffleas.xlsx]Cash Flow - As Reported!R59C8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9" s="20"/>
      </tp>
      <tp t="s">
        <v>—</v>
        <stp/>
        <stp>##V3_BDHV12</stp>
        <stp>RCOM IN Equity</stp>
        <stp>ARD_FOREIGN_EXCHANGE</stp>
        <stp>FY 2018</stp>
        <stp>FY 2018</stp>
        <stp>[FA1_ymffleas.xlsx]Income - As Reported!R22C12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2" s="11"/>
      </tp>
      <tp t="s">
        <v>—</v>
        <stp/>
        <stp>##V3_BDHV12</stp>
        <stp>RCOM IN Equity</stp>
        <stp>ARD_FOREIGN_EXCHANGE</stp>
        <stp>FY 2016</stp>
        <stp>FY 2016</stp>
        <stp>[FA1_ymffleas.xlsx]Income - As Reported!R22C10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2" s="11"/>
      </tp>
      <tp t="s">
        <v>—</v>
        <stp/>
        <stp>##V3_BDHV12</stp>
        <stp>RCOM IN Equity</stp>
        <stp>ARD_FOREIGN_EXCHANGE</stp>
        <stp>FY 2017</stp>
        <stp>FY 2017</stp>
        <stp>[FA1_ymffleas.xlsx]Income - As Reported!R22C11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2" s="11"/>
      </tp>
      <tp>
        <v>3.1347</v>
        <stp/>
        <stp>##V3_BDHV12</stp>
        <stp>RCOM IN Equity</stp>
        <stp>EBITDA_TO_INTEREST_EXPN</stp>
        <stp>FY 2016</stp>
        <stp>FY 2016</stp>
        <stp>[FA1_ymffleas.xlsx]Credit!R16C10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6" s="23"/>
      </tp>
      <tp>
        <v>1230</v>
        <stp/>
        <stp>##V3_BDHV12</stp>
        <stp>RCOM IN Equity</stp>
        <stp>BS_OTHER_INV</stp>
        <stp>FY 2017</stp>
        <stp>FY 2017</stp>
        <stp>[FA1_ymffleas.xlsx]Bal Sheet - Standardized!R29C11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9" s="16"/>
      </tp>
      <tp>
        <v>1560</v>
        <stp/>
        <stp>##V3_BDHV12</stp>
        <stp>RCOM IN Equity</stp>
        <stp>BS_OTHER_INV</stp>
        <stp>FY 2016</stp>
        <stp>FY 2016</stp>
        <stp>[FA1_ymffleas.xlsx]Bal Sheet - Standardized!R29C10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9" s="16"/>
      </tp>
      <tp>
        <v>770</v>
        <stp/>
        <stp>##V3_BDHV12</stp>
        <stp>RCOM IN Equity</stp>
        <stp>BS_OTHER_INV</stp>
        <stp>FY 2018</stp>
        <stp>FY 2018</stp>
        <stp>[FA1_ymffleas.xlsx]Bal Sheet - Standardized!R29C12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9" s="16"/>
      </tp>
      <tp>
        <v>0</v>
        <stp/>
        <stp>##V3_BDHV12</stp>
        <stp>RCOM IN Equity</stp>
        <stp>DISP_FXD_&amp;_INTANGIBLES_DETAILED</stp>
        <stp>FY 2017</stp>
        <stp>FY 2017</stp>
        <stp>[FA1_ymffleas.xlsx]Cash Flow - Standardized!R20C10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" s="19"/>
      </tp>
      <tp>
        <v>0</v>
        <stp/>
        <stp>##V3_BDHV12</stp>
        <stp>RCOM IN Equity</stp>
        <stp>DISP_FXD_&amp;_INTANGIBLES_DETAILED</stp>
        <stp>FY 2018</stp>
        <stp>FY 2018</stp>
        <stp>[FA1_ymffleas.xlsx]Cash Flow - Standardized!R20C11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" s="19"/>
      </tp>
      <tp t="s">
        <v>—</v>
        <stp/>
        <stp>##V3_BDHV12</stp>
        <stp>RCOM IN Equity</stp>
        <stp>ARD_DEPRECIATION_AMORT_IMPAIRMNT</stp>
        <stp>FY 2012</stp>
        <stp>FY 2012</stp>
        <stp>[FA1_ymffleas.xlsx]Cash Flow - As Reported!R24C6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4" s="20"/>
      </tp>
      <tp t="s">
        <v>—</v>
        <stp/>
        <stp>##V3_BDHV12</stp>
        <stp>RCOM IN Equity</stp>
        <stp>ARD_DEPRECIATION_AMORT_IMPAIRMNT</stp>
        <stp>FY 2013</stp>
        <stp>FY 2013</stp>
        <stp>[FA1_ymffleas.xlsx]Cash Flow - As Reported!R24C7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4" s="20"/>
      </tp>
      <tp t="s">
        <v>—</v>
        <stp/>
        <stp>##V3_BDHV12</stp>
        <stp>RCOM IN Equity</stp>
        <stp>ARD_DEPRECIATION_AMORT_IMPAIRMNT</stp>
        <stp>FY 2010</stp>
        <stp>FY 2010</stp>
        <stp>[FA1_ymffleas.xlsx]Cash Flow - As Reported!R24C4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4" s="20"/>
      </tp>
      <tp t="s">
        <v>—</v>
        <stp/>
        <stp>##V3_BDHV12</stp>
        <stp>RCOM IN Equity</stp>
        <stp>ARD_DEPRECIATION_AMORT_IMPAIRMNT</stp>
        <stp>FY 2011</stp>
        <stp>FY 2011</stp>
        <stp>[FA1_ymffleas.xlsx]Cash Flow - As Reported!R24C5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4" s="20"/>
      </tp>
      <tp t="s">
        <v>—</v>
        <stp/>
        <stp>##V3_BDHV12</stp>
        <stp>RCOM IN Equity</stp>
        <stp>ARD_DEPRECIATION_AMORT_IMPAIRMNT</stp>
        <stp>FY 2009</stp>
        <stp>FY 2009</stp>
        <stp>[FA1_ymffleas.xlsx]Cash Flow - As Reported!R24C3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4" s="20"/>
      </tp>
      <tp t="s">
        <v>—</v>
        <stp/>
        <stp>##V3_BDHV12</stp>
        <stp>RCOM IN Equity</stp>
        <stp>ARD_DEPRECIATION_AMORT_IMPAIRMNT</stp>
        <stp>FY 2014</stp>
        <stp>FY 2014</stp>
        <stp>[FA1_ymffleas.xlsx]Cash Flow - As Reported!R24C8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4" s="20"/>
      </tp>
      <tp t="s">
        <v>—</v>
        <stp/>
        <stp>##V3_BDHV12</stp>
        <stp>RCOM IN Equity</stp>
        <stp>ARD_DEPRECIATION_AMORT_IMPAIRMNT</stp>
        <stp>FY 2015</stp>
        <stp>FY 2015</stp>
        <stp>[FA1_ymffleas.xlsx]Cash Flow - As Reported!R24C9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4" s="20"/>
      </tp>
      <tp t="s">
        <v>—</v>
        <stp/>
        <stp>##V3_BDHV12</stp>
        <stp>RCOM IN Equity</stp>
        <stp>CASH_CONVERSION_CYCLE</stp>
        <stp>FY 2016</stp>
        <stp>FY 2016</stp>
        <stp>[FA1_ymffleas.xlsx]Working Capital!R13C10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3" s="25"/>
      </tp>
      <tp t="s">
        <v>—</v>
        <stp/>
        <stp>##V3_BDHV12</stp>
        <stp>RCOM IN Equity</stp>
        <stp>ARD_SELLING_GENERAL_ADMIN_EXP</stp>
        <stp>FY 2017</stp>
        <stp>FY 2017</stp>
        <stp>[FA1_ymffleas.xlsx]Income - As Reported!R16C11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" s="11"/>
      </tp>
      <tp t="s">
        <v>—</v>
        <stp/>
        <stp>##V3_BDHV12</stp>
        <stp>RCOM IN Equity</stp>
        <stp>ARD_SELLING_GENERAL_ADMIN_EXP</stp>
        <stp>FY 2016</stp>
        <stp>FY 2016</stp>
        <stp>[FA1_ymffleas.xlsx]Income - As Reported!R16C10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" s="11"/>
      </tp>
      <tp t="s">
        <v>—</v>
        <stp/>
        <stp>##V3_BDHV12</stp>
        <stp>RCOM IN Equity</stp>
        <stp>ARD_SELLING_GENERAL_ADMIN_EXP</stp>
        <stp>FY 2018</stp>
        <stp>FY 2018</stp>
        <stp>[FA1_ymffleas.xlsx]Income - As Reported!R16C12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" s="11"/>
      </tp>
      <tp>
        <v>16.044699999999999</v>
        <stp/>
        <stp>##V3_BDHV12</stp>
        <stp>RCOM IN Equity</stp>
        <stp>AVERAGE_EV_TO_T12M_EBIT</stp>
        <stp>FY 2016</stp>
        <stp>FY 2016</stp>
        <stp>[FA1_ymffleas.xlsx]Multiples!R47C9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47" s="6"/>
      </tp>
      <tp t="s">
        <v>—</v>
        <stp/>
        <stp>##V3_BDHV12</stp>
        <stp>RCOM IN Equity</stp>
        <stp>ARDR_OTHER_INTANGIBLE_ASSET</stp>
        <stp>FY 2014</stp>
        <stp>FY 2014</stp>
        <stp>[FA1_ymffleas.xlsx]Bal Sheet - As Reported!R76C8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6" s="17"/>
      </tp>
      <tp t="s">
        <v>—</v>
        <stp/>
        <stp>##V3_BDHV12</stp>
        <stp>RCOM IN Equity</stp>
        <stp>ARDR_OTHER_INTANGIBLE_ASSET</stp>
        <stp>FY 2015</stp>
        <stp>FY 2015</stp>
        <stp>[FA1_ymffleas.xlsx]Bal Sheet - As Reported!R76C9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6" s="17"/>
      </tp>
      <tp t="s">
        <v>—</v>
        <stp/>
        <stp>##V3_BDHV12</stp>
        <stp>RCOM IN Equity</stp>
        <stp>ARDR_OTHER_INTANGIBLE_ASSET</stp>
        <stp>FY 2012</stp>
        <stp>FY 2012</stp>
        <stp>[FA1_ymffleas.xlsx]Bal Sheet - As Reported!R76C6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6" s="17"/>
      </tp>
      <tp t="s">
        <v>—</v>
        <stp/>
        <stp>##V3_BDHV12</stp>
        <stp>RCOM IN Equity</stp>
        <stp>ARDR_OTHER_INTANGIBLE_ASSET</stp>
        <stp>FY 2013</stp>
        <stp>FY 2013</stp>
        <stp>[FA1_ymffleas.xlsx]Bal Sheet - As Reported!R76C7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6" s="17"/>
      </tp>
      <tp t="s">
        <v>—</v>
        <stp/>
        <stp>##V3_BDHV12</stp>
        <stp>RCOM IN Equity</stp>
        <stp>ARDR_OTHER_INTANGIBLE_ASSET</stp>
        <stp>FY 2010</stp>
        <stp>FY 2010</stp>
        <stp>[FA1_ymffleas.xlsx]Bal Sheet - As Reported!R76C4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6" s="17"/>
      </tp>
      <tp t="s">
        <v>—</v>
        <stp/>
        <stp>##V3_BDHV12</stp>
        <stp>RCOM IN Equity</stp>
        <stp>ARDR_OTHER_INTANGIBLE_ASSET</stp>
        <stp>FY 2011</stp>
        <stp>FY 2011</stp>
        <stp>[FA1_ymffleas.xlsx]Bal Sheet - As Reported!R76C5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6" s="17"/>
      </tp>
      <tp t="s">
        <v>—</v>
        <stp/>
        <stp>##V3_BDHV12</stp>
        <stp>RCOM IN Equity</stp>
        <stp>ARDR_OTHER_INTANGIBLE_ASSET</stp>
        <stp>FY 2009</stp>
        <stp>FY 2009</stp>
        <stp>[FA1_ymffleas.xlsx]Bal Sheet - As Reported!R76C3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6" s="17"/>
      </tp>
      <tp>
        <v>27.1586</v>
        <stp/>
        <stp>##V3_BDHV12</stp>
        <stp>RCOM IN Equity</stp>
        <stp>OPER_INC_GROWTH</stp>
        <stp>FY 2009</stp>
        <stp>FY 2009</stp>
        <stp>[FA1_ymffleas.xlsx]Growth!R9C3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9" s="22"/>
      </tp>
      <tp t="s">
        <v>—</v>
        <stp/>
        <stp>##V3_BDHV12</stp>
        <stp>RCOM IN Equity</stp>
        <stp>ARD_DISC_OPS_LOSS_BEN_NET</stp>
        <stp>FY 2015</stp>
        <stp>FY 2015</stp>
        <stp>[FA1_ymffleas.xlsx]Income - As Reported!R62C9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2" s="11"/>
      </tp>
      <tp t="s">
        <v>—</v>
        <stp/>
        <stp>##V3_BDHV12</stp>
        <stp>RCOM IN Equity</stp>
        <stp>ARD_DISC_OPS_LOSS_BEN_NET</stp>
        <stp>FY 2014</stp>
        <stp>FY 2014</stp>
        <stp>[FA1_ymffleas.xlsx]Income - As Reported!R62C8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2" s="11"/>
      </tp>
      <tp t="s">
        <v>—</v>
        <stp/>
        <stp>##V3_BDHV12</stp>
        <stp>RCOM IN Equity</stp>
        <stp>ARD_DISC_OPS_LOSS_BEN_NET</stp>
        <stp>FY 2013</stp>
        <stp>FY 2013</stp>
        <stp>[FA1_ymffleas.xlsx]Income - As Reported!R62C7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2" s="11"/>
      </tp>
      <tp t="s">
        <v>—</v>
        <stp/>
        <stp>##V3_BDHV12</stp>
        <stp>RCOM IN Equity</stp>
        <stp>ARD_DISC_OPS_LOSS_BEN_NET</stp>
        <stp>FY 2012</stp>
        <stp>FY 2012</stp>
        <stp>[FA1_ymffleas.xlsx]Income - As Reported!R62C6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2" s="11"/>
      </tp>
      <tp t="s">
        <v>—</v>
        <stp/>
        <stp>##V3_BDHV12</stp>
        <stp>RCOM IN Equity</stp>
        <stp>ARD_DISC_OPS_LOSS_BEN_NET</stp>
        <stp>FY 2011</stp>
        <stp>FY 2011</stp>
        <stp>[FA1_ymffleas.xlsx]Income - As Reported!R62C5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2" s="11"/>
      </tp>
      <tp t="s">
        <v>—</v>
        <stp/>
        <stp>##V3_BDHV12</stp>
        <stp>RCOM IN Equity</stp>
        <stp>ARD_DISC_OPS_LOSS_BEN_NET</stp>
        <stp>FY 2010</stp>
        <stp>FY 2010</stp>
        <stp>[FA1_ymffleas.xlsx]Income - As Reported!R62C4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2" s="11"/>
      </tp>
      <tp t="s">
        <v>—</v>
        <stp/>
        <stp>##V3_BDHV12</stp>
        <stp>RCOM IN Equity</stp>
        <stp>ARD_DISC_OPS_LOSS_BEN_NET</stp>
        <stp>FY 2009</stp>
        <stp>FY 2009</stp>
        <stp>[FA1_ymffleas.xlsx]Income - As Reported!R62C3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2" s="11"/>
      </tp>
      <tp>
        <v>28.0488</v>
        <stp/>
        <stp>##V3_BDHV12</stp>
        <stp>RCOM IN Equity</stp>
        <stp>IS_DILUTED_EPS</stp>
        <stp>FY 2009</stp>
        <stp>FY 2009</stp>
        <stp>[FA1_ymffleas.xlsx]GAAP Highlights!R10C3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0" s="3"/>
      </tp>
      <tp>
        <v>11.6852</v>
        <stp/>
        <stp>##V3_BDHV12</stp>
        <stp>RCOM IN Equity</stp>
        <stp>OPER_MARGIN</stp>
        <stp>FY 2012</stp>
        <stp>FY 2012</stp>
        <stp>[FA1_ymffleas.xlsx]Income - Adjusted!R125C5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E125" s="9"/>
      </tp>
      <tp>
        <v>6.7873000000000001</v>
        <stp/>
        <stp>##V3_BDHV12</stp>
        <stp>RCOM IN Equity</stp>
        <stp>SALES_GROWTH</stp>
        <stp>FY 2011</stp>
        <stp>FY 2011</stp>
        <stp>[FA1_ymffleas.xlsx]Growth!R7C5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7" s="22"/>
      </tp>
      <tp>
        <v>409150</v>
        <stp/>
        <stp>##V3_BDHV12</stp>
        <stp>RCOM IN Equity</stp>
        <stp>BS_GROSS_FIX_ASSET</stp>
        <stp>FY 2018</stp>
        <stp>FY 2018</stp>
        <stp>[FA1_ymffleas.xlsx]Bal Sheet - Standardized!R45C12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5" s="16"/>
      </tp>
      <tp>
        <v>787250</v>
        <stp/>
        <stp>##V3_BDHV12</stp>
        <stp>RCOM IN Equity</stp>
        <stp>BS_GROSS_FIX_ASSET</stp>
        <stp>FY 2016</stp>
        <stp>FY 2016</stp>
        <stp>[FA1_ymffleas.xlsx]Bal Sheet - Standardized!R45C10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5" s="16"/>
      </tp>
      <tp>
        <v>804450</v>
        <stp/>
        <stp>##V3_BDHV12</stp>
        <stp>RCOM IN Equity</stp>
        <stp>BS_GROSS_FIX_ASSET</stp>
        <stp>FY 2017</stp>
        <stp>FY 2017</stp>
        <stp>[FA1_ymffleas.xlsx]Bal Sheet - Standardized!R45C11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5" s="16"/>
      </tp>
      <tp>
        <v>9.7082999999999995</v>
        <stp/>
        <stp>##V3_BDHV12</stp>
        <stp>RCOM IN Equity</stp>
        <stp>OPER_MARGIN</stp>
        <stp>FY 2012</stp>
        <stp>FY 2012</stp>
        <stp>[FA1_ymffleas.xlsx]Income - GAAP!R103C5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03" s="10"/>
      </tp>
      <tp>
        <v>8.2928999999999995</v>
        <stp/>
        <stp>##V3_BDHV12</stp>
        <stp>RCOM IN Equity</stp>
        <stp>EV_TO_T12M_SALES</stp>
        <stp>FY 2017</stp>
        <stp>FY 2017</stp>
        <stp>[FA1_ymffleas.xlsx]Multiples!R36C10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36" s="6"/>
      </tp>
      <tp>
        <v>22.553000000000001</v>
        <stp/>
        <stp>##V3_BDHV12</stp>
        <stp>RCOM IN Equity</stp>
        <stp>IS_EARN_BEF_XO_ITEMS_PER_SH</stp>
        <stp>FY 2010</stp>
        <stp>FY 2010</stp>
        <stp>[FA1_ymffleas.xlsx]Income - GAAP!R89C3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9" s="10"/>
      </tp>
      <tp>
        <v>1.0229999999999999</v>
        <stp/>
        <stp>##V3_BDHV12</stp>
        <stp>RCOM IN Equity</stp>
        <stp>IS_AMORT_OF_TOT_INTANG_P_DIL_SH</stp>
        <stp>FY 2009</stp>
        <stp>FY 2009</stp>
        <stp>[FA1_ymffleas.xlsx]SBC &amp; Amort!R28C3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8" s="13"/>
      </tp>
      <tp>
        <v>3.26</v>
        <stp/>
        <stp>##V3_BDHV12</stp>
        <stp>RCOM IN Equity</stp>
        <stp>IS_EARN_BEF_XO_ITEMS_PER_SH</stp>
        <stp>FY 2013</stp>
        <stp>FY 2013</stp>
        <stp>[FA1_ymffleas.xlsx]Income - GAAP!R89C6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9" s="10"/>
      </tp>
      <tp>
        <v>6.3278999999999996</v>
        <stp/>
        <stp>##V3_BDHV12</stp>
        <stp>RCOM IN Equity</stp>
        <stp>IS_AMORT_OF_TOT_INTANG_P_DIL_SH</stp>
        <stp>FY 2012</stp>
        <stp>FY 2012</stp>
        <stp>[FA1_ymffleas.xlsx]SBC &amp; Amort!R28C6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8" s="13"/>
      </tp>
      <tp>
        <v>5.07</v>
        <stp/>
        <stp>##V3_BDHV12</stp>
        <stp>RCOM IN Equity</stp>
        <stp>IS_EARN_BEF_XO_ITEMS_PER_SH</stp>
        <stp>FY 2014</stp>
        <stp>FY 2014</stp>
        <stp>[FA1_ymffleas.xlsx]Income - GAAP!R89C7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9" s="10"/>
      </tp>
      <tp>
        <v>6.1947999999999999</v>
        <stp/>
        <stp>##V3_BDHV12</stp>
        <stp>RCOM IN Equity</stp>
        <stp>IS_AMORT_OF_TOT_INTANG_P_DIL_SH</stp>
        <stp>FY 2013</stp>
        <stp>FY 2013</stp>
        <stp>[FA1_ymffleas.xlsx]SBC &amp; Amort!R28C7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8" s="13"/>
      </tp>
      <tp>
        <v>0.3473</v>
        <stp/>
        <stp>##V3_BDHV12</stp>
        <stp>RCOM IN Equity</stp>
        <stp>LOW_PX_TO_SALES_RATIO</stp>
        <stp>FY 2017</stp>
        <stp>FY 2017</stp>
        <stp>[FA1_ymffleas.xlsx]Multiples!R24C10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4" s="6"/>
      </tp>
      <tp>
        <v>6.5164</v>
        <stp/>
        <stp>##V3_BDHV12</stp>
        <stp>RCOM IN Equity</stp>
        <stp>IS_EARN_BEF_XO_ITEMS_PER_SH</stp>
        <stp>FY 2011</stp>
        <stp>FY 2011</stp>
        <stp>[FA1_ymffleas.xlsx]Income - GAAP!R89C4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9" s="10"/>
      </tp>
      <tp>
        <v>1.7688000000000001</v>
        <stp/>
        <stp>##V3_BDHV12</stp>
        <stp>RCOM IN Equity</stp>
        <stp>IS_AMORT_OF_TOT_INTANG_P_DIL_SH</stp>
        <stp>FY 2010</stp>
        <stp>FY 2010</stp>
        <stp>[FA1_ymffleas.xlsx]SBC &amp; Amort!R28C4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8" s="13"/>
      </tp>
      <tp>
        <v>4.5</v>
        <stp/>
        <stp>##V3_BDHV12</stp>
        <stp>RCOM IN Equity</stp>
        <stp>IS_EARN_BEF_XO_ITEMS_PER_SH</stp>
        <stp>FY 2012</stp>
        <stp>FY 2012</stp>
        <stp>[FA1_ymffleas.xlsx]Income - GAAP!R89C5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9" s="10"/>
      </tp>
      <tp>
        <v>8.6600999999999999</v>
        <stp/>
        <stp>##V3_BDHV12</stp>
        <stp>RCOM IN Equity</stp>
        <stp>IS_AMORT_OF_TOT_INTANG_P_DIL_SH</stp>
        <stp>FY 2011</stp>
        <stp>FY 2011</stp>
        <stp>[FA1_ymffleas.xlsx]SBC &amp; Amort!R28C5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8" s="13"/>
      </tp>
      <tp>
        <v>357.9</v>
        <stp/>
        <stp>##V3_BDHV12</stp>
        <stp>RCOM IN Equity</stp>
        <stp>ARDR_PROJ_POST_RETIRE_BEN_OBLIG</stp>
        <stp>FY 2009</stp>
        <stp>FY 2009</stp>
        <stp>[FA1_ymffleas.xlsx]Income - As Reported!R88C3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8" s="11"/>
      </tp>
      <tp>
        <v>340</v>
        <stp/>
        <stp>##V3_BDHV12</stp>
        <stp>RCOM IN Equity</stp>
        <stp>ARDR_PROJ_POST_RETIRE_BEN_OBLIG</stp>
        <stp>FY 2012</stp>
        <stp>FY 2012</stp>
        <stp>[FA1_ymffleas.xlsx]Income - As Reported!R88C6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8" s="11"/>
      </tp>
      <tp>
        <v>390</v>
        <stp/>
        <stp>##V3_BDHV12</stp>
        <stp>RCOM IN Equity</stp>
        <stp>ARDR_PROJ_POST_RETIRE_BEN_OBLIG</stp>
        <stp>FY 2013</stp>
        <stp>FY 2013</stp>
        <stp>[FA1_ymffleas.xlsx]Income - As Reported!R88C7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8" s="11"/>
      </tp>
      <tp>
        <v>350.7</v>
        <stp/>
        <stp>##V3_BDHV12</stp>
        <stp>RCOM IN Equity</stp>
        <stp>ARDR_PROJ_POST_RETIRE_BEN_OBLIG</stp>
        <stp>FY 2010</stp>
        <stp>FY 2010</stp>
        <stp>[FA1_ymffleas.xlsx]Income - As Reported!R88C4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8" s="11"/>
      </tp>
      <tp>
        <v>380</v>
        <stp/>
        <stp>##V3_BDHV12</stp>
        <stp>RCOM IN Equity</stp>
        <stp>ARDR_PROJ_POST_RETIRE_BEN_OBLIG</stp>
        <stp>FY 2011</stp>
        <stp>FY 2011</stp>
        <stp>[FA1_ymffleas.xlsx]Income - As Reported!R88C5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8" s="11"/>
      </tp>
      <tp>
        <v>410</v>
        <stp/>
        <stp>##V3_BDHV12</stp>
        <stp>RCOM IN Equity</stp>
        <stp>ARDR_PROJ_POST_RETIRE_BEN_OBLIG</stp>
        <stp>FY 2014</stp>
        <stp>FY 2014</stp>
        <stp>[FA1_ymffleas.xlsx]Income - As Reported!R88C8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8" s="11"/>
      </tp>
      <tp>
        <v>410</v>
        <stp/>
        <stp>##V3_BDHV12</stp>
        <stp>RCOM IN Equity</stp>
        <stp>ARDR_PROJ_POST_RETIRE_BEN_OBLIG</stp>
        <stp>FY 2015</stp>
        <stp>FY 2015</stp>
        <stp>[FA1_ymffleas.xlsx]Income - As Reported!R88C9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8" s="11"/>
      </tp>
      <tp>
        <v>3.05</v>
        <stp/>
        <stp>##V3_BDHV12</stp>
        <stp>RCOM IN Equity</stp>
        <stp>IS_EARN_BEF_XO_ITEMS_PER_SH</stp>
        <stp>FY 2015</stp>
        <stp>FY 2015</stp>
        <stp>[FA1_ymffleas.xlsx]Income - GAAP!R89C8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9" s="10"/>
      </tp>
      <tp t="s">
        <v>—</v>
        <stp/>
        <stp>##V3_BDHV12</stp>
        <stp>RCOM IN Equity</stp>
        <stp>IS_AMORT_OF_TOT_INTANG_P_DIL_SH</stp>
        <stp>FY 2014</stp>
        <stp>FY 2014</stp>
        <stp>[FA1_ymffleas.xlsx]SBC &amp; Amort!R28C8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8" s="13"/>
      </tp>
      <tp>
        <v>2.59</v>
        <stp/>
        <stp>##V3_BDHV12</stp>
        <stp>RCOM IN Equity</stp>
        <stp>IS_EARN_BEF_XO_ITEMS_PER_SH</stp>
        <stp>FY 2016</stp>
        <stp>FY 2016</stp>
        <stp>[FA1_ymffleas.xlsx]Income - GAAP!R89C9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9" s="10"/>
      </tp>
      <tp>
        <v>-10.504200000000001</v>
        <stp/>
        <stp>##V3_BDHV12</stp>
        <stp>RCOM IN Equity</stp>
        <stp>NET_INCOME_TO_COMMON_SEQ_GROWTH</stp>
        <stp>FY 2016</stp>
        <stp>FY 2016</stp>
        <stp>[FA1_ymffleas.xlsx]Growth!R63C10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63" s="22"/>
      </tp>
      <tp t="s">
        <v>—</v>
        <stp/>
        <stp>##V3_BDHV12</stp>
        <stp>RCOM IN Equity</stp>
        <stp>IS_AMORT_OF_TOT_INTANG_P_DIL_SH</stp>
        <stp>FY 2015</stp>
        <stp>FY 2015</stp>
        <stp>[FA1_ymffleas.xlsx]SBC &amp; Amort!R28C9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8" s="13"/>
      </tp>
      <tp>
        <v>362</v>
        <stp/>
        <stp>##V3_BDHV12</stp>
        <stp>RCOM IN Equity</stp>
        <stp>PX_HIGH</stp>
        <stp>FY 2010</stp>
        <stp>FY 2010</stp>
        <stp>[FA1_ymffleas.xlsx]Stock Value!R9C3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" s="8"/>
      </tp>
      <tp>
        <v>113.85</v>
        <stp/>
        <stp>##V3_BDHV12</stp>
        <stp>RCOM IN Equity</stp>
        <stp>PX_HIGH</stp>
        <stp>FY 2012</stp>
        <stp>FY 2012</stp>
        <stp>[FA1_ymffleas.xlsx]Stock Value!R9C5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" s="8"/>
      </tp>
      <tp>
        <v>207.8</v>
        <stp/>
        <stp>##V3_BDHV12</stp>
        <stp>RCOM IN Equity</stp>
        <stp>PX_HIGH</stp>
        <stp>FY 2011</stp>
        <stp>FY 2011</stp>
        <stp>[FA1_ymffleas.xlsx]Stock Value!R9C4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" s="8"/>
      </tp>
      <tp>
        <v>164.65</v>
        <stp/>
        <stp>##V3_BDHV12</stp>
        <stp>RCOM IN Equity</stp>
        <stp>PX_HIGH</stp>
        <stp>FY 2014</stp>
        <stp>FY 2014</stp>
        <stp>[FA1_ymffleas.xlsx]Stock Value!R9C7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" s="8"/>
      </tp>
      <tp>
        <v>91.85</v>
        <stp/>
        <stp>##V3_BDHV12</stp>
        <stp>RCOM IN Equity</stp>
        <stp>PX_HIGH</stp>
        <stp>FY 2013</stp>
        <stp>FY 2013</stp>
        <stp>[FA1_ymffleas.xlsx]Stock Value!R9C6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" s="8"/>
      </tp>
      <tp>
        <v>91.8</v>
        <stp/>
        <stp>##V3_BDHV12</stp>
        <stp>RCOM IN Equity</stp>
        <stp>PX_HIGH</stp>
        <stp>FY 2016</stp>
        <stp>FY 2016</stp>
        <stp>[FA1_ymffleas.xlsx]Stock Value!R9C9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" s="8"/>
      </tp>
      <tp>
        <v>157.25</v>
        <stp/>
        <stp>##V3_BDHV12</stp>
        <stp>RCOM IN Equity</stp>
        <stp>PX_HIGH</stp>
        <stp>FY 2015</stp>
        <stp>FY 2015</stp>
        <stp>[FA1_ymffleas.xlsx]Stock Value!R9C8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" s="8"/>
      </tp>
      <tp>
        <v>-67.576899999999995</v>
        <stp/>
        <stp>##V3_BDHV12</stp>
        <stp>RCOM IN Equity</stp>
        <stp>NET_FIXED_ASSETS_1_YEAR_GROWTH</stp>
        <stp>FY 2018</stp>
        <stp>FY 2018</stp>
        <stp>[FA1_ymffleas.xlsx]Growth!R18C12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8" s="22"/>
      </tp>
      <tp>
        <v>5312</v>
        <stp/>
        <stp>##V3_BDHV12</stp>
        <stp>RCOM IN Equity</stp>
        <stp>BEST_OPP</stp>
        <stp>FY 2018</stp>
        <stp>FY 2018</stp>
        <stp>[FA1_ymffleas.xlsx]Earnings!R19C12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9" s="4"/>
      </tp>
      <tp>
        <v>16.0122</v>
        <stp/>
        <stp>##V3_BDHV12</stp>
        <stp>RCOM IN Equity</stp>
        <stp>NET_FIXED_ASSETS_1_YEAR_GROWTH</stp>
        <stp>FY 2016</stp>
        <stp>FY 2016</stp>
        <stp>[FA1_ymffleas.xlsx]Growth!R18C10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8" s="22"/>
      </tp>
      <tp>
        <v>19222.167000000001</v>
        <stp/>
        <stp>##V3_BDHV12</stp>
        <stp>RCOM IN Equity</stp>
        <stp>BEST_OPP</stp>
        <stp>FY 2017</stp>
        <stp>FY 2017</stp>
        <stp>[FA1_ymffleas.xlsx]Earnings!R19C11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9" s="4"/>
      </tp>
      <tp>
        <v>-1.5573000000000001</v>
        <stp/>
        <stp>##V3_BDHV12</stp>
        <stp>RCOM IN Equity</stp>
        <stp>NET_FIXED_ASSETS_1_YEAR_GROWTH</stp>
        <stp>FY 2017</stp>
        <stp>FY 2017</stp>
        <stp>[FA1_ymffleas.xlsx]Growth!R18C11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8" s="22"/>
      </tp>
      <tp>
        <v>35520.286</v>
        <stp/>
        <stp>##V3_BDHV12</stp>
        <stp>RCOM IN Equity</stp>
        <stp>BEST_OPP</stp>
        <stp>FY 2016</stp>
        <stp>FY 2016</stp>
        <stp>[FA1_ymffleas.xlsx]Earnings!R19C10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9" s="4"/>
      </tp>
      <tp>
        <v>-3964.2705999999998</v>
        <stp/>
        <stp>##V3_BDHV12</stp>
        <stp>RCOM IN Equity</stp>
        <stp>CF_FREE_CASH_FLOW_FIRM</stp>
        <stp>FY 2015</stp>
        <stp>FY 2015</stp>
        <stp>[FA1_ymffleas.xlsx]Cash Flow - Standardized!R62C8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62" s="19"/>
      </tp>
      <tp t="s">
        <v>—</v>
        <stp/>
        <stp>##V3_BDHV12</stp>
        <stp>RCOM IN Equity</stp>
        <stp>CF_FREE_CASH_FLOW_FIRM</stp>
        <stp>FY 2016</stp>
        <stp>FY 2016</stp>
        <stp>[FA1_ymffleas.xlsx]Cash Flow - Standardized!R62C9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62" s="19"/>
      </tp>
      <tp>
        <v>-83601.3514</v>
        <stp/>
        <stp>##V3_BDHV12</stp>
        <stp>RCOM IN Equity</stp>
        <stp>CF_FREE_CASH_FLOW_FIRM</stp>
        <stp>FY 2011</stp>
        <stp>FY 2011</stp>
        <stp>[FA1_ymffleas.xlsx]Cash Flow - Standardized!R62C4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62" s="19"/>
      </tp>
      <tp t="s">
        <v>—</v>
        <stp/>
        <stp>##V3_BDHV12</stp>
        <stp>RCOM IN Equity</stp>
        <stp>CF_FREE_CASH_FLOW_FIRM</stp>
        <stp>FY 2012</stp>
        <stp>FY 2012</stp>
        <stp>[FA1_ymffleas.xlsx]Cash Flow - Standardized!R62C5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62" s="19"/>
      </tp>
      <tp>
        <v>13236.809800000001</v>
        <stp/>
        <stp>##V3_BDHV12</stp>
        <stp>RCOM IN Equity</stp>
        <stp>CF_FREE_CASH_FLOW_FIRM</stp>
        <stp>FY 2013</stp>
        <stp>FY 2013</stp>
        <stp>[FA1_ymffleas.xlsx]Cash Flow - Standardized!R62C6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62" s="19"/>
      </tp>
      <tp t="s">
        <v>—</v>
        <stp/>
        <stp>##V3_BDHV12</stp>
        <stp>RCOM IN Equity</stp>
        <stp>CF_FREE_CASH_FLOW_FIRM</stp>
        <stp>FY 2014</stp>
        <stp>FY 2014</stp>
        <stp>[FA1_ymffleas.xlsx]Cash Flow - Standardized!R62C7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62" s="19"/>
      </tp>
      <tp>
        <v>19073.505099999998</v>
        <stp/>
        <stp>##V3_BDHV12</stp>
        <stp>RCOM IN Equity</stp>
        <stp>CF_FREE_CASH_FLOW_FIRM</stp>
        <stp>FY 2010</stp>
        <stp>FY 2010</stp>
        <stp>[FA1_ymffleas.xlsx]Cash Flow - Standardized!R62C3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62" s="19"/>
      </tp>
      <tp>
        <v>0</v>
        <stp/>
        <stp>##V3_BDHV12</stp>
        <stp>RCOM IN Equity</stp>
        <stp>CF_CASH_FOR_DIVESTITURES</stp>
        <stp>FY 2015</stp>
        <stp>FY 2015</stp>
        <stp>[FA1_ymffleas.xlsx]Cash Flow - Standardized!R30C8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0" s="19"/>
      </tp>
      <tp>
        <v>0</v>
        <stp/>
        <stp>##V3_BDHV12</stp>
        <stp>RCOM IN Equity</stp>
        <stp>CF_CASH_FOR_DIVESTITURES</stp>
        <stp>FY 2016</stp>
        <stp>FY 2016</stp>
        <stp>[FA1_ymffleas.xlsx]Cash Flow - Standardized!R30C9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0" s="19"/>
      </tp>
      <tp>
        <v>0</v>
        <stp/>
        <stp>##V3_BDHV12</stp>
        <stp>RCOM IN Equity</stp>
        <stp>CF_CASH_FOR_DIVESTITURES</stp>
        <stp>FY 2013</stp>
        <stp>FY 2013</stp>
        <stp>[FA1_ymffleas.xlsx]Cash Flow - Standardized!R30C6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0" s="19"/>
      </tp>
      <tp>
        <v>0</v>
        <stp/>
        <stp>##V3_BDHV12</stp>
        <stp>RCOM IN Equity</stp>
        <stp>CF_CASH_FOR_DIVESTITURES</stp>
        <stp>FY 2014</stp>
        <stp>FY 2014</stp>
        <stp>[FA1_ymffleas.xlsx]Cash Flow - Standardized!R30C7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0" s="19"/>
      </tp>
      <tp>
        <v>0</v>
        <stp/>
        <stp>##V3_BDHV12</stp>
        <stp>RCOM IN Equity</stp>
        <stp>CF_CASH_FOR_DIVESTITURES</stp>
        <stp>FY 2011</stp>
        <stp>FY 2011</stp>
        <stp>[FA1_ymffleas.xlsx]Cash Flow - Standardized!R30C4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0" s="19"/>
      </tp>
      <tp>
        <v>0</v>
        <stp/>
        <stp>##V3_BDHV12</stp>
        <stp>RCOM IN Equity</stp>
        <stp>CF_CASH_FOR_DIVESTITURES</stp>
        <stp>FY 2012</stp>
        <stp>FY 2012</stp>
        <stp>[FA1_ymffleas.xlsx]Cash Flow - Standardized!R30C5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0" s="19"/>
      </tp>
      <tp>
        <v>0</v>
        <stp/>
        <stp>##V3_BDHV12</stp>
        <stp>RCOM IN Equity</stp>
        <stp>CF_CASH_FOR_DIVESTITURES</stp>
        <stp>FY 2010</stp>
        <stp>FY 2010</stp>
        <stp>[FA1_ymffleas.xlsx]Cash Flow - Standardized!R30C3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0" s="19"/>
      </tp>
      <tp t="s">
        <v>—</v>
        <stp/>
        <stp>##V3_BDHV12</stp>
        <stp>RCOM IN Equity</stp>
        <stp>CASH_CONVERSION_CYCLE</stp>
        <stp>FY 2017</stp>
        <stp>FY 2017</stp>
        <stp>[FA1_ymffleas.xlsx]Working Capital!R13C11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3" s="25"/>
      </tp>
      <tp>
        <v>30.612500000000001</v>
        <stp/>
        <stp>##V3_BDHV12</stp>
        <stp>RCOM IN Equity</stp>
        <stp>AVERAGE_EV_TO_T12M_EBIT</stp>
        <stp>FY 2015</stp>
        <stp>FY 2015</stp>
        <stp>[FA1_ymffleas.xlsx]Multiples!R47C8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47" s="6"/>
      </tp>
      <tp>
        <v>79340</v>
        <stp/>
        <stp>##V3_BDHV12</stp>
        <stp>RCOM IN Equity</stp>
        <stp>ARD_OTHER_CURRENT_ASSETS</stp>
        <stp>FY 2014</stp>
        <stp>FY 2014</stp>
        <stp>[FA1_ymffleas.xlsx]Bal Sheet - As Reported!R43C8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3" s="17"/>
      </tp>
      <tp>
        <v>107950</v>
        <stp/>
        <stp>##V3_BDHV12</stp>
        <stp>RCOM IN Equity</stp>
        <stp>ARD_OTHER_CURRENT_ASSETS</stp>
        <stp>FY 2015</stp>
        <stp>FY 2015</stp>
        <stp>[FA1_ymffleas.xlsx]Bal Sheet - As Reported!R43C9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3" s="17"/>
      </tp>
      <tp t="s">
        <v>—</v>
        <stp/>
        <stp>##V3_BDHV12</stp>
        <stp>RCOM IN Equity</stp>
        <stp>ACCOUNTS_PAYABLE_5_YEAR_GROWTH</stp>
        <stp>FY 2009</stp>
        <stp>FY 2009</stp>
        <stp>[FA1_ymffleas.xlsx]Growth!R50C3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50" s="22"/>
      </tp>
      <tp>
        <v>85270.8</v>
        <stp/>
        <stp>##V3_BDHV12</stp>
        <stp>RCOM IN Equity</stp>
        <stp>ARD_OTHER_CURRENT_ASSETS</stp>
        <stp>FY 2009</stp>
        <stp>FY 2009</stp>
        <stp>[FA1_ymffleas.xlsx]Bal Sheet - As Reported!R43C3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3" s="17"/>
      </tp>
      <tp>
        <v>74824.5</v>
        <stp/>
        <stp>##V3_BDHV12</stp>
        <stp>RCOM IN Equity</stp>
        <stp>ARD_OTHER_CURRENT_ASSETS</stp>
        <stp>FY 2010</stp>
        <stp>FY 2010</stp>
        <stp>[FA1_ymffleas.xlsx]Bal Sheet - As Reported!R43C4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3" s="17"/>
      </tp>
      <tp>
        <v>68600</v>
        <stp/>
        <stp>##V3_BDHV12</stp>
        <stp>RCOM IN Equity</stp>
        <stp>ARD_OTHER_CURRENT_ASSETS</stp>
        <stp>FY 2011</stp>
        <stp>FY 2011</stp>
        <stp>[FA1_ymffleas.xlsx]Bal Sheet - As Reported!R43C5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3" s="17"/>
      </tp>
      <tp>
        <v>73260</v>
        <stp/>
        <stp>##V3_BDHV12</stp>
        <stp>RCOM IN Equity</stp>
        <stp>ARD_OTHER_CURRENT_ASSETS</stp>
        <stp>FY 2012</stp>
        <stp>FY 2012</stp>
        <stp>[FA1_ymffleas.xlsx]Bal Sheet - As Reported!R43C6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3" s="17"/>
      </tp>
      <tp>
        <v>65710</v>
        <stp/>
        <stp>##V3_BDHV12</stp>
        <stp>RCOM IN Equity</stp>
        <stp>ARD_OTHER_CURRENT_ASSETS</stp>
        <stp>FY 2013</stp>
        <stp>FY 2013</stp>
        <stp>[FA1_ymffleas.xlsx]Bal Sheet - As Reported!R43C7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3" s="17"/>
      </tp>
      <tp t="s">
        <v>—</v>
        <stp/>
        <stp>##V3_BDHV12</stp>
        <stp>RCOM IN Equity</stp>
        <stp>INV_TO_CASH_DAYS</stp>
        <stp>FY 2018</stp>
        <stp>FY 2018</stp>
        <stp>[FA1_ymffleas.xlsx]Working Capital!R14C12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4" s="25"/>
      </tp>
      <tp t="s">
        <v>—</v>
        <stp/>
        <stp>##V3_BDHV12</stp>
        <stp>RCOM IN Equity</stp>
        <stp>ACCOUNTS_PAYABLE_5_YEAR_GROWTH</stp>
        <stp>FY 2012</stp>
        <stp>FY 2012</stp>
        <stp>[FA1_ymffleas.xlsx]Growth!R50C6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50" s="22"/>
      </tp>
      <tp>
        <v>-22.9314</v>
        <stp/>
        <stp>##V3_BDHV12</stp>
        <stp>RCOM IN Equity</stp>
        <stp>ACCOUNTS_PAYABLE_5_YEAR_GROWTH</stp>
        <stp>FY 2013</stp>
        <stp>FY 2013</stp>
        <stp>[FA1_ymffleas.xlsx]Growth!R50C7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50" s="22"/>
      </tp>
      <tp t="s">
        <v>—</v>
        <stp/>
        <stp>##V3_BDHV12</stp>
        <stp>RCOM IN Equity</stp>
        <stp>ACCOUNTS_PAYABLE_5_YEAR_GROWTH</stp>
        <stp>FY 2010</stp>
        <stp>FY 2010</stp>
        <stp>[FA1_ymffleas.xlsx]Growth!R50C4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50" s="22"/>
      </tp>
      <tp t="s">
        <v>—</v>
        <stp/>
        <stp>##V3_BDHV12</stp>
        <stp>RCOM IN Equity</stp>
        <stp>ACCOUNTS_PAYABLE_5_YEAR_GROWTH</stp>
        <stp>FY 2011</stp>
        <stp>FY 2011</stp>
        <stp>[FA1_ymffleas.xlsx]Growth!R50C5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50" s="22"/>
      </tp>
      <tp>
        <v>49.138500000000001</v>
        <stp/>
        <stp>##V3_BDHV12</stp>
        <stp>RCOM IN Equity</stp>
        <stp>ACCOUNTS_PAYABLE_5_YEAR_GROWTH</stp>
        <stp>FY 2014</stp>
        <stp>FY 2014</stp>
        <stp>[FA1_ymffleas.xlsx]Growth!R50C8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50" s="22"/>
      </tp>
      <tp>
        <v>26.326799999999999</v>
        <stp/>
        <stp>##V3_BDHV12</stp>
        <stp>RCOM IN Equity</stp>
        <stp>ACCOUNTS_PAYABLE_5_YEAR_GROWTH</stp>
        <stp>FY 2015</stp>
        <stp>FY 2015</stp>
        <stp>[FA1_ymffleas.xlsx]Growth!R50C9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50" s="22"/>
      </tp>
      <tp>
        <v>8.4751999999999992</v>
        <stp/>
        <stp>##V3_BDHV12</stp>
        <stp>RCOM IN Equity</stp>
        <stp>OPER_MARGIN</stp>
        <stp>FY 2011</stp>
        <stp>FY 2011</stp>
        <stp>[FA1_ymffleas.xlsx]Income - Adjusted!R125C4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D125" s="9"/>
      </tp>
      <tp>
        <v>-0.27889999999999998</v>
        <stp/>
        <stp>##V3_BDHV12</stp>
        <stp>RCOM IN Equity</stp>
        <stp>SALES_GROWTH</stp>
        <stp>FY 2010</stp>
        <stp>FY 2010</stp>
        <stp>[FA1_ymffleas.xlsx]Growth!R7C4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7" s="22"/>
      </tp>
      <tp>
        <v>368340</v>
        <stp/>
        <stp>##V3_BDHV12</stp>
        <stp>RCOM IN Equity</stp>
        <stp>BS_ASSETS_HELD_FOR_SALE_ST</stp>
        <stp>FY 2018</stp>
        <stp>FY 2018</stp>
        <stp>[FA1_ymffleas.xlsx]Bal Sheet - Standardized!R35C12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5" s="16"/>
      </tp>
      <tp t="s">
        <v>—</v>
        <stp/>
        <stp>##V3_BDHV12</stp>
        <stp>RCOM IN Equity</stp>
        <stp>BS_ASSETS_HELD_FOR_SALE_ST</stp>
        <stp>FY 2017</stp>
        <stp>FY 2017</stp>
        <stp>[FA1_ymffleas.xlsx]Bal Sheet - Standardized!R35C11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5" s="16"/>
      </tp>
      <tp t="s">
        <v>—</v>
        <stp/>
        <stp>##V3_BDHV12</stp>
        <stp>RCOM IN Equity</stp>
        <stp>BS_ASSETS_HELD_FOR_SALE_ST</stp>
        <stp>FY 2016</stp>
        <stp>FY 2016</stp>
        <stp>[FA1_ymffleas.xlsx]Bal Sheet - Standardized!R35C10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5" s="16"/>
      </tp>
      <tp>
        <v>5590</v>
        <stp/>
        <stp>##V3_BDHV12</stp>
        <stp>RCOM IN Equity</stp>
        <stp>CF_CASH_FROM_FNC_ACT</stp>
        <stp>FY 2018</stp>
        <stp>FY 2018</stp>
        <stp>[FA1_ymffleas.xlsx]GAAP Highlights!R24C12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4" s="3"/>
      </tp>
      <tp>
        <v>4360</v>
        <stp/>
        <stp>##V3_BDHV12</stp>
        <stp>RCOM IN Equity</stp>
        <stp>CF_CASH_FROM_FNC_ACT</stp>
        <stp>FY 2016</stp>
        <stp>FY 2016</stp>
        <stp>[FA1_ymffleas.xlsx]GAAP Highlights!R24C10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4" s="3"/>
      </tp>
      <tp>
        <v>31480</v>
        <stp/>
        <stp>##V3_BDHV12</stp>
        <stp>RCOM IN Equity</stp>
        <stp>CF_CASH_FROM_FNC_ACT</stp>
        <stp>FY 2017</stp>
        <stp>FY 2017</stp>
        <stp>[FA1_ymffleas.xlsx]GAAP Highlights!R24C11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4" s="3"/>
      </tp>
      <tp t="s">
        <v>—</v>
        <stp/>
        <stp>##V3_BDHV12</stp>
        <stp>RCOM IN Equity</stp>
        <stp>ARDR_CONVERTIBLE_DEBT_LT</stp>
        <stp>FY 2015</stp>
        <stp>FY 2015</stp>
        <stp>[FA1_ymffleas.xlsx]Bal Sheet - As Reported!R90C9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0" s="17"/>
      </tp>
      <tp t="s">
        <v>—</v>
        <stp/>
        <stp>##V3_BDHV12</stp>
        <stp>RCOM IN Equity</stp>
        <stp>ARDR_CONVERTIBLE_DEBT_LT</stp>
        <stp>FY 2014</stp>
        <stp>FY 2014</stp>
        <stp>[FA1_ymffleas.xlsx]Bal Sheet - As Reported!R90C8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0" s="17"/>
      </tp>
      <tp>
        <v>70835.100000000006</v>
        <stp/>
        <stp>##V3_BDHV12</stp>
        <stp>RCOM IN Equity</stp>
        <stp>ARDR_CONVERTIBLE_DEBT_LT</stp>
        <stp>FY 2009</stp>
        <stp>FY 2009</stp>
        <stp>[FA1_ymffleas.xlsx]Bal Sheet - As Reported!R90C3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0" s="17"/>
      </tp>
      <tp t="s">
        <v>—</v>
        <stp/>
        <stp>##V3_BDHV12</stp>
        <stp>RCOM IN Equity</stp>
        <stp>ARDR_CONVERTIBLE_DEBT_LT</stp>
        <stp>FY 2013</stp>
        <stp>FY 2013</stp>
        <stp>[FA1_ymffleas.xlsx]Bal Sheet - As Reported!R90C7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0" s="17"/>
      </tp>
      <tp t="s">
        <v>—</v>
        <stp/>
        <stp>##V3_BDHV12</stp>
        <stp>RCOM IN Equity</stp>
        <stp>ARDR_CONVERTIBLE_DEBT_LT</stp>
        <stp>FY 2012</stp>
        <stp>FY 2012</stp>
        <stp>[FA1_ymffleas.xlsx]Bal Sheet - As Reported!R90C6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0" s="17"/>
      </tp>
      <tp t="s">
        <v>—</v>
        <stp/>
        <stp>##V3_BDHV12</stp>
        <stp>RCOM IN Equity</stp>
        <stp>ARDR_CONVERTIBLE_DEBT_LT</stp>
        <stp>FY 2011</stp>
        <stp>FY 2011</stp>
        <stp>[FA1_ymffleas.xlsx]Bal Sheet - As Reported!R90C5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0" s="17"/>
      </tp>
      <tp>
        <v>64595.5</v>
        <stp/>
        <stp>##V3_BDHV12</stp>
        <stp>RCOM IN Equity</stp>
        <stp>ARDR_CONVERTIBLE_DEBT_LT</stp>
        <stp>FY 2010</stp>
        <stp>FY 2010</stp>
        <stp>[FA1_ymffleas.xlsx]Bal Sheet - As Reported!R90C4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0" s="17"/>
      </tp>
      <tp>
        <v>8.4748000000000001</v>
        <stp/>
        <stp>##V3_BDHV12</stp>
        <stp>RCOM IN Equity</stp>
        <stp>OPER_MARGIN</stp>
        <stp>FY 2011</stp>
        <stp>FY 2011</stp>
        <stp>[FA1_ymffleas.xlsx]Income - GAAP!R103C4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03" s="10"/>
      </tp>
      <tp>
        <v>11.5162</v>
        <stp/>
        <stp>##V3_BDHV12</stp>
        <stp>RCOM IN Equity</stp>
        <stp>EV_TO_T12M_SALES</stp>
        <stp>FY 2018</stp>
        <stp>FY 2018</stp>
        <stp>[FA1_ymffleas.xlsx]Multiples!R36C11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36" s="6"/>
      </tp>
      <tp>
        <v>-1523.3816999999999</v>
        <stp/>
        <stp>##V3_BDHV12</stp>
        <stp>RCOM IN Equity</stp>
        <stp>DILUTED_EPS_AFT_XO_ITEMS_GROWTH</stp>
        <stp>FY 2018</stp>
        <stp>FY 2018</stp>
        <stp>[FA1_ymffleas.xlsx]Growth!R11C12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1" s="22"/>
      </tp>
      <tp>
        <v>0.36149999999999999</v>
        <stp/>
        <stp>##V3_BDHV12</stp>
        <stp>RCOM IN Equity</stp>
        <stp>LOW_PX_TO_SALES_RATIO</stp>
        <stp>FY 2018</stp>
        <stp>FY 2018</stp>
        <stp>[FA1_ymffleas.xlsx]Multiples!R24C11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4" s="6"/>
      </tp>
      <tp>
        <v>-319.56180000000001</v>
        <stp/>
        <stp>##V3_BDHV12</stp>
        <stp>RCOM IN Equity</stp>
        <stp>NET_INCOME_TO_COMMON_SEQ_GROWTH</stp>
        <stp>FY 2017</stp>
        <stp>FY 2017</stp>
        <stp>[FA1_ymffleas.xlsx]Growth!R63C11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63" s="22"/>
      </tp>
      <tp>
        <v>0.41849999999999998</v>
        <stp/>
        <stp>##V3_BDHV12</stp>
        <stp>RCOM IN Equity</stp>
        <stp>CAP_EXPEND_RATIO</stp>
        <stp>FY 2009</stp>
        <stp>FY 2009</stp>
        <stp>[FA1_ymffleas.xlsx]Liquidity!R21C3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1" s="24"/>
      </tp>
      <tp>
        <v>1.0907</v>
        <stp/>
        <stp>##V3_BDHV12</stp>
        <stp>RCOM IN Equity</stp>
        <stp>CAP_EXPEND_RATIO</stp>
        <stp>FY 2010</stp>
        <stp>FY 2010</stp>
        <stp>[FA1_ymffleas.xlsx]Liquidity!R21C4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1" s="24"/>
      </tp>
      <tp>
        <v>0.1038</v>
        <stp/>
        <stp>##V3_BDHV12</stp>
        <stp>RCOM IN Equity</stp>
        <stp>CAP_EXPEND_RATIO</stp>
        <stp>FY 2011</stp>
        <stp>FY 2011</stp>
        <stp>[FA1_ymffleas.xlsx]Liquidity!R21C5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1" s="24"/>
      </tp>
      <tp>
        <v>0.83979999999999999</v>
        <stp/>
        <stp>##V3_BDHV12</stp>
        <stp>RCOM IN Equity</stp>
        <stp>CAP_EXPEND_RATIO</stp>
        <stp>FY 2012</stp>
        <stp>FY 2012</stp>
        <stp>[FA1_ymffleas.xlsx]Liquidity!R21C6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1" s="24"/>
      </tp>
      <tp>
        <v>0.64810000000000001</v>
        <stp/>
        <stp>##V3_BDHV12</stp>
        <stp>RCOM IN Equity</stp>
        <stp>CAP_EXPEND_RATIO</stp>
        <stp>FY 2013</stp>
        <stp>FY 2013</stp>
        <stp>[FA1_ymffleas.xlsx]Liquidity!R21C7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1" s="24"/>
      </tp>
      <tp>
        <v>1.7875000000000001</v>
        <stp/>
        <stp>##V3_BDHV12</stp>
        <stp>RCOM IN Equity</stp>
        <stp>CAP_EXPEND_RATIO</stp>
        <stp>FY 2014</stp>
        <stp>FY 2014</stp>
        <stp>[FA1_ymffleas.xlsx]Liquidity!R21C8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1" s="24"/>
      </tp>
      <tp>
        <v>0.19470000000000001</v>
        <stp/>
        <stp>##V3_BDHV12</stp>
        <stp>RCOM IN Equity</stp>
        <stp>CAP_EXPEND_RATIO</stp>
        <stp>FY 2015</stp>
        <stp>FY 2015</stp>
        <stp>[FA1_ymffleas.xlsx]Liquidity!R21C9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1" s="24"/>
      </tp>
      <tp>
        <v>18.511900000000001</v>
        <stp/>
        <stp>##V3_BDHV12</stp>
        <stp>RCOM IN Equity</stp>
        <stp>EBITDA_TO_INTEREST_EXPN</stp>
        <stp>FY 2018</stp>
        <stp>FY 2018</stp>
        <stp>[FA1_ymffleas.xlsx]Credit!R16C12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6" s="23"/>
      </tp>
      <tp>
        <v>37.372900000000001</v>
        <stp/>
        <stp>##V3_BDHV12</stp>
        <stp>RCOM IN Equity</stp>
        <stp>INT_BURDEN</stp>
        <stp>FY 2012</stp>
        <stp>FY 2012</stp>
        <stp>[FA1_ymffleas.xlsx]DuPont Analysis!R11C6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1" s="27"/>
      </tp>
      <tp>
        <v>0.8</v>
        <stp/>
        <stp>##V3_BDHV12</stp>
        <stp>RCOM IN Equity</stp>
        <stp>ARDR_DVD_PER_SH</stp>
        <stp>FY 2009</stp>
        <stp>FY 2009</stp>
        <stp>[FA1_ymffleas.xlsx]Income - As Reported!R78C3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8" s="11"/>
      </tp>
      <tp>
        <v>0.85</v>
        <stp/>
        <stp>##V3_BDHV12</stp>
        <stp>RCOM IN Equity</stp>
        <stp>ARDR_DVD_PER_SH</stp>
        <stp>FY 2010</stp>
        <stp>FY 2010</stp>
        <stp>[FA1_ymffleas.xlsx]Income - As Reported!R78C4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8" s="11"/>
      </tp>
      <tp>
        <v>0.5</v>
        <stp/>
        <stp>##V3_BDHV12</stp>
        <stp>RCOM IN Equity</stp>
        <stp>ARDR_DVD_PER_SH</stp>
        <stp>FY 2011</stp>
        <stp>FY 2011</stp>
        <stp>[FA1_ymffleas.xlsx]Income - As Reported!R78C5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8" s="11"/>
      </tp>
      <tp>
        <v>56.75</v>
        <stp/>
        <stp>##V3_BDHV12</stp>
        <stp>RCOM IN Equity</stp>
        <stp>PX_LOW</stp>
        <stp>FY 2015</stp>
        <stp>FY 2015</stp>
        <stp>[FA1_ymffleas.xlsx]Stock Value!R10C8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0" s="8"/>
      </tp>
      <tp>
        <v>0.25</v>
        <stp/>
        <stp>##V3_BDHV12</stp>
        <stp>RCOM IN Equity</stp>
        <stp>ARDR_DVD_PER_SH</stp>
        <stp>FY 2012</stp>
        <stp>FY 2012</stp>
        <stp>[FA1_ymffleas.xlsx]Income - As Reported!R78C6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8" s="11"/>
      </tp>
      <tp>
        <v>45.5</v>
        <stp/>
        <stp>##V3_BDHV12</stp>
        <stp>RCOM IN Equity</stp>
        <stp>PX_LOW</stp>
        <stp>FY 2016</stp>
        <stp>FY 2016</stp>
        <stp>[FA1_ymffleas.xlsx]Stock Value!R10C9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0" s="8"/>
      </tp>
      <tp>
        <v>0.25</v>
        <stp/>
        <stp>##V3_BDHV12</stp>
        <stp>RCOM IN Equity</stp>
        <stp>ARDR_DVD_PER_SH</stp>
        <stp>FY 2013</stp>
        <stp>FY 2013</stp>
        <stp>[FA1_ymffleas.xlsx]Income - As Reported!R78C7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8" s="11"/>
      </tp>
      <tp>
        <v>46.55</v>
        <stp/>
        <stp>##V3_BDHV12</stp>
        <stp>RCOM IN Equity</stp>
        <stp>PX_LOW</stp>
        <stp>FY 2013</stp>
        <stp>FY 2013</stp>
        <stp>[FA1_ymffleas.xlsx]Stock Value!R10C6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0" s="8"/>
      </tp>
      <tp t="s">
        <v>—</v>
        <stp/>
        <stp>##V3_BDHV12</stp>
        <stp>RCOM IN Equity</stp>
        <stp>ARDR_DVD_PER_SH</stp>
        <stp>FY 2014</stp>
        <stp>FY 2014</stp>
        <stp>[FA1_ymffleas.xlsx]Income - As Reported!R78C8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8" s="11"/>
      </tp>
      <tp>
        <v>54.55</v>
        <stp/>
        <stp>##V3_BDHV12</stp>
        <stp>RCOM IN Equity</stp>
        <stp>PX_LOW</stp>
        <stp>FY 2014</stp>
        <stp>FY 2014</stp>
        <stp>[FA1_ymffleas.xlsx]Stock Value!R10C7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0" s="8"/>
      </tp>
      <tp t="s">
        <v>—</v>
        <stp/>
        <stp>##V3_BDHV12</stp>
        <stp>RCOM IN Equity</stp>
        <stp>ARDR_DVD_PER_SH</stp>
        <stp>FY 2015</stp>
        <stp>FY 2015</stp>
        <stp>[FA1_ymffleas.xlsx]Income - As Reported!R78C9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8" s="11"/>
      </tp>
      <tp>
        <v>74.650000000000006</v>
        <stp/>
        <stp>##V3_BDHV12</stp>
        <stp>RCOM IN Equity</stp>
        <stp>PX_LOW</stp>
        <stp>FY 2011</stp>
        <stp>FY 2011</stp>
        <stp>[FA1_ymffleas.xlsx]Stock Value!R10C4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0" s="8"/>
      </tp>
      <tp>
        <v>60.8</v>
        <stp/>
        <stp>##V3_BDHV12</stp>
        <stp>RCOM IN Equity</stp>
        <stp>PX_LOW</stp>
        <stp>FY 2012</stp>
        <stp>FY 2012</stp>
        <stp>[FA1_ymffleas.xlsx]Stock Value!R10C5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0" s="8"/>
      </tp>
      <tp>
        <v>154</v>
        <stp/>
        <stp>##V3_BDHV12</stp>
        <stp>RCOM IN Equity</stp>
        <stp>PX_LOW</stp>
        <stp>FY 2010</stp>
        <stp>FY 2010</stp>
        <stp>[FA1_ymffleas.xlsx]Stock Value!R10C3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0" s="8"/>
      </tp>
      <tp t="s">
        <v>—</v>
        <stp/>
        <stp>##V3_BDHV12</stp>
        <stp>RCOM IN Equity</stp>
        <stp>IS_COMPREHENSIVE_INCOME</stp>
        <stp>FY 2015</stp>
        <stp>FY 2015</stp>
        <stp>[FA1_ymffleas.xlsx]Comprehensive Income!R12C8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" s="33"/>
      </tp>
      <tp>
        <v>7770</v>
        <stp/>
        <stp>##V3_BDHV12</stp>
        <stp>RCOM IN Equity</stp>
        <stp>IS_COMPREHENSIVE_INCOME</stp>
        <stp>FY 2016</stp>
        <stp>FY 2016</stp>
        <stp>[FA1_ymffleas.xlsx]Comprehensive Income!R12C9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" s="33"/>
      </tp>
      <tp t="s">
        <v>—</v>
        <stp/>
        <stp>##V3_BDHV12</stp>
        <stp>RCOM IN Equity</stp>
        <stp>IS_COMPREHENSIVE_INCOME</stp>
        <stp>FY 2010</stp>
        <stp>FY 2010</stp>
        <stp>[FA1_ymffleas.xlsx]Comprehensive Income!R12C3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" s="33"/>
      </tp>
      <tp t="s">
        <v>—</v>
        <stp/>
        <stp>##V3_BDHV12</stp>
        <stp>RCOM IN Equity</stp>
        <stp>IS_COMPREHENSIVE_INCOME</stp>
        <stp>FY 2013</stp>
        <stp>FY 2013</stp>
        <stp>[FA1_ymffleas.xlsx]Comprehensive Income!R12C6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" s="33"/>
      </tp>
      <tp t="s">
        <v>—</v>
        <stp/>
        <stp>##V3_BDHV12</stp>
        <stp>RCOM IN Equity</stp>
        <stp>IS_COMPREHENSIVE_INCOME</stp>
        <stp>FY 2014</stp>
        <stp>FY 2014</stp>
        <stp>[FA1_ymffleas.xlsx]Comprehensive Income!R12C7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" s="33"/>
      </tp>
      <tp t="s">
        <v>—</v>
        <stp/>
        <stp>##V3_BDHV12</stp>
        <stp>RCOM IN Equity</stp>
        <stp>IS_COMPREHENSIVE_INCOME</stp>
        <stp>FY 2011</stp>
        <stp>FY 2011</stp>
        <stp>[FA1_ymffleas.xlsx]Comprehensive Income!R12C4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" s="33"/>
      </tp>
      <tp t="s">
        <v>—</v>
        <stp/>
        <stp>##V3_BDHV12</stp>
        <stp>RCOM IN Equity</stp>
        <stp>IS_COMPREHENSIVE_INCOME</stp>
        <stp>FY 2012</stp>
        <stp>FY 2012</stp>
        <stp>[FA1_ymffleas.xlsx]Comprehensive Income!R12C5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" s="33"/>
      </tp>
      <tp>
        <v>142210</v>
        <stp/>
        <stp>##V3_BDHV12</stp>
        <stp>RCOM IN Equity</stp>
        <stp>TRAIL_12M_CASH_FROM_OPER</stp>
        <stp>FY 2016</stp>
        <stp>FY 2016</stp>
        <stp>[FA1_ymffleas.xlsx]Yield Analysis!R7C10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" s="26"/>
      </tp>
      <tp>
        <v>-35600</v>
        <stp/>
        <stp>##V3_BDHV12</stp>
        <stp>RCOM IN Equity</stp>
        <stp>TRAIL_12M_CASH_FROM_OPER</stp>
        <stp>FY 2017</stp>
        <stp>FY 2017</stp>
        <stp>[FA1_ymffleas.xlsx]Yield Analysis!R7C11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" s="26"/>
      </tp>
      <tp>
        <v>-4070</v>
        <stp/>
        <stp>##V3_BDHV12</stp>
        <stp>RCOM IN Equity</stp>
        <stp>TRAIL_12M_CASH_FROM_OPER</stp>
        <stp>FY 2018</stp>
        <stp>FY 2018</stp>
        <stp>[FA1_ymffleas.xlsx]Yield Analysis!R7C12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" s="26"/>
      </tp>
      <tp>
        <v>0</v>
        <stp/>
        <stp>##V3_BDHV12</stp>
        <stp>RCOM IN Equity</stp>
        <stp>CF_ACQUISITION_OF_INTANG_ASSETS</stp>
        <stp>FY 2018</stp>
        <stp>FY 2018</stp>
        <stp>[FA1_ymffleas.xlsx]Cash Flow - Standardized!R25C11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5" s="19"/>
      </tp>
      <tp>
        <v>0</v>
        <stp/>
        <stp>##V3_BDHV12</stp>
        <stp>RCOM IN Equity</stp>
        <stp>CF_ACQUISITION_OF_INTANG_ASSETS</stp>
        <stp>FY 2017</stp>
        <stp>FY 2017</stp>
        <stp>[FA1_ymffleas.xlsx]Cash Flow - Standardized!R25C10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5" s="19"/>
      </tp>
      <tp t="s">
        <v>—</v>
        <stp/>
        <stp>##V3_BDHV12</stp>
        <stp>RCOM IN Equity</stp>
        <stp>INVTRY_IN_PROGRESS</stp>
        <stp>FY 2009</stp>
        <stp>FY 2009</stp>
        <stp>[FA1_ymffleas.xlsx]Working Capital!R18C3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" s="25"/>
      </tp>
      <tp t="s">
        <v>—</v>
        <stp/>
        <stp>##V3_BDHV12</stp>
        <stp>RCOM IN Equity</stp>
        <stp>INVTRY_IN_PROGRESS</stp>
        <stp>FY 2012</stp>
        <stp>FY 2012</stp>
        <stp>[FA1_ymffleas.xlsx]Working Capital!R18C6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" s="25"/>
      </tp>
      <tp t="s">
        <v>—</v>
        <stp/>
        <stp>##V3_BDHV12</stp>
        <stp>RCOM IN Equity</stp>
        <stp>INVTRY_IN_PROGRESS</stp>
        <stp>FY 2013</stp>
        <stp>FY 2013</stp>
        <stp>[FA1_ymffleas.xlsx]Working Capital!R18C7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" s="25"/>
      </tp>
      <tp t="s">
        <v>—</v>
        <stp/>
        <stp>##V3_BDHV12</stp>
        <stp>RCOM IN Equity</stp>
        <stp>INVTRY_IN_PROGRESS</stp>
        <stp>FY 2010</stp>
        <stp>FY 2010</stp>
        <stp>[FA1_ymffleas.xlsx]Working Capital!R18C4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" s="25"/>
      </tp>
      <tp t="s">
        <v>—</v>
        <stp/>
        <stp>##V3_BDHV12</stp>
        <stp>RCOM IN Equity</stp>
        <stp>INVTRY_IN_PROGRESS</stp>
        <stp>FY 2011</stp>
        <stp>FY 2011</stp>
        <stp>[FA1_ymffleas.xlsx]Working Capital!R18C5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" s="25"/>
      </tp>
      <tp t="s">
        <v>—</v>
        <stp/>
        <stp>##V3_BDHV12</stp>
        <stp>RCOM IN Equity</stp>
        <stp>INVTRY_IN_PROGRESS</stp>
        <stp>FY 2014</stp>
        <stp>FY 2014</stp>
        <stp>[FA1_ymffleas.xlsx]Working Capital!R18C8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" s="25"/>
      </tp>
      <tp>
        <v>0</v>
        <stp/>
        <stp>##V3_BDHV12</stp>
        <stp>RCOM IN Equity</stp>
        <stp>INVTRY_IN_PROGRESS</stp>
        <stp>FY 2015</stp>
        <stp>FY 2015</stp>
        <stp>[FA1_ymffleas.xlsx]Working Capital!R18C9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" s="25"/>
      </tp>
      <tp>
        <v>56.103200000000001</v>
        <stp/>
        <stp>##V3_BDHV12</stp>
        <stp>RCOM IN Equity</stp>
        <stp>OPERATING_INCOME_SEQ_GROWTH</stp>
        <stp>FY 2015</stp>
        <stp>FY 2015</stp>
        <stp>[FA1_ymffleas.xlsx]Growth!R62C9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62" s="22"/>
      </tp>
      <tp>
        <v>280</v>
        <stp/>
        <stp>##V3_BDHV12</stp>
        <stp>RCOM IN Equity</stp>
        <stp>ARD_GAIN_LOSS_SALES_FIXED_ASSETS</stp>
        <stp>FY 2013</stp>
        <stp>FY 2013</stp>
        <stp>[FA1_ymffleas.xlsx]Cash Flow - As Reported!R22C7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2" s="20"/>
      </tp>
      <tp>
        <v>-70</v>
        <stp/>
        <stp>##V3_BDHV12</stp>
        <stp>RCOM IN Equity</stp>
        <stp>ARD_GAIN_LOSS_SALES_FIXED_ASSETS</stp>
        <stp>FY 2012</stp>
        <stp>FY 2012</stp>
        <stp>[FA1_ymffleas.xlsx]Cash Flow - As Reported!R22C6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2" s="20"/>
      </tp>
      <tp>
        <v>-3310</v>
        <stp/>
        <stp>##V3_BDHV12</stp>
        <stp>RCOM IN Equity</stp>
        <stp>ARD_GAIN_LOSS_SALES_FIXED_ASSETS</stp>
        <stp>FY 2011</stp>
        <stp>FY 2011</stp>
        <stp>[FA1_ymffleas.xlsx]Cash Flow - As Reported!R22C5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2" s="20"/>
      </tp>
      <tp>
        <v>14.9</v>
        <stp/>
        <stp>##V3_BDHV12</stp>
        <stp>RCOM IN Equity</stp>
        <stp>ARD_GAIN_LOSS_SALES_FIXED_ASSETS</stp>
        <stp>FY 2010</stp>
        <stp>FY 2010</stp>
        <stp>[FA1_ymffleas.xlsx]Cash Flow - As Reported!R22C4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2" s="20"/>
      </tp>
      <tp>
        <v>-1.3</v>
        <stp/>
        <stp>##V3_BDHV12</stp>
        <stp>RCOM IN Equity</stp>
        <stp>ARD_GAIN_LOSS_SALES_FIXED_ASSETS</stp>
        <stp>FY 2009</stp>
        <stp>FY 2009</stp>
        <stp>[FA1_ymffleas.xlsx]Cash Flow - As Reported!R22C3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2" s="20"/>
      </tp>
      <tp>
        <v>-20</v>
        <stp/>
        <stp>##V3_BDHV12</stp>
        <stp>RCOM IN Equity</stp>
        <stp>ARD_GAIN_LOSS_SALES_FIXED_ASSETS</stp>
        <stp>FY 2015</stp>
        <stp>FY 2015</stp>
        <stp>[FA1_ymffleas.xlsx]Cash Flow - As Reported!R22C9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2" s="20"/>
      </tp>
      <tp>
        <v>200</v>
        <stp/>
        <stp>##V3_BDHV12</stp>
        <stp>RCOM IN Equity</stp>
        <stp>ARD_GAIN_LOSS_SALES_FIXED_ASSETS</stp>
        <stp>FY 2014</stp>
        <stp>FY 2014</stp>
        <stp>[FA1_ymffleas.xlsx]Cash Flow - As Reported!R22C8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2" s="20"/>
      </tp>
      <tp>
        <v>2370</v>
        <stp/>
        <stp>##V3_BDHV12</stp>
        <stp>RCOM IN Equity</stp>
        <stp>ARDR_OTHER_PROV_FOR_LIAB_CHARGES</stp>
        <stp>FY 2015</stp>
        <stp>FY 2015</stp>
        <stp>[FA1_ymffleas.xlsx]Bal Sheet - As Reported!R149C9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9" s="17"/>
      </tp>
      <tp>
        <v>9780</v>
        <stp/>
        <stp>##V3_BDHV12</stp>
        <stp>RCOM IN Equity</stp>
        <stp>ARDR_OTHER_PROV_FOR_LIAB_CHARGES</stp>
        <stp>FY 2014</stp>
        <stp>FY 2014</stp>
        <stp>[FA1_ymffleas.xlsx]Bal Sheet - As Reported!R149C8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9" s="17"/>
      </tp>
      <tp>
        <v>2440</v>
        <stp/>
        <stp>##V3_BDHV12</stp>
        <stp>RCOM IN Equity</stp>
        <stp>ARDR_OTHER_PROV_FOR_LIAB_CHARGES</stp>
        <stp>FY 2011</stp>
        <stp>FY 2011</stp>
        <stp>[FA1_ymffleas.xlsx]Bal Sheet - As Reported!R149C5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9" s="17"/>
      </tp>
      <tp t="s">
        <v>—</v>
        <stp/>
        <stp>##V3_BDHV12</stp>
        <stp>RCOM IN Equity</stp>
        <stp>ARDR_OTHER_PROV_FOR_LIAB_CHARGES</stp>
        <stp>FY 2010</stp>
        <stp>FY 2010</stp>
        <stp>[FA1_ymffleas.xlsx]Bal Sheet - As Reported!R149C4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9" s="17"/>
      </tp>
      <tp>
        <v>8320</v>
        <stp/>
        <stp>##V3_BDHV12</stp>
        <stp>RCOM IN Equity</stp>
        <stp>ARDR_OTHER_PROV_FOR_LIAB_CHARGES</stp>
        <stp>FY 2013</stp>
        <stp>FY 2013</stp>
        <stp>[FA1_ymffleas.xlsx]Bal Sheet - As Reported!R149C7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9" s="17"/>
      </tp>
      <tp>
        <v>7610</v>
        <stp/>
        <stp>##V3_BDHV12</stp>
        <stp>RCOM IN Equity</stp>
        <stp>ARDR_OTHER_PROV_FOR_LIAB_CHARGES</stp>
        <stp>FY 2012</stp>
        <stp>FY 2012</stp>
        <stp>[FA1_ymffleas.xlsx]Bal Sheet - As Reported!R149C6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9" s="17"/>
      </tp>
      <tp t="s">
        <v>—</v>
        <stp/>
        <stp>##V3_BDHV12</stp>
        <stp>RCOM IN Equity</stp>
        <stp>ARDR_OTHER_PROV_FOR_LIAB_CHARGES</stp>
        <stp>FY 2009</stp>
        <stp>FY 2009</stp>
        <stp>[FA1_ymffleas.xlsx]Bal Sheet - As Reported!R149C3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9" s="17"/>
      </tp>
      <tp>
        <v>2.5636000000000001</v>
        <stp/>
        <stp>##V3_BDHV12</stp>
        <stp>RCOM IN Equity</stp>
        <stp>LOW_EV_TO_T12M_SALES</stp>
        <stp>FY 2013</stp>
        <stp>FY 2013</stp>
        <stp>[FA1_ymffleas.xlsx]Multiples!R39C6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39" s="6"/>
      </tp>
      <tp>
        <v>217430</v>
        <stp/>
        <stp>##V3_BDHV12</stp>
        <stp>RCOM IN Equity</stp>
        <stp>SALES_REV_TURN</stp>
        <stp>FY 2016</stp>
        <stp>FY 2016</stp>
        <stp>[FA1_ymffleas.xlsx]Addl - Overview!R13C9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13" s="29"/>
      </tp>
      <tp>
        <v>214230</v>
        <stp/>
        <stp>##V3_BDHV12</stp>
        <stp>RCOM IN Equity</stp>
        <stp>SALES_REV_TURN</stp>
        <stp>FY 2015</stp>
        <stp>FY 2015</stp>
        <stp>[FA1_ymffleas.xlsx]Addl - Overview!R13C8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13" s="29"/>
      </tp>
      <tp>
        <v>0</v>
        <stp/>
        <stp>##V3_BDHV12</stp>
        <stp>RCOM IN Equity</stp>
        <stp>EQY_DPS</stp>
        <stp>FY 2016</stp>
        <stp>FY 2016</stp>
        <stp>[FA1_ymffleas.xlsx]Per Share!R20C9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0" s="7"/>
      </tp>
      <tp>
        <v>0</v>
        <stp/>
        <stp>##V3_BDHV12</stp>
        <stp>RCOM IN Equity</stp>
        <stp>EQY_DPS</stp>
        <stp>FY 2015</stp>
        <stp>FY 2015</stp>
        <stp>[FA1_ymffleas.xlsx]Per Share!R20C8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0" s="7"/>
      </tp>
      <tp>
        <v>0</v>
        <stp/>
        <stp>##V3_BDHV12</stp>
        <stp>RCOM IN Equity</stp>
        <stp>EQY_DPS</stp>
        <stp>FY 2014</stp>
        <stp>FY 2014</stp>
        <stp>[FA1_ymffleas.xlsx]Per Share!R20C7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0" s="7"/>
      </tp>
      <tp>
        <v>206850.5</v>
        <stp/>
        <stp>##V3_BDHV12</stp>
        <stp>RCOM IN Equity</stp>
        <stp>SALES_REV_TURN</stp>
        <stp>FY 2010</stp>
        <stp>FY 2010</stp>
        <stp>[FA1_ymffleas.xlsx]Addl - Overview!R13C3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13" s="29"/>
      </tp>
      <tp>
        <v>0.25</v>
        <stp/>
        <stp>##V3_BDHV12</stp>
        <stp>RCOM IN Equity</stp>
        <stp>EQY_DPS</stp>
        <stp>FY 2013</stp>
        <stp>FY 2013</stp>
        <stp>[FA1_ymffleas.xlsx]Per Share!R20C6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0" s="7"/>
      </tp>
      <tp>
        <v>0.25</v>
        <stp/>
        <stp>##V3_BDHV12</stp>
        <stp>RCOM IN Equity</stp>
        <stp>EQY_DPS</stp>
        <stp>FY 2012</stp>
        <stp>FY 2012</stp>
        <stp>[FA1_ymffleas.xlsx]Per Share!R20C5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0" s="7"/>
      </tp>
      <tp>
        <v>0.5</v>
        <stp/>
        <stp>##V3_BDHV12</stp>
        <stp>RCOM IN Equity</stp>
        <stp>EQY_DPS</stp>
        <stp>FY 2011</stp>
        <stp>FY 2011</stp>
        <stp>[FA1_ymffleas.xlsx]Per Share!R20C4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0" s="7"/>
      </tp>
      <tp>
        <v>-42.267299999999999</v>
        <stp/>
        <stp>##V3_BDHV12</stp>
        <stp>RCOM IN Equity</stp>
        <stp>OPER_INC_GROWTH</stp>
        <stp>FY 2011</stp>
        <stp>FY 2011</stp>
        <stp>[FA1_ymffleas.xlsx]Growth!R9C5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9" s="22"/>
      </tp>
      <tp>
        <v>0.85</v>
        <stp/>
        <stp>##V3_BDHV12</stp>
        <stp>RCOM IN Equity</stp>
        <stp>EQY_DPS</stp>
        <stp>FY 2010</stp>
        <stp>FY 2010</stp>
        <stp>[FA1_ymffleas.xlsx]Per Share!R20C3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0" s="7"/>
      </tp>
      <tp>
        <v>209400</v>
        <stp/>
        <stp>##V3_BDHV12</stp>
        <stp>RCOM IN Equity</stp>
        <stp>SALES_REV_TURN</stp>
        <stp>FY 2014</stp>
        <stp>FY 2014</stp>
        <stp>[FA1_ymffleas.xlsx]Addl - Overview!R13C7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13" s="29"/>
      </tp>
      <tp>
        <v>192940</v>
        <stp/>
        <stp>##V3_BDHV12</stp>
        <stp>RCOM IN Equity</stp>
        <stp>SALES_REV_TURN</stp>
        <stp>FY 2013</stp>
        <stp>FY 2013</stp>
        <stp>[FA1_ymffleas.xlsx]Addl - Overview!R13C6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13" s="29"/>
      </tp>
      <tp>
        <v>187160</v>
        <stp/>
        <stp>##V3_BDHV12</stp>
        <stp>RCOM IN Equity</stp>
        <stp>SALES_REV_TURN</stp>
        <stp>FY 2012</stp>
        <stp>FY 2012</stp>
        <stp>[FA1_ymffleas.xlsx]Addl - Overview!R13C5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13" s="29"/>
      </tp>
      <tp>
        <v>220890</v>
        <stp/>
        <stp>##V3_BDHV12</stp>
        <stp>RCOM IN Equity</stp>
        <stp>SALES_REV_TURN</stp>
        <stp>FY 2011</stp>
        <stp>FY 2011</stp>
        <stp>[FA1_ymffleas.xlsx]Addl - Overview!R13C4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13" s="29"/>
      </tp>
      <tp>
        <v>2.2923</v>
        <stp/>
        <stp>##V3_BDHV12</stp>
        <stp>RCOM IN Equity</stp>
        <stp>PROF_MARGIN</stp>
        <stp>FY 2016</stp>
        <stp>FY 2016</stp>
        <stp>[FA1_ymffleas.xlsx]Income - Adjusted!R126C9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I126" s="9"/>
      </tp>
      <tp>
        <v>2.9388999999999998</v>
        <stp/>
        <stp>##V3_BDHV12</stp>
        <stp>RCOM IN Equity</stp>
        <stp>PROF_MARGIN</stp>
        <stp>FY 2016</stp>
        <stp>FY 2016</stp>
        <stp>[FA1_ymffleas.xlsx]Income - GAAP!R104C9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04" s="10"/>
      </tp>
      <tp>
        <v>6.2465999999999999</v>
        <stp/>
        <stp>##V3_BDHV12</stp>
        <stp>RCOM IN Equity</stp>
        <stp>IS_DILUTED_EPS</stp>
        <stp>FY 2011</stp>
        <stp>FY 2011</stp>
        <stp>[FA1_ymffleas.xlsx]GAAP Highlights!R10C5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0" s="3"/>
      </tp>
      <tp>
        <v>65540</v>
        <stp/>
        <stp>##V3_BDHV12</stp>
        <stp>RCOM IN Equity</stp>
        <stp>TRAIL_12M_NET_SALES</stp>
        <stp>FY 2017</stp>
        <stp>FY 2017</stp>
        <stp>[FA1_ymffleas.xlsx]Enterprise Value!R29C10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29" s="5"/>
      </tp>
      <tp>
        <v>45930</v>
        <stp/>
        <stp>##V3_BDHV12</stp>
        <stp>RCOM IN Equity</stp>
        <stp>TRAIL_12M_NET_SALES</stp>
        <stp>FY 2018</stp>
        <stp>FY 2018</stp>
        <stp>[FA1_ymffleas.xlsx]Enterprise Value!R29C11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29" s="5"/>
      </tp>
      <tp>
        <v>17.157299999999999</v>
        <stp/>
        <stp>##V3_BDHV12</stp>
        <stp>RCOM IN Equity</stp>
        <stp>OPER_MARGIN</stp>
        <stp>FY 2010</stp>
        <stp>FY 2010</stp>
        <stp>[FA1_ymffleas.xlsx]Income - Adjusted!R125C3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C125" s="9"/>
      </tp>
      <tp>
        <v>20.960599999999999</v>
        <stp/>
        <stp>##V3_BDHV12</stp>
        <stp>RCOM IN Equity</stp>
        <stp>SALES_GROWTH</stp>
        <stp>FY 2009</stp>
        <stp>FY 2009</stp>
        <stp>[FA1_ymffleas.xlsx]Growth!R7C3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7" s="22"/>
      </tp>
      <tp>
        <v>0</v>
        <stp/>
        <stp>##V3_BDHV12</stp>
        <stp>RCOM IN Equity</stp>
        <stp>BS_NUM_OF_TSY_SH</stp>
        <stp>FY 2018</stp>
        <stp>FY 2018</stp>
        <stp>[FA1_ymffleas.xlsx]Bal Sheet - Standardized!R159C12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59" s="16"/>
      </tp>
      <tp>
        <v>0</v>
        <stp/>
        <stp>##V3_BDHV12</stp>
        <stp>RCOM IN Equity</stp>
        <stp>BS_NUM_OF_TSY_SH</stp>
        <stp>FY 2017</stp>
        <stp>FY 2017</stp>
        <stp>[FA1_ymffleas.xlsx]Bal Sheet - Standardized!R159C11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59" s="16"/>
      </tp>
      <tp>
        <v>0</v>
        <stp/>
        <stp>##V3_BDHV12</stp>
        <stp>RCOM IN Equity</stp>
        <stp>BS_NUM_OF_TSY_SH</stp>
        <stp>FY 2016</stp>
        <stp>FY 2016</stp>
        <stp>[FA1_ymffleas.xlsx]Bal Sheet - Standardized!R159C10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59" s="16"/>
      </tp>
      <tp>
        <v>15.675699999999999</v>
        <stp/>
        <stp>##V3_BDHV12</stp>
        <stp>RCOM IN Equity</stp>
        <stp>OPER_MARGIN</stp>
        <stp>FY 2010</stp>
        <stp>FY 2010</stp>
        <stp>[FA1_ymffleas.xlsx]Income - GAAP!R103C3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03" s="10"/>
      </tp>
      <tp>
        <v>0</v>
        <stp/>
        <stp>##V3_BDHV12</stp>
        <stp>RCOM IN Equity</stp>
        <stp>TRAIL_12M_PFD_DVD</stp>
        <stp>FY 2018</stp>
        <stp>FY 2018</stp>
        <stp>[FA1_ymffleas.xlsx]Dividend Summary!R14C12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" s="31"/>
      </tp>
      <tp>
        <v>0</v>
        <stp/>
        <stp>##V3_BDHV12</stp>
        <stp>RCOM IN Equity</stp>
        <stp>TRAIL_12M_PFD_DVD</stp>
        <stp>FY 2017</stp>
        <stp>FY 2017</stp>
        <stp>[FA1_ymffleas.xlsx]Dividend Summary!R14C11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" s="31"/>
      </tp>
      <tp>
        <v>0</v>
        <stp/>
        <stp>##V3_BDHV12</stp>
        <stp>RCOM IN Equity</stp>
        <stp>TRAIL_12M_PFD_DVD</stp>
        <stp>FY 2016</stp>
        <stp>FY 2016</stp>
        <stp>[FA1_ymffleas.xlsx]Dividend Summary!R14C10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" s="31"/>
      </tp>
      <tp>
        <v>5.07</v>
        <stp/>
        <stp>##V3_BDHV12</stp>
        <stp>RCOM IN Equity</stp>
        <stp>IS_EPS</stp>
        <stp>FY 2014</stp>
        <stp>FY 2014</stp>
        <stp>[FA1_ymffleas.xlsx]Income - GAAP!R88C7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88" s="10"/>
      </tp>
      <tp t="s">
        <v>—</v>
        <stp/>
        <stp>##V3_BDHV12</stp>
        <stp>RCOM IN Equity</stp>
        <stp>CASH_CONVERSION_CYCLE</stp>
        <stp>FY 2014</stp>
        <stp>FY 2014</stp>
        <stp>[FA1_ymffleas.xlsx]Bal Sheet - Standardized!R171C8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71" s="16"/>
      </tp>
      <tp>
        <v>0</v>
        <stp/>
        <stp>##V3_BDHV12</stp>
        <stp>RCOM IN Equity</stp>
        <stp>TRAIL_12M_COM_DVD</stp>
        <stp>FY 2018</stp>
        <stp>FY 2018</stp>
        <stp>[FA1_ymffleas.xlsx]Dividend Summary!R15C12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" s="31"/>
      </tp>
      <tp>
        <v>0</v>
        <stp/>
        <stp>##V3_BDHV12</stp>
        <stp>RCOM IN Equity</stp>
        <stp>TRAIL_12M_COM_DVD</stp>
        <stp>FY 2016</stp>
        <stp>FY 2016</stp>
        <stp>[FA1_ymffleas.xlsx]Dividend Summary!R15C10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" s="31"/>
      </tp>
      <tp>
        <v>0</v>
        <stp/>
        <stp>##V3_BDHV12</stp>
        <stp>RCOM IN Equity</stp>
        <stp>TRAIL_12M_COM_DVD</stp>
        <stp>FY 2017</stp>
        <stp>FY 2017</stp>
        <stp>[FA1_ymffleas.xlsx]Dividend Summary!R15C11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" s="31"/>
      </tp>
      <tp>
        <v>286830</v>
        <stp/>
        <stp>##V3_BDHV12</stp>
        <stp>RCOM IN Equity</stp>
        <stp>CAPITAL_EMPLOYED</stp>
        <stp>FY 2017</stp>
        <stp>FY 2017</stp>
        <stp>[FA1_ymffleas.xlsx]Sources of Capital!R17C11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" s="32"/>
      </tp>
      <tp>
        <v>366130</v>
        <stp/>
        <stp>##V3_BDHV12</stp>
        <stp>RCOM IN Equity</stp>
        <stp>CAPITAL_EMPLOYED</stp>
        <stp>FY 2016</stp>
        <stp>FY 2016</stp>
        <stp>[FA1_ymffleas.xlsx]Sources of Capital!R17C10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" s="32"/>
      </tp>
      <tp>
        <v>97470</v>
        <stp/>
        <stp>##V3_BDHV12</stp>
        <stp>RCOM IN Equity</stp>
        <stp>CAPITAL_EMPLOYED</stp>
        <stp>FY 2018</stp>
        <stp>FY 2018</stp>
        <stp>[FA1_ymffleas.xlsx]Sources of Capital!R17C12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" s="32"/>
      </tp>
      <tp>
        <v>1.55</v>
        <stp/>
        <stp>##V3_BDHV12</stp>
        <stp>RCOM IN Equity</stp>
        <stp>HIGH_PX_TO_SALES_RATIO</stp>
        <stp>FY 2015</stp>
        <stp>FY 2015</stp>
        <stp>[FA1_ymffleas.xlsx]Multiples!R23C8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3" s="6"/>
      </tp>
      <tp>
        <v>0</v>
        <stp/>
        <stp>##V3_BDHV12</stp>
        <stp>RCOM IN Equity</stp>
        <stp>IS_COST_OF_REVENUE_ADJUSTMENTS</stp>
        <stp>FY 2016</stp>
        <stp>FY 2016</stp>
        <stp>[FA1_ymffleas.xlsx]Reconciliation!R9C9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" s="12"/>
      </tp>
      <tp>
        <v>0</v>
        <stp/>
        <stp>##V3_BDHV12</stp>
        <stp>RCOM IN Equity</stp>
        <stp>IS_COST_OF_REVENUE_ADJUSTMENTS</stp>
        <stp>FY 2015</stp>
        <stp>FY 2015</stp>
        <stp>[FA1_ymffleas.xlsx]Reconciliation!R9C8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" s="12"/>
      </tp>
      <tp>
        <v>0</v>
        <stp/>
        <stp>##V3_BDHV12</stp>
        <stp>RCOM IN Equity</stp>
        <stp>IS_COST_OF_REVENUE_ADJUSTMENTS</stp>
        <stp>FY 2010</stp>
        <stp>FY 2010</stp>
        <stp>[FA1_ymffleas.xlsx]Reconciliation!R9C3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" s="12"/>
      </tp>
      <tp>
        <v>0</v>
        <stp/>
        <stp>##V3_BDHV12</stp>
        <stp>RCOM IN Equity</stp>
        <stp>IS_COST_OF_REVENUE_ADJUSTMENTS</stp>
        <stp>FY 2014</stp>
        <stp>FY 2014</stp>
        <stp>[FA1_ymffleas.xlsx]Reconciliation!R9C7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" s="12"/>
      </tp>
      <tp>
        <v>0</v>
        <stp/>
        <stp>##V3_BDHV12</stp>
        <stp>RCOM IN Equity</stp>
        <stp>IS_COST_OF_REVENUE_ADJUSTMENTS</stp>
        <stp>FY 2013</stp>
        <stp>FY 2013</stp>
        <stp>[FA1_ymffleas.xlsx]Reconciliation!R9C6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" s="12"/>
      </tp>
      <tp>
        <v>0</v>
        <stp/>
        <stp>##V3_BDHV12</stp>
        <stp>RCOM IN Equity</stp>
        <stp>IS_COST_OF_REVENUE_ADJUSTMENTS</stp>
        <stp>FY 2012</stp>
        <stp>FY 2012</stp>
        <stp>[FA1_ymffleas.xlsx]Reconciliation!R9C5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" s="12"/>
      </tp>
      <tp>
        <v>0</v>
        <stp/>
        <stp>##V3_BDHV12</stp>
        <stp>RCOM IN Equity</stp>
        <stp>IS_COST_OF_REVENUE_ADJUSTMENTS</stp>
        <stp>FY 2011</stp>
        <stp>FY 2011</stp>
        <stp>[FA1_ymffleas.xlsx]Reconciliation!R9C4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" s="12"/>
      </tp>
      <tp t="s">
        <v>—</v>
        <stp/>
        <stp>##V3_BDHV12</stp>
        <stp>RCOM IN Equity</stp>
        <stp>CASH_FLOW_TO_FIRM_1_YEAR_GROWTH</stp>
        <stp>FY 2016</stp>
        <stp>FY 2016</stp>
        <stp>[FA1_ymffleas.xlsx]Growth!R33C10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33" s="22"/>
      </tp>
      <tp>
        <v>0.25</v>
        <stp/>
        <stp>##V3_BDHV12</stp>
        <stp>RCOM IN Equity</stp>
        <stp>EQY_DPS</stp>
        <stp>FY 2012</stp>
        <stp>FY 2012</stp>
        <stp>[FA1_ymffleas.xlsx]Addl - Overview!R20C5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0" s="29"/>
      </tp>
      <tp>
        <v>0.5</v>
        <stp/>
        <stp>##V3_BDHV12</stp>
        <stp>RCOM IN Equity</stp>
        <stp>EQY_DPS</stp>
        <stp>FY 2011</stp>
        <stp>FY 2011</stp>
        <stp>[FA1_ymffleas.xlsx]Addl - Overview!R20C4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0" s="29"/>
      </tp>
      <tp>
        <v>26.452500000000001</v>
        <stp/>
        <stp>##V3_BDHV12</stp>
        <stp>RCOM IN Equity</stp>
        <stp>INT_BURDEN</stp>
        <stp>FY 2013</stp>
        <stp>FY 2013</stp>
        <stp>[FA1_ymffleas.xlsx]DuPont Analysis!R11C7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1" s="27"/>
      </tp>
      <tp>
        <v>0</v>
        <stp/>
        <stp>##V3_BDHV12</stp>
        <stp>RCOM IN Equity</stp>
        <stp>EQY_DPS</stp>
        <stp>FY 2014</stp>
        <stp>FY 2014</stp>
        <stp>[FA1_ymffleas.xlsx]Addl - Overview!R20C7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0" s="29"/>
      </tp>
      <tp>
        <v>0.25</v>
        <stp/>
        <stp>##V3_BDHV12</stp>
        <stp>RCOM IN Equity</stp>
        <stp>EQY_DPS</stp>
        <stp>FY 2013</stp>
        <stp>FY 2013</stp>
        <stp>[FA1_ymffleas.xlsx]Addl - Overview!R20C6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0" s="29"/>
      </tp>
      <tp t="s">
        <v>—</v>
        <stp/>
        <stp>##V3_BDHV12</stp>
        <stp>RCOM IN Equity</stp>
        <stp>INVTRY_RAW_MATERIALS</stp>
        <stp>FY 2009</stp>
        <stp>FY 2009</stp>
        <stp>[FA1_ymffleas.xlsx]Bal Sheet - Standardized!R23C3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3" s="16"/>
      </tp>
      <tp t="s">
        <v>—</v>
        <stp/>
        <stp>##V3_BDHV12</stp>
        <stp>RCOM IN Equity</stp>
        <stp>INVTRY_RAW_MATERIALS</stp>
        <stp>FY 2010</stp>
        <stp>FY 2010</stp>
        <stp>[FA1_ymffleas.xlsx]Bal Sheet - Standardized!R23C4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3" s="16"/>
      </tp>
      <tp t="s">
        <v>—</v>
        <stp/>
        <stp>##V3_BDHV12</stp>
        <stp>RCOM IN Equity</stp>
        <stp>INVTRY_RAW_MATERIALS</stp>
        <stp>FY 2011</stp>
        <stp>FY 2011</stp>
        <stp>[FA1_ymffleas.xlsx]Bal Sheet - Standardized!R23C5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3" s="16"/>
      </tp>
      <tp t="s">
        <v>—</v>
        <stp/>
        <stp>##V3_BDHV12</stp>
        <stp>RCOM IN Equity</stp>
        <stp>INVTRY_RAW_MATERIALS</stp>
        <stp>FY 2012</stp>
        <stp>FY 2012</stp>
        <stp>[FA1_ymffleas.xlsx]Bal Sheet - Standardized!R23C6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3" s="16"/>
      </tp>
      <tp t="s">
        <v>—</v>
        <stp/>
        <stp>##V3_BDHV12</stp>
        <stp>RCOM IN Equity</stp>
        <stp>INVTRY_RAW_MATERIALS</stp>
        <stp>FY 2013</stp>
        <stp>FY 2013</stp>
        <stp>[FA1_ymffleas.xlsx]Bal Sheet - Standardized!R23C7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3" s="16"/>
      </tp>
      <tp t="s">
        <v>—</v>
        <stp/>
        <stp>##V3_BDHV12</stp>
        <stp>RCOM IN Equity</stp>
        <stp>INVTRY_RAW_MATERIALS</stp>
        <stp>FY 2014</stp>
        <stp>FY 2014</stp>
        <stp>[FA1_ymffleas.xlsx]Bal Sheet - Standardized!R23C8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3" s="16"/>
      </tp>
      <tp>
        <v>0</v>
        <stp/>
        <stp>##V3_BDHV12</stp>
        <stp>RCOM IN Equity</stp>
        <stp>INVTRY_RAW_MATERIALS</stp>
        <stp>FY 2015</stp>
        <stp>FY 2015</stp>
        <stp>[FA1_ymffleas.xlsx]Bal Sheet - Standardized!R23C9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3" s="16"/>
      </tp>
      <tp>
        <v>0.85</v>
        <stp/>
        <stp>##V3_BDHV12</stp>
        <stp>RCOM IN Equity</stp>
        <stp>EQY_DPS</stp>
        <stp>FY 2010</stp>
        <stp>FY 2010</stp>
        <stp>[FA1_ymffleas.xlsx]Addl - Overview!R20C3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0" s="29"/>
      </tp>
      <tp>
        <v>0</v>
        <stp/>
        <stp>##V3_BDHV12</stp>
        <stp>RCOM IN Equity</stp>
        <stp>EQY_DPS</stp>
        <stp>FY 2016</stp>
        <stp>FY 2016</stp>
        <stp>[FA1_ymffleas.xlsx]Addl - Overview!R20C9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0" s="29"/>
      </tp>
      <tp>
        <v>0</v>
        <stp/>
        <stp>##V3_BDHV12</stp>
        <stp>RCOM IN Equity</stp>
        <stp>EQY_DPS</stp>
        <stp>FY 2015</stp>
        <stp>FY 2015</stp>
        <stp>[FA1_ymffleas.xlsx]Addl - Overview!R20C8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0" s="29"/>
      </tp>
      <tp>
        <v>3.5781999999999998</v>
        <stp/>
        <stp>##V3_BDHV12</stp>
        <stp>RCOM IN Equity</stp>
        <stp>OPERATING_INCOME_SEQ_GROWTH</stp>
        <stp>FY 2014</stp>
        <stp>FY 2014</stp>
        <stp>[FA1_ymffleas.xlsx]Growth!R62C8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62" s="22"/>
      </tp>
      <tp>
        <v>14.091900000000001</v>
        <stp/>
        <stp>##V3_BDHV12</stp>
        <stp>RCOM IN Equity</stp>
        <stp>HIGH_CLOSING_PRICE_TO_CASH_FLOW</stp>
        <stp>FY 2010</stp>
        <stp>FY 2010</stp>
        <stp>[FA1_ymffleas.xlsx]Multiples!R28C3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8" s="6"/>
      </tp>
      <tp>
        <v>24.218399999999999</v>
        <stp/>
        <stp>##V3_BDHV12</stp>
        <stp>RCOM IN Equity</stp>
        <stp>HIGH_CLOSING_PRICE_TO_CASH_FLOW</stp>
        <stp>FY 2014</stp>
        <stp>FY 2014</stp>
        <stp>[FA1_ymffleas.xlsx]Multiples!R28C7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8" s="6"/>
      </tp>
      <tp>
        <v>8.3314000000000004</v>
        <stp/>
        <stp>##V3_BDHV12</stp>
        <stp>RCOM IN Equity</stp>
        <stp>HIGH_CLOSING_PRICE_TO_CASH_FLOW</stp>
        <stp>FY 2013</stp>
        <stp>FY 2013</stp>
        <stp>[FA1_ymffleas.xlsx]Multiples!R28C6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8" s="6"/>
      </tp>
      <tp>
        <v>21.6126</v>
        <stp/>
        <stp>##V3_BDHV12</stp>
        <stp>RCOM IN Equity</stp>
        <stp>HIGH_CLOSING_PRICE_TO_CASH_FLOW</stp>
        <stp>FY 2012</stp>
        <stp>FY 2012</stp>
        <stp>[FA1_ymffleas.xlsx]Multiples!R28C5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8" s="6"/>
      </tp>
      <tp>
        <v>20.726900000000001</v>
        <stp/>
        <stp>##V3_BDHV12</stp>
        <stp>RCOM IN Equity</stp>
        <stp>HIGH_CLOSING_PRICE_TO_CASH_FLOW</stp>
        <stp>FY 2011</stp>
        <stp>FY 2011</stp>
        <stp>[FA1_ymffleas.xlsx]Multiples!R28C4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8" s="6"/>
      </tp>
      <tp>
        <v>2.7347999999999999</v>
        <stp/>
        <stp>##V3_BDHV12</stp>
        <stp>RCOM IN Equity</stp>
        <stp>LOW_EV_TO_T12M_SALES</stp>
        <stp>FY 2014</stp>
        <stp>FY 2014</stp>
        <stp>[FA1_ymffleas.xlsx]Multiples!R39C7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39" s="6"/>
      </tp>
      <tp>
        <v>43.508600000000001</v>
        <stp/>
        <stp>##V3_BDHV12</stp>
        <stp>RCOM IN Equity</stp>
        <stp>HIGH_CLOSING_PRICE_TO_CASH_FLOW</stp>
        <stp>FY 2016</stp>
        <stp>FY 2016</stp>
        <stp>[FA1_ymffleas.xlsx]Multiples!R28C9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8" s="6"/>
      </tp>
      <tp>
        <v>28.453499999999998</v>
        <stp/>
        <stp>##V3_BDHV12</stp>
        <stp>RCOM IN Equity</stp>
        <stp>HIGH_CLOSING_PRICE_TO_CASH_FLOW</stp>
        <stp>FY 2015</stp>
        <stp>FY 2015</stp>
        <stp>[FA1_ymffleas.xlsx]Multiples!R28C8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8" s="6"/>
      </tp>
      <tp>
        <v>715890</v>
        <stp/>
        <stp>##V3_BDHV12</stp>
        <stp>RCOM IN Equity</stp>
        <stp>BS_TOT_LIAB2</stp>
        <stp>FY 2016</stp>
        <stp>FY 2016</stp>
        <stp>[FA1_ymffleas.xlsx]Bal Sheet - Standardized!R131C10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1" s="16"/>
      </tp>
      <tp>
        <v>707620</v>
        <stp/>
        <stp>##V3_BDHV12</stp>
        <stp>RCOM IN Equity</stp>
        <stp>BS_TOT_LIAB2</stp>
        <stp>FY 2017</stp>
        <stp>FY 2017</stp>
        <stp>[FA1_ymffleas.xlsx]Bal Sheet - Standardized!R131C11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1" s="16"/>
      </tp>
      <tp>
        <v>714630</v>
        <stp/>
        <stp>##V3_BDHV12</stp>
        <stp>RCOM IN Equity</stp>
        <stp>BS_TOT_LIAB2</stp>
        <stp>FY 2018</stp>
        <stp>FY 2018</stp>
        <stp>[FA1_ymffleas.xlsx]Bal Sheet - Standardized!R131C12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1" s="16"/>
      </tp>
      <tp>
        <v>0</v>
        <stp/>
        <stp>##V3_BDHV12</stp>
        <stp>RCOM IN Equity</stp>
        <stp>BS_PENSIONS_LT_LIABS</stp>
        <stp>FY 2017</stp>
        <stp>FY 2017</stp>
        <stp>[FA1_ymffleas.xlsx]Bal Sheet - Standardized!R115C11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5" s="16"/>
      </tp>
      <tp t="s">
        <v>—</v>
        <stp/>
        <stp>##V3_BDHV12</stp>
        <stp>RCOM IN Equity</stp>
        <stp>BS_PENSIONS_LT_LIABS</stp>
        <stp>FY 2016</stp>
        <stp>FY 2016</stp>
        <stp>[FA1_ymffleas.xlsx]Bal Sheet - Standardized!R115C10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5" s="16"/>
      </tp>
      <tp>
        <v>0</v>
        <stp/>
        <stp>##V3_BDHV12</stp>
        <stp>RCOM IN Equity</stp>
        <stp>BS_PENSIONS_LT_LIABS</stp>
        <stp>FY 2018</stp>
        <stp>FY 2018</stp>
        <stp>[FA1_ymffleas.xlsx]Bal Sheet - Standardized!R115C12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5" s="16"/>
      </tp>
      <tp>
        <v>-36.706200000000003</v>
        <stp/>
        <stp>##V3_BDHV12</stp>
        <stp>RCOM IN Equity</stp>
        <stp>OPER_INC_GROWTH</stp>
        <stp>FY 2010</stp>
        <stp>FY 2010</stp>
        <stp>[FA1_ymffleas.xlsx]Growth!R9C4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9" s="22"/>
      </tp>
      <tp t="s">
        <v>—</v>
        <stp/>
        <stp>##V3_BDHV12</stp>
        <stp>RCOM IN Equity</stp>
        <stp>ARD_SALE_OF_ASSETS</stp>
        <stp>FY 2009</stp>
        <stp>FY 2009</stp>
        <stp>[FA1_ymffleas.xlsx]Cash Flow - As Reported!R48C3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8" s="20"/>
      </tp>
      <tp t="s">
        <v>—</v>
        <stp/>
        <stp>##V3_BDHV12</stp>
        <stp>RCOM IN Equity</stp>
        <stp>ARD_SALE_OF_ASSETS</stp>
        <stp>FY 2011</stp>
        <stp>FY 2011</stp>
        <stp>[FA1_ymffleas.xlsx]Cash Flow - As Reported!R48C5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8" s="20"/>
      </tp>
      <tp t="s">
        <v>—</v>
        <stp/>
        <stp>##V3_BDHV12</stp>
        <stp>RCOM IN Equity</stp>
        <stp>ARD_SALE_OF_ASSETS</stp>
        <stp>FY 2010</stp>
        <stp>FY 2010</stp>
        <stp>[FA1_ymffleas.xlsx]Cash Flow - As Reported!R48C4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8" s="20"/>
      </tp>
      <tp t="s">
        <v>—</v>
        <stp/>
        <stp>##V3_BDHV12</stp>
        <stp>RCOM IN Equity</stp>
        <stp>ARD_SALE_OF_ASSETS</stp>
        <stp>FY 2013</stp>
        <stp>FY 2013</stp>
        <stp>[FA1_ymffleas.xlsx]Cash Flow - As Reported!R48C7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8" s="20"/>
      </tp>
      <tp t="s">
        <v>—</v>
        <stp/>
        <stp>##V3_BDHV12</stp>
        <stp>RCOM IN Equity</stp>
        <stp>ARD_SALE_OF_ASSETS</stp>
        <stp>FY 2012</stp>
        <stp>FY 2012</stp>
        <stp>[FA1_ymffleas.xlsx]Cash Flow - As Reported!R48C6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8" s="20"/>
      </tp>
      <tp t="s">
        <v>—</v>
        <stp/>
        <stp>##V3_BDHV12</stp>
        <stp>RCOM IN Equity</stp>
        <stp>ARD_SALE_OF_ASSETS</stp>
        <stp>FY 2015</stp>
        <stp>FY 2015</stp>
        <stp>[FA1_ymffleas.xlsx]Cash Flow - As Reported!R48C9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8" s="20"/>
      </tp>
      <tp t="s">
        <v>—</v>
        <stp/>
        <stp>##V3_BDHV12</stp>
        <stp>RCOM IN Equity</stp>
        <stp>ARD_SALE_OF_ASSETS</stp>
        <stp>FY 2014</stp>
        <stp>FY 2014</stp>
        <stp>[FA1_ymffleas.xlsx]Cash Flow - As Reported!R48C8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8" s="20"/>
      </tp>
      <tp>
        <v>24.4</v>
        <stp/>
        <stp>##V3_BDHV12</stp>
        <stp>RCOM IN Equity</stp>
        <stp>ARDR_INTEREST_COST_OPRB</stp>
        <stp>FY 2009</stp>
        <stp>FY 2009</stp>
        <stp>[FA1_ymffleas.xlsx]Income - As Reported!R129C3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9" s="11"/>
      </tp>
      <tp>
        <v>30</v>
        <stp/>
        <stp>##V3_BDHV12</stp>
        <stp>RCOM IN Equity</stp>
        <stp>ARDR_INTEREST_COST_OPRB</stp>
        <stp>FY 2012</stp>
        <stp>FY 2012</stp>
        <stp>[FA1_ymffleas.xlsx]Income - As Reported!R129C6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9" s="11"/>
      </tp>
      <tp>
        <v>30</v>
        <stp/>
        <stp>##V3_BDHV12</stp>
        <stp>RCOM IN Equity</stp>
        <stp>ARDR_INTEREST_COST_OPRB</stp>
        <stp>FY 2013</stp>
        <stp>FY 2013</stp>
        <stp>[FA1_ymffleas.xlsx]Income - As Reported!R129C7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9" s="11"/>
      </tp>
      <tp>
        <v>25</v>
        <stp/>
        <stp>##V3_BDHV12</stp>
        <stp>RCOM IN Equity</stp>
        <stp>ARDR_INTEREST_COST_OPRB</stp>
        <stp>FY 2010</stp>
        <stp>FY 2010</stp>
        <stp>[FA1_ymffleas.xlsx]Income - As Reported!R129C4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9" s="11"/>
      </tp>
      <tp>
        <v>30</v>
        <stp/>
        <stp>##V3_BDHV12</stp>
        <stp>RCOM IN Equity</stp>
        <stp>ARDR_INTEREST_COST_OPRB</stp>
        <stp>FY 2011</stp>
        <stp>FY 2011</stp>
        <stp>[FA1_ymffleas.xlsx]Income - As Reported!R129C5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9" s="11"/>
      </tp>
      <tp>
        <v>30</v>
        <stp/>
        <stp>##V3_BDHV12</stp>
        <stp>RCOM IN Equity</stp>
        <stp>ARDR_INTEREST_COST_OPRB</stp>
        <stp>FY 2014</stp>
        <stp>FY 2014</stp>
        <stp>[FA1_ymffleas.xlsx]Income - As Reported!R129C8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9" s="11"/>
      </tp>
      <tp>
        <v>40</v>
        <stp/>
        <stp>##V3_BDHV12</stp>
        <stp>RCOM IN Equity</stp>
        <stp>ARDR_INTEREST_COST_OPRB</stp>
        <stp>FY 2015</stp>
        <stp>FY 2015</stp>
        <stp>[FA1_ymffleas.xlsx]Income - As Reported!R129C9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9" s="11"/>
      </tp>
      <tp>
        <v>-390</v>
        <stp/>
        <stp>##V3_BDHV12</stp>
        <stp>RCOM IN Equity</stp>
        <stp>ARDR_OVER_UNDER_POST_RETIRE_BEN</stp>
        <stp>FY 2016</stp>
        <stp>FY 2016</stp>
        <stp>[FA1_ymffleas.xlsx]Bal Sheet - As Reported!R104C10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4" s="17"/>
      </tp>
      <tp>
        <v>-470</v>
        <stp/>
        <stp>##V3_BDHV12</stp>
        <stp>RCOM IN Equity</stp>
        <stp>ARDR_OVER_UNDER_POST_RETIRE_BEN</stp>
        <stp>FY 2017</stp>
        <stp>FY 2017</stp>
        <stp>[FA1_ymffleas.xlsx]Bal Sheet - As Reported!R104C11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4" s="17"/>
      </tp>
      <tp>
        <v>-330</v>
        <stp/>
        <stp>##V3_BDHV12</stp>
        <stp>RCOM IN Equity</stp>
        <stp>ARDR_OVER_UNDER_POST_RETIRE_BEN</stp>
        <stp>FY 2018</stp>
        <stp>FY 2018</stp>
        <stp>[FA1_ymffleas.xlsx]Bal Sheet - As Reported!R104C12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4" s="17"/>
      </tp>
      <tp>
        <v>3.2351999999999999</v>
        <stp/>
        <stp>##V3_BDHV12</stp>
        <stp>RCOM IN Equity</stp>
        <stp>PROF_MARGIN</stp>
        <stp>FY 2015</stp>
        <stp>FY 2015</stp>
        <stp>[FA1_ymffleas.xlsx]Income - Adjusted!R126C8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H126" s="9"/>
      </tp>
      <tp>
        <v>3.3329</v>
        <stp/>
        <stp>##V3_BDHV12</stp>
        <stp>RCOM IN Equity</stp>
        <stp>PROF_MARGIN</stp>
        <stp>FY 2015</stp>
        <stp>FY 2015</stp>
        <stp>[FA1_ymffleas.xlsx]Income - GAAP!R104C8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04" s="10"/>
      </tp>
      <tp>
        <v>21.619299999999999</v>
        <stp/>
        <stp>##V3_BDHV12</stp>
        <stp>RCOM IN Equity</stp>
        <stp>IS_DILUTED_EPS</stp>
        <stp>FY 2010</stp>
        <stp>FY 2010</stp>
        <stp>[FA1_ymffleas.xlsx]GAAP Highlights!R10C4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0" s="3"/>
      </tp>
      <tp t="s">
        <v>—</v>
        <stp/>
        <stp>##V3_BDHV12</stp>
        <stp>RCOM IN Equity</stp>
        <stp>NUMBER_EMPLOYEES_CSR</stp>
        <stp>FY 2015</stp>
        <stp>FY 2015</stp>
        <stp>[FA1_ymffleas.xlsx]ESG - Overview!R15C9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5" s="34"/>
      </tp>
      <tp t="s">
        <v>—</v>
        <stp/>
        <stp>##V3_BDHV12</stp>
        <stp>RCOM IN Equity</stp>
        <stp>NUMBER_EMPLOYEES_CSR</stp>
        <stp>FY 2014</stp>
        <stp>FY 2014</stp>
        <stp>[FA1_ymffleas.xlsx]ESG - Overview!R15C8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5" s="34"/>
      </tp>
      <tp t="s">
        <v>—</v>
        <stp/>
        <stp>##V3_BDHV12</stp>
        <stp>RCOM IN Equity</stp>
        <stp>NUMBER_EMPLOYEES_CSR</stp>
        <stp>FY 2013</stp>
        <stp>FY 2013</stp>
        <stp>[FA1_ymffleas.xlsx]ESG - Overview!R15C7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5" s="34"/>
      </tp>
      <tp t="s">
        <v>—</v>
        <stp/>
        <stp>##V3_BDHV12</stp>
        <stp>RCOM IN Equity</stp>
        <stp>NUMBER_EMPLOYEES_CSR</stp>
        <stp>FY 2012</stp>
        <stp>FY 2012</stp>
        <stp>[FA1_ymffleas.xlsx]ESG - Overview!R15C6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5" s="34"/>
      </tp>
      <tp t="s">
        <v>—</v>
        <stp/>
        <stp>##V3_BDHV12</stp>
        <stp>RCOM IN Equity</stp>
        <stp>NUMBER_EMPLOYEES_CSR</stp>
        <stp>FY 2011</stp>
        <stp>FY 2011</stp>
        <stp>[FA1_ymffleas.xlsx]ESG - Overview!R15C5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5" s="34"/>
      </tp>
      <tp t="s">
        <v>—</v>
        <stp/>
        <stp>##V3_BDHV12</stp>
        <stp>RCOM IN Equity</stp>
        <stp>NUMBER_EMPLOYEES_CSR</stp>
        <stp>FY 2010</stp>
        <stp>FY 2010</stp>
        <stp>[FA1_ymffleas.xlsx]ESG - Overview!R15C4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5" s="34"/>
      </tp>
      <tp t="s">
        <v>—</v>
        <stp/>
        <stp>##V3_BDHV12</stp>
        <stp>RCOM IN Equity</stp>
        <stp>NUMBER_EMPLOYEES_CSR</stp>
        <stp>FY 2009</stp>
        <stp>FY 2009</stp>
        <stp>[FA1_ymffleas.xlsx]ESG - Overview!R15C3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5" s="34"/>
      </tp>
      <tp>
        <v>-5910</v>
        <stp/>
        <stp>##V3_BDHV12</stp>
        <stp>RCOM IN Equity</stp>
        <stp>CF_CAP_EXPEND_PRPTY_ADD</stp>
        <stp>FY 2018</stp>
        <stp>FY 2018</stp>
        <stp>[FA1_ymffleas.xlsx]CAPEX &amp; Depreciation!R11C12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" s="28"/>
      </tp>
      <tp>
        <v>-153300</v>
        <stp/>
        <stp>##V3_BDHV12</stp>
        <stp>RCOM IN Equity</stp>
        <stp>CF_CAP_EXPEND_PRPTY_ADD</stp>
        <stp>FY 2016</stp>
        <stp>FY 2016</stp>
        <stp>[FA1_ymffleas.xlsx]CAPEX &amp; Depreciation!R11C10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" s="28"/>
      </tp>
      <tp>
        <v>-39200</v>
        <stp/>
        <stp>##V3_BDHV12</stp>
        <stp>RCOM IN Equity</stp>
        <stp>CF_CAP_EXPEND_PRPTY_ADD</stp>
        <stp>FY 2017</stp>
        <stp>FY 2017</stp>
        <stp>[FA1_ymffleas.xlsx]CAPEX &amp; Depreciation!R11C11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" s="28"/>
      </tp>
      <tp>
        <v>3.26</v>
        <stp/>
        <stp>##V3_BDHV12</stp>
        <stp>RCOM IN Equity</stp>
        <stp>IS_EPS</stp>
        <stp>FY 2013</stp>
        <stp>FY 2013</stp>
        <stp>[FA1_ymffleas.xlsx]Income - GAAP!R88C6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88" s="10"/>
      </tp>
      <tp t="s">
        <v>—</v>
        <stp/>
        <stp>##V3_BDHV12</stp>
        <stp>RCOM IN Equity</stp>
        <stp>CASH_CONVERSION_CYCLE</stp>
        <stp>FY 2015</stp>
        <stp>FY 2015</stp>
        <stp>[FA1_ymffleas.xlsx]Bal Sheet - Standardized!R171C9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71" s="16"/>
      </tp>
      <tp t="s">
        <v>—</v>
        <stp/>
        <stp>##V3_BDHV12</stp>
        <stp>RCOM IN Equity</stp>
        <stp>IS_WRTOFF_IMPAIR_AST_DILUTED_SH</stp>
        <stp>FY 2015</stp>
        <stp>FY 2015</stp>
        <stp>[FA1_ymffleas.xlsx]Reconciliation!R49C8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9" s="12"/>
      </tp>
      <tp t="s">
        <v>—</v>
        <stp/>
        <stp>##V3_BDHV12</stp>
        <stp>RCOM IN Equity</stp>
        <stp>IS_WRTOFF_IMPAIR_AST_DILUTED_SH</stp>
        <stp>FY 2016</stp>
        <stp>FY 2016</stp>
        <stp>[FA1_ymffleas.xlsx]Reconciliation!R49C9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9" s="12"/>
      </tp>
      <tp>
        <v>1.0001</v>
        <stp/>
        <stp>##V3_BDHV12</stp>
        <stp>RCOM IN Equity</stp>
        <stp>HIGH_PX_TO_SALES_RATIO</stp>
        <stp>FY 2016</stp>
        <stp>FY 2016</stp>
        <stp>[FA1_ymffleas.xlsx]Multiples!R23C9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3" s="6"/>
      </tp>
      <tp>
        <v>0.93500000000000005</v>
        <stp/>
        <stp>##V3_BDHV12</stp>
        <stp>RCOM IN Equity</stp>
        <stp>IS_WRTOFF_IMPAIR_AST_DILUTED_SH</stp>
        <stp>FY 2010</stp>
        <stp>FY 2010</stp>
        <stp>[FA1_ymffleas.xlsx]Reconciliation!R49C3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9" s="12"/>
      </tp>
      <tp t="s">
        <v>—</v>
        <stp/>
        <stp>##V3_BDHV12</stp>
        <stp>RCOM IN Equity</stp>
        <stp>IS_WRTOFF_IMPAIR_AST_DILUTED_SH</stp>
        <stp>FY 2013</stp>
        <stp>FY 2013</stp>
        <stp>[FA1_ymffleas.xlsx]Reconciliation!R49C6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9" s="12"/>
      </tp>
      <tp t="s">
        <v>—</v>
        <stp/>
        <stp>##V3_BDHV12</stp>
        <stp>RCOM IN Equity</stp>
        <stp>CASH_FLOW_TO_FIRM_1_YEAR_GROWTH</stp>
        <stp>FY 2017</stp>
        <stp>FY 2017</stp>
        <stp>[FA1_ymffleas.xlsx]Growth!R33C11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33" s="22"/>
      </tp>
      <tp t="s">
        <v>—</v>
        <stp/>
        <stp>##V3_BDHV12</stp>
        <stp>RCOM IN Equity</stp>
        <stp>IS_WRTOFF_IMPAIR_AST_DILUTED_SH</stp>
        <stp>FY 2014</stp>
        <stp>FY 2014</stp>
        <stp>[FA1_ymffleas.xlsx]Reconciliation!R49C7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9" s="12"/>
      </tp>
      <tp t="s">
        <v>—</v>
        <stp/>
        <stp>##V3_BDHV12</stp>
        <stp>RCOM IN Equity</stp>
        <stp>IS_WRTOFF_IMPAIR_AST_DILUTED_SH</stp>
        <stp>FY 2011</stp>
        <stp>FY 2011</stp>
        <stp>[FA1_ymffleas.xlsx]Reconciliation!R49C4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9" s="12"/>
      </tp>
      <tp>
        <v>1.1879</v>
        <stp/>
        <stp>##V3_BDHV12</stp>
        <stp>RCOM IN Equity</stp>
        <stp>IS_WRTOFF_IMPAIR_AST_DILUTED_SH</stp>
        <stp>FY 2012</stp>
        <stp>FY 2012</stp>
        <stp>[FA1_ymffleas.xlsx]Reconciliation!R49C5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9" s="12"/>
      </tp>
      <tp>
        <v>0</v>
        <stp/>
        <stp>##V3_BDHV12</stp>
        <stp>RCOM IN Equity</stp>
        <stp>ARD_CORPORATE_DIVIDEND_TAX</stp>
        <stp>FY 2014</stp>
        <stp>FY 2014</stp>
        <stp>[FA1_ymffleas.xlsx]Income - As Reported!R50C8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0" s="11"/>
      </tp>
      <tp>
        <v>0</v>
        <stp/>
        <stp>##V3_BDHV12</stp>
        <stp>RCOM IN Equity</stp>
        <stp>ARD_CORPORATE_DIVIDEND_TAX</stp>
        <stp>FY 2015</stp>
        <stp>FY 2015</stp>
        <stp>[FA1_ymffleas.xlsx]Income - As Reported!R50C9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0" s="11"/>
      </tp>
      <tp>
        <v>280.60000000000002</v>
        <stp/>
        <stp>##V3_BDHV12</stp>
        <stp>RCOM IN Equity</stp>
        <stp>ARD_CORPORATE_DIVIDEND_TAX</stp>
        <stp>FY 2009</stp>
        <stp>FY 2009</stp>
        <stp>[FA1_ymffleas.xlsx]Income - As Reported!R50C3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0" s="11"/>
      </tp>
      <tp>
        <v>291.39999999999998</v>
        <stp/>
        <stp>##V3_BDHV12</stp>
        <stp>RCOM IN Equity</stp>
        <stp>ARD_CORPORATE_DIVIDEND_TAX</stp>
        <stp>FY 2010</stp>
        <stp>FY 2010</stp>
        <stp>[FA1_ymffleas.xlsx]Income - As Reported!R50C4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0" s="11"/>
      </tp>
      <tp>
        <v>170</v>
        <stp/>
        <stp>##V3_BDHV12</stp>
        <stp>RCOM IN Equity</stp>
        <stp>ARD_CORPORATE_DIVIDEND_TAX</stp>
        <stp>FY 2011</stp>
        <stp>FY 2011</stp>
        <stp>[FA1_ymffleas.xlsx]Income - As Reported!R50C5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0" s="11"/>
      </tp>
      <tp>
        <v>80</v>
        <stp/>
        <stp>##V3_BDHV12</stp>
        <stp>RCOM IN Equity</stp>
        <stp>ARD_CORPORATE_DIVIDEND_TAX</stp>
        <stp>FY 2012</stp>
        <stp>FY 2012</stp>
        <stp>[FA1_ymffleas.xlsx]Income - As Reported!R50C6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0" s="11"/>
      </tp>
      <tp>
        <v>90</v>
        <stp/>
        <stp>##V3_BDHV12</stp>
        <stp>RCOM IN Equity</stp>
        <stp>ARD_CORPORATE_DIVIDEND_TAX</stp>
        <stp>FY 2013</stp>
        <stp>FY 2013</stp>
        <stp>[FA1_ymffleas.xlsx]Income - As Reported!R50C7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0" s="11"/>
      </tp>
      <tp>
        <v>79.593999999999994</v>
        <stp/>
        <stp>##V3_BDHV12</stp>
        <stp>RCOM IN Equity</stp>
        <stp>INT_BURDEN</stp>
        <stp>FY 2010</stp>
        <stp>FY 2010</stp>
        <stp>[FA1_ymffleas.xlsx]DuPont Analysis!R11C4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1" s="27"/>
      </tp>
      <tp>
        <v>67.711699999999993</v>
        <stp/>
        <stp>##V3_BDHV12</stp>
        <stp>RCOM IN Equity</stp>
        <stp>EBITDA_MARGIN</stp>
        <stp>FY 2018</stp>
        <stp>FY 2018</stp>
        <stp>[FA1_ymffleas.xlsx]Income - GAAP!R100C11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00" s="10"/>
      </tp>
      <tp>
        <v>2.0891999999999999</v>
        <stp/>
        <stp>##V3_BDHV12</stp>
        <stp>RCOM IN Equity</stp>
        <stp>LOW_EV_TO_T12M_SALES</stp>
        <stp>FY 2011</stp>
        <stp>FY 2011</stp>
        <stp>[FA1_ymffleas.xlsx]Multiples!R39C4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39" s="6"/>
      </tp>
      <tp>
        <v>0</v>
        <stp/>
        <stp>##V3_BDHV12</stp>
        <stp>RCOM IN Equity</stp>
        <stp>INVTRY_IN_PROGRESS</stp>
        <stp>FY 2016</stp>
        <stp>FY 2016</stp>
        <stp>[FA1_ymffleas.xlsx]Working Capital!R18C10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" s="25"/>
      </tp>
      <tp>
        <v>0</v>
        <stp/>
        <stp>##V3_BDHV12</stp>
        <stp>RCOM IN Equity</stp>
        <stp>INVTRY_IN_PROGRESS</stp>
        <stp>FY 2017</stp>
        <stp>FY 2017</stp>
        <stp>[FA1_ymffleas.xlsx]Working Capital!R18C11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" s="25"/>
      </tp>
      <tp>
        <v>0</v>
        <stp/>
        <stp>##V3_BDHV12</stp>
        <stp>RCOM IN Equity</stp>
        <stp>INVTRY_IN_PROGRESS</stp>
        <stp>FY 2018</stp>
        <stp>FY 2018</stp>
        <stp>[FA1_ymffleas.xlsx]Working Capital!R18C12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" s="25"/>
      </tp>
      <tp>
        <v>15.355</v>
        <stp/>
        <stp>##V3_BDHV12</stp>
        <stp>RCOM IN Equity</stp>
        <stp>OPER_INC_GROWTH</stp>
        <stp>FY 2013</stp>
        <stp>FY 2013</stp>
        <stp>[FA1_ymffleas.xlsx]Growth!R9C7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9" s="22"/>
      </tp>
      <tp>
        <v>1.0566</v>
        <stp/>
        <stp>##V3_BDHV12</stp>
        <stp>RCOM IN Equity</stp>
        <stp>AVERAGE_PRICE_TO_SALES_RATIO</stp>
        <stp>FY 2015</stp>
        <stp>FY 2015</stp>
        <stp>[FA1_ymffleas.xlsx]Multiples!R22C8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2" s="6"/>
      </tp>
      <tp>
        <v>3.26</v>
        <stp/>
        <stp>##V3_BDHV12</stp>
        <stp>RCOM IN Equity</stp>
        <stp>IS_DILUTED_EPS</stp>
        <stp>FY 2013</stp>
        <stp>FY 2013</stp>
        <stp>[FA1_ymffleas.xlsx]GAAP Highlights!R10C7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0" s="3"/>
      </tp>
      <tp>
        <v>35.583599999999997</v>
        <stp/>
        <stp>##V3_BDHV12</stp>
        <stp>RCOM IN Equity</stp>
        <stp>HIGH_EV_TO_T12M_EBIT</stp>
        <stp>FY 2015</stp>
        <stp>FY 2015</stp>
        <stp>[FA1_ymffleas.xlsx]Multiples!R48C8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48" s="6"/>
      </tp>
      <tp>
        <v>7.7618999999999998</v>
        <stp/>
        <stp>##V3_BDHV12</stp>
        <stp>RCOM IN Equity</stp>
        <stp>AVERAGE_EV_TO_T12M_SALES</stp>
        <stp>FY 2018</stp>
        <stp>FY 2018</stp>
        <stp>[FA1_ymffleas.xlsx]Multiples!R37C11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37" s="6"/>
      </tp>
      <tp>
        <v>-910</v>
        <stp/>
        <stp>##V3_BDHV12</stp>
        <stp>RCOM IN Equity</stp>
        <stp>ARD_MINORITY_NONCONTROL_INTEREST</stp>
        <stp>FY 2015</stp>
        <stp>FY 2015</stp>
        <stp>[FA1_ymffleas.xlsx]Income - As Reported!R41C9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1" s="11"/>
      </tp>
      <tp>
        <v>920</v>
        <stp/>
        <stp>##V3_BDHV12</stp>
        <stp>RCOM IN Equity</stp>
        <stp>ARD_MINORITY_NONCONTROL_INTEREST</stp>
        <stp>FY 2014</stp>
        <stp>FY 2014</stp>
        <stp>[FA1_ymffleas.xlsx]Income - As Reported!R41C8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1" s="11"/>
      </tp>
      <tp>
        <v>730</v>
        <stp/>
        <stp>##V3_BDHV12</stp>
        <stp>RCOM IN Equity</stp>
        <stp>ARD_MINORITY_NONCONTROL_INTEREST</stp>
        <stp>FY 2013</stp>
        <stp>FY 2013</stp>
        <stp>[FA1_ymffleas.xlsx]Income - As Reported!R41C7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1" s="11"/>
      </tp>
      <tp>
        <v>610</v>
        <stp/>
        <stp>##V3_BDHV12</stp>
        <stp>RCOM IN Equity</stp>
        <stp>ARD_MINORITY_NONCONTROL_INTEREST</stp>
        <stp>FY 2012</stp>
        <stp>FY 2012</stp>
        <stp>[FA1_ymffleas.xlsx]Income - As Reported!R41C6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1" s="11"/>
      </tp>
      <tp>
        <v>1500</v>
        <stp/>
        <stp>##V3_BDHV12</stp>
        <stp>RCOM IN Equity</stp>
        <stp>ARD_MINORITY_NONCONTROL_INTEREST</stp>
        <stp>FY 2011</stp>
        <stp>FY 2011</stp>
        <stp>[FA1_ymffleas.xlsx]Income - As Reported!R41C5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1" s="11"/>
      </tp>
      <tp>
        <v>1192.5</v>
        <stp/>
        <stp>##V3_BDHV12</stp>
        <stp>RCOM IN Equity</stp>
        <stp>ARD_MINORITY_NONCONTROL_INTEREST</stp>
        <stp>FY 2010</stp>
        <stp>FY 2010</stp>
        <stp>[FA1_ymffleas.xlsx]Income - As Reported!R41C4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1" s="11"/>
      </tp>
      <tp>
        <v>2051.6999999999998</v>
        <stp/>
        <stp>##V3_BDHV12</stp>
        <stp>RCOM IN Equity</stp>
        <stp>ARD_MINORITY_NONCONTROL_INTEREST</stp>
        <stp>FY 2009</stp>
        <stp>FY 2009</stp>
        <stp>[FA1_ymffleas.xlsx]Income - As Reported!R41C3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1" s="11"/>
      </tp>
      <tp>
        <v>-0.4138</v>
        <stp/>
        <stp>##V3_BDHV12</stp>
        <stp>RCOM IN Equity</stp>
        <stp>TOTAL_CAPITAL_SEQUENTIAL_GROWTH</stp>
        <stp>FY 2014</stp>
        <stp>FY 2014</stp>
        <stp>[FA1_ymffleas.xlsx]Growth!R79C8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9" s="22"/>
      </tp>
      <tp>
        <v>4.5</v>
        <stp/>
        <stp>##V3_BDHV12</stp>
        <stp>RCOM IN Equity</stp>
        <stp>IS_EPS</stp>
        <stp>FY 2012</stp>
        <stp>FY 2012</stp>
        <stp>[FA1_ymffleas.xlsx]Income - GAAP!R88C5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88" s="10"/>
      </tp>
      <tp>
        <v>3.4363999999999999</v>
        <stp/>
        <stp>##V3_BDHV12</stp>
        <stp>RCOM IN Equity</stp>
        <stp>TOTAL_CAPITAL_SEQUENTIAL_GROWTH</stp>
        <stp>FY 2015</stp>
        <stp>FY 2015</stp>
        <stp>[FA1_ymffleas.xlsx]Growth!R79C9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9" s="22"/>
      </tp>
      <tp>
        <v>-6.1384999999999996</v>
        <stp/>
        <stp>##V3_BDHV12</stp>
        <stp>RCOM IN Equity</stp>
        <stp>TOTAL_CAPITAL_SEQUENTIAL_GROWTH</stp>
        <stp>FY 2012</stp>
        <stp>FY 2012</stp>
        <stp>[FA1_ymffleas.xlsx]Growth!R79C6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9" s="22"/>
      </tp>
      <tp>
        <v>0.87860000000000005</v>
        <stp/>
        <stp>##V3_BDHV12</stp>
        <stp>RCOM IN Equity</stp>
        <stp>TOTAL_CAPITAL_SEQUENTIAL_GROWTH</stp>
        <stp>FY 2013</stp>
        <stp>FY 2013</stp>
        <stp>[FA1_ymffleas.xlsx]Growth!R79C7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9" s="22"/>
      </tp>
      <tp>
        <v>-10.1867</v>
        <stp/>
        <stp>##V3_BDHV12</stp>
        <stp>RCOM IN Equity</stp>
        <stp>TOTAL_CAPITAL_SEQUENTIAL_GROWTH</stp>
        <stp>FY 2010</stp>
        <stp>FY 2010</stp>
        <stp>[FA1_ymffleas.xlsx]Growth!R79C4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9" s="22"/>
      </tp>
      <tp>
        <v>9.0318000000000005</v>
        <stp/>
        <stp>##V3_BDHV12</stp>
        <stp>RCOM IN Equity</stp>
        <stp>TOTAL_CAPITAL_SEQUENTIAL_GROWTH</stp>
        <stp>FY 2011</stp>
        <stp>FY 2011</stp>
        <stp>[FA1_ymffleas.xlsx]Growth!R79C5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9" s="22"/>
      </tp>
      <tp>
        <v>43.3292</v>
        <stp/>
        <stp>##V3_BDHV12</stp>
        <stp>RCOM IN Equity</stp>
        <stp>TOTAL_CAPITAL_SEQUENTIAL_GROWTH</stp>
        <stp>FY 2009</stp>
        <stp>FY 2009</stp>
        <stp>[FA1_ymffleas.xlsx]Growth!R79C3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9" s="22"/>
      </tp>
      <tp>
        <v>2.59</v>
        <stp/>
        <stp>##V3_BDHV12</stp>
        <stp>RCOM IN Equity</stp>
        <stp>IS_DILUTED_EPS</stp>
        <stp>FY 2016</stp>
        <stp>FY 2016</stp>
        <stp>[FA1_ymffleas.xlsx]Income - GAAP!R93C9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93" s="10"/>
      </tp>
      <tp t="s">
        <v>—</v>
        <stp/>
        <stp>##V3_BDHV12</stp>
        <stp>RCOM IN Equity</stp>
        <stp>CASH_FLOW_TO_FIRM_1_YEAR_GROWTH</stp>
        <stp>FY 2018</stp>
        <stp>FY 2018</stp>
        <stp>[FA1_ymffleas.xlsx]Growth!R33C12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33" s="22"/>
      </tp>
      <tp>
        <v>62.972200000000001</v>
        <stp/>
        <stp>##V3_BDHV12</stp>
        <stp>RCOM IN Equity</stp>
        <stp>INT_BURDEN</stp>
        <stp>FY 2011</stp>
        <stp>FY 2011</stp>
        <stp>[FA1_ymffleas.xlsx]DuPont Analysis!R11C5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1" s="27"/>
      </tp>
      <tp>
        <v>-35600</v>
        <stp/>
        <stp>##V3_BDHV12</stp>
        <stp>RCOM IN Equity</stp>
        <stp>CF_CASH_FROM_OPER</stp>
        <stp>FY 2017</stp>
        <stp>FY 2017</stp>
        <stp>[FA1_ymffleas.xlsx]Adj Highlights!R23C10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3" s="2"/>
      </tp>
      <tp>
        <v>-4070</v>
        <stp/>
        <stp>##V3_BDHV12</stp>
        <stp>RCOM IN Equity</stp>
        <stp>CF_CASH_FROM_OPER</stp>
        <stp>FY 2018</stp>
        <stp>FY 2018</stp>
        <stp>[FA1_ymffleas.xlsx]Adj Highlights!R23C11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3" s="2"/>
      </tp>
      <tp>
        <v>36.1432</v>
        <stp/>
        <stp>##V3_BDHV12</stp>
        <stp>RCOM IN Equity</stp>
        <stp>COM_EQY_TO_TOT_ASSET</stp>
        <stp>FY 2014</stp>
        <stp>FY 2014</stp>
        <stp>[FA1_ymffleas.xlsx]Credit!R27C8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7" s="23"/>
      </tp>
      <tp>
        <v>40.781799999999997</v>
        <stp/>
        <stp>##V3_BDHV12</stp>
        <stp>RCOM IN Equity</stp>
        <stp>COM_EQY_TO_TOT_ASSET</stp>
        <stp>FY 2015</stp>
        <stp>FY 2015</stp>
        <stp>[FA1_ymffleas.xlsx]Credit!R27C9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7" s="23"/>
      </tp>
      <tp>
        <v>46.8416</v>
        <stp/>
        <stp>##V3_BDHV12</stp>
        <stp>RCOM IN Equity</stp>
        <stp>COM_EQY_TO_TOT_ASSET</stp>
        <stp>FY 2010</stp>
        <stp>FY 2010</stp>
        <stp>[FA1_ymffleas.xlsx]Credit!R27C4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7" s="23"/>
      </tp>
      <tp>
        <v>42.755200000000002</v>
        <stp/>
        <stp>##V3_BDHV12</stp>
        <stp>RCOM IN Equity</stp>
        <stp>COM_EQY_TO_TOT_ASSET</stp>
        <stp>FY 2011</stp>
        <stp>FY 2011</stp>
        <stp>[FA1_ymffleas.xlsx]Credit!R27C5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7" s="23"/>
      </tp>
      <tp>
        <v>39.338900000000002</v>
        <stp/>
        <stp>##V3_BDHV12</stp>
        <stp>RCOM IN Equity</stp>
        <stp>COM_EQY_TO_TOT_ASSET</stp>
        <stp>FY 2012</stp>
        <stp>FY 2012</stp>
        <stp>[FA1_ymffleas.xlsx]Credit!R27C6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7" s="23"/>
      </tp>
      <tp>
        <v>37.535200000000003</v>
        <stp/>
        <stp>##V3_BDHV12</stp>
        <stp>RCOM IN Equity</stp>
        <stp>COM_EQY_TO_TOT_ASSET</stp>
        <stp>FY 2013</stp>
        <stp>FY 2013</stp>
        <stp>[FA1_ymffleas.xlsx]Credit!R27C7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7" s="23"/>
      </tp>
      <tp>
        <v>71.116900000000001</v>
        <stp/>
        <stp>##V3_BDHV12</stp>
        <stp>RCOM IN Equity</stp>
        <stp>EBITDA_MARGIN</stp>
        <stp>FY 2017</stp>
        <stp>FY 2017</stp>
        <stp>[FA1_ymffleas.xlsx]Income - GAAP!R100C10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00" s="10"/>
      </tp>
      <tp>
        <v>-19.039899999999999</v>
        <stp/>
        <stp>##V3_BDHV12</stp>
        <stp>RCOM IN Equity</stp>
        <stp>NET_FIXED_ASSETS_5_YEAR_GROWTH</stp>
        <stp>FY 2018</stp>
        <stp>FY 2018</stp>
        <stp>[FA1_ymffleas.xlsx]Growth!R47C12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7" s="22"/>
      </tp>
      <tp>
        <v>1.2579</v>
        <stp/>
        <stp>##V3_BDHV12</stp>
        <stp>RCOM IN Equity</stp>
        <stp>NET_FIXED_ASSETS_5_YEAR_GROWTH</stp>
        <stp>FY 2017</stp>
        <stp>FY 2017</stp>
        <stp>[FA1_ymffleas.xlsx]Growth!R47C11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7" s="22"/>
      </tp>
      <tp>
        <v>-1.2321</v>
        <stp/>
        <stp>##V3_BDHV12</stp>
        <stp>RCOM IN Equity</stp>
        <stp>NET_FIXED_ASSETS_5_YEAR_GROWTH</stp>
        <stp>FY 2016</stp>
        <stp>FY 2016</stp>
        <stp>[FA1_ymffleas.xlsx]Growth!R47C10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7" s="22"/>
      </tp>
      <tp>
        <v>41.3673</v>
        <stp/>
        <stp>##V3_BDHV12</stp>
        <stp>RCOM IN Equity</stp>
        <stp>COM_EQY_TO_TOT_ASSET</stp>
        <stp>FY 2009</stp>
        <stp>FY 2009</stp>
        <stp>[FA1_ymffleas.xlsx]Credit!R27C3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7" s="23"/>
      </tp>
      <tp>
        <v>46.0702</v>
        <stp/>
        <stp>##V3_BDHV12</stp>
        <stp>RCOM IN Equity</stp>
        <stp>TOT_DEBT_TO_TOT_ASSET</stp>
        <stp>FY 2013</stp>
        <stp>FY 2013</stp>
        <stp>[FA1_ymffleas.xlsx]Liquidity!R18C7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8" s="24"/>
      </tp>
      <tp>
        <v>41.514099999999999</v>
        <stp/>
        <stp>##V3_BDHV12</stp>
        <stp>RCOM IN Equity</stp>
        <stp>TOT_DEBT_TO_TOT_ASSET</stp>
        <stp>FY 2012</stp>
        <stp>FY 2012</stp>
        <stp>[FA1_ymffleas.xlsx]Liquidity!R18C6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8" s="24"/>
      </tp>
      <tp>
        <v>41.247599999999998</v>
        <stp/>
        <stp>##V3_BDHV12</stp>
        <stp>RCOM IN Equity</stp>
        <stp>TOT_DEBT_TO_TOT_ASSET</stp>
        <stp>FY 2011</stp>
        <stp>FY 2011</stp>
        <stp>[FA1_ymffleas.xlsx]Liquidity!R18C5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8" s="24"/>
      </tp>
      <tp>
        <v>32.100999999999999</v>
        <stp/>
        <stp>##V3_BDHV12</stp>
        <stp>RCOM IN Equity</stp>
        <stp>TOT_DEBT_TO_TOT_ASSET</stp>
        <stp>FY 2010</stp>
        <stp>FY 2010</stp>
        <stp>[FA1_ymffleas.xlsx]Liquidity!R18C4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8" s="24"/>
      </tp>
      <tp>
        <v>38.316600000000001</v>
        <stp/>
        <stp>##V3_BDHV12</stp>
        <stp>RCOM IN Equity</stp>
        <stp>TOT_DEBT_TO_TOT_ASSET</stp>
        <stp>FY 2009</stp>
        <stp>FY 2009</stp>
        <stp>[FA1_ymffleas.xlsx]Liquidity!R18C3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8" s="24"/>
      </tp>
      <tp>
        <v>42.9619</v>
        <stp/>
        <stp>##V3_BDHV12</stp>
        <stp>RCOM IN Equity</stp>
        <stp>TOT_DEBT_TO_TOT_ASSET</stp>
        <stp>FY 2015</stp>
        <stp>FY 2015</stp>
        <stp>[FA1_ymffleas.xlsx]Liquidity!R18C9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8" s="24"/>
      </tp>
      <tp t="s">
        <v>—</v>
        <stp/>
        <stp>##V3_BDHV12</stp>
        <stp>RCOM IN Equity</stp>
        <stp>ARD_DEPRECIATION_AND_AMORT_CF</stp>
        <stp>FY 2018</stp>
        <stp>FY 2018</stp>
        <stp>[FA1_ymffleas.xlsx]Cash Flow - As Reported!R8C12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" s="20"/>
      </tp>
      <tp t="s">
        <v>—</v>
        <stp/>
        <stp>##V3_BDHV12</stp>
        <stp>RCOM IN Equity</stp>
        <stp>ARD_DEPRECIATION_AND_AMORT_CF</stp>
        <stp>FY 2016</stp>
        <stp>FY 2016</stp>
        <stp>[FA1_ymffleas.xlsx]Cash Flow - As Reported!R8C10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20"/>
      </tp>
      <tp t="s">
        <v>—</v>
        <stp/>
        <stp>##V3_BDHV12</stp>
        <stp>RCOM IN Equity</stp>
        <stp>ARD_DEPRECIATION_AND_AMORT_CF</stp>
        <stp>FY 2017</stp>
        <stp>FY 2017</stp>
        <stp>[FA1_ymffleas.xlsx]Cash Flow - As Reported!R8C11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20"/>
      </tp>
      <tp>
        <v>46.582000000000001</v>
        <stp/>
        <stp>##V3_BDHV12</stp>
        <stp>RCOM IN Equity</stp>
        <stp>TOT_DEBT_TO_TOT_ASSET</stp>
        <stp>FY 2014</stp>
        <stp>FY 2014</stp>
        <stp>[FA1_ymffleas.xlsx]Liquidity!R18C8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8" s="24"/>
      </tp>
      <tp>
        <v>9460</v>
        <stp/>
        <stp>##V3_BDHV12</stp>
        <stp>RCOM IN Equity</stp>
        <stp>PRETAX_INC</stp>
        <stp>FY 2015</stp>
        <stp>FY 2015</stp>
        <stp>[FA1_ymffleas.xlsx]Income - Adjusted!R75C8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75" s="9"/>
      </tp>
      <tp>
        <v>2320</v>
        <stp/>
        <stp>##V3_BDHV12</stp>
        <stp>RCOM IN Equity</stp>
        <stp>PRETAX_INC</stp>
        <stp>FY 2016</stp>
        <stp>FY 2016</stp>
        <stp>[FA1_ymffleas.xlsx]Income - Adjusted!R75C9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75" s="9"/>
      </tp>
      <tp>
        <v>2.1456</v>
        <stp/>
        <stp>##V3_BDHV12</stp>
        <stp>RCOM IN Equity</stp>
        <stp>LOW_EV_TO_T12M_SALES</stp>
        <stp>FY 2012</stp>
        <stp>FY 2012</stp>
        <stp>[FA1_ymffleas.xlsx]Multiples!R39C5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39" s="6"/>
      </tp>
      <tp>
        <v>254.7</v>
        <stp/>
        <stp>##V3_BDHV12</stp>
        <stp>RCOM IN Equity</stp>
        <stp>ARDR_FAIR_VAL_POST_RETIRE_ASSETS</stp>
        <stp>FY 2009</stp>
        <stp>FY 2009</stp>
        <stp>[FA1_ymffleas.xlsx]Bal Sheet - As Reported!R115C3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5" s="17"/>
      </tp>
      <tp>
        <v>320</v>
        <stp/>
        <stp>##V3_BDHV12</stp>
        <stp>RCOM IN Equity</stp>
        <stp>ARDR_FAIR_VAL_POST_RETIRE_ASSETS</stp>
        <stp>FY 2011</stp>
        <stp>FY 2011</stp>
        <stp>[FA1_ymffleas.xlsx]Bal Sheet - As Reported!R115C5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5" s="17"/>
      </tp>
      <tp>
        <v>362.9</v>
        <stp/>
        <stp>##V3_BDHV12</stp>
        <stp>RCOM IN Equity</stp>
        <stp>ARDR_FAIR_VAL_POST_RETIRE_ASSETS</stp>
        <stp>FY 2010</stp>
        <stp>FY 2010</stp>
        <stp>[FA1_ymffleas.xlsx]Bal Sheet - As Reported!R115C4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5" s="17"/>
      </tp>
      <tp>
        <v>290</v>
        <stp/>
        <stp>##V3_BDHV12</stp>
        <stp>RCOM IN Equity</stp>
        <stp>ARDR_FAIR_VAL_POST_RETIRE_ASSETS</stp>
        <stp>FY 2013</stp>
        <stp>FY 2013</stp>
        <stp>[FA1_ymffleas.xlsx]Bal Sheet - As Reported!R115C7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5" s="17"/>
      </tp>
      <tp>
        <v>310</v>
        <stp/>
        <stp>##V3_BDHV12</stp>
        <stp>RCOM IN Equity</stp>
        <stp>ARDR_FAIR_VAL_POST_RETIRE_ASSETS</stp>
        <stp>FY 2012</stp>
        <stp>FY 2012</stp>
        <stp>[FA1_ymffleas.xlsx]Bal Sheet - As Reported!R115C6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5" s="17"/>
      </tp>
      <tp>
        <v>100</v>
        <stp/>
        <stp>##V3_BDHV12</stp>
        <stp>RCOM IN Equity</stp>
        <stp>ARDR_FAIR_VAL_POST_RETIRE_ASSETS</stp>
        <stp>FY 2015</stp>
        <stp>FY 2015</stp>
        <stp>[FA1_ymffleas.xlsx]Bal Sheet - As Reported!R115C9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5" s="17"/>
      </tp>
      <tp>
        <v>160</v>
        <stp/>
        <stp>##V3_BDHV12</stp>
        <stp>RCOM IN Equity</stp>
        <stp>ARDR_FAIR_VAL_POST_RETIRE_ASSETS</stp>
        <stp>FY 2014</stp>
        <stp>FY 2014</stp>
        <stp>[FA1_ymffleas.xlsx]Bal Sheet - As Reported!R115C8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5" s="17"/>
      </tp>
      <tp>
        <v>52228.3</v>
        <stp/>
        <stp>##V3_BDHV12</stp>
        <stp>RCOM IN Equity</stp>
        <stp>PRETAX_INC</stp>
        <stp>FY 2010</stp>
        <stp>FY 2010</stp>
        <stp>[FA1_ymffleas.xlsx]Income - Adjusted!R75C3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75" s="9"/>
      </tp>
      <tp>
        <v>15170</v>
        <stp/>
        <stp>##V3_BDHV12</stp>
        <stp>RCOM IN Equity</stp>
        <stp>PRETAX_INC</stp>
        <stp>FY 2011</stp>
        <stp>FY 2011</stp>
        <stp>[FA1_ymffleas.xlsx]Income - Adjusted!R75C4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75" s="9"/>
      </tp>
      <tp>
        <v>8820</v>
        <stp/>
        <stp>##V3_BDHV12</stp>
        <stp>RCOM IN Equity</stp>
        <stp>PRETAX_INC</stp>
        <stp>FY 2012</stp>
        <stp>FY 2012</stp>
        <stp>[FA1_ymffleas.xlsx]Income - Adjusted!R75C5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75" s="9"/>
      </tp>
      <tp>
        <v>8150</v>
        <stp/>
        <stp>##V3_BDHV12</stp>
        <stp>RCOM IN Equity</stp>
        <stp>PRETAX_INC</stp>
        <stp>FY 2013</stp>
        <stp>FY 2013</stp>
        <stp>[FA1_ymffleas.xlsx]Income - Adjusted!R75C6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75" s="9"/>
      </tp>
      <tp t="s">
        <v>—</v>
        <stp/>
        <stp>##V3_BDHV12</stp>
        <stp>RCOM IN Equity</stp>
        <stp>ARDR_OTH_NON_OPER_INC_EXP_NET</stp>
        <stp>FY 2016</stp>
        <stp>FY 2016</stp>
        <stp>[FA1_ymffleas.xlsx]Income - As Reported!R97C10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7" s="11"/>
      </tp>
      <tp t="s">
        <v>—</v>
        <stp/>
        <stp>##V3_BDHV12</stp>
        <stp>RCOM IN Equity</stp>
        <stp>ARDR_OTH_NON_OPER_INC_EXP_NET</stp>
        <stp>FY 2017</stp>
        <stp>FY 2017</stp>
        <stp>[FA1_ymffleas.xlsx]Income - As Reported!R97C11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7" s="11"/>
      </tp>
      <tp t="s">
        <v>—</v>
        <stp/>
        <stp>##V3_BDHV12</stp>
        <stp>RCOM IN Equity</stp>
        <stp>ARDR_OTH_NON_OPER_INC_EXP_NET</stp>
        <stp>FY 2018</stp>
        <stp>FY 2018</stp>
        <stp>[FA1_ymffleas.xlsx]Income - As Reported!R97C12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7" s="11"/>
      </tp>
      <tp>
        <v>1160</v>
        <stp/>
        <stp>##V3_BDHV12</stp>
        <stp>RCOM IN Equity</stp>
        <stp>PRETAX_INC</stp>
        <stp>FY 2014</stp>
        <stp>FY 2014</stp>
        <stp>[FA1_ymffleas.xlsx]Income - Adjusted!R75C7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75" s="9"/>
      </tp>
      <tp>
        <v>-2.9379999999999997</v>
        <stp/>
        <stp>##V3_BDHV12</stp>
        <stp>RCOM IN Equity</stp>
        <stp>OPER_INC_GROWTH</stp>
        <stp>FY 2012</stp>
        <stp>FY 2012</stp>
        <stp>[FA1_ymffleas.xlsx]Growth!R9C6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9" s="22"/>
      </tp>
      <tp>
        <v>95</v>
        <stp/>
        <stp>##V3_BDHV12</stp>
        <stp>RCOM IN Equity</stp>
        <stp>BOARD_MEETING_ATTENDANCE_PCT</stp>
        <stp>FY 2012</stp>
        <stp>FY 2012</stp>
        <stp>[FA1_ymffleas.xlsx]ESG - Overview!R27C6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7" s="34"/>
      </tp>
      <tp>
        <v>96</v>
        <stp/>
        <stp>##V3_BDHV12</stp>
        <stp>RCOM IN Equity</stp>
        <stp>BOARD_MEETING_ATTENDANCE_PCT</stp>
        <stp>FY 2013</stp>
        <stp>FY 2013</stp>
        <stp>[FA1_ymffleas.xlsx]ESG - Overview!R27C7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7" s="34"/>
      </tp>
      <tp>
        <v>92.5</v>
        <stp/>
        <stp>##V3_BDHV12</stp>
        <stp>RCOM IN Equity</stp>
        <stp>BOARD_MEETING_ATTENDANCE_PCT</stp>
        <stp>FY 2010</stp>
        <stp>FY 2010</stp>
        <stp>[FA1_ymffleas.xlsx]ESG - Overview!R27C4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7" s="34"/>
      </tp>
      <tp>
        <v>86.67</v>
        <stp/>
        <stp>##V3_BDHV12</stp>
        <stp>RCOM IN Equity</stp>
        <stp>BOARD_MEETING_ATTENDANCE_PCT</stp>
        <stp>FY 2011</stp>
        <stp>FY 2011</stp>
        <stp>[FA1_ymffleas.xlsx]ESG - Overview!R27C5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7" s="34"/>
      </tp>
      <tp>
        <v>95</v>
        <stp/>
        <stp>##V3_BDHV12</stp>
        <stp>RCOM IN Equity</stp>
        <stp>BOARD_MEETING_ATTENDANCE_PCT</stp>
        <stp>FY 2009</stp>
        <stp>FY 2009</stp>
        <stp>[FA1_ymffleas.xlsx]ESG - Overview!R27C3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7" s="34"/>
      </tp>
      <tp>
        <v>0.72270000000000001</v>
        <stp/>
        <stp>##V3_BDHV12</stp>
        <stp>RCOM IN Equity</stp>
        <stp>AVERAGE_PRICE_TO_SALES_RATIO</stp>
        <stp>FY 2016</stp>
        <stp>FY 2016</stp>
        <stp>[FA1_ymffleas.xlsx]Multiples!R22C9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2" s="6"/>
      </tp>
      <tp>
        <v>76</v>
        <stp/>
        <stp>##V3_BDHV12</stp>
        <stp>RCOM IN Equity</stp>
        <stp>BOARD_MEETING_ATTENDANCE_PCT</stp>
        <stp>FY 2014</stp>
        <stp>FY 2014</stp>
        <stp>[FA1_ymffleas.xlsx]ESG - Overview!R27C8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7" s="34"/>
      </tp>
      <tp>
        <v>81.819999999999993</v>
        <stp/>
        <stp>##V3_BDHV12</stp>
        <stp>RCOM IN Equity</stp>
        <stp>BOARD_MEETING_ATTENDANCE_PCT</stp>
        <stp>FY 2015</stp>
        <stp>FY 2015</stp>
        <stp>[FA1_ymffleas.xlsx]ESG - Overview!R27C9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7" s="34"/>
      </tp>
      <tp>
        <v>4.41</v>
        <stp/>
        <stp>##V3_BDHV12</stp>
        <stp>RCOM IN Equity</stp>
        <stp>IS_DILUTED_EPS</stp>
        <stp>FY 2012</stp>
        <stp>FY 2012</stp>
        <stp>[FA1_ymffleas.xlsx]GAAP Highlights!R10C6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0" s="3"/>
      </tp>
      <tp>
        <v>0.67810000000000004</v>
        <stp/>
        <stp>##V3_BDHV12</stp>
        <stp>RCOM IN Equity</stp>
        <stp>CAP_EXPEND_TO_TOT_ASSET</stp>
        <stp>FY 2018</stp>
        <stp>FY 2018</stp>
        <stp>[FA1_ymffleas.xlsx]CAPEX &amp; Depreciation!R13C12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3" s="28"/>
      </tp>
      <tp>
        <v>15.605</v>
        <stp/>
        <stp>##V3_BDHV12</stp>
        <stp>RCOM IN Equity</stp>
        <stp>CAP_EXPEND_TO_TOT_ASSET</stp>
        <stp>FY 2016</stp>
        <stp>FY 2016</stp>
        <stp>[FA1_ymffleas.xlsx]CAPEX &amp; Depreciation!R13C10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3" s="28"/>
      </tp>
      <tp>
        <v>3.8586</v>
        <stp/>
        <stp>##V3_BDHV12</stp>
        <stp>RCOM IN Equity</stp>
        <stp>CAP_EXPEND_TO_TOT_ASSET</stp>
        <stp>FY 2017</stp>
        <stp>FY 2017</stp>
        <stp>[FA1_ymffleas.xlsx]CAPEX &amp; Depreciation!R13C11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3" s="28"/>
      </tp>
      <tp>
        <v>19.750299999999999</v>
        <stp/>
        <stp>##V3_BDHV12</stp>
        <stp>RCOM IN Equity</stp>
        <stp>HIGH_EV_TO_T12M_EBIT</stp>
        <stp>FY 2016</stp>
        <stp>FY 2016</stp>
        <stp>[FA1_ymffleas.xlsx]Multiples!R48C9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48" s="6"/>
      </tp>
      <tp>
        <v>2.4797000000000002</v>
        <stp/>
        <stp>##V3_BDHV12</stp>
        <stp>RCOM IN Equity</stp>
        <stp>AVERAGE_EV_TO_T12M_SALES</stp>
        <stp>FY 2017</stp>
        <stp>FY 2017</stp>
        <stp>[FA1_ymffleas.xlsx]Multiples!R37C10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37" s="6"/>
      </tp>
      <tp>
        <v>6.5164</v>
        <stp/>
        <stp>##V3_BDHV12</stp>
        <stp>RCOM IN Equity</stp>
        <stp>IS_EPS</stp>
        <stp>FY 2011</stp>
        <stp>FY 2011</stp>
        <stp>[FA1_ymffleas.xlsx]Income - GAAP!R88C4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88" s="10"/>
      </tp>
      <tp>
        <v>3.05</v>
        <stp/>
        <stp>##V3_BDHV12</stp>
        <stp>RCOM IN Equity</stp>
        <stp>IS_DILUTED_EPS</stp>
        <stp>FY 2015</stp>
        <stp>FY 2015</stp>
        <stp>[FA1_ymffleas.xlsx]Income - GAAP!R93C8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93" s="10"/>
      </tp>
      <tp>
        <v>514.18269999999995</v>
        <stp/>
        <stp>##V3_BDHV12</stp>
        <stp>RCOM IN Equity</stp>
        <stp>TOT_CAP_EXPEND_GROWTH</stp>
        <stp>FY 2016</stp>
        <stp>FY 2016</stp>
        <stp>[FA1_ymffleas.xlsx]CAPEX &amp; Depreciation!R16C10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" s="28"/>
      </tp>
      <tp>
        <v>-74.429199999999994</v>
        <stp/>
        <stp>##V3_BDHV12</stp>
        <stp>RCOM IN Equity</stp>
        <stp>TOT_CAP_EXPEND_GROWTH</stp>
        <stp>FY 2017</stp>
        <stp>FY 2017</stp>
        <stp>[FA1_ymffleas.xlsx]CAPEX &amp; Depreciation!R16C11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" s="28"/>
      </tp>
      <tp>
        <v>-84.923500000000004</v>
        <stp/>
        <stp>##V3_BDHV12</stp>
        <stp>RCOM IN Equity</stp>
        <stp>TOT_CAP_EXPEND_GROWTH</stp>
        <stp>FY 2018</stp>
        <stp>FY 2018</stp>
        <stp>[FA1_ymffleas.xlsx]CAPEX &amp; Depreciation!R16C12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" s="28"/>
      </tp>
      <tp>
        <v>-20</v>
        <stp/>
        <stp>##V3_BDHV12</stp>
        <stp>RCOM IN Equity</stp>
        <stp>ARDR_FOREIGN_EXCH_GL</stp>
        <stp>FY 2018</stp>
        <stp>FY 2018</stp>
        <stp>[FA1_ymffleas.xlsx]Income - As Reported!R89C12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9" s="11"/>
      </tp>
      <tp>
        <v>-20</v>
        <stp/>
        <stp>##V3_BDHV12</stp>
        <stp>RCOM IN Equity</stp>
        <stp>ARDR_FOREIGN_EXCH_GL</stp>
        <stp>FY 2017</stp>
        <stp>FY 2017</stp>
        <stp>[FA1_ymffleas.xlsx]Income - As Reported!R89C11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9" s="11"/>
      </tp>
      <tp>
        <v>240</v>
        <stp/>
        <stp>##V3_BDHV12</stp>
        <stp>RCOM IN Equity</stp>
        <stp>ARDR_FOREIGN_EXCH_GL</stp>
        <stp>FY 2016</stp>
        <stp>FY 2016</stp>
        <stp>[FA1_ymffleas.xlsx]Income - As Reported!R89C10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9" s="11"/>
      </tp>
      <tp>
        <v>-2080</v>
        <stp/>
        <stp>##V3_BDHV12</stp>
        <stp>RCOM IN Equity</stp>
        <stp>ARD_NET_CHANGE_IN_CASH</stp>
        <stp>FY 2018</stp>
        <stp>FY 2018</stp>
        <stp>[FA1_ymffleas.xlsx]As Reported Summary!R31C12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1" s="30"/>
      </tp>
      <tp>
        <v>-4080</v>
        <stp/>
        <stp>##V3_BDHV12</stp>
        <stp>RCOM IN Equity</stp>
        <stp>ARD_NET_CHANGE_IN_CASH</stp>
        <stp>FY 2016</stp>
        <stp>FY 2016</stp>
        <stp>[FA1_ymffleas.xlsx]As Reported Summary!R31C10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1" s="30"/>
      </tp>
      <tp>
        <v>2510</v>
        <stp/>
        <stp>##V3_BDHV12</stp>
        <stp>RCOM IN Equity</stp>
        <stp>ARD_NET_CHANGE_IN_CASH</stp>
        <stp>FY 2017</stp>
        <stp>FY 2017</stp>
        <stp>[FA1_ymffleas.xlsx]As Reported Summary!R31C11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1" s="30"/>
      </tp>
      <tp>
        <v>31.8001</v>
        <stp/>
        <stp>##V3_BDHV12</stp>
        <stp>RCOM IN Equity</stp>
        <stp>LT_DEBT_TO_TOT_ASSET</stp>
        <stp>FY 2013</stp>
        <stp>FY 2013</stp>
        <stp>[FA1_ymffleas.xlsx]Credit!R30C7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0" s="23"/>
      </tp>
      <tp>
        <v>32.131399999999999</v>
        <stp/>
        <stp>##V3_BDHV12</stp>
        <stp>RCOM IN Equity</stp>
        <stp>LT_DEBT_TO_TOT_ASSET</stp>
        <stp>FY 2012</stp>
        <stp>FY 2012</stp>
        <stp>[FA1_ymffleas.xlsx]Credit!R30C6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0" s="23"/>
      </tp>
      <tp>
        <v>20.3889</v>
        <stp/>
        <stp>##V3_BDHV12</stp>
        <stp>RCOM IN Equity</stp>
        <stp>LT_DEBT_TO_TOT_ASSET</stp>
        <stp>FY 2011</stp>
        <stp>FY 2011</stp>
        <stp>[FA1_ymffleas.xlsx]Credit!R30C5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0" s="23"/>
      </tp>
      <tp>
        <v>20.7973</v>
        <stp/>
        <stp>##V3_BDHV12</stp>
        <stp>RCOM IN Equity</stp>
        <stp>LT_DEBT_TO_TOT_ASSET</stp>
        <stp>FY 2010</stp>
        <stp>FY 2010</stp>
        <stp>[FA1_ymffleas.xlsx]Credit!R30C4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0" s="23"/>
      </tp>
      <tp>
        <v>26.7013</v>
        <stp/>
        <stp>##V3_BDHV12</stp>
        <stp>RCOM IN Equity</stp>
        <stp>LT_DEBT_TO_TOT_ASSET</stp>
        <stp>FY 2009</stp>
        <stp>FY 2009</stp>
        <stp>[FA1_ymffleas.xlsx]Credit!R30C3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0" s="23"/>
      </tp>
      <tp>
        <v>110</v>
        <stp/>
        <stp>##V3_BDHV12</stp>
        <stp>RCOM IN Equity</stp>
        <stp>ST_CAPITAL_LEASE_OBLIGATIONS</stp>
        <stp>FY 2015</stp>
        <stp>FY 2015</stp>
        <stp>[FA1_ymffleas.xlsx]Bal Sheet - Standardized!R89C9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9" s="16"/>
      </tp>
      <tp>
        <v>200</v>
        <stp/>
        <stp>##V3_BDHV12</stp>
        <stp>RCOM IN Equity</stp>
        <stp>ST_CAPITAL_LEASE_OBLIGATIONS</stp>
        <stp>FY 2014</stp>
        <stp>FY 2014</stp>
        <stp>[FA1_ymffleas.xlsx]Bal Sheet - Standardized!R89C8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9" s="16"/>
      </tp>
      <tp>
        <v>0</v>
        <stp/>
        <stp>##V3_BDHV12</stp>
        <stp>RCOM IN Equity</stp>
        <stp>ST_CAPITAL_LEASE_OBLIGATIONS</stp>
        <stp>FY 2009</stp>
        <stp>FY 2009</stp>
        <stp>[FA1_ymffleas.xlsx]Bal Sheet - Standardized!R89C3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9" s="16"/>
      </tp>
      <tp>
        <v>0</v>
        <stp/>
        <stp>##V3_BDHV12</stp>
        <stp>RCOM IN Equity</stp>
        <stp>ST_CAPITAL_LEASE_OBLIGATIONS</stp>
        <stp>FY 2013</stp>
        <stp>FY 2013</stp>
        <stp>[FA1_ymffleas.xlsx]Bal Sheet - Standardized!R89C7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9" s="16"/>
      </tp>
      <tp>
        <v>0</v>
        <stp/>
        <stp>##V3_BDHV12</stp>
        <stp>RCOM IN Equity</stp>
        <stp>ST_CAPITAL_LEASE_OBLIGATIONS</stp>
        <stp>FY 2012</stp>
        <stp>FY 2012</stp>
        <stp>[FA1_ymffleas.xlsx]Bal Sheet - Standardized!R89C6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9" s="16"/>
      </tp>
      <tp>
        <v>0</v>
        <stp/>
        <stp>##V3_BDHV12</stp>
        <stp>RCOM IN Equity</stp>
        <stp>ST_CAPITAL_LEASE_OBLIGATIONS</stp>
        <stp>FY 2011</stp>
        <stp>FY 2011</stp>
        <stp>[FA1_ymffleas.xlsx]Bal Sheet - Standardized!R89C5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9" s="16"/>
      </tp>
      <tp>
        <v>0</v>
        <stp/>
        <stp>##V3_BDHV12</stp>
        <stp>RCOM IN Equity</stp>
        <stp>ST_CAPITAL_LEASE_OBLIGATIONS</stp>
        <stp>FY 2010</stp>
        <stp>FY 2010</stp>
        <stp>[FA1_ymffleas.xlsx]Bal Sheet - Standardized!R89C4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9" s="16"/>
      </tp>
      <tp>
        <v>32.767499999999998</v>
        <stp/>
        <stp>##V3_BDHV12</stp>
        <stp>RCOM IN Equity</stp>
        <stp>LT_DEBT_TO_TOT_ASSET</stp>
        <stp>FY 2015</stp>
        <stp>FY 2015</stp>
        <stp>[FA1_ymffleas.xlsx]Credit!R30C9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0" s="23"/>
      </tp>
      <tp>
        <v>31.0594</v>
        <stp/>
        <stp>##V3_BDHV12</stp>
        <stp>RCOM IN Equity</stp>
        <stp>LT_DEBT_TO_TOT_ASSET</stp>
        <stp>FY 2014</stp>
        <stp>FY 2014</stp>
        <stp>[FA1_ymffleas.xlsx]Credit!R30C8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0" s="23"/>
      </tp>
      <tp>
        <v>196.21350000000001</v>
        <stp/>
        <stp>##V3_BDHV12</stp>
        <stp>RCOM IN Equity</stp>
        <stp>BOOK_VAL_PER_SH</stp>
        <stp>FY 2011</stp>
        <stp>FY 2011</stp>
        <stp>[FA1_ymffleas.xlsx]Per Share!R26C4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6" s="7"/>
      </tp>
      <tp>
        <v>214230</v>
        <stp/>
        <stp>##V3_BDHV12</stp>
        <stp>RCOM IN Equity</stp>
        <stp>SALES_REV_TURN</stp>
        <stp>FY 2015</stp>
        <stp>FY 2015</stp>
        <stp>[FA1_ymffleas.xlsx]Adj Highlights!R12C8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2" s="2"/>
      </tp>
      <tp>
        <v>175.85040000000001</v>
        <stp/>
        <stp>##V3_BDHV12</stp>
        <stp>RCOM IN Equity</stp>
        <stp>BOOK_VAL_PER_SH</stp>
        <stp>FY 2012</stp>
        <stp>FY 2012</stp>
        <stp>[FA1_ymffleas.xlsx]Per Share!R26C5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6" s="7"/>
      </tp>
      <tp>
        <v>217430</v>
        <stp/>
        <stp>##V3_BDHV12</stp>
        <stp>RCOM IN Equity</stp>
        <stp>SALES_REV_TURN</stp>
        <stp>FY 2016</stp>
        <stp>FY 2016</stp>
        <stp>[FA1_ymffleas.xlsx]Adj Highlights!R12C9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2" s="2"/>
      </tp>
      <tp>
        <v>163.99979999999999</v>
        <stp/>
        <stp>##V3_BDHV12</stp>
        <stp>RCOM IN Equity</stp>
        <stp>BOOK_VAL_PER_SH</stp>
        <stp>FY 2013</stp>
        <stp>FY 2013</stp>
        <stp>[FA1_ymffleas.xlsx]Per Share!R26C6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6" s="7"/>
      </tp>
      <tp>
        <v>158.89330000000001</v>
        <stp/>
        <stp>##V3_BDHV12</stp>
        <stp>RCOM IN Equity</stp>
        <stp>BOOK_VAL_PER_SH</stp>
        <stp>FY 2014</stp>
        <stp>FY 2014</stp>
        <stp>[FA1_ymffleas.xlsx]Per Share!R26C7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6" s="7"/>
      </tp>
      <tp t="s">
        <v>—</v>
        <stp/>
        <stp>##V3_BDHV12</stp>
        <stp>RCOM IN Equity</stp>
        <stp>INVENT_DAYS</stp>
        <stp>FY 2018</stp>
        <stp>FY 2018</stp>
        <stp>[FA1_ymffleas.xlsx]Working Capital!R9C12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9" s="25"/>
      </tp>
      <tp t="s">
        <v>—</v>
        <stp/>
        <stp>##V3_BDHV12</stp>
        <stp>RCOM IN Equity</stp>
        <stp>CASH_CONVERSION_CYCLE</stp>
        <stp>FY 2018</stp>
        <stp>FY 2018</stp>
        <stp>[FA1_ymffleas.xlsx]Bal Sheet - Standardized!R171C12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71" s="16"/>
      </tp>
      <tp>
        <v>-29.401800000000001</v>
        <stp/>
        <stp>##V3_BDHV12</stp>
        <stp>RCOM IN Equity</stp>
        <stp>EPS_DILUTED_SEQUENTIAL_GROWTH</stp>
        <stp>FY 2012</stp>
        <stp>FY 2012</stp>
        <stp>[FA1_ymffleas.xlsx]Growth!R64C6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64" s="22"/>
      </tp>
      <tp>
        <v>210.0779</v>
        <stp/>
        <stp>##V3_BDHV12</stp>
        <stp>RCOM IN Equity</stp>
        <stp>BOOK_VAL_PER_SH</stp>
        <stp>FY 2010</stp>
        <stp>FY 2010</stp>
        <stp>[FA1_ymffleas.xlsx]Per Share!R26C3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6" s="7"/>
      </tp>
      <tp t="s">
        <v>—</v>
        <stp/>
        <stp>##V3_BDHV12</stp>
        <stp>RCOM IN Equity</stp>
        <stp>FCF_TO_FIRM_SEQUENTIAL_GROWTH</stp>
        <stp>FY 2014</stp>
        <stp>FY 2014</stp>
        <stp>[FA1_ymffleas.xlsx]Growth!R87C8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87" s="22"/>
      </tp>
      <tp>
        <v>206850.5</v>
        <stp/>
        <stp>##V3_BDHV12</stp>
        <stp>RCOM IN Equity</stp>
        <stp>SALES_REV_TURN</stp>
        <stp>FY 2010</stp>
        <stp>FY 2010</stp>
        <stp>[FA1_ymffleas.xlsx]Adj Highlights!R12C3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2" s="2"/>
      </tp>
      <tp>
        <v>152.41589999999999</v>
        <stp/>
        <stp>##V3_BDHV12</stp>
        <stp>RCOM IN Equity</stp>
        <stp>BOOK_VAL_PER_SH</stp>
        <stp>FY 2015</stp>
        <stp>FY 2015</stp>
        <stp>[FA1_ymffleas.xlsx]Per Share!R26C8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6" s="7"/>
      </tp>
      <tp>
        <v>220890</v>
        <stp/>
        <stp>##V3_BDHV12</stp>
        <stp>RCOM IN Equity</stp>
        <stp>SALES_REV_TURN</stp>
        <stp>FY 2011</stp>
        <stp>FY 2011</stp>
        <stp>[FA1_ymffleas.xlsx]Adj Highlights!R12C4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2" s="2"/>
      </tp>
      <tp>
        <v>126.8914</v>
        <stp/>
        <stp>##V3_BDHV12</stp>
        <stp>RCOM IN Equity</stp>
        <stp>BOOK_VAL_PER_SH</stp>
        <stp>FY 2016</stp>
        <stp>FY 2016</stp>
        <stp>[FA1_ymffleas.xlsx]Per Share!R26C9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6" s="7"/>
      </tp>
      <tp>
        <v>187160</v>
        <stp/>
        <stp>##V3_BDHV12</stp>
        <stp>RCOM IN Equity</stp>
        <stp>SALES_REV_TURN</stp>
        <stp>FY 2012</stp>
        <stp>FY 2012</stp>
        <stp>[FA1_ymffleas.xlsx]Adj Highlights!R12C5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2" s="2"/>
      </tp>
      <tp>
        <v>192940</v>
        <stp/>
        <stp>##V3_BDHV12</stp>
        <stp>RCOM IN Equity</stp>
        <stp>SALES_REV_TURN</stp>
        <stp>FY 2013</stp>
        <stp>FY 2013</stp>
        <stp>[FA1_ymffleas.xlsx]Adj Highlights!R12C6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2" s="2"/>
      </tp>
      <tp>
        <v>209400</v>
        <stp/>
        <stp>##V3_BDHV12</stp>
        <stp>RCOM IN Equity</stp>
        <stp>SALES_REV_TURN</stp>
        <stp>FY 2014</stp>
        <stp>FY 2014</stp>
        <stp>[FA1_ymffleas.xlsx]Adj Highlights!R12C7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2" s="2"/>
      </tp>
      <tp t="s">
        <v>—</v>
        <stp/>
        <stp>##V3_BDHV12</stp>
        <stp>RCOM IN Equity</stp>
        <stp>ARD_CASH_PAID_FOR_INTEREST</stp>
        <stp>FY 2013</stp>
        <stp>FY 2013</stp>
        <stp>[FA1_ymffleas.xlsx]Cash Flow - As Reported!R61C7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1" s="20"/>
      </tp>
      <tp>
        <v>-17180</v>
        <stp/>
        <stp>##V3_BDHV12</stp>
        <stp>RCOM IN Equity</stp>
        <stp>ARD_CASH_PAID_FOR_INTEREST</stp>
        <stp>FY 2012</stp>
        <stp>FY 2012</stp>
        <stp>[FA1_ymffleas.xlsx]Cash Flow - As Reported!R61C6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1" s="20"/>
      </tp>
      <tp t="s">
        <v>—</v>
        <stp/>
        <stp>##V3_BDHV12</stp>
        <stp>RCOM IN Equity</stp>
        <stp>ARD_CASH_PAID_FOR_INTEREST</stp>
        <stp>FY 2011</stp>
        <stp>FY 2011</stp>
        <stp>[FA1_ymffleas.xlsx]Cash Flow - As Reported!R61C5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1" s="20"/>
      </tp>
      <tp t="s">
        <v>—</v>
        <stp/>
        <stp>##V3_BDHV12</stp>
        <stp>RCOM IN Equity</stp>
        <stp>ARD_CASH_PAID_FOR_INTEREST</stp>
        <stp>FY 2010</stp>
        <stp>FY 2010</stp>
        <stp>[FA1_ymffleas.xlsx]Cash Flow - As Reported!R61C4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1" s="20"/>
      </tp>
      <tp t="s">
        <v>—</v>
        <stp/>
        <stp>##V3_BDHV12</stp>
        <stp>RCOM IN Equity</stp>
        <stp>ARD_CASH_PAID_FOR_INTEREST</stp>
        <stp>FY 2009</stp>
        <stp>FY 2009</stp>
        <stp>[FA1_ymffleas.xlsx]Cash Flow - As Reported!R61C3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1" s="20"/>
      </tp>
      <tp t="s">
        <v>—</v>
        <stp/>
        <stp>##V3_BDHV12</stp>
        <stp>RCOM IN Equity</stp>
        <stp>ARD_CASH_PAID_FOR_INTEREST</stp>
        <stp>FY 2015</stp>
        <stp>FY 2015</stp>
        <stp>[FA1_ymffleas.xlsx]Cash Flow - As Reported!R61C9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1" s="20"/>
      </tp>
      <tp t="s">
        <v>—</v>
        <stp/>
        <stp>##V3_BDHV12</stp>
        <stp>RCOM IN Equity</stp>
        <stp>ARD_CASH_PAID_FOR_INTEREST</stp>
        <stp>FY 2014</stp>
        <stp>FY 2014</stp>
        <stp>[FA1_ymffleas.xlsx]Cash Flow - As Reported!R61C8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1" s="20"/>
      </tp>
      <tp t="s">
        <v>—</v>
        <stp/>
        <stp>##V3_BDHV12</stp>
        <stp>RCOM IN Equity</stp>
        <stp>ARDR_ACTUAL_RET_PLAN_ASSETS_OPRB</stp>
        <stp>FY 2009</stp>
        <stp>FY 2009</stp>
        <stp>[FA1_ymffleas.xlsx]Bal Sheet - As Reported!R209C3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9" s="17"/>
      </tp>
      <tp>
        <v>20</v>
        <stp/>
        <stp>##V3_BDHV12</stp>
        <stp>RCOM IN Equity</stp>
        <stp>ARDR_ACTUAL_RET_PLAN_ASSETS_OPRB</stp>
        <stp>FY 2012</stp>
        <stp>FY 2012</stp>
        <stp>[FA1_ymffleas.xlsx]Bal Sheet - As Reported!R209C6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9" s="17"/>
      </tp>
      <tp>
        <v>30</v>
        <stp/>
        <stp>##V3_BDHV12</stp>
        <stp>RCOM IN Equity</stp>
        <stp>ARDR_ACTUAL_RET_PLAN_ASSETS_OPRB</stp>
        <stp>FY 2013</stp>
        <stp>FY 2013</stp>
        <stp>[FA1_ymffleas.xlsx]Bal Sheet - As Reported!R209C7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9" s="17"/>
      </tp>
      <tp>
        <v>47.7</v>
        <stp/>
        <stp>##V3_BDHV12</stp>
        <stp>RCOM IN Equity</stp>
        <stp>ARDR_ACTUAL_RET_PLAN_ASSETS_OPRB</stp>
        <stp>FY 2010</stp>
        <stp>FY 2010</stp>
        <stp>[FA1_ymffleas.xlsx]Bal Sheet - As Reported!R209C4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9" s="17"/>
      </tp>
      <tp>
        <v>20</v>
        <stp/>
        <stp>##V3_BDHV12</stp>
        <stp>RCOM IN Equity</stp>
        <stp>ARDR_ACTUAL_RET_PLAN_ASSETS_OPRB</stp>
        <stp>FY 2011</stp>
        <stp>FY 2011</stp>
        <stp>[FA1_ymffleas.xlsx]Bal Sheet - As Reported!R209C5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9" s="17"/>
      </tp>
      <tp>
        <v>20</v>
        <stp/>
        <stp>##V3_BDHV12</stp>
        <stp>RCOM IN Equity</stp>
        <stp>ARDR_ACTUAL_RET_PLAN_ASSETS_OPRB</stp>
        <stp>FY 2014</stp>
        <stp>FY 2014</stp>
        <stp>[FA1_ymffleas.xlsx]Bal Sheet - As Reported!R209C8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9" s="17"/>
      </tp>
      <tp>
        <v>0</v>
        <stp/>
        <stp>##V3_BDHV12</stp>
        <stp>RCOM IN Equity</stp>
        <stp>ARDR_ACTUAL_RET_PLAN_ASSETS_OPRB</stp>
        <stp>FY 2015</stp>
        <stp>FY 2015</stp>
        <stp>[FA1_ymffleas.xlsx]Bal Sheet - As Reported!R209C9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9" s="17"/>
      </tp>
      <tp>
        <v>3.26</v>
        <stp/>
        <stp>##V3_BDHV12</stp>
        <stp>RCOM IN Equity</stp>
        <stp>IS_DILUTED_EPS</stp>
        <stp>FY 2013</stp>
        <stp>FY 2013</stp>
        <stp>[FA1_ymffleas.xlsx]Per Share!R17C6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7" s="7"/>
      </tp>
      <tp>
        <v>7210</v>
        <stp/>
        <stp>##V3_BDHV12</stp>
        <stp>RCOM IN Equity</stp>
        <stp>ARD_DEPRECIATION_AMORTIZATION</stp>
        <stp>FY 2018</stp>
        <stp>FY 2018</stp>
        <stp>[FA1_ymffleas.xlsx]Income - As Reported!R17C12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" s="11"/>
      </tp>
      <tp>
        <v>44840</v>
        <stp/>
        <stp>##V3_BDHV12</stp>
        <stp>RCOM IN Equity</stp>
        <stp>ARD_DEPRECIATION_AMORTIZATION</stp>
        <stp>FY 2016</stp>
        <stp>FY 2016</stp>
        <stp>[FA1_ymffleas.xlsx]Income - As Reported!R17C10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" s="11"/>
      </tp>
      <tp>
        <v>8210</v>
        <stp/>
        <stp>##V3_BDHV12</stp>
        <stp>RCOM IN Equity</stp>
        <stp>ARD_DEPRECIATION_AMORTIZATION</stp>
        <stp>FY 2017</stp>
        <stp>FY 2017</stp>
        <stp>[FA1_ymffleas.xlsx]Income - As Reported!R17C11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" s="11"/>
      </tp>
      <tp>
        <v>0</v>
        <stp/>
        <stp>##V3_BDHV12</stp>
        <stp>RCOM IN Equity</stp>
        <stp>DVD_PAYOUT_RATIO</stp>
        <stp>FY 2016</stp>
        <stp>FY 2016</stp>
        <stp>[FA1_ymffleas.xlsx]Addl - Overview!R21C9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1" s="29"/>
      </tp>
      <tp t="s">
        <v>—</v>
        <stp/>
        <stp>##V3_BDHV12</stp>
        <stp>RCOM IN Equity</stp>
        <stp>NUM_OF_EMPLOYEES</stp>
        <stp>FY 2017</stp>
        <stp>FY 2017</stp>
        <stp>[FA1_ymffleas.xlsx]Bal Sheet - Standardized!R172C11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72" s="16"/>
      </tp>
      <tp>
        <v>5000</v>
        <stp/>
        <stp>##V3_BDHV12</stp>
        <stp>RCOM IN Equity</stp>
        <stp>ARDR_AUTH_COMMON_STOCKS_NUMBER</stp>
        <stp>FY 2018</stp>
        <stp>FY 2018</stp>
        <stp>[FA1_ymffleas.xlsx]Bal Sheet - As Reported!R159C12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59" s="17"/>
      </tp>
      <tp t="s">
        <v>—</v>
        <stp/>
        <stp>##V3_BDHV12</stp>
        <stp>RCOM IN Equity</stp>
        <stp>NUM_OF_EMPLOYEES</stp>
        <stp>FY 2016</stp>
        <stp>FY 2016</stp>
        <stp>[FA1_ymffleas.xlsx]Bal Sheet - Standardized!R172C10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72" s="16"/>
      </tp>
      <tp>
        <v>6.2465999999999999</v>
        <stp/>
        <stp>##V3_BDHV12</stp>
        <stp>RCOM IN Equity</stp>
        <stp>IS_DILUTED_EPS</stp>
        <stp>FY 2011</stp>
        <stp>FY 2011</stp>
        <stp>[FA1_ymffleas.xlsx]Reconciliation!R44C4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44" s="12"/>
      </tp>
      <tp>
        <v>500</v>
        <stp/>
        <stp>##V3_BDHV12</stp>
        <stp>RCOM IN Equity</stp>
        <stp>ARDR_AUTH_COMMON_STOCKS_NUMBER</stp>
        <stp>FY 2016</stp>
        <stp>FY 2016</stp>
        <stp>[FA1_ymffleas.xlsx]Bal Sheet - As Reported!R159C10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59" s="17"/>
      </tp>
      <tp t="s">
        <v>—</v>
        <stp/>
        <stp>##V3_BDHV12</stp>
        <stp>RCOM IN Equity</stp>
        <stp>NUM_OF_EMPLOYEES</stp>
        <stp>FY 2018</stp>
        <stp>FY 2018</stp>
        <stp>[FA1_ymffleas.xlsx]Bal Sheet - Standardized!R172C12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72" s="16"/>
      </tp>
      <tp>
        <v>5000</v>
        <stp/>
        <stp>##V3_BDHV12</stp>
        <stp>RCOM IN Equity</stp>
        <stp>ARDR_AUTH_COMMON_STOCKS_NUMBER</stp>
        <stp>FY 2017</stp>
        <stp>FY 2017</stp>
        <stp>[FA1_ymffleas.xlsx]Bal Sheet - As Reported!R159C11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59" s="17"/>
      </tp>
      <tp>
        <v>8.6698000000000004</v>
        <stp/>
        <stp>##V3_BDHV12</stp>
        <stp>RCOM IN Equity</stp>
        <stp>EV_TO_T12M_EBITDA</stp>
        <stp>FY 2010</stp>
        <stp>FY 2010</stp>
        <stp>[FA1_ymffleas.xlsx]Multiples!R41C3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41" s="6"/>
      </tp>
      <tp>
        <v>3.05</v>
        <stp/>
        <stp>##V3_BDHV12</stp>
        <stp>RCOM IN Equity</stp>
        <stp>IS_DIL_EPS_BEF_XO</stp>
        <stp>FY 2015</stp>
        <stp>FY 2015</stp>
        <stp>[FA1_ymffleas.xlsx]Income - GAAP!R94C8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4" s="10"/>
      </tp>
      <tp>
        <v>2.59</v>
        <stp/>
        <stp>##V3_BDHV12</stp>
        <stp>RCOM IN Equity</stp>
        <stp>IS_DIL_EPS_BEF_XO</stp>
        <stp>FY 2016</stp>
        <stp>FY 2016</stp>
        <stp>[FA1_ymffleas.xlsx]Income - GAAP!R94C9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4" s="10"/>
      </tp>
      <tp>
        <v>6.2465999999999999</v>
        <stp/>
        <stp>##V3_BDHV12</stp>
        <stp>RCOM IN Equity</stp>
        <stp>IS_DIL_EPS_BEF_XO</stp>
        <stp>FY 2011</stp>
        <stp>FY 2011</stp>
        <stp>[FA1_ymffleas.xlsx]Income - GAAP!R94C4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4" s="10"/>
      </tp>
      <tp>
        <v>4.41</v>
        <stp/>
        <stp>##V3_BDHV12</stp>
        <stp>RCOM IN Equity</stp>
        <stp>IS_DIL_EPS_BEF_XO</stp>
        <stp>FY 2012</stp>
        <stp>FY 2012</stp>
        <stp>[FA1_ymffleas.xlsx]Income - GAAP!R94C5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4" s="10"/>
      </tp>
      <tp>
        <v>3.26</v>
        <stp/>
        <stp>##V3_BDHV12</stp>
        <stp>RCOM IN Equity</stp>
        <stp>IS_DIL_EPS_BEF_XO</stp>
        <stp>FY 2013</stp>
        <stp>FY 2013</stp>
        <stp>[FA1_ymffleas.xlsx]Income - GAAP!R94C6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4" s="10"/>
      </tp>
      <tp>
        <v>5.07</v>
        <stp/>
        <stp>##V3_BDHV12</stp>
        <stp>RCOM IN Equity</stp>
        <stp>IS_DIL_EPS_BEF_XO</stp>
        <stp>FY 2014</stp>
        <stp>FY 2014</stp>
        <stp>[FA1_ymffleas.xlsx]Income - GAAP!R94C7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4" s="10"/>
      </tp>
      <tp>
        <v>32.380899999999997</v>
        <stp/>
        <stp>##V3_BDHV12</stp>
        <stp>RCOM IN Equity</stp>
        <stp>ACCUM_DEPR_TO_TOT_ASSET</stp>
        <stp>FY 2018</stp>
        <stp>FY 2018</stp>
        <stp>[FA1_ymffleas.xlsx]CAPEX &amp; Depreciation!R9C12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9" s="28"/>
      </tp>
      <tp>
        <v>28.8125</v>
        <stp/>
        <stp>##V3_BDHV12</stp>
        <stp>RCOM IN Equity</stp>
        <stp>ACCUM_DEPR_TO_TOT_ASSET</stp>
        <stp>FY 2017</stp>
        <stp>FY 2017</stp>
        <stp>[FA1_ymffleas.xlsx]CAPEX &amp; Depreciation!R9C11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" s="28"/>
      </tp>
      <tp>
        <v>0</v>
        <stp/>
        <stp>##V3_BDHV12</stp>
        <stp>RCOM IN Equity</stp>
        <stp>BS_PFD_EQTY_&amp;_HYBRID_CPTL</stp>
        <stp>FY 2018</stp>
        <stp>FY 2018</stp>
        <stp>[FA1_ymffleas.xlsx]Bal Sheet - Standardized!R133C12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3" s="16"/>
      </tp>
      <tp>
        <v>0</v>
        <stp/>
        <stp>##V3_BDHV12</stp>
        <stp>RCOM IN Equity</stp>
        <stp>BS_PFD_EQTY_&amp;_HYBRID_CPTL</stp>
        <stp>FY 2016</stp>
        <stp>FY 2016</stp>
        <stp>[FA1_ymffleas.xlsx]Bal Sheet - Standardized!R133C10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3" s="16"/>
      </tp>
      <tp>
        <v>0</v>
        <stp/>
        <stp>##V3_BDHV12</stp>
        <stp>RCOM IN Equity</stp>
        <stp>BS_PFD_EQTY_&amp;_HYBRID_CPTL</stp>
        <stp>FY 2017</stp>
        <stp>FY 2017</stp>
        <stp>[FA1_ymffleas.xlsx]Bal Sheet - Standardized!R133C11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3" s="16"/>
      </tp>
      <tp>
        <v>21.619299999999999</v>
        <stp/>
        <stp>##V3_BDHV12</stp>
        <stp>RCOM IN Equity</stp>
        <stp>IS_DIL_EPS_BEF_XO</stp>
        <stp>FY 2010</stp>
        <stp>FY 2010</stp>
        <stp>[FA1_ymffleas.xlsx]Income - GAAP!R94C3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4" s="10"/>
      </tp>
      <tp>
        <v>25.322400000000002</v>
        <stp/>
        <stp>##V3_BDHV12</stp>
        <stp>RCOM IN Equity</stp>
        <stp>ACCUM_DEPR_TO_TOT_ASSET</stp>
        <stp>FY 2016</stp>
        <stp>FY 2016</stp>
        <stp>[FA1_ymffleas.xlsx]CAPEX &amp; Depreciation!R9C10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" s="28"/>
      </tp>
      <tp>
        <v>6930.7520000000004</v>
        <stp/>
        <stp>##V3_BDHV12</stp>
        <stp>RCOM IN Equity</stp>
        <stp>EARN_FOR_COMMON</stp>
        <stp>FY 2015</stp>
        <stp>FY 2015</stp>
        <stp>[FA1_ymffleas.xlsx]Adj Highlights!R18C8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8" s="2"/>
      </tp>
      <tp>
        <v>4984.1149999999998</v>
        <stp/>
        <stp>##V3_BDHV12</stp>
        <stp>RCOM IN Equity</stp>
        <stp>EARN_FOR_COMMON</stp>
        <stp>FY 2016</stp>
        <stp>FY 2016</stp>
        <stp>[FA1_ymffleas.xlsx]Adj Highlights!R18C9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8" s="2"/>
      </tp>
      <tp>
        <v>10.1549</v>
        <stp/>
        <stp>##V3_BDHV12</stp>
        <stp>RCOM IN Equity</stp>
        <stp>OPER_INC_PER_SH</stp>
        <stp>FY 2013</stp>
        <stp>FY 2013</stp>
        <stp>[FA1_ymffleas.xlsx]Per Share!R13C6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3" s="7"/>
      </tp>
      <tp>
        <v>47190.099000000002</v>
        <stp/>
        <stp>##V3_BDHV12</stp>
        <stp>RCOM IN Equity</stp>
        <stp>EARN_FOR_COMMON</stp>
        <stp>FY 2010</stp>
        <stp>FY 2010</stp>
        <stp>[FA1_ymffleas.xlsx]Adj Highlights!R18C3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8" s="2"/>
      </tp>
      <tp>
        <v>10829.2125</v>
        <stp/>
        <stp>##V3_BDHV12</stp>
        <stp>RCOM IN Equity</stp>
        <stp>EARN_FOR_COMMON</stp>
        <stp>FY 2011</stp>
        <stp>FY 2011</stp>
        <stp>[FA1_ymffleas.xlsx]Adj Highlights!R18C4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8" s="2"/>
      </tp>
      <tp>
        <v>11576.7</v>
        <stp/>
        <stp>##V3_BDHV12</stp>
        <stp>RCOM IN Equity</stp>
        <stp>EARN_FOR_COMMON</stp>
        <stp>FY 2012</stp>
        <stp>FY 2012</stp>
        <stp>[FA1_ymffleas.xlsx]Adj Highlights!R18C5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8" s="2"/>
      </tp>
      <tp>
        <v>6686.9949999999999</v>
        <stp/>
        <stp>##V3_BDHV12</stp>
        <stp>RCOM IN Equity</stp>
        <stp>EARN_FOR_COMMON</stp>
        <stp>FY 2013</stp>
        <stp>FY 2013</stp>
        <stp>[FA1_ymffleas.xlsx]Adj Highlights!R18C6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8" s="2"/>
      </tp>
      <tp>
        <v>10542.611000000001</v>
        <stp/>
        <stp>##V3_BDHV12</stp>
        <stp>RCOM IN Equity</stp>
        <stp>EARN_FOR_COMMON</stp>
        <stp>FY 2014</stp>
        <stp>FY 2014</stp>
        <stp>[FA1_ymffleas.xlsx]Adj Highlights!R18C7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8" s="2"/>
      </tp>
      <tp>
        <v>32.1203</v>
        <stp/>
        <stp>##V3_BDHV12</stp>
        <stp>RCOM IN Equity</stp>
        <stp>EBITDA_MARGIN</stp>
        <stp>FY 2014</stp>
        <stp>FY 2014</stp>
        <stp>[FA1_ymffleas.xlsx]Income - Adjusted!R122C7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G122" s="9"/>
      </tp>
      <tp>
        <v>7870657.4024999999</v>
        <stp/>
        <stp>##V3_BDHV12</stp>
        <stp>RCOM IN Equity</stp>
        <stp>ACTUAL_SALES_PER_EMPL</stp>
        <stp>FY 2011</stp>
        <stp>FY 2011</stp>
        <stp>[FA1_ymffleas.xlsx]Income - Adjusted!R127C4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D127" s="9"/>
      </tp>
      <tp>
        <v>32.024799999999999</v>
        <stp/>
        <stp>##V3_BDHV12</stp>
        <stp>RCOM IN Equity</stp>
        <stp>EBITDA_MARGIN</stp>
        <stp>FY 2014</stp>
        <stp>FY 2014</stp>
        <stp>[FA1_ymffleas.xlsx]Income - GAAP!R100C7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00" s="10"/>
      </tp>
      <tp>
        <v>-5230</v>
        <stp/>
        <stp>##V3_BDHV12</stp>
        <stp>RCOM IN Equity</stp>
        <stp>T12_OTHER_CFF</stp>
        <stp>FY 2014</stp>
        <stp>FY 2014</stp>
        <stp>[FA1_ymffleas.xlsx]Yield Analysis!R40C8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0" s="26"/>
      </tp>
      <tp>
        <v>-1110</v>
        <stp/>
        <stp>##V3_BDHV12</stp>
        <stp>RCOM IN Equity</stp>
        <stp>T12_OTHER_CFF</stp>
        <stp>FY 2015</stp>
        <stp>FY 2015</stp>
        <stp>[FA1_ymffleas.xlsx]Yield Analysis!R40C9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0" s="26"/>
      </tp>
      <tp>
        <v>9.4</v>
        <stp/>
        <stp>##V3_BDHV12</stp>
        <stp>RCOM IN Equity</stp>
        <stp>T12_OTHER_CFF</stp>
        <stp>FY 2010</stp>
        <stp>FY 2010</stp>
        <stp>[FA1_ymffleas.xlsx]Yield Analysis!R40C4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0" s="26"/>
      </tp>
      <tp>
        <v>0</v>
        <stp/>
        <stp>##V3_BDHV12</stp>
        <stp>RCOM IN Equity</stp>
        <stp>T12_OTHER_CFF</stp>
        <stp>FY 2011</stp>
        <stp>FY 2011</stp>
        <stp>[FA1_ymffleas.xlsx]Yield Analysis!R40C5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0" s="26"/>
      </tp>
      <tp>
        <v>-3430</v>
        <stp/>
        <stp>##V3_BDHV12</stp>
        <stp>RCOM IN Equity</stp>
        <stp>T12_OTHER_CFF</stp>
        <stp>FY 2012</stp>
        <stp>FY 2012</stp>
        <stp>[FA1_ymffleas.xlsx]Yield Analysis!R40C6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0" s="26"/>
      </tp>
      <tp>
        <v>-12650</v>
        <stp/>
        <stp>##V3_BDHV12</stp>
        <stp>RCOM IN Equity</stp>
        <stp>T12_OTHER_CFF</stp>
        <stp>FY 2013</stp>
        <stp>FY 2013</stp>
        <stp>[FA1_ymffleas.xlsx]Yield Analysis!R40C7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0" s="26"/>
      </tp>
      <tp>
        <v>-17287.599999999999</v>
        <stp/>
        <stp>##V3_BDHV12</stp>
        <stp>RCOM IN Equity</stp>
        <stp>T12_OTHER_CFF</stp>
        <stp>FY 2009</stp>
        <stp>FY 2009</stp>
        <stp>[FA1_ymffleas.xlsx]Yield Analysis!R40C3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0" s="26"/>
      </tp>
      <tp t="s">
        <v>—</v>
        <stp/>
        <stp>##V3_BDHV12</stp>
        <stp>RCOM IN Equity</stp>
        <stp>ARD_COMPREHENSIVE_INC_ATTRIB_MI</stp>
        <stp>FY 2010</stp>
        <stp>FY 2010</stp>
        <stp>[FA1_ymffleas.xlsx]Income - As Reported!R58C4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8" s="11"/>
      </tp>
      <tp t="s">
        <v>—</v>
        <stp/>
        <stp>##V3_BDHV12</stp>
        <stp>RCOM IN Equity</stp>
        <stp>ARD_COMPREHENSIVE_INC_ATTRIB_MI</stp>
        <stp>FY 2011</stp>
        <stp>FY 2011</stp>
        <stp>[FA1_ymffleas.xlsx]Income - As Reported!R58C5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8" s="11"/>
      </tp>
      <tp t="s">
        <v>—</v>
        <stp/>
        <stp>##V3_BDHV12</stp>
        <stp>RCOM IN Equity</stp>
        <stp>ARD_COMPREHENSIVE_INC_ATTRIB_MI</stp>
        <stp>FY 2012</stp>
        <stp>FY 2012</stp>
        <stp>[FA1_ymffleas.xlsx]Income - As Reported!R58C6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8" s="11"/>
      </tp>
      <tp t="s">
        <v>—</v>
        <stp/>
        <stp>##V3_BDHV12</stp>
        <stp>RCOM IN Equity</stp>
        <stp>ARD_COMPREHENSIVE_INC_ATTRIB_MI</stp>
        <stp>FY 2013</stp>
        <stp>FY 2013</stp>
        <stp>[FA1_ymffleas.xlsx]Income - As Reported!R58C7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8" s="11"/>
      </tp>
      <tp t="s">
        <v>—</v>
        <stp/>
        <stp>##V3_BDHV12</stp>
        <stp>RCOM IN Equity</stp>
        <stp>ARD_COMPREHENSIVE_INC_ATTRIB_MI</stp>
        <stp>FY 2009</stp>
        <stp>FY 2009</stp>
        <stp>[FA1_ymffleas.xlsx]Income - As Reported!R58C3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8" s="11"/>
      </tp>
      <tp t="s">
        <v>—</v>
        <stp/>
        <stp>##V3_BDHV12</stp>
        <stp>RCOM IN Equity</stp>
        <stp>ARD_COMPREHENSIVE_INC_ATTRIB_MI</stp>
        <stp>FY 2014</stp>
        <stp>FY 2014</stp>
        <stp>[FA1_ymffleas.xlsx]Income - As Reported!R58C8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8" s="11"/>
      </tp>
      <tp t="s">
        <v>—</v>
        <stp/>
        <stp>##V3_BDHV12</stp>
        <stp>RCOM IN Equity</stp>
        <stp>ARD_COMPREHENSIVE_INC_ATTRIB_MI</stp>
        <stp>FY 2015</stp>
        <stp>FY 2015</stp>
        <stp>[FA1_ymffleas.xlsx]Income - As Reported!R58C9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8" s="11"/>
      </tp>
      <tp>
        <v>7870657.4024999999</v>
        <stp/>
        <stp>##V3_BDHV12</stp>
        <stp>RCOM IN Equity</stp>
        <stp>ACTUAL_SALES_PER_EMPL</stp>
        <stp>FY 2011</stp>
        <stp>FY 2011</stp>
        <stp>[FA1_ymffleas.xlsx]Income - GAAP!R105C4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05" s="10"/>
      </tp>
      <tp t="s">
        <v>—</v>
        <stp/>
        <stp>##V3_BDHV12</stp>
        <stp>RCOM IN Equity</stp>
        <stp>ARDR_GOODWLL</stp>
        <stp>FY 2018</stp>
        <stp>FY 2018</stp>
        <stp>[FA1_ymffleas.xlsx]Bal Sheet - As Reported!R77C12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7" s="17"/>
      </tp>
      <tp>
        <v>35480</v>
        <stp/>
        <stp>##V3_BDHV12</stp>
        <stp>RCOM IN Equity</stp>
        <stp>ARDR_GOODWLL</stp>
        <stp>FY 2017</stp>
        <stp>FY 2017</stp>
        <stp>[FA1_ymffleas.xlsx]Bal Sheet - As Reported!R77C11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7" s="17"/>
      </tp>
      <tp>
        <v>35510</v>
        <stp/>
        <stp>##V3_BDHV12</stp>
        <stp>RCOM IN Equity</stp>
        <stp>ARDR_GOODWLL</stp>
        <stp>FY 2016</stp>
        <stp>FY 2016</stp>
        <stp>[FA1_ymffleas.xlsx]Bal Sheet - As Reported!R77C10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7" s="17"/>
      </tp>
      <tp>
        <v>1720386</v>
        <stp/>
        <stp>##V3_BDHV12</stp>
        <stp>RCOM IN Equity</stp>
        <stp>BS_NUM_OF_SHAREHOLDERS</stp>
        <stp>FY 2014</stp>
        <stp>FY 2014</stp>
        <stp>[FA1_ymffleas.xlsx]Bal Sheet - Standardized!R164C8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4" s="16"/>
      </tp>
      <tp>
        <v>1657702</v>
        <stp/>
        <stp>##V3_BDHV12</stp>
        <stp>RCOM IN Equity</stp>
        <stp>BS_NUM_OF_SHAREHOLDERS</stp>
        <stp>FY 2015</stp>
        <stp>FY 2015</stp>
        <stp>[FA1_ymffleas.xlsx]Bal Sheet - Standardized!R164C9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4" s="16"/>
      </tp>
      <tp>
        <v>1952760</v>
        <stp/>
        <stp>##V3_BDHV12</stp>
        <stp>RCOM IN Equity</stp>
        <stp>BS_NUM_OF_SHAREHOLDERS</stp>
        <stp>FY 2012</stp>
        <stp>FY 2012</stp>
        <stp>[FA1_ymffleas.xlsx]Bal Sheet - Standardized!R164C6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4" s="16"/>
      </tp>
      <tp>
        <v>1879525</v>
        <stp/>
        <stp>##V3_BDHV12</stp>
        <stp>RCOM IN Equity</stp>
        <stp>BS_NUM_OF_SHAREHOLDERS</stp>
        <stp>FY 2013</stp>
        <stp>FY 2013</stp>
        <stp>[FA1_ymffleas.xlsx]Bal Sheet - Standardized!R164C7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4" s="16"/>
      </tp>
      <tp>
        <v>2162907</v>
        <stp/>
        <stp>##V3_BDHV12</stp>
        <stp>RCOM IN Equity</stp>
        <stp>BS_NUM_OF_SHAREHOLDERS</stp>
        <stp>FY 2010</stp>
        <stp>FY 2010</stp>
        <stp>[FA1_ymffleas.xlsx]Bal Sheet - Standardized!R164C4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4" s="16"/>
      </tp>
      <tp>
        <v>2098743</v>
        <stp/>
        <stp>##V3_BDHV12</stp>
        <stp>RCOM IN Equity</stp>
        <stp>BS_NUM_OF_SHAREHOLDERS</stp>
        <stp>FY 2011</stp>
        <stp>FY 2011</stp>
        <stp>[FA1_ymffleas.xlsx]Bal Sheet - Standardized!R164C5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4" s="16"/>
      </tp>
      <tp>
        <v>2167406</v>
        <stp/>
        <stp>##V3_BDHV12</stp>
        <stp>RCOM IN Equity</stp>
        <stp>BS_NUM_OF_SHAREHOLDERS</stp>
        <stp>FY 2009</stp>
        <stp>FY 2009</stp>
        <stp>[FA1_ymffleas.xlsx]Bal Sheet - Standardized!R164C3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4" s="16"/>
      </tp>
      <tp>
        <v>48.214300000000001</v>
        <stp/>
        <stp>##V3_BDHV12</stp>
        <stp>RCOM IN Equity</stp>
        <stp>GOVNCE_DISCLOSURE_SCORE</stp>
        <stp>FY 2009</stp>
        <stp>FY 2009</stp>
        <stp>[FA1_ymffleas.xlsx]ESG - Overview!R21C3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1" s="34"/>
      </tp>
      <tp>
        <v>48.214300000000001</v>
        <stp/>
        <stp>##V3_BDHV12</stp>
        <stp>RCOM IN Equity</stp>
        <stp>GOVNCE_DISCLOSURE_SCORE</stp>
        <stp>FY 2011</stp>
        <stp>FY 2011</stp>
        <stp>[FA1_ymffleas.xlsx]ESG - Overview!R21C5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1" s="34"/>
      </tp>
      <tp>
        <v>-26.077100000000002</v>
        <stp/>
        <stp>##V3_BDHV12</stp>
        <stp>RCOM IN Equity</stp>
        <stp>EPS_DILUTED_SEQUENTIAL_GROWTH</stp>
        <stp>FY 2013</stp>
        <stp>FY 2013</stp>
        <stp>[FA1_ymffleas.xlsx]Growth!R64C7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64" s="22"/>
      </tp>
      <tp t="s">
        <v>—</v>
        <stp/>
        <stp>##V3_BDHV12</stp>
        <stp>RCOM IN Equity</stp>
        <stp>GOVNCE_DISCLOSURE_SCORE</stp>
        <stp>FY 2010</stp>
        <stp>FY 2010</stp>
        <stp>[FA1_ymffleas.xlsx]ESG - Overview!R21C4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1" s="34"/>
      </tp>
      <tp>
        <v>48.214300000000001</v>
        <stp/>
        <stp>##V3_BDHV12</stp>
        <stp>RCOM IN Equity</stp>
        <stp>GOVNCE_DISCLOSURE_SCORE</stp>
        <stp>FY 2013</stp>
        <stp>FY 2013</stp>
        <stp>[FA1_ymffleas.xlsx]ESG - Overview!R21C7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1" s="34"/>
      </tp>
      <tp t="s">
        <v>—</v>
        <stp/>
        <stp>##V3_BDHV12</stp>
        <stp>RCOM IN Equity</stp>
        <stp>GOVNCE_DISCLOSURE_SCORE</stp>
        <stp>FY 2012</stp>
        <stp>FY 2012</stp>
        <stp>[FA1_ymffleas.xlsx]ESG - Overview!R21C6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1" s="34"/>
      </tp>
      <tp>
        <v>48.214300000000001</v>
        <stp/>
        <stp>##V3_BDHV12</stp>
        <stp>RCOM IN Equity</stp>
        <stp>GOVNCE_DISCLOSURE_SCORE</stp>
        <stp>FY 2015</stp>
        <stp>FY 2015</stp>
        <stp>[FA1_ymffleas.xlsx]ESG - Overview!R21C9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1" s="34"/>
      </tp>
      <tp t="s">
        <v>—</v>
        <stp/>
        <stp>##V3_BDHV12</stp>
        <stp>RCOM IN Equity</stp>
        <stp>FCF_TO_FIRM_SEQUENTIAL_GROWTH</stp>
        <stp>FY 2015</stp>
        <stp>FY 2015</stp>
        <stp>[FA1_ymffleas.xlsx]Growth!R87C9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87" s="22"/>
      </tp>
      <tp>
        <v>48.214300000000001</v>
        <stp/>
        <stp>##V3_BDHV12</stp>
        <stp>RCOM IN Equity</stp>
        <stp>GOVNCE_DISCLOSURE_SCORE</stp>
        <stp>FY 2014</stp>
        <stp>FY 2014</stp>
        <stp>[FA1_ymffleas.xlsx]ESG - Overview!R21C8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1" s="34"/>
      </tp>
      <tp>
        <v>18.687100000000001</v>
        <stp/>
        <stp>##V3_BDHV12</stp>
        <stp>RCOM IN Equity</stp>
        <stp>EV_TO_T12M_EBIT</stp>
        <stp>FY 2010</stp>
        <stp>FY 2010</stp>
        <stp>[FA1_ymffleas.xlsx]Multiples!R46C3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46" s="6"/>
      </tp>
      <tp t="s">
        <v>—</v>
        <stp/>
        <stp>##V3_BDHV12</stp>
        <stp>RCOM IN Equity</stp>
        <stp>ARDR_EMPLOYER_CONTRIB_POST_RETIR</stp>
        <stp>FY 2009</stp>
        <stp>FY 2009</stp>
        <stp>[FA1_ymffleas.xlsx]Bal Sheet - As Reported!R130C3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0" s="17"/>
      </tp>
      <tp t="s">
        <v>—</v>
        <stp/>
        <stp>##V3_BDHV12</stp>
        <stp>RCOM IN Equity</stp>
        <stp>ARDR_EMPLOYER_CONTRIB_POST_RETIR</stp>
        <stp>FY 2013</stp>
        <stp>FY 2013</stp>
        <stp>[FA1_ymffleas.xlsx]Bal Sheet - As Reported!R130C7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0" s="17"/>
      </tp>
      <tp t="s">
        <v>—</v>
        <stp/>
        <stp>##V3_BDHV12</stp>
        <stp>RCOM IN Equity</stp>
        <stp>ARDR_EMPLOYER_CONTRIB_POST_RETIR</stp>
        <stp>FY 2012</stp>
        <stp>FY 2012</stp>
        <stp>[FA1_ymffleas.xlsx]Bal Sheet - As Reported!R130C6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0" s="17"/>
      </tp>
      <tp t="s">
        <v>—</v>
        <stp/>
        <stp>##V3_BDHV12</stp>
        <stp>RCOM IN Equity</stp>
        <stp>ARDR_EMPLOYER_CONTRIB_POST_RETIR</stp>
        <stp>FY 2011</stp>
        <stp>FY 2011</stp>
        <stp>[FA1_ymffleas.xlsx]Bal Sheet - As Reported!R130C5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0" s="17"/>
      </tp>
      <tp t="s">
        <v>—</v>
        <stp/>
        <stp>##V3_BDHV12</stp>
        <stp>RCOM IN Equity</stp>
        <stp>ARDR_EMPLOYER_CONTRIB_POST_RETIR</stp>
        <stp>FY 2010</stp>
        <stp>FY 2010</stp>
        <stp>[FA1_ymffleas.xlsx]Bal Sheet - As Reported!R130C4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0" s="17"/>
      </tp>
      <tp>
        <v>50</v>
        <stp/>
        <stp>##V3_BDHV12</stp>
        <stp>RCOM IN Equity</stp>
        <stp>ARDR_EMPLOYER_CONTRIB_POST_RETIR</stp>
        <stp>FY 2015</stp>
        <stp>FY 2015</stp>
        <stp>[FA1_ymffleas.xlsx]Bal Sheet - As Reported!R130C9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0" s="17"/>
      </tp>
      <tp>
        <v>0</v>
        <stp/>
        <stp>##V3_BDHV12</stp>
        <stp>RCOM IN Equity</stp>
        <stp>ARDR_EMPLOYER_CONTRIB_POST_RETIR</stp>
        <stp>FY 2014</stp>
        <stp>FY 2014</stp>
        <stp>[FA1_ymffleas.xlsx]Bal Sheet - As Reported!R130C8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0" s="17"/>
      </tp>
      <tp>
        <v>5.07</v>
        <stp/>
        <stp>##V3_BDHV12</stp>
        <stp>RCOM IN Equity</stp>
        <stp>IS_DILUTED_EPS</stp>
        <stp>FY 2014</stp>
        <stp>FY 2014</stp>
        <stp>[FA1_ymffleas.xlsx]Per Share!R17C7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7" s="7"/>
      </tp>
      <tp>
        <v>-26</v>
        <stp/>
        <stp>##V3_BDHV12</stp>
        <stp>RCOM IN Equity</stp>
        <stp>ARDR_EXP_RETURN_PLAN_ASSETS_OPRB</stp>
        <stp>FY 2009</stp>
        <stp>FY 2009</stp>
        <stp>[FA1_ymffleas.xlsx]Bal Sheet - As Reported!R207C3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7" s="17"/>
      </tp>
      <tp>
        <v>-30</v>
        <stp/>
        <stp>##V3_BDHV12</stp>
        <stp>RCOM IN Equity</stp>
        <stp>ARDR_EXP_RETURN_PLAN_ASSETS_OPRB</stp>
        <stp>FY 2012</stp>
        <stp>FY 2012</stp>
        <stp>[FA1_ymffleas.xlsx]Bal Sheet - As Reported!R207C6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7" s="17"/>
      </tp>
      <tp>
        <v>-30</v>
        <stp/>
        <stp>##V3_BDHV12</stp>
        <stp>RCOM IN Equity</stp>
        <stp>ARDR_EXP_RETURN_PLAN_ASSETS_OPRB</stp>
        <stp>FY 2013</stp>
        <stp>FY 2013</stp>
        <stp>[FA1_ymffleas.xlsx]Bal Sheet - As Reported!R207C7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7" s="17"/>
      </tp>
      <tp>
        <v>-17.899999999999999</v>
        <stp/>
        <stp>##V3_BDHV12</stp>
        <stp>RCOM IN Equity</stp>
        <stp>ARDR_EXP_RETURN_PLAN_ASSETS_OPRB</stp>
        <stp>FY 2010</stp>
        <stp>FY 2010</stp>
        <stp>[FA1_ymffleas.xlsx]Bal Sheet - As Reported!R207C4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7" s="17"/>
      </tp>
      <tp>
        <v>-30</v>
        <stp/>
        <stp>##V3_BDHV12</stp>
        <stp>RCOM IN Equity</stp>
        <stp>ARDR_EXP_RETURN_PLAN_ASSETS_OPRB</stp>
        <stp>FY 2011</stp>
        <stp>FY 2011</stp>
        <stp>[FA1_ymffleas.xlsx]Bal Sheet - As Reported!R207C5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7" s="17"/>
      </tp>
      <tp>
        <v>-20</v>
        <stp/>
        <stp>##V3_BDHV12</stp>
        <stp>RCOM IN Equity</stp>
        <stp>ARDR_EXP_RETURN_PLAN_ASSETS_OPRB</stp>
        <stp>FY 2014</stp>
        <stp>FY 2014</stp>
        <stp>[FA1_ymffleas.xlsx]Bal Sheet - As Reported!R207C8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7" s="17"/>
      </tp>
      <tp>
        <v>-10</v>
        <stp/>
        <stp>##V3_BDHV12</stp>
        <stp>RCOM IN Equity</stp>
        <stp>ARDR_EXP_RETURN_PLAN_ASSETS_OPRB</stp>
        <stp>FY 2015</stp>
        <stp>FY 2015</stp>
        <stp>[FA1_ymffleas.xlsx]Bal Sheet - As Reported!R207C9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7" s="17"/>
      </tp>
      <tp>
        <v>0</v>
        <stp/>
        <stp>##V3_BDHV12</stp>
        <stp>RCOM IN Equity</stp>
        <stp>DVD_PAYOUT_RATIO</stp>
        <stp>FY 2015</stp>
        <stp>FY 2015</stp>
        <stp>[FA1_ymffleas.xlsx]Addl - Overview!R21C8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1" s="29"/>
      </tp>
      <tp>
        <v>8990</v>
        <stp/>
        <stp>##V3_BDHV12</stp>
        <stp>RCOM IN Equity</stp>
        <stp>ARD_REF_EBITDA_IS</stp>
        <stp>FY 2018</stp>
        <stp>FY 2018</stp>
        <stp>[FA1_ymffleas.xlsx]Income - As Reported!R125C12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5" s="11"/>
      </tp>
      <tp>
        <v>74190</v>
        <stp/>
        <stp>##V3_BDHV12</stp>
        <stp>RCOM IN Equity</stp>
        <stp>ARD_REF_EBITDA_IS</stp>
        <stp>FY 2016</stp>
        <stp>FY 2016</stp>
        <stp>[FA1_ymffleas.xlsx]Income - As Reported!R125C10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5" s="11"/>
      </tp>
      <tp t="s">
        <v>—</v>
        <stp/>
        <stp>##V3_BDHV12</stp>
        <stp>RCOM IN Equity</stp>
        <stp>ARD_REF_EBITDA_IS</stp>
        <stp>FY 2017</stp>
        <stp>FY 2017</stp>
        <stp>[FA1_ymffleas.xlsx]Income - As Reported!R125C11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5" s="11"/>
      </tp>
      <tp>
        <v>4.41</v>
        <stp/>
        <stp>##V3_BDHV12</stp>
        <stp>RCOM IN Equity</stp>
        <stp>IS_DILUTED_EPS</stp>
        <stp>FY 2012</stp>
        <stp>FY 2012</stp>
        <stp>[FA1_ymffleas.xlsx]Reconciliation!R44C5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44" s="12"/>
      </tp>
      <tp>
        <v>210</v>
        <stp/>
        <stp>##V3_BDHV12</stp>
        <stp>RCOM IN Equity</stp>
        <stp>BS_ACCRUAL</stp>
        <stp>FY 2018</stp>
        <stp>FY 2018</stp>
        <stp>[FA1_ymffleas.xlsx]Bal Sheet - Standardized!R83C12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3" s="16"/>
      </tp>
      <tp>
        <v>290</v>
        <stp/>
        <stp>##V3_BDHV12</stp>
        <stp>RCOM IN Equity</stp>
        <stp>BS_ACCRUAL</stp>
        <stp>FY 2017</stp>
        <stp>FY 2017</stp>
        <stp>[FA1_ymffleas.xlsx]Bal Sheet - Standardized!R83C11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3" s="16"/>
      </tp>
      <tp>
        <v>270</v>
        <stp/>
        <stp>##V3_BDHV12</stp>
        <stp>RCOM IN Equity</stp>
        <stp>BS_ACCRUAL</stp>
        <stp>FY 2016</stp>
        <stp>FY 2016</stp>
        <stp>[FA1_ymffleas.xlsx]Bal Sheet - Standardized!R83C10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3" s="16"/>
      </tp>
      <tp>
        <v>997310</v>
        <stp/>
        <stp>##V3_BDHV12</stp>
        <stp>RCOM IN Equity</stp>
        <stp>BS_TOT_ASSET</stp>
        <stp>FY 2017</stp>
        <stp>FY 2017</stp>
        <stp>[FA1_ymffleas.xlsx]Addl - Overview!R25C10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5" s="29"/>
      </tp>
      <tp>
        <v>745780</v>
        <stp/>
        <stp>##V3_BDHV12</stp>
        <stp>RCOM IN Equity</stp>
        <stp>BS_TOT_ASSET</stp>
        <stp>FY 2018</stp>
        <stp>FY 2018</stp>
        <stp>[FA1_ymffleas.xlsx]Addl - Overview!R25C11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5" s="29"/>
      </tp>
      <tp>
        <v>33.7879</v>
        <stp/>
        <stp>##V3_BDHV12</stp>
        <stp>RCOM IN Equity</stp>
        <stp>EBITDA_MARGIN</stp>
        <stp>FY 2010</stp>
        <stp>FY 2010</stp>
        <stp>[FA1_ymffleas.xlsx]Cash Flow - Standardized!R59C3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59" s="19"/>
      </tp>
      <tp t="s">
        <v>—</v>
        <stp/>
        <stp>##V3_BDHV12</stp>
        <stp>RCOM IN Equity</stp>
        <stp>ACCOUNTS_RECEIVABLE_5_YR_GROWTH</stp>
        <stp>FY 2009</stp>
        <stp>FY 2009</stp>
        <stp>[FA1_ymffleas.xlsx]Growth!R45C3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5" s="22"/>
      </tp>
      <tp>
        <v>52228.3</v>
        <stp/>
        <stp>##V3_BDHV12</stp>
        <stp>RCOM IN Equity</stp>
        <stp>PRETAX_INC</stp>
        <stp>FY 2010</stp>
        <stp>FY 2010</stp>
        <stp>[FA1_ymffleas.xlsx]Reconciliation!R27C3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27" s="12"/>
      </tp>
      <tp>
        <v>45930</v>
        <stp/>
        <stp>##V3_BDHV12</stp>
        <stp>RCOM IN Equity</stp>
        <stp>ARDR_SERVICE_REVENUE</stp>
        <stp>FY 2018</stp>
        <stp>FY 2018</stp>
        <stp>[FA1_ymffleas.xlsx]Income - As Reported!R94C12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4" s="11"/>
      </tp>
      <tp>
        <v>65540</v>
        <stp/>
        <stp>##V3_BDHV12</stp>
        <stp>RCOM IN Equity</stp>
        <stp>ARDR_SERVICE_REVENUE</stp>
        <stp>FY 2017</stp>
        <stp>FY 2017</stp>
        <stp>[FA1_ymffleas.xlsx]Income - As Reported!R94C11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4" s="11"/>
      </tp>
      <tp>
        <v>217430</v>
        <stp/>
        <stp>##V3_BDHV12</stp>
        <stp>RCOM IN Equity</stp>
        <stp>ARDR_SERVICE_REVENUE</stp>
        <stp>FY 2016</stp>
        <stp>FY 2016</stp>
        <stp>[FA1_ymffleas.xlsx]Income - As Reported!R94C10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4" s="11"/>
      </tp>
      <tp t="s">
        <v>—</v>
        <stp/>
        <stp>##V3_BDHV12</stp>
        <stp>RCOM IN Equity</stp>
        <stp>ACCOUNTS_RECEIVABLE_5_YR_GROWTH</stp>
        <stp>FY 2012</stp>
        <stp>FY 2012</stp>
        <stp>[FA1_ymffleas.xlsx]Growth!R45C6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5" s="22"/>
      </tp>
      <tp>
        <v>8820</v>
        <stp/>
        <stp>##V3_BDHV12</stp>
        <stp>RCOM IN Equity</stp>
        <stp>PRETAX_INC</stp>
        <stp>FY 2012</stp>
        <stp>FY 2012</stp>
        <stp>[FA1_ymffleas.xlsx]Reconciliation!R27C5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27" s="12"/>
      </tp>
      <tp>
        <v>-10.3786</v>
        <stp/>
        <stp>##V3_BDHV12</stp>
        <stp>RCOM IN Equity</stp>
        <stp>ACCOUNTS_RECEIVABLE_5_YR_GROWTH</stp>
        <stp>FY 2013</stp>
        <stp>FY 2013</stp>
        <stp>[FA1_ymffleas.xlsx]Growth!R45C7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5" s="22"/>
      </tp>
      <tp>
        <v>15170</v>
        <stp/>
        <stp>##V3_BDHV12</stp>
        <stp>RCOM IN Equity</stp>
        <stp>PRETAX_INC</stp>
        <stp>FY 2011</stp>
        <stp>FY 2011</stp>
        <stp>[FA1_ymffleas.xlsx]Reconciliation!R27C4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27" s="12"/>
      </tp>
      <tp t="s">
        <v>—</v>
        <stp/>
        <stp>##V3_BDHV12</stp>
        <stp>RCOM IN Equity</stp>
        <stp>ACCOUNTS_RECEIVABLE_5_YR_GROWTH</stp>
        <stp>FY 2010</stp>
        <stp>FY 2010</stp>
        <stp>[FA1_ymffleas.xlsx]Growth!R45C4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5" s="22"/>
      </tp>
      <tp>
        <v>1160</v>
        <stp/>
        <stp>##V3_BDHV12</stp>
        <stp>RCOM IN Equity</stp>
        <stp>PRETAX_INC</stp>
        <stp>FY 2014</stp>
        <stp>FY 2014</stp>
        <stp>[FA1_ymffleas.xlsx]Reconciliation!R27C7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27" s="12"/>
      </tp>
      <tp t="s">
        <v>—</v>
        <stp/>
        <stp>##V3_BDHV12</stp>
        <stp>RCOM IN Equity</stp>
        <stp>ACCOUNTS_RECEIVABLE_5_YR_GROWTH</stp>
        <stp>FY 2011</stp>
        <stp>FY 2011</stp>
        <stp>[FA1_ymffleas.xlsx]Growth!R45C5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5" s="22"/>
      </tp>
      <tp>
        <v>8150</v>
        <stp/>
        <stp>##V3_BDHV12</stp>
        <stp>RCOM IN Equity</stp>
        <stp>PRETAX_INC</stp>
        <stp>FY 2013</stp>
        <stp>FY 2013</stp>
        <stp>[FA1_ymffleas.xlsx]Reconciliation!R27C6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27" s="12"/>
      </tp>
      <tp>
        <v>2320</v>
        <stp/>
        <stp>##V3_BDHV12</stp>
        <stp>RCOM IN Equity</stp>
        <stp>PRETAX_INC</stp>
        <stp>FY 2016</stp>
        <stp>FY 2016</stp>
        <stp>[FA1_ymffleas.xlsx]Reconciliation!R27C9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27" s="12"/>
      </tp>
      <tp>
        <v>9460</v>
        <stp/>
        <stp>##V3_BDHV12</stp>
        <stp>RCOM IN Equity</stp>
        <stp>PRETAX_INC</stp>
        <stp>FY 2015</stp>
        <stp>FY 2015</stp>
        <stp>[FA1_ymffleas.xlsx]Reconciliation!R27C8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27" s="12"/>
      </tp>
      <tp>
        <v>10.5183</v>
        <stp/>
        <stp>##V3_BDHV12</stp>
        <stp>RCOM IN Equity</stp>
        <stp>OPER_INC_PER_SH</stp>
        <stp>FY 2014</stp>
        <stp>FY 2014</stp>
        <stp>[FA1_ymffleas.xlsx]Per Share!R13C7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3" s="7"/>
      </tp>
      <tp>
        <v>5.7719000000000005</v>
        <stp/>
        <stp>##V3_BDHV12</stp>
        <stp>RCOM IN Equity</stp>
        <stp>ACCOUNTS_RECEIVABLE_5_YR_GROWTH</stp>
        <stp>FY 2014</stp>
        <stp>FY 2014</stp>
        <stp>[FA1_ymffleas.xlsx]Growth!R45C8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5" s="22"/>
      </tp>
      <tp>
        <v>3.8090999999999999</v>
        <stp/>
        <stp>##V3_BDHV12</stp>
        <stp>RCOM IN Equity</stp>
        <stp>ACCOUNTS_RECEIVABLE_5_YR_GROWTH</stp>
        <stp>FY 2015</stp>
        <stp>FY 2015</stp>
        <stp>[FA1_ymffleas.xlsx]Growth!R45C9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5" s="22"/>
      </tp>
      <tp>
        <v>2230</v>
        <stp/>
        <stp>##V3_BDHV12</stp>
        <stp>RCOM IN Equity</stp>
        <stp>ARD_OTHER_NONCURRENT_ASSET</stp>
        <stp>FY 2013</stp>
        <stp>FY 2013</stp>
        <stp>[FA1_ymffleas.xlsx]Bal Sheet - As Reported!R50C7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0" s="17"/>
      </tp>
      <tp>
        <v>6180</v>
        <stp/>
        <stp>##V3_BDHV12</stp>
        <stp>RCOM IN Equity</stp>
        <stp>ARD_OTHER_NONCURRENT_ASSET</stp>
        <stp>FY 2012</stp>
        <stp>FY 2012</stp>
        <stp>[FA1_ymffleas.xlsx]Bal Sheet - As Reported!R50C6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0" s="17"/>
      </tp>
      <tp>
        <v>0</v>
        <stp/>
        <stp>##V3_BDHV12</stp>
        <stp>RCOM IN Equity</stp>
        <stp>ARD_OTHER_NONCURRENT_ASSET</stp>
        <stp>FY 2011</stp>
        <stp>FY 2011</stp>
        <stp>[FA1_ymffleas.xlsx]Bal Sheet - As Reported!R50C5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0" s="17"/>
      </tp>
      <tp t="s">
        <v>—</v>
        <stp/>
        <stp>##V3_BDHV12</stp>
        <stp>RCOM IN Equity</stp>
        <stp>ARD_OTHER_NONCURRENT_ASSET</stp>
        <stp>FY 2010</stp>
        <stp>FY 2010</stp>
        <stp>[FA1_ymffleas.xlsx]Bal Sheet - As Reported!R50C4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0" s="17"/>
      </tp>
      <tp t="s">
        <v>—</v>
        <stp/>
        <stp>##V3_BDHV12</stp>
        <stp>RCOM IN Equity</stp>
        <stp>ARD_OTHER_NONCURRENT_ASSET</stp>
        <stp>FY 2009</stp>
        <stp>FY 2009</stp>
        <stp>[FA1_ymffleas.xlsx]Bal Sheet - As Reported!R50C3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0" s="17"/>
      </tp>
      <tp>
        <v>2750</v>
        <stp/>
        <stp>##V3_BDHV12</stp>
        <stp>RCOM IN Equity</stp>
        <stp>ARD_OTHER_NONCURRENT_ASSET</stp>
        <stp>FY 2015</stp>
        <stp>FY 2015</stp>
        <stp>[FA1_ymffleas.xlsx]Bal Sheet - As Reported!R50C9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0" s="17"/>
      </tp>
      <tp>
        <v>3120</v>
        <stp/>
        <stp>##V3_BDHV12</stp>
        <stp>RCOM IN Equity</stp>
        <stp>ARD_OTHER_NONCURRENT_ASSET</stp>
        <stp>FY 2014</stp>
        <stp>FY 2014</stp>
        <stp>[FA1_ymffleas.xlsx]Bal Sheet - As Reported!R50C8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0" s="17"/>
      </tp>
      <tp>
        <v>0</v>
        <stp/>
        <stp>##V3_BDHV12</stp>
        <stp>RCOM IN Equity</stp>
        <stp>IS_EXTRAORD_ITEMS_&amp;_ACCTG_CHNG</stp>
        <stp>FY 2010</stp>
        <stp>FY 2010</stp>
        <stp>[FA1_ymffleas.xlsx]Reconciliation!R36C3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6" s="12"/>
      </tp>
      <tp>
        <v>0</v>
        <stp/>
        <stp>##V3_BDHV12</stp>
        <stp>RCOM IN Equity</stp>
        <stp>IS_EXTRAORD_ITEMS_&amp;_ACCTG_CHNG</stp>
        <stp>FY 2013</stp>
        <stp>FY 2013</stp>
        <stp>[FA1_ymffleas.xlsx]Reconciliation!R36C6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6" s="12"/>
      </tp>
      <tp>
        <v>0</v>
        <stp/>
        <stp>##V3_BDHV12</stp>
        <stp>RCOM IN Equity</stp>
        <stp>IS_EXTRAORD_ITEMS_&amp;_ACCTG_CHNG</stp>
        <stp>FY 2014</stp>
        <stp>FY 2014</stp>
        <stp>[FA1_ymffleas.xlsx]Reconciliation!R36C7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6" s="12"/>
      </tp>
      <tp>
        <v>0</v>
        <stp/>
        <stp>##V3_BDHV12</stp>
        <stp>RCOM IN Equity</stp>
        <stp>IS_EXTRAORD_ITEMS_&amp;_ACCTG_CHNG</stp>
        <stp>FY 2011</stp>
        <stp>FY 2011</stp>
        <stp>[FA1_ymffleas.xlsx]Reconciliation!R36C4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6" s="12"/>
      </tp>
      <tp>
        <v>0</v>
        <stp/>
        <stp>##V3_BDHV12</stp>
        <stp>RCOM IN Equity</stp>
        <stp>IS_EXTRAORD_ITEMS_&amp;_ACCTG_CHNG</stp>
        <stp>FY 2012</stp>
        <stp>FY 2012</stp>
        <stp>[FA1_ymffleas.xlsx]Reconciliation!R36C5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6" s="12"/>
      </tp>
      <tp>
        <v>0</v>
        <stp/>
        <stp>##V3_BDHV12</stp>
        <stp>RCOM IN Equity</stp>
        <stp>IS_EXTRAORD_ITEMS_&amp;_ACCTG_CHNG</stp>
        <stp>FY 2015</stp>
        <stp>FY 2015</stp>
        <stp>[FA1_ymffleas.xlsx]Reconciliation!R36C8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6" s="12"/>
      </tp>
      <tp>
        <v>0</v>
        <stp/>
        <stp>##V3_BDHV12</stp>
        <stp>RCOM IN Equity</stp>
        <stp>IS_EXTRAORD_ITEMS_&amp;_ACCTG_CHNG</stp>
        <stp>FY 2016</stp>
        <stp>FY 2016</stp>
        <stp>[FA1_ymffleas.xlsx]Reconciliation!R36C9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6" s="12"/>
      </tp>
      <tp>
        <v>30.947400000000002</v>
        <stp/>
        <stp>##V3_BDHV12</stp>
        <stp>RCOM IN Equity</stp>
        <stp>EBITDA_MARGIN</stp>
        <stp>FY 2013</stp>
        <stp>FY 2013</stp>
        <stp>[FA1_ymffleas.xlsx]Income - Adjusted!R122C6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F122" s="9"/>
      </tp>
      <tp>
        <v>7651676.2061000001</v>
        <stp/>
        <stp>##V3_BDHV12</stp>
        <stp>RCOM IN Equity</stp>
        <stp>ACTUAL_SALES_PER_EMPL</stp>
        <stp>FY 2012</stp>
        <stp>FY 2012</stp>
        <stp>[FA1_ymffleas.xlsx]Income - Adjusted!R127C5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E127" s="9"/>
      </tp>
      <tp>
        <v>0</v>
        <stp/>
        <stp>##V3_BDHV12</stp>
        <stp>RCOM IN Equity</stp>
        <stp>PENSION_LIABILITIES</stp>
        <stp>FY 2017</stp>
        <stp>FY 2017</stp>
        <stp>[FA1_ymffleas.xlsx]Bal Sheet - Standardized!R113C11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3" s="16"/>
      </tp>
      <tp t="s">
        <v>—</v>
        <stp/>
        <stp>##V3_BDHV12</stp>
        <stp>RCOM IN Equity</stp>
        <stp>PENSION_LIABILITIES</stp>
        <stp>FY 2016</stp>
        <stp>FY 2016</stp>
        <stp>[FA1_ymffleas.xlsx]Bal Sheet - Standardized!R113C10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3" s="16"/>
      </tp>
      <tp>
        <v>0</v>
        <stp/>
        <stp>##V3_BDHV12</stp>
        <stp>RCOM IN Equity</stp>
        <stp>PENSION_LIABILITIES</stp>
        <stp>FY 2018</stp>
        <stp>FY 2018</stp>
        <stp>[FA1_ymffleas.xlsx]Bal Sheet - Standardized!R113C12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3" s="16"/>
      </tp>
      <tp>
        <v>30.792000000000002</v>
        <stp/>
        <stp>##V3_BDHV12</stp>
        <stp>RCOM IN Equity</stp>
        <stp>EBITDA_MARGIN</stp>
        <stp>FY 2013</stp>
        <stp>FY 2013</stp>
        <stp>[FA1_ymffleas.xlsx]Income - GAAP!R100C6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00" s="10"/>
      </tp>
      <tp>
        <v>7651676.2061000001</v>
        <stp/>
        <stp>##V3_BDHV12</stp>
        <stp>RCOM IN Equity</stp>
        <stp>ACTUAL_SALES_PER_EMPL</stp>
        <stp>FY 2012</stp>
        <stp>FY 2012</stp>
        <stp>[FA1_ymffleas.xlsx]Income - GAAP!R105C5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05" s="10"/>
      </tp>
      <tp>
        <v>55.803600000000003</v>
        <stp/>
        <stp>##V3_BDHV12</stp>
        <stp>RCOM IN Equity</stp>
        <stp>EARN_FOR_COM_GROWTH</stp>
        <stp>FY 2014</stp>
        <stp>FY 2014</stp>
        <stp>[FA1_ymffleas.xlsx]Growth!R10C8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0" s="22"/>
      </tp>
      <tp>
        <v>524967.38219999999</v>
        <stp/>
        <stp>##V3_BDHV12</stp>
        <stp>RCOM IN Equity</stp>
        <stp>DILUTED_EV</stp>
        <stp>FY 2018</stp>
        <stp>FY 2018</stp>
        <stp>[FA1_ymffleas.xlsx]Enterprise Value!R24C11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4" s="5"/>
      </tp>
      <tp>
        <v>542702.93850000005</v>
        <stp/>
        <stp>##V3_BDHV12</stp>
        <stp>RCOM IN Equity</stp>
        <stp>DILUTED_EV</stp>
        <stp>FY 2017</stp>
        <stp>FY 2017</stp>
        <stp>[FA1_ymffleas.xlsx]Enterprise Value!R24C10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4" s="5"/>
      </tp>
      <tp>
        <v>-110.7937</v>
        <stp/>
        <stp>##V3_BDHV12</stp>
        <stp>RCOM IN Equity</stp>
        <stp>MODIFIED_WORK_CAP_GROWTH</stp>
        <stp>FY 2018</stp>
        <stp>FY 2018</stp>
        <stp>[FA1_ymffleas.xlsx]Growth!R20C12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0" s="22"/>
      </tp>
      <tp>
        <v>43.916699999999999</v>
        <stp/>
        <stp>##V3_BDHV12</stp>
        <stp>RCOM IN Equity</stp>
        <stp>MODIFIED_WORK_CAP_GROWTH</stp>
        <stp>FY 2016</stp>
        <stp>FY 2016</stp>
        <stp>[FA1_ymffleas.xlsx]Growth!R20C10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0" s="22"/>
      </tp>
      <tp>
        <v>51.2761</v>
        <stp/>
        <stp>##V3_BDHV12</stp>
        <stp>RCOM IN Equity</stp>
        <stp>MODIFIED_WORK_CAP_GROWTH</stp>
        <stp>FY 2017</stp>
        <stp>FY 2017</stp>
        <stp>[FA1_ymffleas.xlsx]Growth!R20C11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0" s="22"/>
      </tp>
      <tp>
        <v>2153.1658000000002</v>
        <stp/>
        <stp>##V3_BDHV12</stp>
        <stp>RCOM IN Equity</stp>
        <stp>ARDR_WEIGHTED_AVG_SHARE_DILUTED</stp>
        <stp>FY 2011</stp>
        <stp>FY 2011</stp>
        <stp>[FA1_ymffleas.xlsx]Income - As Reported!R84C5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4" s="11"/>
      </tp>
      <tp>
        <v>2153.1658000000002</v>
        <stp/>
        <stp>##V3_BDHV12</stp>
        <stp>RCOM IN Equity</stp>
        <stp>ARDR_WEIGHTED_AVG_SHARE_DILUTED</stp>
        <stp>FY 2010</stp>
        <stp>FY 2010</stp>
        <stp>[FA1_ymffleas.xlsx]Income - As Reported!R84C4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4" s="11"/>
      </tp>
      <tp>
        <v>2064.0268999999998</v>
        <stp/>
        <stp>##V3_BDHV12</stp>
        <stp>RCOM IN Equity</stp>
        <stp>ARDR_WEIGHTED_AVG_SHARE_DILUTED</stp>
        <stp>FY 2013</stp>
        <stp>FY 2013</stp>
        <stp>[FA1_ymffleas.xlsx]Income - As Reported!R84C7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4" s="11"/>
      </tp>
      <tp>
        <v>94830</v>
        <stp/>
        <stp>##V3_BDHV12</stp>
        <stp>RCOM IN Equity</stp>
        <stp>BS_ST_BORROW</stp>
        <stp>FY 2015</stp>
        <stp>FY 2015</stp>
        <stp>[FA1_ymffleas.xlsx]Bal Sheet - Standardized!R85C9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5" s="16"/>
      </tp>
      <tp>
        <v>140850</v>
        <stp/>
        <stp>##V3_BDHV12</stp>
        <stp>RCOM IN Equity</stp>
        <stp>BS_ST_BORROW</stp>
        <stp>FY 2014</stp>
        <stp>FY 2014</stp>
        <stp>[FA1_ymffleas.xlsx]Bal Sheet - Standardized!R85C8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5" s="16"/>
      </tp>
      <tp>
        <v>118716.2</v>
        <stp/>
        <stp>##V3_BDHV12</stp>
        <stp>RCOM IN Equity</stp>
        <stp>BS_ST_BORROW</stp>
        <stp>FY 2009</stp>
        <stp>FY 2009</stp>
        <stp>[FA1_ymffleas.xlsx]Bal Sheet - Standardized!R85C3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5" s="16"/>
      </tp>
      <tp>
        <v>128690</v>
        <stp/>
        <stp>##V3_BDHV12</stp>
        <stp>RCOM IN Equity</stp>
        <stp>BS_ST_BORROW</stp>
        <stp>FY 2013</stp>
        <stp>FY 2013</stp>
        <stp>[FA1_ymffleas.xlsx]Bal Sheet - Standardized!R85C7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5" s="16"/>
      </tp>
      <tp>
        <v>86570</v>
        <stp/>
        <stp>##V3_BDHV12</stp>
        <stp>RCOM IN Equity</stp>
        <stp>BS_ST_BORROW</stp>
        <stp>FY 2012</stp>
        <stp>FY 2012</stp>
        <stp>[FA1_ymffleas.xlsx]Bal Sheet - Standardized!R85C6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5" s="16"/>
      </tp>
      <tp>
        <v>197580</v>
        <stp/>
        <stp>##V3_BDHV12</stp>
        <stp>RCOM IN Equity</stp>
        <stp>BS_ST_BORROW</stp>
        <stp>FY 2011</stp>
        <stp>FY 2011</stp>
        <stp>[FA1_ymffleas.xlsx]Bal Sheet - Standardized!R85C5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5" s="16"/>
      </tp>
      <tp>
        <v>104636</v>
        <stp/>
        <stp>##V3_BDHV12</stp>
        <stp>RCOM IN Equity</stp>
        <stp>BS_ST_BORROW</stp>
        <stp>FY 2010</stp>
        <stp>FY 2010</stp>
        <stp>[FA1_ymffleas.xlsx]Bal Sheet - Standardized!R85C4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5" s="16"/>
      </tp>
      <tp>
        <v>2104.0468999999998</v>
        <stp/>
        <stp>##V3_BDHV12</stp>
        <stp>RCOM IN Equity</stp>
        <stp>ARDR_WEIGHTED_AVG_SHARE_DILUTED</stp>
        <stp>FY 2012</stp>
        <stp>FY 2012</stp>
        <stp>[FA1_ymffleas.xlsx]Income - As Reported!R84C6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4" s="11"/>
      </tp>
      <tp>
        <v>2155.1471000000001</v>
        <stp/>
        <stp>##V3_BDHV12</stp>
        <stp>RCOM IN Equity</stp>
        <stp>ARDR_WEIGHTED_AVG_SHARE_DILUTED</stp>
        <stp>FY 2009</stp>
        <stp>FY 2009</stp>
        <stp>[FA1_ymffleas.xlsx]Income - As Reported!R84C3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4" s="11"/>
      </tp>
      <tp>
        <v>2333.9049</v>
        <stp/>
        <stp>##V3_BDHV12</stp>
        <stp>RCOM IN Equity</stp>
        <stp>ARDR_WEIGHTED_AVG_SHARE_DILUTED</stp>
        <stp>FY 2015</stp>
        <stp>FY 2015</stp>
        <stp>[FA1_ymffleas.xlsx]Income - As Reported!R84C9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4" s="11"/>
      </tp>
      <tp>
        <v>2064.0268999999998</v>
        <stp/>
        <stp>##V3_BDHV12</stp>
        <stp>RCOM IN Equity</stp>
        <stp>ARDR_WEIGHTED_AVG_SHARE_DILUTED</stp>
        <stp>FY 2014</stp>
        <stp>FY 2014</stp>
        <stp>[FA1_ymffleas.xlsx]Income - As Reported!R84C8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4" s="11"/>
      </tp>
      <tp t="s">
        <v>—</v>
        <stp/>
        <stp>##V3_BDHV12</stp>
        <stp>RCOM IN Equity</stp>
        <stp>INVENT_DAYS</stp>
        <stp>FY 2016</stp>
        <stp>FY 2016</stp>
        <stp>[FA1_ymffleas.xlsx]Working Capital!R9C10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9" s="25"/>
      </tp>
      <tp t="s">
        <v>—</v>
        <stp/>
        <stp>##V3_BDHV12</stp>
        <stp>RCOM IN Equity</stp>
        <stp>CASH_CONVERSION_CYCLE</stp>
        <stp>FY 2016</stp>
        <stp>FY 2016</stp>
        <stp>[FA1_ymffleas.xlsx]Bal Sheet - Standardized!R171C10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71" s="16"/>
      </tp>
      <tp>
        <v>-22.922499999999999</v>
        <stp/>
        <stp>##V3_BDHV12</stp>
        <stp>RCOM IN Equity</stp>
        <stp>EPS_DILUTED_SEQUENTIAL_GROWTH</stp>
        <stp>FY 2010</stp>
        <stp>FY 2010</stp>
        <stp>[FA1_ymffleas.xlsx]Growth!R64C4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64" s="22"/>
      </tp>
      <tp>
        <v>1.7829999999999999</v>
        <stp/>
        <stp>##V3_BDHV12</stp>
        <stp>RCOM IN Equity</stp>
        <stp>OPER_INC_PER_SH</stp>
        <stp>FY 2017</stp>
        <stp>FY 2017</stp>
        <stp>[FA1_ymffleas.xlsx]Per Share!R13C10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3" s="7"/>
      </tp>
      <tp>
        <v>289690</v>
        <stp/>
        <stp>##V3_BDHV12</stp>
        <stp>RCOM IN Equity</stp>
        <stp>TOTAL_EQUITY</stp>
        <stp>FY 2017</stp>
        <stp>FY 2017</stp>
        <stp>[FA1_ymffleas.xlsx]Bal Sheet - Standardized!R151C11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1" s="16"/>
      </tp>
      <tp>
        <v>318650</v>
        <stp/>
        <stp>##V3_BDHV12</stp>
        <stp>RCOM IN Equity</stp>
        <stp>TOTAL_EQUITY</stp>
        <stp>FY 2016</stp>
        <stp>FY 2016</stp>
        <stp>[FA1_ymffleas.xlsx]Bal Sheet - Standardized!R151C10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1" s="16"/>
      </tp>
      <tp>
        <v>31150</v>
        <stp/>
        <stp>##V3_BDHV12</stp>
        <stp>RCOM IN Equity</stp>
        <stp>TOTAL_EQUITY</stp>
        <stp>FY 2018</stp>
        <stp>FY 2018</stp>
        <stp>[FA1_ymffleas.xlsx]Bal Sheet - Standardized!R151C12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1" s="16"/>
      </tp>
      <tp>
        <v>-15.5181</v>
        <stp/>
        <stp>##V3_BDHV12</stp>
        <stp>RCOM IN Equity</stp>
        <stp>SHAREHOLDER_YIELD_CFF</stp>
        <stp>FY 2009</stp>
        <stp>FY 2009</stp>
        <stp>[FA1_ymffleas.xlsx]Yield Analysis!R20C3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0" s="26"/>
      </tp>
      <tp>
        <v>1160</v>
        <stp/>
        <stp>##V3_BDHV12</stp>
        <stp>RCOM IN Equity</stp>
        <stp>IS_PROVISION_DOUBTFUL_ACCOUNTS</stp>
        <stp>FY 2015</stp>
        <stp>FY 2015</stp>
        <stp>[FA1_ymffleas.xlsx]Income - Adjusted!R31C8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31" s="9"/>
      </tp>
      <tp>
        <v>-7.7973999999999997</v>
        <stp/>
        <stp>##V3_BDHV12</stp>
        <stp>RCOM IN Equity</stp>
        <stp>SHAREHOLDER_YIELD_CFF</stp>
        <stp>FY 2013</stp>
        <stp>FY 2013</stp>
        <stp>[FA1_ymffleas.xlsx]Yield Analysis!R20C7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0" s="26"/>
      </tp>
      <tp>
        <v>1360</v>
        <stp/>
        <stp>##V3_BDHV12</stp>
        <stp>RCOM IN Equity</stp>
        <stp>IS_PROVISION_DOUBTFUL_ACCOUNTS</stp>
        <stp>FY 2016</stp>
        <stp>FY 2016</stp>
        <stp>[FA1_ymffleas.xlsx]Income - Adjusted!R31C9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31" s="9"/>
      </tp>
      <tp>
        <v>21.7775</v>
        <stp/>
        <stp>##V3_BDHV12</stp>
        <stp>RCOM IN Equity</stp>
        <stp>SHAREHOLDER_YIELD_CFF</stp>
        <stp>FY 2012</stp>
        <stp>FY 2012</stp>
        <stp>[FA1_ymffleas.xlsx]Yield Analysis!R20C6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0" s="26"/>
      </tp>
      <tp t="s">
        <v>—</v>
        <stp/>
        <stp>##V3_BDHV12</stp>
        <stp>RCOM IN Equity</stp>
        <stp>IS_OTHER_INVESTMENT_INCOME_LOSS</stp>
        <stp>FY 2015</stp>
        <stp>FY 2015</stp>
        <stp>[FA1_ymffleas.xlsx]Income - GAAP!R45C8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45" s="10"/>
      </tp>
      <tp>
        <v>-42.4542</v>
        <stp/>
        <stp>##V3_BDHV12</stp>
        <stp>RCOM IN Equity</stp>
        <stp>SHAREHOLDER_YIELD_CFF</stp>
        <stp>FY 2011</stp>
        <stp>FY 2011</stp>
        <stp>[FA1_ymffleas.xlsx]Yield Analysis!R20C5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0" s="26"/>
      </tp>
      <tp>
        <v>6.2465999999999999</v>
        <stp/>
        <stp>##V3_BDHV12</stp>
        <stp>RCOM IN Equity</stp>
        <stp>IS_DILUTED_EPS</stp>
        <stp>FY 2011</stp>
        <stp>FY 2011</stp>
        <stp>[FA1_ymffleas.xlsx]Per Share!R17C4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7" s="7"/>
      </tp>
      <tp t="s">
        <v>—</v>
        <stp/>
        <stp>##V3_BDHV12</stp>
        <stp>RCOM IN Equity</stp>
        <stp>IS_OTHER_INVESTMENT_INCOME_LOSS</stp>
        <stp>FY 2016</stp>
        <stp>FY 2016</stp>
        <stp>[FA1_ymffleas.xlsx]Income - GAAP!R45C9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45" s="10"/>
      </tp>
      <tp>
        <v>20.468399999999999</v>
        <stp/>
        <stp>##V3_BDHV12</stp>
        <stp>RCOM IN Equity</stp>
        <stp>SHAREHOLDER_YIELD_CFF</stp>
        <stp>FY 2010</stp>
        <stp>FY 2010</stp>
        <stp>[FA1_ymffleas.xlsx]Yield Analysis!R20C4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0" s="26"/>
      </tp>
      <tp>
        <v>1690</v>
        <stp/>
        <stp>##V3_BDHV12</stp>
        <stp>RCOM IN Equity</stp>
        <stp>IS_PROVISION_DOUBTFUL_ACCOUNTS</stp>
        <stp>FY 2011</stp>
        <stp>FY 2011</stp>
        <stp>[FA1_ymffleas.xlsx]Income - Adjusted!R31C4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31" s="9"/>
      </tp>
      <tp t="s">
        <v>—</v>
        <stp/>
        <stp>##V3_BDHV12</stp>
        <stp>RCOM IN Equity</stp>
        <stp>IS_OTHER_INVESTMENT_INCOME_LOSS</stp>
        <stp>FY 2013</stp>
        <stp>FY 2013</stp>
        <stp>[FA1_ymffleas.xlsx]Income - GAAP!R45C6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45" s="10"/>
      </tp>
      <tp t="s">
        <v>—</v>
        <stp/>
        <stp>##V3_BDHV12</stp>
        <stp>RCOM IN Equity</stp>
        <stp>ARDR_BASIC_EPS_BEF_XO_ITEMS</stp>
        <stp>FY 2017</stp>
        <stp>FY 2017</stp>
        <stp>[FA1_ymffleas.xlsx]Income - As Reported!R79C11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9" s="11"/>
      </tp>
      <tp>
        <v>610</v>
        <stp/>
        <stp>##V3_BDHV12</stp>
        <stp>RCOM IN Equity</stp>
        <stp>IS_PROVISION_DOUBTFUL_ACCOUNTS</stp>
        <stp>FY 2012</stp>
        <stp>FY 2012</stp>
        <stp>[FA1_ymffleas.xlsx]Income - Adjusted!R31C5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31" s="9"/>
      </tp>
      <tp t="s">
        <v>—</v>
        <stp/>
        <stp>##V3_BDHV12</stp>
        <stp>RCOM IN Equity</stp>
        <stp>IS_OTHER_INVESTMENT_INCOME_LOSS</stp>
        <stp>FY 2014</stp>
        <stp>FY 2014</stp>
        <stp>[FA1_ymffleas.xlsx]Income - GAAP!R45C7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45" s="10"/>
      </tp>
      <tp t="s">
        <v>—</v>
        <stp/>
        <stp>##V3_BDHV12</stp>
        <stp>RCOM IN Equity</stp>
        <stp>ARDR_BASIC_EPS_BEF_XO_ITEMS</stp>
        <stp>FY 2016</stp>
        <stp>FY 2016</stp>
        <stp>[FA1_ymffleas.xlsx]Income - As Reported!R79C10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9" s="11"/>
      </tp>
      <tp>
        <v>1080</v>
        <stp/>
        <stp>##V3_BDHV12</stp>
        <stp>RCOM IN Equity</stp>
        <stp>IS_PROVISION_DOUBTFUL_ACCOUNTS</stp>
        <stp>FY 2013</stp>
        <stp>FY 2013</stp>
        <stp>[FA1_ymffleas.xlsx]Income - Adjusted!R31C6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31" s="9"/>
      </tp>
      <tp>
        <v>0</v>
        <stp/>
        <stp>##V3_BDHV12</stp>
        <stp>RCOM IN Equity</stp>
        <stp>IS_OTHER_INVESTMENT_INCOME_LOSS</stp>
        <stp>FY 2011</stp>
        <stp>FY 2011</stp>
        <stp>[FA1_ymffleas.xlsx]Income - GAAP!R45C4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45" s="10"/>
      </tp>
      <tp>
        <v>-23.8825</v>
        <stp/>
        <stp>##V3_BDHV12</stp>
        <stp>RCOM IN Equity</stp>
        <stp>SHAREHOLDER_YIELD_CFF</stp>
        <stp>FY 2015</stp>
        <stp>FY 2015</stp>
        <stp>[FA1_ymffleas.xlsx]Yield Analysis!R20C9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0" s="26"/>
      </tp>
      <tp>
        <v>2890</v>
        <stp/>
        <stp>##V3_BDHV12</stp>
        <stp>RCOM IN Equity</stp>
        <stp>IS_PROVISION_DOUBTFUL_ACCOUNTS</stp>
        <stp>FY 2014</stp>
        <stp>FY 2014</stp>
        <stp>[FA1_ymffleas.xlsx]Income - Adjusted!R31C7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31" s="9"/>
      </tp>
      <tp>
        <v>37220</v>
        <stp/>
        <stp>##V3_BDHV12</stp>
        <stp>RCOM IN Equity</stp>
        <stp>ARDR_OTHER_RECEIVABLES_ST</stp>
        <stp>FY 2015</stp>
        <stp>FY 2015</stp>
        <stp>[FA1_ymffleas.xlsx]Bal Sheet - As Reported!R122C9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2" s="17"/>
      </tp>
      <tp>
        <v>27920</v>
        <stp/>
        <stp>##V3_BDHV12</stp>
        <stp>RCOM IN Equity</stp>
        <stp>ARDR_OTHER_RECEIVABLES_ST</stp>
        <stp>FY 2014</stp>
        <stp>FY 2014</stp>
        <stp>[FA1_ymffleas.xlsx]Bal Sheet - As Reported!R122C8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2" s="17"/>
      </tp>
      <tp>
        <v>31104.9</v>
        <stp/>
        <stp>##V3_BDHV12</stp>
        <stp>RCOM IN Equity</stp>
        <stp>ARDR_OTHER_RECEIVABLES_ST</stp>
        <stp>FY 2009</stp>
        <stp>FY 2009</stp>
        <stp>[FA1_ymffleas.xlsx]Bal Sheet - As Reported!R122C3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2" s="17"/>
      </tp>
      <tp>
        <v>23370</v>
        <stp/>
        <stp>##V3_BDHV12</stp>
        <stp>RCOM IN Equity</stp>
        <stp>ARDR_OTHER_RECEIVABLES_ST</stp>
        <stp>FY 2013</stp>
        <stp>FY 2013</stp>
        <stp>[FA1_ymffleas.xlsx]Bal Sheet - As Reported!R122C7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2" s="17"/>
      </tp>
      <tp>
        <v>17420</v>
        <stp/>
        <stp>##V3_BDHV12</stp>
        <stp>RCOM IN Equity</stp>
        <stp>ARDR_OTHER_RECEIVABLES_ST</stp>
        <stp>FY 2012</stp>
        <stp>FY 2012</stp>
        <stp>[FA1_ymffleas.xlsx]Bal Sheet - As Reported!R122C6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2" s="17"/>
      </tp>
      <tp>
        <v>24150</v>
        <stp/>
        <stp>##V3_BDHV12</stp>
        <stp>RCOM IN Equity</stp>
        <stp>ARDR_OTHER_RECEIVABLES_ST</stp>
        <stp>FY 2011</stp>
        <stp>FY 2011</stp>
        <stp>[FA1_ymffleas.xlsx]Bal Sheet - As Reported!R122C5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2" s="17"/>
      </tp>
      <tp>
        <v>23212.3</v>
        <stp/>
        <stp>##V3_BDHV12</stp>
        <stp>RCOM IN Equity</stp>
        <stp>ARDR_OTHER_RECEIVABLES_ST</stp>
        <stp>FY 2010</stp>
        <stp>FY 2010</stp>
        <stp>[FA1_ymffleas.xlsx]Bal Sheet - As Reported!R122C4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2" s="17"/>
      </tp>
      <tp t="s">
        <v>—</v>
        <stp/>
        <stp>##V3_BDHV12</stp>
        <stp>RCOM IN Equity</stp>
        <stp>IS_OTHER_INVESTMENT_INCOME_LOSS</stp>
        <stp>FY 2012</stp>
        <stp>FY 2012</stp>
        <stp>[FA1_ymffleas.xlsx]Income - GAAP!R45C5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45" s="10"/>
      </tp>
      <tp t="s">
        <v>—</v>
        <stp/>
        <stp>##V3_BDHV12</stp>
        <stp>RCOM IN Equity</stp>
        <stp>ARDR_BASIC_EPS_BEF_XO_ITEMS</stp>
        <stp>FY 2018</stp>
        <stp>FY 2018</stp>
        <stp>[FA1_ymffleas.xlsx]Income - As Reported!R79C12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9" s="11"/>
      </tp>
      <tp>
        <v>7.3217999999999996</v>
        <stp/>
        <stp>##V3_BDHV12</stp>
        <stp>RCOM IN Equity</stp>
        <stp>SHAREHOLDER_YIELD_CFF</stp>
        <stp>FY 2014</stp>
        <stp>FY 2014</stp>
        <stp>[FA1_ymffleas.xlsx]Yield Analysis!R20C8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0" s="26"/>
      </tp>
      <tp>
        <v>-0.6</v>
        <stp/>
        <stp>##V3_BDHV12</stp>
        <stp>RCOM IN Equity</stp>
        <stp>IS_OTHER_INVESTMENT_INCOME_LOSS</stp>
        <stp>FY 2010</stp>
        <stp>FY 2010</stp>
        <stp>[FA1_ymffleas.xlsx]Income - GAAP!R45C3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45" s="10"/>
      </tp>
      <tp>
        <v>3.05</v>
        <stp/>
        <stp>##V3_BDHV12</stp>
        <stp>RCOM IN Equity</stp>
        <stp>IS_EPS</stp>
        <stp>FY 2015</stp>
        <stp>FY 2015</stp>
        <stp>[FA1_ymffleas.xlsx]Per Share!R14C8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4" s="7"/>
      </tp>
      <tp>
        <v>1982.8</v>
        <stp/>
        <stp>##V3_BDHV12</stp>
        <stp>RCOM IN Equity</stp>
        <stp>IS_PROVISION_DOUBTFUL_ACCOUNTS</stp>
        <stp>FY 2010</stp>
        <stp>FY 2010</stp>
        <stp>[FA1_ymffleas.xlsx]Income - Adjusted!R31C3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31" s="9"/>
      </tp>
      <tp>
        <v>3.26</v>
        <stp/>
        <stp>##V3_BDHV12</stp>
        <stp>RCOM IN Equity</stp>
        <stp>IS_DILUTED_EPS</stp>
        <stp>FY 2013</stp>
        <stp>FY 2013</stp>
        <stp>[FA1_ymffleas.xlsx]Reconciliation!R44C6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44" s="12"/>
      </tp>
      <tp>
        <v>7.79</v>
        <stp/>
        <stp>##V3_BDHV12</stp>
        <stp>RCOM IN Equity</stp>
        <stp>ARDR_EXP_RET_PLAN_ASSET_HEALTH</stp>
        <stp>FY 2016</stp>
        <stp>FY 2016</stp>
        <stp>[FA1_ymffleas.xlsx]Bal Sheet - As Reported!R105C10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05" s="17"/>
      </tp>
      <tp>
        <v>6.82</v>
        <stp/>
        <stp>##V3_BDHV12</stp>
        <stp>RCOM IN Equity</stp>
        <stp>ARDR_EXP_RET_PLAN_ASSET_HEALTH</stp>
        <stp>FY 2017</stp>
        <stp>FY 2017</stp>
        <stp>[FA1_ymffleas.xlsx]Bal Sheet - As Reported!R105C11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05" s="17"/>
      </tp>
      <tp>
        <v>7.65</v>
        <stp/>
        <stp>##V3_BDHV12</stp>
        <stp>RCOM IN Equity</stp>
        <stp>ARDR_EXP_RET_PLAN_ASSET_HEALTH</stp>
        <stp>FY 2018</stp>
        <stp>FY 2018</stp>
        <stp>[FA1_ymffleas.xlsx]Bal Sheet - As Reported!R105C12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05" s="17"/>
      </tp>
      <tp>
        <v>15.5046</v>
        <stp/>
        <stp>##V3_BDHV12</stp>
        <stp>RCOM IN Equity</stp>
        <stp>EV_TO_T12M_EBIT</stp>
        <stp>FY 2015</stp>
        <stp>FY 2015</stp>
        <stp>[FA1_ymffleas.xlsx]Enterprise Value!R19C8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9" s="5"/>
      </tp>
      <tp>
        <v>38450</v>
        <stp/>
        <stp>##V3_BDHV12</stp>
        <stp>RCOM IN Equity</stp>
        <stp>IS_DEPRECIATION_AND_AMORTIZATION</stp>
        <stp>FY 2013</stp>
        <stp>FY 2013</stp>
        <stp>[FA1_ymffleas.xlsx]Income - GAAP!R29C6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29" s="10"/>
      </tp>
      <tp>
        <v>45350</v>
        <stp/>
        <stp>##V3_BDHV12</stp>
        <stp>RCOM IN Equity</stp>
        <stp>IS_DEPRECIATION_AND_AMORTIZATION</stp>
        <stp>FY 2014</stp>
        <stp>FY 2014</stp>
        <stp>[FA1_ymffleas.xlsx]Income - GAAP!R29C7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29" s="10"/>
      </tp>
      <tp>
        <v>65040</v>
        <stp/>
        <stp>##V3_BDHV12</stp>
        <stp>RCOM IN Equity</stp>
        <stp>IS_DEPRECIATION_AND_AMORTIZATION</stp>
        <stp>FY 2011</stp>
        <stp>FY 2011</stp>
        <stp>[FA1_ymffleas.xlsx]Income - GAAP!R29C4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29" s="10"/>
      </tp>
      <tp>
        <v>46550</v>
        <stp/>
        <stp>##V3_BDHV12</stp>
        <stp>RCOM IN Equity</stp>
        <stp>INC_BEF_XO_LESS_MIN_INT_PREF_DVD</stp>
        <stp>FY 2010</stp>
        <stp>FY 2010</stp>
        <stp>[FA1_ymffleas.xlsx]Reconciliation!R37C3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7" s="12"/>
      </tp>
      <tp>
        <v>36080</v>
        <stp/>
        <stp>##V3_BDHV12</stp>
        <stp>RCOM IN Equity</stp>
        <stp>IS_DEPRECIATION_AND_AMORTIZATION</stp>
        <stp>FY 2012</stp>
        <stp>FY 2012</stp>
        <stp>[FA1_ymffleas.xlsx]Income - GAAP!R29C5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29" s="10"/>
      </tp>
      <tp>
        <v>13450</v>
        <stp/>
        <stp>##V3_BDHV12</stp>
        <stp>RCOM IN Equity</stp>
        <stp>INC_BEF_XO_LESS_MIN_INT_PREF_DVD</stp>
        <stp>FY 2011</stp>
        <stp>FY 2011</stp>
        <stp>[FA1_ymffleas.xlsx]Reconciliation!R37C4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7" s="12"/>
      </tp>
      <tp>
        <v>9280</v>
        <stp/>
        <stp>##V3_BDHV12</stp>
        <stp>RCOM IN Equity</stp>
        <stp>INC_BEF_XO_LESS_MIN_INT_PREF_DVD</stp>
        <stp>FY 2012</stp>
        <stp>FY 2012</stp>
        <stp>[FA1_ymffleas.xlsx]Reconciliation!R37C5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7" s="12"/>
      </tp>
      <tp>
        <v>34415.599999999999</v>
        <stp/>
        <stp>##V3_BDHV12</stp>
        <stp>RCOM IN Equity</stp>
        <stp>IS_DEPRECIATION_AND_AMORTIZATION</stp>
        <stp>FY 2010</stp>
        <stp>FY 2010</stp>
        <stp>[FA1_ymffleas.xlsx]Income - GAAP!R29C3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29" s="10"/>
      </tp>
      <tp>
        <v>6720</v>
        <stp/>
        <stp>##V3_BDHV12</stp>
        <stp>RCOM IN Equity</stp>
        <stp>INC_BEF_XO_LESS_MIN_INT_PREF_DVD</stp>
        <stp>FY 2013</stp>
        <stp>FY 2013</stp>
        <stp>[FA1_ymffleas.xlsx]Reconciliation!R37C6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7" s="12"/>
      </tp>
      <tp>
        <v>10470</v>
        <stp/>
        <stp>##V3_BDHV12</stp>
        <stp>RCOM IN Equity</stp>
        <stp>INC_BEF_XO_LESS_MIN_INT_PREF_DVD</stp>
        <stp>FY 2014</stp>
        <stp>FY 2014</stp>
        <stp>[FA1_ymffleas.xlsx]Reconciliation!R37C7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7" s="12"/>
      </tp>
      <tp>
        <v>7140</v>
        <stp/>
        <stp>##V3_BDHV12</stp>
        <stp>RCOM IN Equity</stp>
        <stp>INC_BEF_XO_LESS_MIN_INT_PREF_DVD</stp>
        <stp>FY 2015</stp>
        <stp>FY 2015</stp>
        <stp>[FA1_ymffleas.xlsx]Reconciliation!R37C8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7" s="12"/>
      </tp>
      <tp>
        <v>6390</v>
        <stp/>
        <stp>##V3_BDHV12</stp>
        <stp>RCOM IN Equity</stp>
        <stp>INC_BEF_XO_LESS_MIN_INT_PREF_DVD</stp>
        <stp>FY 2016</stp>
        <stp>FY 2016</stp>
        <stp>[FA1_ymffleas.xlsx]Reconciliation!R37C9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7" s="12"/>
      </tp>
      <tp>
        <v>9.0695999999999994</v>
        <stp/>
        <stp>##V3_BDHV12</stp>
        <stp>RCOM IN Equity</stp>
        <stp>OPER_INC_PER_SH</stp>
        <stp>FY 2011</stp>
        <stp>FY 2011</stp>
        <stp>[FA1_ymffleas.xlsx]Per Share!R13C4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3" s="7"/>
      </tp>
      <tp>
        <v>2765.5329999999999</v>
        <stp/>
        <stp>##V3_BDHV12</stp>
        <stp>RCOM IN Equity</stp>
        <stp>EQY_SH_OUT</stp>
        <stp>FY 2018</stp>
        <stp>FY 2018</stp>
        <stp>[FA1_ymffleas.xlsx]Stock Value!R13C11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3" s="8"/>
      </tp>
      <tp>
        <v>2488.98</v>
        <stp/>
        <stp>##V3_BDHV12</stp>
        <stp>RCOM IN Equity</stp>
        <stp>EQY_SH_OUT</stp>
        <stp>FY 2017</stp>
        <stp>FY 2017</stp>
        <stp>[FA1_ymffleas.xlsx]Stock Value!R13C10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3" s="8"/>
      </tp>
      <tp>
        <v>38170</v>
        <stp/>
        <stp>##V3_BDHV12</stp>
        <stp>RCOM IN Equity</stp>
        <stp>IS_DEPRECIATION_AND_AMORTIZATION</stp>
        <stp>FY 2015</stp>
        <stp>FY 2015</stp>
        <stp>[FA1_ymffleas.xlsx]Income - GAAP!R29C8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29" s="10"/>
      </tp>
      <tp t="s">
        <v>—</v>
        <stp/>
        <stp>##V3_BDHV12</stp>
        <stp>RCOM IN Equity</stp>
        <stp>ARD_INT_PAID_FINANCING_ACTS</stp>
        <stp>FY 2015</stp>
        <stp>FY 2015</stp>
        <stp>[FA1_ymffleas.xlsx]Cash Flow - As Reported!R66C9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6" s="20"/>
      </tp>
      <tp>
        <v>-30180</v>
        <stp/>
        <stp>##V3_BDHV12</stp>
        <stp>RCOM IN Equity</stp>
        <stp>ARD_INT_PAID_FINANCING_ACTS</stp>
        <stp>FY 2014</stp>
        <stp>FY 2014</stp>
        <stp>[FA1_ymffleas.xlsx]Cash Flow - As Reported!R66C8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6" s="20"/>
      </tp>
      <tp>
        <v>-24650</v>
        <stp/>
        <stp>##V3_BDHV12</stp>
        <stp>RCOM IN Equity</stp>
        <stp>ARD_INT_PAID_FINANCING_ACTS</stp>
        <stp>FY 2013</stp>
        <stp>FY 2013</stp>
        <stp>[FA1_ymffleas.xlsx]Cash Flow - As Reported!R66C7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6" s="20"/>
      </tp>
      <tp>
        <v>-17180</v>
        <stp/>
        <stp>##V3_BDHV12</stp>
        <stp>RCOM IN Equity</stp>
        <stp>ARD_INT_PAID_FINANCING_ACTS</stp>
        <stp>FY 2012</stp>
        <stp>FY 2012</stp>
        <stp>[FA1_ymffleas.xlsx]Cash Flow - As Reported!R66C6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6" s="20"/>
      </tp>
      <tp>
        <v>-13620</v>
        <stp/>
        <stp>##V3_BDHV12</stp>
        <stp>RCOM IN Equity</stp>
        <stp>ARD_INT_PAID_FINANCING_ACTS</stp>
        <stp>FY 2011</stp>
        <stp>FY 2011</stp>
        <stp>[FA1_ymffleas.xlsx]Cash Flow - As Reported!R66C5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6" s="20"/>
      </tp>
      <tp>
        <v>-14408.4</v>
        <stp/>
        <stp>##V3_BDHV12</stp>
        <stp>RCOM IN Equity</stp>
        <stp>ARD_INT_PAID_FINANCING_ACTS</stp>
        <stp>FY 2010</stp>
        <stp>FY 2010</stp>
        <stp>[FA1_ymffleas.xlsx]Cash Flow - As Reported!R66C4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6" s="20"/>
      </tp>
      <tp>
        <v>-13774.4</v>
        <stp/>
        <stp>##V3_BDHV12</stp>
        <stp>RCOM IN Equity</stp>
        <stp>ARD_INT_PAID_FINANCING_ACTS</stp>
        <stp>FY 2009</stp>
        <stp>FY 2009</stp>
        <stp>[FA1_ymffleas.xlsx]Cash Flow - As Reported!R66C3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6" s="20"/>
      </tp>
      <tp>
        <v>44840</v>
        <stp/>
        <stp>##V3_BDHV12</stp>
        <stp>RCOM IN Equity</stp>
        <stp>IS_DEPRECIATION_AND_AMORTIZATION</stp>
        <stp>FY 2016</stp>
        <stp>FY 2016</stp>
        <stp>[FA1_ymffleas.xlsx]Income - GAAP!R29C9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29" s="10"/>
      </tp>
      <tp>
        <v>0.47799999999999998</v>
        <stp/>
        <stp>##V3_BDHV12</stp>
        <stp>RCOM IN Equity</stp>
        <stp>PX_TO_BOOK_RATIO</stp>
        <stp>FY 2012</stp>
        <stp>FY 2012</stp>
        <stp>[FA1_ymffleas.xlsx]Multiples!R11C5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1" s="6"/>
      </tp>
      <tp>
        <v>0.54859999999999998</v>
        <stp/>
        <stp>##V3_BDHV12</stp>
        <stp>RCOM IN Equity</stp>
        <stp>PX_TO_BOOK_RATIO</stp>
        <stp>FY 2011</stp>
        <stp>FY 2011</stp>
        <stp>[FA1_ymffleas.xlsx]Multiples!R11C4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1" s="6"/>
      </tp>
      <tp>
        <v>32.939700000000002</v>
        <stp/>
        <stp>##V3_BDHV12</stp>
        <stp>RCOM IN Equity</stp>
        <stp>EBITDA_MARGIN</stp>
        <stp>FY 2012</stp>
        <stp>FY 2012</stp>
        <stp>[FA1_ymffleas.xlsx]Income - Adjusted!R122C5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E122" s="9"/>
      </tp>
      <tp>
        <v>0.81120000000000003</v>
        <stp/>
        <stp>##V3_BDHV12</stp>
        <stp>RCOM IN Equity</stp>
        <stp>PX_TO_BOOK_RATIO</stp>
        <stp>FY 2014</stp>
        <stp>FY 2014</stp>
        <stp>[FA1_ymffleas.xlsx]Multiples!R11C7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1" s="6"/>
      </tp>
      <tp>
        <v>0.3372</v>
        <stp/>
        <stp>##V3_BDHV12</stp>
        <stp>RCOM IN Equity</stp>
        <stp>PX_TO_BOOK_RATIO</stp>
        <stp>FY 2013</stp>
        <stp>FY 2013</stp>
        <stp>[FA1_ymffleas.xlsx]Multiples!R11C6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1" s="6"/>
      </tp>
      <tp>
        <v>10343644.454</v>
        <stp/>
        <stp>##V3_BDHV12</stp>
        <stp>RCOM IN Equity</stp>
        <stp>ACTUAL_SALES_PER_EMPL</stp>
        <stp>FY 2013</stp>
        <stp>FY 2013</stp>
        <stp>[FA1_ymffleas.xlsx]Income - Adjusted!R127C6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F127" s="9"/>
      </tp>
      <tp>
        <v>0.80900000000000005</v>
        <stp/>
        <stp>##V3_BDHV12</stp>
        <stp>RCOM IN Equity</stp>
        <stp>PX_TO_BOOK_RATIO</stp>
        <stp>FY 2010</stp>
        <stp>FY 2010</stp>
        <stp>[FA1_ymffleas.xlsx]Multiples!R11C3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1" s="6"/>
      </tp>
      <tp>
        <v>30.962800000000001</v>
        <stp/>
        <stp>##V3_BDHV12</stp>
        <stp>RCOM IN Equity</stp>
        <stp>EBITDA_MARGIN</stp>
        <stp>FY 2012</stp>
        <stp>FY 2012</stp>
        <stp>[FA1_ymffleas.xlsx]Income - GAAP!R100C5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00" s="10"/>
      </tp>
      <tp>
        <v>0</v>
        <stp/>
        <stp>##V3_BDHV12</stp>
        <stp>RCOM IN Equity</stp>
        <stp>INVTRY_RAW_MATERIALS</stp>
        <stp>FY 2018</stp>
        <stp>FY 2018</stp>
        <stp>[FA1_ymffleas.xlsx]Bal Sheet - Standardized!R23C12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3" s="16"/>
      </tp>
      <tp>
        <v>0</v>
        <stp/>
        <stp>##V3_BDHV12</stp>
        <stp>RCOM IN Equity</stp>
        <stp>INVTRY_RAW_MATERIALS</stp>
        <stp>FY 2016</stp>
        <stp>FY 2016</stp>
        <stp>[FA1_ymffleas.xlsx]Bal Sheet - Standardized!R23C10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3" s="16"/>
      </tp>
      <tp>
        <v>0</v>
        <stp/>
        <stp>##V3_BDHV12</stp>
        <stp>RCOM IN Equity</stp>
        <stp>INVTRY_RAW_MATERIALS</stp>
        <stp>FY 2017</stp>
        <stp>FY 2017</stp>
        <stp>[FA1_ymffleas.xlsx]Bal Sheet - Standardized!R23C11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3" s="16"/>
      </tp>
      <tp>
        <v>0</v>
        <stp/>
        <stp>##V3_BDHV12</stp>
        <stp>RCOM IN Equity</stp>
        <stp>IS_TOT_CASH_PFD_DVD</stp>
        <stp>FY 2010</stp>
        <stp>FY 2010</stp>
        <stp>[FA1_ymffleas.xlsx]Income - GAAP!R79C3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9" s="10"/>
      </tp>
      <tp>
        <v>0</v>
        <stp/>
        <stp>##V3_BDHV12</stp>
        <stp>RCOM IN Equity</stp>
        <stp>IS_TOT_CASH_PFD_DVD</stp>
        <stp>FY 2013</stp>
        <stp>FY 2013</stp>
        <stp>[FA1_ymffleas.xlsx]Income - GAAP!R79C6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9" s="10"/>
      </tp>
      <tp>
        <v>0</v>
        <stp/>
        <stp>##V3_BDHV12</stp>
        <stp>RCOM IN Equity</stp>
        <stp>IS_TOT_CASH_PFD_DVD</stp>
        <stp>FY 2014</stp>
        <stp>FY 2014</stp>
        <stp>[FA1_ymffleas.xlsx]Income - GAAP!R79C7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9" s="10"/>
      </tp>
      <tp>
        <v>0</v>
        <stp/>
        <stp>##V3_BDHV12</stp>
        <stp>RCOM IN Equity</stp>
        <stp>IS_TOT_CASH_PFD_DVD</stp>
        <stp>FY 2011</stp>
        <stp>FY 2011</stp>
        <stp>[FA1_ymffleas.xlsx]Income - GAAP!R79C4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9" s="10"/>
      </tp>
      <tp>
        <v>0</v>
        <stp/>
        <stp>##V3_BDHV12</stp>
        <stp>RCOM IN Equity</stp>
        <stp>IS_TOT_CASH_PFD_DVD</stp>
        <stp>FY 2012</stp>
        <stp>FY 2012</stp>
        <stp>[FA1_ymffleas.xlsx]Income - GAAP!R79C5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9" s="10"/>
      </tp>
      <tp>
        <v>0</v>
        <stp/>
        <stp>##V3_BDHV12</stp>
        <stp>RCOM IN Equity</stp>
        <stp>IS_TOT_CASH_PFD_DVD</stp>
        <stp>FY 2015</stp>
        <stp>FY 2015</stp>
        <stp>[FA1_ymffleas.xlsx]Income - GAAP!R79C8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9" s="10"/>
      </tp>
      <tp>
        <v>0</v>
        <stp/>
        <stp>##V3_BDHV12</stp>
        <stp>RCOM IN Equity</stp>
        <stp>IS_TOT_CASH_PFD_DVD</stp>
        <stp>FY 2016</stp>
        <stp>FY 2016</stp>
        <stp>[FA1_ymffleas.xlsx]Income - GAAP!R79C9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9" s="10"/>
      </tp>
      <tp>
        <v>0.39400000000000002</v>
        <stp/>
        <stp>##V3_BDHV12</stp>
        <stp>RCOM IN Equity</stp>
        <stp>PX_TO_BOOK_RATIO</stp>
        <stp>FY 2016</stp>
        <stp>FY 2016</stp>
        <stp>[FA1_ymffleas.xlsx]Multiples!R11C9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1" s="6"/>
      </tp>
      <tp>
        <v>0.38869999999999999</v>
        <stp/>
        <stp>##V3_BDHV12</stp>
        <stp>RCOM IN Equity</stp>
        <stp>PX_TO_BOOK_RATIO</stp>
        <stp>FY 2015</stp>
        <stp>FY 2015</stp>
        <stp>[FA1_ymffleas.xlsx]Multiples!R11C8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1" s="6"/>
      </tp>
      <tp>
        <v>10343644.454</v>
        <stp/>
        <stp>##V3_BDHV12</stp>
        <stp>RCOM IN Equity</stp>
        <stp>ACTUAL_SALES_PER_EMPL</stp>
        <stp>FY 2013</stp>
        <stp>FY 2013</stp>
        <stp>[FA1_ymffleas.xlsx]Income - GAAP!R105C6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05" s="10"/>
      </tp>
      <tp>
        <v>454590</v>
        <stp/>
        <stp>##V3_BDHV12</stp>
        <stp>RCOM IN Equity</stp>
        <stp>ARD_TOTAL_CUR_ASSETS</stp>
        <stp>FY 2018</stp>
        <stp>FY 2018</stp>
        <stp>[FA1_ymffleas.xlsx]Bal Sheet - As Reported!R48C12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8" s="17"/>
      </tp>
      <tp>
        <v>117610</v>
        <stp/>
        <stp>##V3_BDHV12</stp>
        <stp>RCOM IN Equity</stp>
        <stp>ARD_TOTAL_CUR_ASSETS</stp>
        <stp>FY 2016</stp>
        <stp>FY 2016</stp>
        <stp>[FA1_ymffleas.xlsx]Bal Sheet - As Reported!R48C10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8" s="17"/>
      </tp>
      <tp>
        <v>130070</v>
        <stp/>
        <stp>##V3_BDHV12</stp>
        <stp>RCOM IN Equity</stp>
        <stp>ARD_TOTAL_CUR_ASSETS</stp>
        <stp>FY 2017</stp>
        <stp>FY 2017</stp>
        <stp>[FA1_ymffleas.xlsx]Bal Sheet - As Reported!R48C11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8" s="17"/>
      </tp>
      <tp>
        <v>-4.4940999999999995</v>
        <stp/>
        <stp>##V3_BDHV12</stp>
        <stp>RCOM IN Equity</stp>
        <stp>FREE_CASH_FLOW_PER_SH</stp>
        <stp>FY 2016</stp>
        <stp>FY 2016</stp>
        <stp>[FA1_ymffleas.xlsx]Per Share!R23C9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3" s="7"/>
      </tp>
      <tp>
        <v>-31.805199999999999</v>
        <stp/>
        <stp>##V3_BDHV12</stp>
        <stp>RCOM IN Equity</stp>
        <stp>EARN_FOR_COM_GROWTH</stp>
        <stp>FY 2015</stp>
        <stp>FY 2015</stp>
        <stp>[FA1_ymffleas.xlsx]Growth!R10C9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0" s="22"/>
      </tp>
      <tp>
        <v>-8.6121999999999996</v>
        <stp/>
        <stp>##V3_BDHV12</stp>
        <stp>RCOM IN Equity</stp>
        <stp>FREE_CASH_FLOW_PER_SH</stp>
        <stp>FY 2015</stp>
        <stp>FY 2015</stp>
        <stp>[FA1_ymffleas.xlsx]Per Share!R23C8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3" s="7"/>
      </tp>
      <tp t="s">
        <v>—</v>
        <stp/>
        <stp>##V3_BDHV12</stp>
        <stp>RCOM IN Equity</stp>
        <stp>IS_COMPARABLE_EBIT</stp>
        <stp>FY 2018</stp>
        <stp>FY 2018</stp>
        <stp>[FA1_ymffleas.xlsx]Earnings!R20C12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" s="4"/>
      </tp>
      <tp t="s">
        <v>—</v>
        <stp/>
        <stp>##V3_BDHV12</stp>
        <stp>RCOM IN Equity</stp>
        <stp>IS_COMPARABLE_EBIT</stp>
        <stp>FY 2016</stp>
        <stp>FY 2016</stp>
        <stp>[FA1_ymffleas.xlsx]Earnings!R20C10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" s="4"/>
      </tp>
      <tp t="s">
        <v>—</v>
        <stp/>
        <stp>##V3_BDHV12</stp>
        <stp>RCOM IN Equity</stp>
        <stp>IS_COMPARABLE_EBIT</stp>
        <stp>FY 2017</stp>
        <stp>FY 2017</stp>
        <stp>[FA1_ymffleas.xlsx]Earnings!R20C11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" s="4"/>
      </tp>
      <tp>
        <v>3.2926000000000002</v>
        <stp/>
        <stp>##V3_BDHV12</stp>
        <stp>RCOM IN Equity</stp>
        <stp>FREE_CASH_FLOW_PER_SH</stp>
        <stp>FY 2010</stp>
        <stp>FY 2010</stp>
        <stp>[FA1_ymffleas.xlsx]Per Share!R23C3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3" s="7"/>
      </tp>
      <tp>
        <v>8.2606000000000002</v>
        <stp/>
        <stp>##V3_BDHV12</stp>
        <stp>RCOM IN Equity</stp>
        <stp>FREE_CASH_FLOW_PER_SH</stp>
        <stp>FY 2014</stp>
        <stp>FY 2014</stp>
        <stp>[FA1_ymffleas.xlsx]Per Share!R23C7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3" s="7"/>
      </tp>
      <tp t="s">
        <v>—</v>
        <stp/>
        <stp>##V3_BDHV12</stp>
        <stp>RCOM IN Equity</stp>
        <stp>ARD_OTHER_NON_CASH_ITEMS</stp>
        <stp>FY 2011</stp>
        <stp>FY 2011</stp>
        <stp>[FA1_ymffleas.xlsx]Cash Flow - As Reported!R11C5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" s="20"/>
      </tp>
      <tp>
        <v>1660.3</v>
        <stp/>
        <stp>##V3_BDHV12</stp>
        <stp>RCOM IN Equity</stp>
        <stp>ARD_OTHER_NON_CASH_ITEMS</stp>
        <stp>FY 2010</stp>
        <stp>FY 2010</stp>
        <stp>[FA1_ymffleas.xlsx]Cash Flow - As Reported!R11C4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" s="20"/>
      </tp>
      <tp t="s">
        <v>—</v>
        <stp/>
        <stp>##V3_BDHV12</stp>
        <stp>RCOM IN Equity</stp>
        <stp>ARD_OTHER_NON_CASH_ITEMS</stp>
        <stp>FY 2013</stp>
        <stp>FY 2013</stp>
        <stp>[FA1_ymffleas.xlsx]Cash Flow - As Reported!R11C7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" s="20"/>
      </tp>
      <tp t="s">
        <v>—</v>
        <stp/>
        <stp>##V3_BDHV12</stp>
        <stp>RCOM IN Equity</stp>
        <stp>ARD_OTHER_NON_CASH_ITEMS</stp>
        <stp>FY 2012</stp>
        <stp>FY 2012</stp>
        <stp>[FA1_ymffleas.xlsx]Cash Flow - As Reported!R11C6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" s="20"/>
      </tp>
      <tp>
        <v>-796.1</v>
        <stp/>
        <stp>##V3_BDHV12</stp>
        <stp>RCOM IN Equity</stp>
        <stp>ARD_OTHER_NON_CASH_ITEMS</stp>
        <stp>FY 2009</stp>
        <stp>FY 2009</stp>
        <stp>[FA1_ymffleas.xlsx]Cash Flow - As Reported!R11C3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" s="20"/>
      </tp>
      <tp t="s">
        <v>—</v>
        <stp/>
        <stp>##V3_BDHV12</stp>
        <stp>RCOM IN Equity</stp>
        <stp>ARD_OTHER_NON_CASH_ITEMS</stp>
        <stp>FY 2015</stp>
        <stp>FY 2015</stp>
        <stp>[FA1_ymffleas.xlsx]Cash Flow - As Reported!R11C9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" s="20"/>
      </tp>
      <tp>
        <v>560</v>
        <stp/>
        <stp>##V3_BDHV12</stp>
        <stp>RCOM IN Equity</stp>
        <stp>ARD_OTHER_NON_CASH_ITEMS</stp>
        <stp>FY 2014</stp>
        <stp>FY 2014</stp>
        <stp>[FA1_ymffleas.xlsx]Cash Flow - As Reported!R11C8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" s="20"/>
      </tp>
      <tp>
        <v>-3.6046</v>
        <stp/>
        <stp>##V3_BDHV12</stp>
        <stp>RCOM IN Equity</stp>
        <stp>FREE_CASH_FLOW_PER_SH</stp>
        <stp>FY 2013</stp>
        <stp>FY 2013</stp>
        <stp>[FA1_ymffleas.xlsx]Per Share!R23C6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3" s="7"/>
      </tp>
      <tp>
        <v>-3.7645</v>
        <stp/>
        <stp>##V3_BDHV12</stp>
        <stp>RCOM IN Equity</stp>
        <stp>FREE_CASH_FLOW_PER_SH</stp>
        <stp>FY 2012</stp>
        <stp>FY 2012</stp>
        <stp>[FA1_ymffleas.xlsx]Per Share!R23C5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3" s="7"/>
      </tp>
      <tp>
        <v>-44.839500000000001</v>
        <stp/>
        <stp>##V3_BDHV12</stp>
        <stp>RCOM IN Equity</stp>
        <stp>FREE_CASH_FLOW_PER_SH</stp>
        <stp>FY 2011</stp>
        <stp>FY 2011</stp>
        <stp>[FA1_ymffleas.xlsx]Per Share!R23C4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3" s="7"/>
      </tp>
      <tp>
        <v>-48.1297</v>
        <stp/>
        <stp>##V3_BDHV12</stp>
        <stp>RCOM IN Equity</stp>
        <stp>INVENTORY_GROWTH</stp>
        <stp>FY 2016</stp>
        <stp>FY 2016</stp>
        <stp>[FA1_ymffleas.xlsx]Growth!R17C10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7" s="22"/>
      </tp>
      <tp>
        <v>-38.207000000000001</v>
        <stp/>
        <stp>##V3_BDHV12</stp>
        <stp>RCOM IN Equity</stp>
        <stp>GEO_GROW_TOT_SHRHLDR_EQY</stp>
        <stp>FY 2018</stp>
        <stp>FY 2018</stp>
        <stp>[FA1_ymffleas.xlsx]Growth!R53C12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53" s="22"/>
      </tp>
      <tp>
        <v>12.9808</v>
        <stp/>
        <stp>##V3_BDHV12</stp>
        <stp>RCOM IN Equity</stp>
        <stp>INVENTORY_GROWTH</stp>
        <stp>FY 2017</stp>
        <stp>FY 2017</stp>
        <stp>[FA1_ymffleas.xlsx]Growth!R17C11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7" s="22"/>
      </tp>
      <tp>
        <v>-66.382999999999996</v>
        <stp/>
        <stp>##V3_BDHV12</stp>
        <stp>RCOM IN Equity</stp>
        <stp>INVENTORY_GROWTH</stp>
        <stp>FY 2018</stp>
        <stp>FY 2018</stp>
        <stp>[FA1_ymffleas.xlsx]Growth!R17C12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7" s="22"/>
      </tp>
      <tp>
        <v>-5.0654000000000003</v>
        <stp/>
        <stp>##V3_BDHV12</stp>
        <stp>RCOM IN Equity</stp>
        <stp>GEO_GROW_TOT_SHRHLDR_EQY</stp>
        <stp>FY 2016</stp>
        <stp>FY 2016</stp>
        <stp>[FA1_ymffleas.xlsx]Growth!R53C10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53" s="22"/>
      </tp>
      <tp>
        <v>-4.8560999999999996</v>
        <stp/>
        <stp>##V3_BDHV12</stp>
        <stp>RCOM IN Equity</stp>
        <stp>GEO_GROW_TOT_SHRHLDR_EQY</stp>
        <stp>FY 2017</stp>
        <stp>FY 2017</stp>
        <stp>[FA1_ymffleas.xlsx]Growth!R53C11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53" s="22"/>
      </tp>
      <tp>
        <v>46550</v>
        <stp/>
        <stp>##V3_BDHV12</stp>
        <stp>RCOM IN Equity</stp>
        <stp>EARN_FOR_COMMON</stp>
        <stp>FY 2010</stp>
        <stp>FY 2010</stp>
        <stp>[FA1_ymffleas.xlsx]Income - GAAP!R81C3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81" s="10"/>
      </tp>
      <tp>
        <v>2.516</v>
        <stp/>
        <stp>##V3_BDHV12</stp>
        <stp>RCOM IN Equity</stp>
        <stp>TOTAL_ASSETS_SEQUENTIAL_GROWTH</stp>
        <stp>FY 2015</stp>
        <stp>FY 2015</stp>
        <stp>[FA1_ymffleas.xlsx]Growth!R72C9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2" s="22"/>
      </tp>
      <tp>
        <v>0.61760000000000004</v>
        <stp/>
        <stp>##V3_BDHV12</stp>
        <stp>RCOM IN Equity</stp>
        <stp>TOTAL_ASSETS_SEQUENTIAL_GROWTH</stp>
        <stp>FY 2014</stp>
        <stp>FY 2014</stp>
        <stp>[FA1_ymffleas.xlsx]Growth!R72C8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2" s="22"/>
      </tp>
      <tp t="s">
        <v>—</v>
        <stp/>
        <stp>##V3_BDHV12</stp>
        <stp>RCOM IN Equity</stp>
        <stp>INVENT_DAYS</stp>
        <stp>FY 2017</stp>
        <stp>FY 2017</stp>
        <stp>[FA1_ymffleas.xlsx]Working Capital!R9C11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9" s="25"/>
      </tp>
      <tp t="s">
        <v>—</v>
        <stp/>
        <stp>##V3_BDHV12</stp>
        <stp>RCOM IN Equity</stp>
        <stp>CASH_CONVERSION_CYCLE</stp>
        <stp>FY 2017</stp>
        <stp>FY 2017</stp>
        <stp>[FA1_ymffleas.xlsx]Bal Sheet - Standardized!R171C11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71" s="16"/>
      </tp>
      <tp t="s">
        <v>—</v>
        <stp/>
        <stp>##V3_BDHV12</stp>
        <stp>RCOM IN Equity</stp>
        <stp>ARDR_DEFERRED_TAX_LIAB_LT</stp>
        <stp>FY 2014</stp>
        <stp>FY 2014</stp>
        <stp>[FA1_ymffleas.xlsx]Bal Sheet - As Reported!R108C8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8" s="17"/>
      </tp>
      <tp t="s">
        <v>—</v>
        <stp/>
        <stp>##V3_BDHV12</stp>
        <stp>RCOM IN Equity</stp>
        <stp>ARDR_DEFERRED_TAX_LIAB_LT</stp>
        <stp>FY 2015</stp>
        <stp>FY 2015</stp>
        <stp>[FA1_ymffleas.xlsx]Bal Sheet - As Reported!R108C9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8" s="17"/>
      </tp>
      <tp t="s">
        <v>—</v>
        <stp/>
        <stp>##V3_BDHV12</stp>
        <stp>RCOM IN Equity</stp>
        <stp>ARDR_DEFERRED_TAX_LIAB_LT</stp>
        <stp>FY 2009</stp>
        <stp>FY 2009</stp>
        <stp>[FA1_ymffleas.xlsx]Bal Sheet - As Reported!R108C3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8" s="17"/>
      </tp>
      <tp t="s">
        <v>—</v>
        <stp/>
        <stp>##V3_BDHV12</stp>
        <stp>RCOM IN Equity</stp>
        <stp>ARDR_DEFERRED_TAX_LIAB_LT</stp>
        <stp>FY 2010</stp>
        <stp>FY 2010</stp>
        <stp>[FA1_ymffleas.xlsx]Bal Sheet - As Reported!R108C4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8" s="17"/>
      </tp>
      <tp t="s">
        <v>—</v>
        <stp/>
        <stp>##V3_BDHV12</stp>
        <stp>RCOM IN Equity</stp>
        <stp>ARDR_DEFERRED_TAX_LIAB_LT</stp>
        <stp>FY 2011</stp>
        <stp>FY 2011</stp>
        <stp>[FA1_ymffleas.xlsx]Bal Sheet - As Reported!R108C5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8" s="17"/>
      </tp>
      <tp t="s">
        <v>—</v>
        <stp/>
        <stp>##V3_BDHV12</stp>
        <stp>RCOM IN Equity</stp>
        <stp>ARDR_DEFERRED_TAX_LIAB_LT</stp>
        <stp>FY 2012</stp>
        <stp>FY 2012</stp>
        <stp>[FA1_ymffleas.xlsx]Bal Sheet - As Reported!R108C6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8" s="17"/>
      </tp>
      <tp t="s">
        <v>—</v>
        <stp/>
        <stp>##V3_BDHV12</stp>
        <stp>RCOM IN Equity</stp>
        <stp>ARDR_DEFERRED_TAX_LIAB_LT</stp>
        <stp>FY 2013</stp>
        <stp>FY 2013</stp>
        <stp>[FA1_ymffleas.xlsx]Bal Sheet - As Reported!R108C7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8" s="17"/>
      </tp>
      <tp>
        <v>-71.106300000000005</v>
        <stp/>
        <stp>##V3_BDHV12</stp>
        <stp>RCOM IN Equity</stp>
        <stp>EPS_DILUTED_SEQUENTIAL_GROWTH</stp>
        <stp>FY 2011</stp>
        <stp>FY 2011</stp>
        <stp>[FA1_ymffleas.xlsx]Growth!R64C5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64" s="22"/>
      </tp>
      <tp>
        <v>6720</v>
        <stp/>
        <stp>##V3_BDHV12</stp>
        <stp>RCOM IN Equity</stp>
        <stp>EARN_FOR_COMMON</stp>
        <stp>FY 2013</stp>
        <stp>FY 2013</stp>
        <stp>[FA1_ymffleas.xlsx]Income - GAAP!R81C6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81" s="10"/>
      </tp>
      <tp>
        <v>10470</v>
        <stp/>
        <stp>##V3_BDHV12</stp>
        <stp>RCOM IN Equity</stp>
        <stp>EARN_FOR_COMMON</stp>
        <stp>FY 2014</stp>
        <stp>FY 2014</stp>
        <stp>[FA1_ymffleas.xlsx]Income - GAAP!R81C7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81" s="10"/>
      </tp>
      <tp>
        <v>13450</v>
        <stp/>
        <stp>##V3_BDHV12</stp>
        <stp>RCOM IN Equity</stp>
        <stp>EARN_FOR_COMMON</stp>
        <stp>FY 2011</stp>
        <stp>FY 2011</stp>
        <stp>[FA1_ymffleas.xlsx]Income - GAAP!R81C4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81" s="10"/>
      </tp>
      <tp>
        <v>9280</v>
        <stp/>
        <stp>##V3_BDHV12</stp>
        <stp>RCOM IN Equity</stp>
        <stp>EARN_FOR_COMMON</stp>
        <stp>FY 2012</stp>
        <stp>FY 2012</stp>
        <stp>[FA1_ymffleas.xlsx]Income - GAAP!R81C5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81" s="10"/>
      </tp>
      <tp>
        <v>31.949200000000001</v>
        <stp/>
        <stp>##V3_BDHV12</stp>
        <stp>RCOM IN Equity</stp>
        <stp>TOTAL_ASSETS_SEQUENTIAL_GROWTH</stp>
        <stp>FY 2009</stp>
        <stp>FY 2009</stp>
        <stp>[FA1_ymffleas.xlsx]Growth!R72C3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2" s="22"/>
      </tp>
      <tp>
        <v>818.3</v>
        <stp/>
        <stp>##V3_BDHV12</stp>
        <stp>RCOM IN Equity</stp>
        <stp>ARDR_LEASEHOLD_IMPROVEMENTS</stp>
        <stp>FY 2009</stp>
        <stp>FY 2009</stp>
        <stp>[FA1_ymffleas.xlsx]Bal Sheet - As Reported!R69C3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9" s="17"/>
      </tp>
      <tp>
        <v>1750</v>
        <stp/>
        <stp>##V3_BDHV12</stp>
        <stp>RCOM IN Equity</stp>
        <stp>ARDR_LEASEHOLD_IMPROVEMENTS</stp>
        <stp>FY 2013</stp>
        <stp>FY 2013</stp>
        <stp>[FA1_ymffleas.xlsx]Bal Sheet - As Reported!R69C7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9" s="17"/>
      </tp>
      <tp>
        <v>1710</v>
        <stp/>
        <stp>##V3_BDHV12</stp>
        <stp>RCOM IN Equity</stp>
        <stp>ARDR_LEASEHOLD_IMPROVEMENTS</stp>
        <stp>FY 2012</stp>
        <stp>FY 2012</stp>
        <stp>[FA1_ymffleas.xlsx]Bal Sheet - As Reported!R69C6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9" s="17"/>
      </tp>
      <tp>
        <v>1630</v>
        <stp/>
        <stp>##V3_BDHV12</stp>
        <stp>RCOM IN Equity</stp>
        <stp>ARDR_LEASEHOLD_IMPROVEMENTS</stp>
        <stp>FY 2011</stp>
        <stp>FY 2011</stp>
        <stp>[FA1_ymffleas.xlsx]Bal Sheet - As Reported!R69C5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9" s="17"/>
      </tp>
      <tp>
        <v>766.3</v>
        <stp/>
        <stp>##V3_BDHV12</stp>
        <stp>RCOM IN Equity</stp>
        <stp>ARDR_LEASEHOLD_IMPROVEMENTS</stp>
        <stp>FY 2010</stp>
        <stp>FY 2010</stp>
        <stp>[FA1_ymffleas.xlsx]Bal Sheet - As Reported!R69C4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9" s="17"/>
      </tp>
      <tp>
        <v>1570</v>
        <stp/>
        <stp>##V3_BDHV12</stp>
        <stp>RCOM IN Equity</stp>
        <stp>ARDR_LEASEHOLD_IMPROVEMENTS</stp>
        <stp>FY 2015</stp>
        <stp>FY 2015</stp>
        <stp>[FA1_ymffleas.xlsx]Bal Sheet - As Reported!R69C9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9" s="17"/>
      </tp>
      <tp>
        <v>1850</v>
        <stp/>
        <stp>##V3_BDHV12</stp>
        <stp>RCOM IN Equity</stp>
        <stp>ARDR_LEASEHOLD_IMPROVEMENTS</stp>
        <stp>FY 2014</stp>
        <stp>FY 2014</stp>
        <stp>[FA1_ymffleas.xlsx]Bal Sheet - As Reported!R69C8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9" s="17"/>
      </tp>
      <tp>
        <v>0.94079999999999997</v>
        <stp/>
        <stp>##V3_BDHV12</stp>
        <stp>RCOM IN Equity</stp>
        <stp>OPER_INC_PER_SH</stp>
        <stp>FY 2018</stp>
        <stp>FY 2018</stp>
        <stp>[FA1_ymffleas.xlsx]Per Share!R13C11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3" s="7"/>
      </tp>
      <tp>
        <v>7140</v>
        <stp/>
        <stp>##V3_BDHV12</stp>
        <stp>RCOM IN Equity</stp>
        <stp>EARN_FOR_COMMON</stp>
        <stp>FY 2015</stp>
        <stp>FY 2015</stp>
        <stp>[FA1_ymffleas.xlsx]Income - GAAP!R81C8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81" s="10"/>
      </tp>
      <tp>
        <v>6390</v>
        <stp/>
        <stp>##V3_BDHV12</stp>
        <stp>RCOM IN Equity</stp>
        <stp>EARN_FOR_COMMON</stp>
        <stp>FY 2016</stp>
        <stp>FY 2016</stp>
        <stp>[FA1_ymffleas.xlsx]Income - GAAP!R81C9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81" s="10"/>
      </tp>
      <tp>
        <v>-2.2576000000000001</v>
        <stp/>
        <stp>##V3_BDHV12</stp>
        <stp>RCOM IN Equity</stp>
        <stp>TOTAL_ASSETS_SEQUENTIAL_GROWTH</stp>
        <stp>FY 2013</stp>
        <stp>FY 2013</stp>
        <stp>[FA1_ymffleas.xlsx]Growth!R72C7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2" s="22"/>
      </tp>
      <tp>
        <v>-2.5949</v>
        <stp/>
        <stp>##V3_BDHV12</stp>
        <stp>RCOM IN Equity</stp>
        <stp>TOTAL_ASSETS_SEQUENTIAL_GROWTH</stp>
        <stp>FY 2012</stp>
        <stp>FY 2012</stp>
        <stp>[FA1_ymffleas.xlsx]Growth!R72C6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2" s="22"/>
      </tp>
      <tp>
        <v>2.3273000000000001</v>
        <stp/>
        <stp>##V3_BDHV12</stp>
        <stp>RCOM IN Equity</stp>
        <stp>TOTAL_ASSETS_SEQUENTIAL_GROWTH</stp>
        <stp>FY 2011</stp>
        <stp>FY 2011</stp>
        <stp>[FA1_ymffleas.xlsx]Growth!R72C5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2" s="22"/>
      </tp>
      <tp>
        <v>-9.4301999999999992</v>
        <stp/>
        <stp>##V3_BDHV12</stp>
        <stp>RCOM IN Equity</stp>
        <stp>TOTAL_ASSETS_SEQUENTIAL_GROWTH</stp>
        <stp>FY 2010</stp>
        <stp>FY 2010</stp>
        <stp>[FA1_ymffleas.xlsx]Growth!R72C4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2" s="22"/>
      </tp>
      <tp t="s">
        <v>—</v>
        <stp/>
        <stp>##V3_BDHV12</stp>
        <stp>RCOM IN Equity</stp>
        <stp>AVG_AGE_OF_ASSETS_IN_YEARS</stp>
        <stp>FY 2015</stp>
        <stp>FY 2015</stp>
        <stp>[FA1_ymffleas.xlsx]CAPEX &amp; Depreciation!R17C9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7" s="28"/>
      </tp>
      <tp t="s">
        <v>—</v>
        <stp/>
        <stp>##V3_BDHV12</stp>
        <stp>RCOM IN Equity</stp>
        <stp>AVG_AGE_OF_ASSETS_IN_YEARS</stp>
        <stp>FY 2014</stp>
        <stp>FY 2014</stp>
        <stp>[FA1_ymffleas.xlsx]CAPEX &amp; Depreciation!R17C8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7" s="28"/>
      </tp>
      <tp>
        <v>4.41</v>
        <stp/>
        <stp>##V3_BDHV12</stp>
        <stp>RCOM IN Equity</stp>
        <stp>IS_DILUTED_EPS</stp>
        <stp>FY 2012</stp>
        <stp>FY 2012</stp>
        <stp>[FA1_ymffleas.xlsx]Per Share!R17C5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7" s="7"/>
      </tp>
      <tp>
        <v>5.7889999999999997</v>
        <stp/>
        <stp>##V3_BDHV12</stp>
        <stp>RCOM IN Equity</stp>
        <stp>AVG_AGE_OF_ASSETS_IN_YEARS</stp>
        <stp>FY 2011</stp>
        <stp>FY 2011</stp>
        <stp>[FA1_ymffleas.xlsx]CAPEX &amp; Depreciation!R17C5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7" s="28"/>
      </tp>
      <tp>
        <v>5.6109999999999998</v>
        <stp/>
        <stp>##V3_BDHV12</stp>
        <stp>RCOM IN Equity</stp>
        <stp>AVG_AGE_OF_ASSETS_IN_YEARS</stp>
        <stp>FY 2010</stp>
        <stp>FY 2010</stp>
        <stp>[FA1_ymffleas.xlsx]CAPEX &amp; Depreciation!R17C4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7" s="28"/>
      </tp>
      <tp>
        <v>15.3711</v>
        <stp/>
        <stp>##V3_BDHV12</stp>
        <stp>RCOM IN Equity</stp>
        <stp>AVG_AGE_OF_ASSETS_IN_YEARS</stp>
        <stp>FY 2013</stp>
        <stp>FY 2013</stp>
        <stp>[FA1_ymffleas.xlsx]CAPEX &amp; Depreciation!R17C7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7" s="28"/>
      </tp>
      <tp>
        <v>15.4435</v>
        <stp/>
        <stp>##V3_BDHV12</stp>
        <stp>RCOM IN Equity</stp>
        <stp>AVG_AGE_OF_ASSETS_IN_YEARS</stp>
        <stp>FY 2012</stp>
        <stp>FY 2012</stp>
        <stp>[FA1_ymffleas.xlsx]CAPEX &amp; Depreciation!R17C6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7" s="28"/>
      </tp>
      <tp>
        <v>3.9207999999999998</v>
        <stp/>
        <stp>##V3_BDHV12</stp>
        <stp>RCOM IN Equity</stp>
        <stp>AVG_AGE_OF_ASSETS_IN_YEARS</stp>
        <stp>FY 2009</stp>
        <stp>FY 2009</stp>
        <stp>[FA1_ymffleas.xlsx]CAPEX &amp; Depreciation!R17C3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7" s="28"/>
      </tp>
      <tp>
        <v>2.59</v>
        <stp/>
        <stp>##V3_BDHV12</stp>
        <stp>RCOM IN Equity</stp>
        <stp>IS_EPS</stp>
        <stp>FY 2016</stp>
        <stp>FY 2016</stp>
        <stp>[FA1_ymffleas.xlsx]Per Share!R14C9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4" s="7"/>
      </tp>
      <tp t="s">
        <v>—</v>
        <stp/>
        <stp>##V3_BDHV12</stp>
        <stp>RCOM IN Equity</stp>
        <stp>IS_IMPAIRMENT_ASSETS</stp>
        <stp>FY 2018</stp>
        <stp>FY 2018</stp>
        <stp>[FA1_ymffleas.xlsx]Income - Adjusted!R63C11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3" s="9"/>
      </tp>
      <tp t="s">
        <v>—</v>
        <stp/>
        <stp>##V3_BDHV12</stp>
        <stp>RCOM IN Equity</stp>
        <stp>IS_IMPAIRMENT_ASSETS</stp>
        <stp>FY 2017</stp>
        <stp>FY 2017</stp>
        <stp>[FA1_ymffleas.xlsx]Income - Adjusted!R63C10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3" s="9"/>
      </tp>
      <tp>
        <v>5.07</v>
        <stp/>
        <stp>##V3_BDHV12</stp>
        <stp>RCOM IN Equity</stp>
        <stp>IS_DILUTED_EPS</stp>
        <stp>FY 2014</stp>
        <stp>FY 2014</stp>
        <stp>[FA1_ymffleas.xlsx]Reconciliation!R44C7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44" s="12"/>
      </tp>
      <tp t="s">
        <v>—</v>
        <stp/>
        <stp>##V3_BDHV12</stp>
        <stp>RCOM IN Equity</stp>
        <stp>ARD_OTHER_FINL_ASSETS_ST</stp>
        <stp>FY 2009</stp>
        <stp>FY 2009</stp>
        <stp>[FA1_ymffleas.xlsx]Bal Sheet - As Reported!R47C3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7" s="17"/>
      </tp>
      <tp t="s">
        <v>—</v>
        <stp/>
        <stp>##V3_BDHV12</stp>
        <stp>RCOM IN Equity</stp>
        <stp>ARD_OTHER_FINL_ASSETS_ST</stp>
        <stp>FY 2013</stp>
        <stp>FY 2013</stp>
        <stp>[FA1_ymffleas.xlsx]Bal Sheet - As Reported!R47C7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7" s="17"/>
      </tp>
      <tp t="s">
        <v>—</v>
        <stp/>
        <stp>##V3_BDHV12</stp>
        <stp>RCOM IN Equity</stp>
        <stp>ARD_OTHER_FINL_ASSETS_ST</stp>
        <stp>FY 2012</stp>
        <stp>FY 2012</stp>
        <stp>[FA1_ymffleas.xlsx]Bal Sheet - As Reported!R47C6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7" s="17"/>
      </tp>
      <tp t="s">
        <v>—</v>
        <stp/>
        <stp>##V3_BDHV12</stp>
        <stp>RCOM IN Equity</stp>
        <stp>ARD_OTHER_FINL_ASSETS_ST</stp>
        <stp>FY 2011</stp>
        <stp>FY 2011</stp>
        <stp>[FA1_ymffleas.xlsx]Bal Sheet - As Reported!R47C5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7" s="17"/>
      </tp>
      <tp t="s">
        <v>—</v>
        <stp/>
        <stp>##V3_BDHV12</stp>
        <stp>RCOM IN Equity</stp>
        <stp>ARD_OTHER_FINL_ASSETS_ST</stp>
        <stp>FY 2010</stp>
        <stp>FY 2010</stp>
        <stp>[FA1_ymffleas.xlsx]Bal Sheet - As Reported!R47C4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7" s="17"/>
      </tp>
      <tp t="s">
        <v>—</v>
        <stp/>
        <stp>##V3_BDHV12</stp>
        <stp>RCOM IN Equity</stp>
        <stp>ARD_OTHER_FINL_ASSETS_ST</stp>
        <stp>FY 2015</stp>
        <stp>FY 2015</stp>
        <stp>[FA1_ymffleas.xlsx]Bal Sheet - As Reported!R47C9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7" s="17"/>
      </tp>
      <tp t="s">
        <v>—</v>
        <stp/>
        <stp>##V3_BDHV12</stp>
        <stp>RCOM IN Equity</stp>
        <stp>ARD_OTHER_FINL_ASSETS_ST</stp>
        <stp>FY 2014</stp>
        <stp>FY 2014</stp>
        <stp>[FA1_ymffleas.xlsx]Bal Sheet - As Reported!R47C8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7" s="17"/>
      </tp>
      <tp>
        <v>19.750299999999999</v>
        <stp/>
        <stp>##V3_BDHV12</stp>
        <stp>RCOM IN Equity</stp>
        <stp>EV_TO_T12M_EBIT</stp>
        <stp>FY 2016</stp>
        <stp>FY 2016</stp>
        <stp>[FA1_ymffleas.xlsx]Enterprise Value!R19C9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9" s="5"/>
      </tp>
      <tp>
        <v>0.78959999999999997</v>
        <stp/>
        <stp>##V3_BDHV12</stp>
        <stp>RCOM IN Equity</stp>
        <stp>DIVIDEND_12_MONTH_YIELD</stp>
        <stp>FY 2011</stp>
        <stp>FY 2011</stp>
        <stp>[FA1_ymffleas.xlsx]Dividend Summary!R8C5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" s="31"/>
      </tp>
      <tp>
        <v>0.47070000000000001</v>
        <stp/>
        <stp>##V3_BDHV12</stp>
        <stp>RCOM IN Equity</stp>
        <stp>DIVIDEND_12_MONTH_YIELD</stp>
        <stp>FY 2010</stp>
        <stp>FY 2010</stp>
        <stp>[FA1_ymffleas.xlsx]Dividend Summary!R8C4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" s="31"/>
      </tp>
      <tp>
        <v>0.4521</v>
        <stp/>
        <stp>##V3_BDHV12</stp>
        <stp>RCOM IN Equity</stp>
        <stp>DIVIDEND_12_MONTH_YIELD</stp>
        <stp>FY 2013</stp>
        <stp>FY 2013</stp>
        <stp>[FA1_ymffleas.xlsx]Dividend Summary!R8C7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" s="31"/>
      </tp>
      <tp>
        <v>0.59489999999999998</v>
        <stp/>
        <stp>##V3_BDHV12</stp>
        <stp>RCOM IN Equity</stp>
        <stp>DIVIDEND_12_MONTH_YIELD</stp>
        <stp>FY 2012</stp>
        <stp>FY 2012</stp>
        <stp>[FA1_ymffleas.xlsx]Dividend Summary!R8C6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" s="31"/>
      </tp>
      <tp>
        <v>0.4289</v>
        <stp/>
        <stp>##V3_BDHV12</stp>
        <stp>RCOM IN Equity</stp>
        <stp>DIVIDEND_12_MONTH_YIELD</stp>
        <stp>FY 2009</stp>
        <stp>FY 2009</stp>
        <stp>[FA1_ymffleas.xlsx]Dividend Summary!R8C3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" s="31"/>
      </tp>
      <tp>
        <v>8.8032000000000004</v>
        <stp/>
        <stp>##V3_BDHV12</stp>
        <stp>RCOM IN Equity</stp>
        <stp>OPER_INC_PER_SH</stp>
        <stp>FY 2012</stp>
        <stp>FY 2012</stp>
        <stp>[FA1_ymffleas.xlsx]Per Share!R13C5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3" s="7"/>
      </tp>
      <tp t="s">
        <v>—</v>
        <stp/>
        <stp>##V3_BDHV12</stp>
        <stp>RCOM IN Equity</stp>
        <stp>ARD_OTH_NON_OPER_INC_EXP_NET</stp>
        <stp>FY 2018</stp>
        <stp>FY 2018</stp>
        <stp>[FA1_ymffleas.xlsx]Income - As Reported!R30C12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0" s="11"/>
      </tp>
      <tp t="s">
        <v>—</v>
        <stp/>
        <stp>##V3_BDHV12</stp>
        <stp>RCOM IN Equity</stp>
        <stp>ARD_OTH_NON_OPER_INC_EXP_NET</stp>
        <stp>FY 2017</stp>
        <stp>FY 2017</stp>
        <stp>[FA1_ymffleas.xlsx]Income - As Reported!R30C11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0" s="11"/>
      </tp>
      <tp t="s">
        <v>—</v>
        <stp/>
        <stp>##V3_BDHV12</stp>
        <stp>RCOM IN Equity</stp>
        <stp>ARD_OTH_NON_OPER_INC_EXP_NET</stp>
        <stp>FY 2016</stp>
        <stp>FY 2016</stp>
        <stp>[FA1_ymffleas.xlsx]Income - As Reported!R30C10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0" s="11"/>
      </tp>
      <tp>
        <v>0.2087</v>
        <stp/>
        <stp>##V3_BDHV12</stp>
        <stp>RCOM IN Equity</stp>
        <stp>DIVIDEND_12_MONTH_YIELD</stp>
        <stp>FY 2015</stp>
        <stp>FY 2015</stp>
        <stp>[FA1_ymffleas.xlsx]Dividend Summary!R8C9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" s="31"/>
      </tp>
      <tp>
        <v>0.19389999999999999</v>
        <stp/>
        <stp>##V3_BDHV12</stp>
        <stp>RCOM IN Equity</stp>
        <stp>DIVIDEND_12_MONTH_YIELD</stp>
        <stp>FY 2014</stp>
        <stp>FY 2014</stp>
        <stp>[FA1_ymffleas.xlsx]Dividend Summary!R8C8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" s="31"/>
      </tp>
      <tp t="s">
        <v>—</v>
        <stp/>
        <stp>##V3_BDHV12</stp>
        <stp>RCOM IN Equity</stp>
        <stp>ARDR_DIVIDEND_INCOME</stp>
        <stp>FY 2017</stp>
        <stp>FY 2017</stp>
        <stp>[FA1_ymffleas.xlsx]Income - As Reported!R90C11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0" s="11"/>
      </tp>
      <tp t="s">
        <v>—</v>
        <stp/>
        <stp>##V3_BDHV12</stp>
        <stp>RCOM IN Equity</stp>
        <stp>ARDR_DIVIDEND_INCOME</stp>
        <stp>FY 2016</stp>
        <stp>FY 2016</stp>
        <stp>[FA1_ymffleas.xlsx]Income - As Reported!R90C10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0" s="11"/>
      </tp>
      <tp t="s">
        <v>—</v>
        <stp/>
        <stp>##V3_BDHV12</stp>
        <stp>RCOM IN Equity</stp>
        <stp>ARDR_DIVIDEND_INCOME</stp>
        <stp>FY 2018</stp>
        <stp>FY 2018</stp>
        <stp>[FA1_ymffleas.xlsx]Income - As Reported!R90C12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0" s="11"/>
      </tp>
      <tp>
        <v>37.919699999999999</v>
        <stp/>
        <stp>##V3_BDHV12</stp>
        <stp>RCOM IN Equity</stp>
        <stp>EBITDA_MARGIN</stp>
        <stp>FY 2011</stp>
        <stp>FY 2011</stp>
        <stp>[FA1_ymffleas.xlsx]Income - Adjusted!R122C4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D122" s="9"/>
      </tp>
      <tp t="s">
        <v>—</v>
        <stp/>
        <stp>##V3_BDHV12</stp>
        <stp>RCOM IN Equity</stp>
        <stp>ACTUAL_SALES_PER_EMPL</stp>
        <stp>FY 2014</stp>
        <stp>FY 2014</stp>
        <stp>[FA1_ymffleas.xlsx]Income - Adjusted!R127C7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G127" s="9"/>
      </tp>
      <tp>
        <v>37.9193</v>
        <stp/>
        <stp>##V3_BDHV12</stp>
        <stp>RCOM IN Equity</stp>
        <stp>EBITDA_MARGIN</stp>
        <stp>FY 2011</stp>
        <stp>FY 2011</stp>
        <stp>[FA1_ymffleas.xlsx]Income - GAAP!R100C4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00" s="10"/>
      </tp>
      <tp>
        <v>-5500</v>
        <stp/>
        <stp>##V3_BDHV12</stp>
        <stp>RCOM IN Equity</stp>
        <stp>ARD_CHANGE_OTHER_PROVISIONS</stp>
        <stp>FY 2013</stp>
        <stp>FY 2013</stp>
        <stp>[FA1_ymffleas.xlsx]Cash Flow - As Reported!R21C7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1" s="20"/>
      </tp>
      <tp>
        <v>0</v>
        <stp/>
        <stp>##V3_BDHV12</stp>
        <stp>RCOM IN Equity</stp>
        <stp>ARD_CHANGE_OTHER_PROVISIONS</stp>
        <stp>FY 2012</stp>
        <stp>FY 2012</stp>
        <stp>[FA1_ymffleas.xlsx]Cash Flow - As Reported!R21C6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1" s="20"/>
      </tp>
      <tp t="s">
        <v>—</v>
        <stp/>
        <stp>##V3_BDHV12</stp>
        <stp>RCOM IN Equity</stp>
        <stp>ARD_CHANGE_OTHER_PROVISIONS</stp>
        <stp>FY 2011</stp>
        <stp>FY 2011</stp>
        <stp>[FA1_ymffleas.xlsx]Cash Flow - As Reported!R21C5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1" s="20"/>
      </tp>
      <tp t="s">
        <v>—</v>
        <stp/>
        <stp>##V3_BDHV12</stp>
        <stp>RCOM IN Equity</stp>
        <stp>ARD_CHANGE_OTHER_PROVISIONS</stp>
        <stp>FY 2010</stp>
        <stp>FY 2010</stp>
        <stp>[FA1_ymffleas.xlsx]Cash Flow - As Reported!R21C4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1" s="20"/>
      </tp>
      <tp t="s">
        <v>—</v>
        <stp/>
        <stp>##V3_BDHV12</stp>
        <stp>RCOM IN Equity</stp>
        <stp>ARD_CHANGE_OTHER_PROVISIONS</stp>
        <stp>FY 2009</stp>
        <stp>FY 2009</stp>
        <stp>[FA1_ymffleas.xlsx]Cash Flow - As Reported!R21C3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1" s="20"/>
      </tp>
      <tp t="s">
        <v>—</v>
        <stp/>
        <stp>##V3_BDHV12</stp>
        <stp>RCOM IN Equity</stp>
        <stp>ARD_CHANGE_OTHER_PROVISIONS</stp>
        <stp>FY 2015</stp>
        <stp>FY 2015</stp>
        <stp>[FA1_ymffleas.xlsx]Cash Flow - As Reported!R21C9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1" s="20"/>
      </tp>
      <tp>
        <v>-4410</v>
        <stp/>
        <stp>##V3_BDHV12</stp>
        <stp>RCOM IN Equity</stp>
        <stp>ARD_CHANGE_OTHER_PROVISIONS</stp>
        <stp>FY 2014</stp>
        <stp>FY 2014</stp>
        <stp>[FA1_ymffleas.xlsx]Cash Flow - As Reported!R21C8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1" s="20"/>
      </tp>
      <tp t="s">
        <v>—</v>
        <stp/>
        <stp>##V3_BDHV12</stp>
        <stp>RCOM IN Equity</stp>
        <stp>ACTUAL_SALES_PER_EMPL</stp>
        <stp>FY 2014</stp>
        <stp>FY 2014</stp>
        <stp>[FA1_ymffleas.xlsx]Income - GAAP!R105C7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05" s="10"/>
      </tp>
      <tp>
        <v>-14394.333000000001</v>
        <stp/>
        <stp>##V3_BDHV12</stp>
        <stp>RCOM IN Equity</stp>
        <stp>BEST_PTP</stp>
        <stp>FY 2017</stp>
        <stp>FY 2017</stp>
        <stp>[FA1_ymffleas.xlsx]Earnings!R36C11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6" s="4"/>
      </tp>
      <tp>
        <v>7919.0630000000001</v>
        <stp/>
        <stp>##V3_BDHV12</stp>
        <stp>RCOM IN Equity</stp>
        <stp>BEST_PTP</stp>
        <stp>FY 2016</stp>
        <stp>FY 2016</stp>
        <stp>[FA1_ymffleas.xlsx]Earnings!R36C10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6" s="4"/>
      </tp>
      <tp t="s">
        <v>—</v>
        <stp/>
        <stp>##V3_BDHV12</stp>
        <stp>RCOM IN Equity</stp>
        <stp>BEST_PTP</stp>
        <stp>FY 2018</stp>
        <stp>FY 2018</stp>
        <stp>[FA1_ymffleas.xlsx]Earnings!R36C12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36" s="4"/>
      </tp>
      <tp>
        <v>4.1337999999999999</v>
        <stp/>
        <stp>##V3_BDHV12</stp>
        <stp>RCOM IN Equity</stp>
        <stp>INVENTORY_5_YEAR_GROWTH</stp>
        <stp>FY 2013</stp>
        <stp>FY 2013</stp>
        <stp>[FA1_ymffleas.xlsx]Growth!R46C7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6" s="22"/>
      </tp>
      <tp>
        <v>2.516</v>
        <stp/>
        <stp>##V3_BDHV12</stp>
        <stp>RCOM IN Equity</stp>
        <stp>ASSET_GROWTH</stp>
        <stp>FY 2015</stp>
        <stp>FY 2015</stp>
        <stp>[FA1_ymffleas.xlsx]Growth!R19C9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9" s="22"/>
      </tp>
      <tp t="s">
        <v>—</v>
        <stp/>
        <stp>##V3_BDHV12</stp>
        <stp>RCOM IN Equity</stp>
        <stp>INVENTORY_5_YEAR_GROWTH</stp>
        <stp>FY 2012</stp>
        <stp>FY 2012</stp>
        <stp>[FA1_ymffleas.xlsx]Growth!R46C6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6" s="22"/>
      </tp>
      <tp>
        <v>0.61760000000000004</v>
        <stp/>
        <stp>##V3_BDHV12</stp>
        <stp>RCOM IN Equity</stp>
        <stp>ASSET_GROWTH</stp>
        <stp>FY 2014</stp>
        <stp>FY 2014</stp>
        <stp>[FA1_ymffleas.xlsx]Growth!R19C8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9" s="22"/>
      </tp>
      <tp t="s">
        <v>—</v>
        <stp/>
        <stp>##V3_BDHV12</stp>
        <stp>RCOM IN Equity</stp>
        <stp>INVENTORY_5_YEAR_GROWTH</stp>
        <stp>FY 2011</stp>
        <stp>FY 2011</stp>
        <stp>[FA1_ymffleas.xlsx]Growth!R46C5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6" s="22"/>
      </tp>
      <tp t="s">
        <v>—</v>
        <stp/>
        <stp>##V3_BDHV12</stp>
        <stp>RCOM IN Equity</stp>
        <stp>INVENTORY_5_YEAR_GROWTH</stp>
        <stp>FY 2010</stp>
        <stp>FY 2010</stp>
        <stp>[FA1_ymffleas.xlsx]Growth!R46C4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6" s="22"/>
      </tp>
      <tp t="s">
        <v>—</v>
        <stp/>
        <stp>##V3_BDHV12</stp>
        <stp>RCOM IN Equity</stp>
        <stp>INVENTORY_5_YEAR_GROWTH</stp>
        <stp>FY 2009</stp>
        <stp>FY 2009</stp>
        <stp>[FA1_ymffleas.xlsx]Growth!R46C3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6" s="22"/>
      </tp>
      <tp>
        <v>-5.4508999999999999</v>
        <stp/>
        <stp>##V3_BDHV12</stp>
        <stp>RCOM IN Equity</stp>
        <stp>TOTAL_DEBT_SEQUENTIAL_GROWTH</stp>
        <stp>FY 2015</stp>
        <stp>FY 2015</stp>
        <stp>[FA1_ymffleas.xlsx]Growth!R77C9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7" s="22"/>
      </tp>
      <tp>
        <v>1.7354000000000001</v>
        <stp/>
        <stp>##V3_BDHV12</stp>
        <stp>RCOM IN Equity</stp>
        <stp>TOTAL_DEBT_SEQUENTIAL_GROWTH</stp>
        <stp>FY 2014</stp>
        <stp>FY 2014</stp>
        <stp>[FA1_ymffleas.xlsx]Growth!R77C8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7" s="22"/>
      </tp>
      <tp>
        <v>8.4693000000000005</v>
        <stp/>
        <stp>##V3_BDHV12</stp>
        <stp>RCOM IN Equity</stp>
        <stp>TOTAL_DEBT_SEQUENTIAL_GROWTH</stp>
        <stp>FY 2013</stp>
        <stp>FY 2013</stp>
        <stp>[FA1_ymffleas.xlsx]Growth!R77C7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7" s="22"/>
      </tp>
      <tp>
        <v>4860</v>
        <stp/>
        <stp>##V3_BDHV12</stp>
        <stp>RCOM IN Equity</stp>
        <stp>TRAIL_12M_CASH_FROM_OPER</stp>
        <stp>FY 2015</stp>
        <stp>FY 2015</stp>
        <stp>[FA1_ymffleas.xlsx]Yield Analysis!R7C9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" s="26"/>
      </tp>
      <tp>
        <v>38700</v>
        <stp/>
        <stp>##V3_BDHV12</stp>
        <stp>RCOM IN Equity</stp>
        <stp>TRAIL_12M_CASH_FROM_OPER</stp>
        <stp>FY 2014</stp>
        <stp>FY 2014</stp>
        <stp>[FA1_ymffleas.xlsx]Yield Analysis!R7C8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" s="26"/>
      </tp>
      <tp>
        <v>10720</v>
        <stp/>
        <stp>##V3_BDHV12</stp>
        <stp>RCOM IN Equity</stp>
        <stp>TRAIL_12M_CASH_FROM_OPER</stp>
        <stp>FY 2011</stp>
        <stp>FY 2011</stp>
        <stp>[FA1_ymffleas.xlsx]Yield Analysis!R7C5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" s="26"/>
      </tp>
      <tp>
        <v>81756.399999999994</v>
        <stp/>
        <stp>##V3_BDHV12</stp>
        <stp>RCOM IN Equity</stp>
        <stp>TRAIL_12M_CASH_FROM_OPER</stp>
        <stp>FY 2010</stp>
        <stp>FY 2010</stp>
        <stp>[FA1_ymffleas.xlsx]Yield Analysis!R7C4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" s="26"/>
      </tp>
      <tp>
        <v>13700</v>
        <stp/>
        <stp>##V3_BDHV12</stp>
        <stp>RCOM IN Equity</stp>
        <stp>TRAIL_12M_CASH_FROM_OPER</stp>
        <stp>FY 2013</stp>
        <stp>FY 2013</stp>
        <stp>[FA1_ymffleas.xlsx]Yield Analysis!R7C7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" s="26"/>
      </tp>
      <tp>
        <v>40730</v>
        <stp/>
        <stp>##V3_BDHV12</stp>
        <stp>RCOM IN Equity</stp>
        <stp>TRAIL_12M_CASH_FROM_OPER</stp>
        <stp>FY 2012</stp>
        <stp>FY 2012</stp>
        <stp>[FA1_ymffleas.xlsx]Yield Analysis!R7C6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" s="26"/>
      </tp>
      <tp>
        <v>51300.9</v>
        <stp/>
        <stp>##V3_BDHV12</stp>
        <stp>RCOM IN Equity</stp>
        <stp>TRAIL_12M_CASH_FROM_OPER</stp>
        <stp>FY 2009</stp>
        <stp>FY 2009</stp>
        <stp>[FA1_ymffleas.xlsx]Yield Analysis!R7C3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" s="26"/>
      </tp>
      <tp>
        <v>-1.9657</v>
        <stp/>
        <stp>##V3_BDHV12</stp>
        <stp>RCOM IN Equity</stp>
        <stp>TOTAL_DEBT_SEQUENTIAL_GROWTH</stp>
        <stp>FY 2012</stp>
        <stp>FY 2012</stp>
        <stp>[FA1_ymffleas.xlsx]Growth!R77C6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7" s="22"/>
      </tp>
      <tp>
        <v>31.483899999999998</v>
        <stp/>
        <stp>##V3_BDHV12</stp>
        <stp>RCOM IN Equity</stp>
        <stp>TOTAL_DEBT_SEQUENTIAL_GROWTH</stp>
        <stp>FY 2011</stp>
        <stp>FY 2011</stp>
        <stp>[FA1_ymffleas.xlsx]Growth!R77C5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7" s="22"/>
      </tp>
      <tp>
        <v>31.949200000000001</v>
        <stp/>
        <stp>##V3_BDHV12</stp>
        <stp>RCOM IN Equity</stp>
        <stp>ASSET_GROWTH</stp>
        <stp>FY 2009</stp>
        <stp>FY 2009</stp>
        <stp>[FA1_ymffleas.xlsx]Growth!R19C3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9" s="22"/>
      </tp>
      <tp>
        <v>-24.122299999999999</v>
        <stp/>
        <stp>##V3_BDHV12</stp>
        <stp>RCOM IN Equity</stp>
        <stp>TOTAL_DEBT_SEQUENTIAL_GROWTH</stp>
        <stp>FY 2010</stp>
        <stp>FY 2010</stp>
        <stp>[FA1_ymffleas.xlsx]Growth!R77C4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7" s="22"/>
      </tp>
      <tp>
        <v>51.664099999999998</v>
        <stp/>
        <stp>##V3_BDHV12</stp>
        <stp>RCOM IN Equity</stp>
        <stp>TOTAL_DEBT_SEQUENTIAL_GROWTH</stp>
        <stp>FY 2009</stp>
        <stp>FY 2009</stp>
        <stp>[FA1_ymffleas.xlsx]Growth!R77C3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7" s="22"/>
      </tp>
      <tp>
        <v>2.3273000000000001</v>
        <stp/>
        <stp>##V3_BDHV12</stp>
        <stp>RCOM IN Equity</stp>
        <stp>ASSET_GROWTH</stp>
        <stp>FY 2011</stp>
        <stp>FY 2011</stp>
        <stp>[FA1_ymffleas.xlsx]Growth!R19C5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9" s="22"/>
      </tp>
      <tp>
        <v>-9.4301999999999992</v>
        <stp/>
        <stp>##V3_BDHV12</stp>
        <stp>RCOM IN Equity</stp>
        <stp>ASSET_GROWTH</stp>
        <stp>FY 2010</stp>
        <stp>FY 2010</stp>
        <stp>[FA1_ymffleas.xlsx]Growth!R19C4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9" s="22"/>
      </tp>
      <tp>
        <v>-5.9391999999999996</v>
        <stp/>
        <stp>##V3_BDHV12</stp>
        <stp>RCOM IN Equity</stp>
        <stp>INVENTORY_5_YEAR_GROWTH</stp>
        <stp>FY 2015</stp>
        <stp>FY 2015</stp>
        <stp>[FA1_ymffleas.xlsx]Growth!R46C9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6" s="22"/>
      </tp>
      <tp>
        <v>-2.2576000000000001</v>
        <stp/>
        <stp>##V3_BDHV12</stp>
        <stp>RCOM IN Equity</stp>
        <stp>ASSET_GROWTH</stp>
        <stp>FY 2013</stp>
        <stp>FY 2013</stp>
        <stp>[FA1_ymffleas.xlsx]Growth!R19C7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9" s="22"/>
      </tp>
      <tp>
        <v>-5.2248999999999999</v>
        <stp/>
        <stp>##V3_BDHV12</stp>
        <stp>RCOM IN Equity</stp>
        <stp>INVENTORY_5_YEAR_GROWTH</stp>
        <stp>FY 2014</stp>
        <stp>FY 2014</stp>
        <stp>[FA1_ymffleas.xlsx]Growth!R46C8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6" s="22"/>
      </tp>
      <tp>
        <v>-2.5949</v>
        <stp/>
        <stp>##V3_BDHV12</stp>
        <stp>RCOM IN Equity</stp>
        <stp>ASSET_GROWTH</stp>
        <stp>FY 2012</stp>
        <stp>FY 2012</stp>
        <stp>[FA1_ymffleas.xlsx]Growth!R19C6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9" s="22"/>
      </tp>
      <tp>
        <v>46550</v>
        <stp/>
        <stp>##V3_BDHV12</stp>
        <stp>RCOM IN Equity</stp>
        <stp>EARN_FOR_COMMON</stp>
        <stp>FY 2010</stp>
        <stp>FY 2010</stp>
        <stp>[FA1_ymffleas.xlsx]Income - Adjusted!R103C3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103" s="9"/>
      </tp>
      <tp>
        <v>55.3</v>
        <stp/>
        <stp>##V3_BDHV12</stp>
        <stp>RCOM IN Equity</stp>
        <stp>PX_LAST</stp>
        <stp>FY 2013</stp>
        <stp>FY 2013</stp>
        <stp>[FA1_ymffleas.xlsx]Multiples!R51C6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51" s="6"/>
      </tp>
      <tp>
        <v>128.9</v>
        <stp/>
        <stp>##V3_BDHV12</stp>
        <stp>RCOM IN Equity</stp>
        <stp>PX_LAST</stp>
        <stp>FY 2014</stp>
        <stp>FY 2014</stp>
        <stp>[FA1_ymffleas.xlsx]Multiples!R51C7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51" s="6"/>
      </tp>
      <tp>
        <v>91.790400000000005</v>
        <stp/>
        <stp>##V3_BDHV12</stp>
        <stp>RCOM IN Equity</stp>
        <stp>REVENUE_PER_SH</stp>
        <stp>FY 2015</stp>
        <stp>FY 2015</stp>
        <stp>[FA1_ymffleas.xlsx]Per Share!R11C8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1" s="7"/>
      </tp>
      <tp>
        <v>107.65</v>
        <stp/>
        <stp>##V3_BDHV12</stp>
        <stp>RCOM IN Equity</stp>
        <stp>PX_LAST</stp>
        <stp>FY 2011</stp>
        <stp>FY 2011</stp>
        <stp>[FA1_ymffleas.xlsx]Multiples!R51C4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51" s="6"/>
      </tp>
      <tp>
        <v>84.05</v>
        <stp/>
        <stp>##V3_BDHV12</stp>
        <stp>RCOM IN Equity</stp>
        <stp>PX_LAST</stp>
        <stp>FY 2012</stp>
        <stp>FY 2012</stp>
        <stp>[FA1_ymffleas.xlsx]Multiples!R51C5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51" s="6"/>
      </tp>
      <tp>
        <v>10470</v>
        <stp/>
        <stp>##V3_BDHV12</stp>
        <stp>RCOM IN Equity</stp>
        <stp>EARN_FOR_COMMON</stp>
        <stp>FY 2014</stp>
        <stp>FY 2014</stp>
        <stp>[FA1_ymffleas.xlsx]Income - Adjusted!R103C7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103" s="9"/>
      </tp>
      <tp>
        <v>6720</v>
        <stp/>
        <stp>##V3_BDHV12</stp>
        <stp>RCOM IN Equity</stp>
        <stp>EARN_FOR_COMMON</stp>
        <stp>FY 2013</stp>
        <stp>FY 2013</stp>
        <stp>[FA1_ymffleas.xlsx]Income - Adjusted!R103C6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103" s="9"/>
      </tp>
      <tp>
        <v>169.95</v>
        <stp/>
        <stp>##V3_BDHV12</stp>
        <stp>RCOM IN Equity</stp>
        <stp>PX_LAST</stp>
        <stp>FY 2010</stp>
        <stp>FY 2010</stp>
        <stp>[FA1_ymffleas.xlsx]Multiples!R51C3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51" s="6"/>
      </tp>
      <tp>
        <v>9280</v>
        <stp/>
        <stp>##V3_BDHV12</stp>
        <stp>RCOM IN Equity</stp>
        <stp>EARN_FOR_COMMON</stp>
        <stp>FY 2012</stp>
        <stp>FY 2012</stp>
        <stp>[FA1_ymffleas.xlsx]Income - Adjusted!R103C5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103" s="9"/>
      </tp>
      <tp>
        <v>13450</v>
        <stp/>
        <stp>##V3_BDHV12</stp>
        <stp>RCOM IN Equity</stp>
        <stp>EARN_FOR_COMMON</stp>
        <stp>FY 2011</stp>
        <stp>FY 2011</stp>
        <stp>[FA1_ymffleas.xlsx]Income - Adjusted!R103C4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103" s="9"/>
      </tp>
      <tp>
        <v>6390</v>
        <stp/>
        <stp>##V3_BDHV12</stp>
        <stp>RCOM IN Equity</stp>
        <stp>EARN_FOR_COMMON</stp>
        <stp>FY 2016</stp>
        <stp>FY 2016</stp>
        <stp>[FA1_ymffleas.xlsx]Income - Adjusted!R103C9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103" s="9"/>
      </tp>
      <tp>
        <v>25.001899999999999</v>
        <stp/>
        <stp>##V3_BDHV12</stp>
        <stp>RCOM IN Equity</stp>
        <stp>EV_TO_T12M_EBIT</stp>
        <stp>FY 2013</stp>
        <stp>FY 2013</stp>
        <stp>[FA1_ymffleas.xlsx]Multiples!R46C6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46" s="6"/>
      </tp>
      <tp>
        <v>7140</v>
        <stp/>
        <stp>##V3_BDHV12</stp>
        <stp>RCOM IN Equity</stp>
        <stp>EARN_FOR_COMMON</stp>
        <stp>FY 2015</stp>
        <stp>FY 2015</stp>
        <stp>[FA1_ymffleas.xlsx]Income - Adjusted!R103C8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103" s="9"/>
      </tp>
      <tp t="s">
        <v>—</v>
        <stp/>
        <stp>##V3_BDHV12</stp>
        <stp>RCOM IN Equity</stp>
        <stp>ARDR_DEPRECIATION_EXP</stp>
        <stp>FY 2017</stp>
        <stp>FY 2017</stp>
        <stp>[FA1_ymffleas.xlsx]Income - As Reported!R66C11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6" s="11"/>
      </tp>
      <tp t="s">
        <v>—</v>
        <stp/>
        <stp>##V3_BDHV12</stp>
        <stp>RCOM IN Equity</stp>
        <stp>ARDR_DEPRECIATION_EXP</stp>
        <stp>FY 2016</stp>
        <stp>FY 2016</stp>
        <stp>[FA1_ymffleas.xlsx]Income - As Reported!R66C10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6" s="11"/>
      </tp>
      <tp t="s">
        <v>—</v>
        <stp/>
        <stp>##V3_BDHV12</stp>
        <stp>RCOM IN Equity</stp>
        <stp>ARDR_DEPRECIATION_EXP</stp>
        <stp>FY 2018</stp>
        <stp>FY 2018</stp>
        <stp>[FA1_ymffleas.xlsx]Income - As Reported!R66C12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6" s="11"/>
      </tp>
      <tp>
        <v>59.25</v>
        <stp/>
        <stp>##V3_BDHV12</stp>
        <stp>RCOM IN Equity</stp>
        <stp>PX_LAST</stp>
        <stp>FY 2015</stp>
        <stp>FY 2015</stp>
        <stp>[FA1_ymffleas.xlsx]Multiples!R51C8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51" s="6"/>
      </tp>
      <tp>
        <v>50</v>
        <stp/>
        <stp>##V3_BDHV12</stp>
        <stp>RCOM IN Equity</stp>
        <stp>PX_LAST</stp>
        <stp>FY 2016</stp>
        <stp>FY 2016</stp>
        <stp>[FA1_ymffleas.xlsx]Multiples!R51C9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51" s="6"/>
      </tp>
      <tp t="s">
        <v>—</v>
        <stp/>
        <stp>##V3_BDHV12</stp>
        <stp>RCOM IN Equity</stp>
        <stp>PCT_EMPLOYEES_UNIONIZED</stp>
        <stp>FY 2012</stp>
        <stp>FY 2012</stp>
        <stp>[FA1_ymffleas.xlsx]ESG - Overview!R16C6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" s="34"/>
      </tp>
      <tp t="s">
        <v>—</v>
        <stp/>
        <stp>##V3_BDHV12</stp>
        <stp>RCOM IN Equity</stp>
        <stp>ARDR_PLANT_MACHINERY_EQUIP_GROSS</stp>
        <stp>FY 2011</stp>
        <stp>FY 2011</stp>
        <stp>[FA1_ymffleas.xlsx]Bal Sheet - As Reported!R174C5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4" s="17"/>
      </tp>
      <tp t="s">
        <v>—</v>
        <stp/>
        <stp>##V3_BDHV12</stp>
        <stp>RCOM IN Equity</stp>
        <stp>ARDR_PLANT_MACHINERY_EQUIP_GROSS</stp>
        <stp>FY 2010</stp>
        <stp>FY 2010</stp>
        <stp>[FA1_ymffleas.xlsx]Bal Sheet - As Reported!R174C4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4" s="17"/>
      </tp>
      <tp t="s">
        <v>—</v>
        <stp/>
        <stp>##V3_BDHV12</stp>
        <stp>RCOM IN Equity</stp>
        <stp>ARDR_PLANT_MACHINERY_EQUIP_GROSS</stp>
        <stp>FY 2013</stp>
        <stp>FY 2013</stp>
        <stp>[FA1_ymffleas.xlsx]Bal Sheet - As Reported!R174C7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4" s="17"/>
      </tp>
      <tp t="s">
        <v>—</v>
        <stp/>
        <stp>##V3_BDHV12</stp>
        <stp>RCOM IN Equity</stp>
        <stp>ARDR_PLANT_MACHINERY_EQUIP_GROSS</stp>
        <stp>FY 2012</stp>
        <stp>FY 2012</stp>
        <stp>[FA1_ymffleas.xlsx]Bal Sheet - As Reported!R174C6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4" s="17"/>
      </tp>
      <tp t="s">
        <v>—</v>
        <stp/>
        <stp>##V3_BDHV12</stp>
        <stp>RCOM IN Equity</stp>
        <stp>ARDR_PLANT_MACHINERY_EQUIP_GROSS</stp>
        <stp>FY 2009</stp>
        <stp>FY 2009</stp>
        <stp>[FA1_ymffleas.xlsx]Bal Sheet - As Reported!R174C3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4" s="17"/>
      </tp>
      <tp t="s">
        <v>—</v>
        <stp/>
        <stp>##V3_BDHV12</stp>
        <stp>RCOM IN Equity</stp>
        <stp>ARDR_PLANT_MACHINERY_EQUIP_GROSS</stp>
        <stp>FY 2015</stp>
        <stp>FY 2015</stp>
        <stp>[FA1_ymffleas.xlsx]Bal Sheet - As Reported!R174C9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4" s="17"/>
      </tp>
      <tp t="s">
        <v>—</v>
        <stp/>
        <stp>##V3_BDHV12</stp>
        <stp>RCOM IN Equity</stp>
        <stp>ARDR_PLANT_MACHINERY_EQUIP_GROSS</stp>
        <stp>FY 2014</stp>
        <stp>FY 2014</stp>
        <stp>[FA1_ymffleas.xlsx]Bal Sheet - As Reported!R174C8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4" s="17"/>
      </tp>
      <tp t="s">
        <v>—</v>
        <stp/>
        <stp>##V3_BDHV12</stp>
        <stp>RCOM IN Equity</stp>
        <stp>PCT_EMPLOYEES_UNIONIZED</stp>
        <stp>FY 2013</stp>
        <stp>FY 2013</stp>
        <stp>[FA1_ymffleas.xlsx]ESG - Overview!R16C7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" s="34"/>
      </tp>
      <tp>
        <v>-35.798900000000003</v>
        <stp/>
        <stp>##V3_BDHV12</stp>
        <stp>RCOM IN Equity</stp>
        <stp>EBITDA_GROWTH</stp>
        <stp>FY 2017</stp>
        <stp>FY 2017</stp>
        <stp>[FA1_ymffleas.xlsx]Growth!R8C11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8" s="22"/>
      </tp>
      <tp t="s">
        <v>—</v>
        <stp/>
        <stp>##V3_BDHV12</stp>
        <stp>RCOM IN Equity</stp>
        <stp>PCT_EMPLOYEES_UNIONIZED</stp>
        <stp>FY 2010</stp>
        <stp>FY 2010</stp>
        <stp>[FA1_ymffleas.xlsx]ESG - Overview!R16C4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" s="34"/>
      </tp>
      <tp t="s">
        <v>—</v>
        <stp/>
        <stp>##V3_BDHV12</stp>
        <stp>RCOM IN Equity</stp>
        <stp>PCT_EMPLOYEES_UNIONIZED</stp>
        <stp>FY 2011</stp>
        <stp>FY 2011</stp>
        <stp>[FA1_ymffleas.xlsx]ESG - Overview!R16C5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" s="34"/>
      </tp>
      <tp t="s">
        <v>—</v>
        <stp/>
        <stp>##V3_BDHV12</stp>
        <stp>RCOM IN Equity</stp>
        <stp>PCT_EMPLOYEES_UNIONIZED</stp>
        <stp>FY 2009</stp>
        <stp>FY 2009</stp>
        <stp>[FA1_ymffleas.xlsx]ESG - Overview!R16C3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" s="34"/>
      </tp>
      <tp>
        <v>0</v>
        <stp/>
        <stp>##V3_BDHV12</stp>
        <stp>RCOM IN Equity</stp>
        <stp>ARDR_ADVERTISING_EXPENSES</stp>
        <stp>FY 2018</stp>
        <stp>FY 2018</stp>
        <stp>[FA1_ymffleas.xlsx]Income - As Reported!R127C12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7" s="11"/>
      </tp>
      <tp>
        <v>300</v>
        <stp/>
        <stp>##V3_BDHV12</stp>
        <stp>RCOM IN Equity</stp>
        <stp>ARDR_ADVERTISING_EXPENSES</stp>
        <stp>FY 2016</stp>
        <stp>FY 2016</stp>
        <stp>[FA1_ymffleas.xlsx]Income - As Reported!R127C10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7" s="11"/>
      </tp>
      <tp>
        <v>670</v>
        <stp/>
        <stp>##V3_BDHV12</stp>
        <stp>RCOM IN Equity</stp>
        <stp>ARDR_ADVERTISING_EXPENSES</stp>
        <stp>FY 2017</stp>
        <stp>FY 2017</stp>
        <stp>[FA1_ymffleas.xlsx]Income - As Reported!R127C11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7" s="11"/>
      </tp>
      <tp t="s">
        <v>—</v>
        <stp/>
        <stp>##V3_BDHV12</stp>
        <stp>RCOM IN Equity</stp>
        <stp>CASH_DVD_COVERAGE</stp>
        <stp>FY 2018</stp>
        <stp>FY 2018</stp>
        <stp>[FA1_ymffleas.xlsx]Dividend Summary!R10C12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0" s="31"/>
      </tp>
      <tp t="s">
        <v>—</v>
        <stp/>
        <stp>##V3_BDHV12</stp>
        <stp>RCOM IN Equity</stp>
        <stp>PCT_EMPLOYEES_UNIONIZED</stp>
        <stp>FY 2014</stp>
        <stp>FY 2014</stp>
        <stp>[FA1_ymffleas.xlsx]ESG - Overview!R16C8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" s="34"/>
      </tp>
      <tp t="s">
        <v>—</v>
        <stp/>
        <stp>##V3_BDHV12</stp>
        <stp>RCOM IN Equity</stp>
        <stp>PCT_EMPLOYEES_UNIONIZED</stp>
        <stp>FY 2015</stp>
        <stp>FY 2015</stp>
        <stp>[FA1_ymffleas.xlsx]ESG - Overview!R16C9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" s="34"/>
      </tp>
      <tp>
        <v>281</v>
        <stp/>
        <stp>##V3_BDHV12</stp>
        <stp>RCOM IN Equity</stp>
        <stp>OTHER_NONCUR_LIABS_SUB_DETAILED</stp>
        <stp>FY 2009</stp>
        <stp>FY 2009</stp>
        <stp>[FA1_ymffleas.xlsx]Bal Sheet - Standardized!R109C3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9" s="16"/>
      </tp>
      <tp>
        <v>17850</v>
        <stp/>
        <stp>##V3_BDHV12</stp>
        <stp>RCOM IN Equity</stp>
        <stp>OTHER_NONCUR_LIABS_SUB_DETAILED</stp>
        <stp>FY 2011</stp>
        <stp>FY 2011</stp>
        <stp>[FA1_ymffleas.xlsx]Bal Sheet - Standardized!R109C5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9" s="16"/>
      </tp>
      <tp>
        <v>990.5</v>
        <stp/>
        <stp>##V3_BDHV12</stp>
        <stp>RCOM IN Equity</stp>
        <stp>OTHER_NONCUR_LIABS_SUB_DETAILED</stp>
        <stp>FY 2010</stp>
        <stp>FY 2010</stp>
        <stp>[FA1_ymffleas.xlsx]Bal Sheet - Standardized!R109C4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9" s="16"/>
      </tp>
      <tp>
        <v>34900</v>
        <stp/>
        <stp>##V3_BDHV12</stp>
        <stp>RCOM IN Equity</stp>
        <stp>OTHER_NONCUR_LIABS_SUB_DETAILED</stp>
        <stp>FY 2013</stp>
        <stp>FY 2013</stp>
        <stp>[FA1_ymffleas.xlsx]Bal Sheet - Standardized!R109C7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9" s="16"/>
      </tp>
      <tp>
        <v>30590</v>
        <stp/>
        <stp>##V3_BDHV12</stp>
        <stp>RCOM IN Equity</stp>
        <stp>OTHER_NONCUR_LIABS_SUB_DETAILED</stp>
        <stp>FY 2012</stp>
        <stp>FY 2012</stp>
        <stp>[FA1_ymffleas.xlsx]Bal Sheet - Standardized!R109C6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9" s="16"/>
      </tp>
      <tp>
        <v>14320</v>
        <stp/>
        <stp>##V3_BDHV12</stp>
        <stp>RCOM IN Equity</stp>
        <stp>OTHER_NONCUR_LIABS_SUB_DETAILED</stp>
        <stp>FY 2015</stp>
        <stp>FY 2015</stp>
        <stp>[FA1_ymffleas.xlsx]Bal Sheet - Standardized!R109C9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9" s="16"/>
      </tp>
      <tp>
        <v>34790</v>
        <stp/>
        <stp>##V3_BDHV12</stp>
        <stp>RCOM IN Equity</stp>
        <stp>OTHER_NONCUR_LIABS_SUB_DETAILED</stp>
        <stp>FY 2014</stp>
        <stp>FY 2014</stp>
        <stp>[FA1_ymffleas.xlsx]Bal Sheet - Standardized!R109C8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9" s="16"/>
      </tp>
      <tp>
        <v>27760</v>
        <stp/>
        <stp>##V3_BDHV12</stp>
        <stp>RCOM IN Equity</stp>
        <stp>EBIT</stp>
        <stp>FY 2016</stp>
        <stp>FY 2016</stp>
        <stp>[FA1_ymffleas.xlsx]Earnings!R22C10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22" s="4"/>
      </tp>
      <tp>
        <v>4400</v>
        <stp/>
        <stp>##V3_BDHV12</stp>
        <stp>RCOM IN Equity</stp>
        <stp>EBIT</stp>
        <stp>FY 2017</stp>
        <stp>FY 2017</stp>
        <stp>[FA1_ymffleas.xlsx]Earnings!R22C11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22" s="4"/>
      </tp>
      <tp>
        <v>2430</v>
        <stp/>
        <stp>##V3_BDHV12</stp>
        <stp>RCOM IN Equity</stp>
        <stp>EBIT</stp>
        <stp>FY 2018</stp>
        <stp>FY 2018</stp>
        <stp>[FA1_ymffleas.xlsx]Earnings!R22C12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22" s="4"/>
      </tp>
      <tp>
        <v>997310</v>
        <stp/>
        <stp>##V3_BDHV12</stp>
        <stp>RCOM IN Equity</stp>
        <stp>BS_TOT_ASSET</stp>
        <stp>FY 2017</stp>
        <stp>FY 2017</stp>
        <stp>[FA1_ymffleas.xlsx]GAAP Highlights!R16C11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" s="3"/>
      </tp>
      <tp>
        <v>1034540</v>
        <stp/>
        <stp>##V3_BDHV12</stp>
        <stp>RCOM IN Equity</stp>
        <stp>BS_TOT_ASSET</stp>
        <stp>FY 2016</stp>
        <stp>FY 2016</stp>
        <stp>[FA1_ymffleas.xlsx]GAAP Highlights!R16C10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" s="3"/>
      </tp>
      <tp>
        <v>745780</v>
        <stp/>
        <stp>##V3_BDHV12</stp>
        <stp>RCOM IN Equity</stp>
        <stp>BS_TOT_ASSET</stp>
        <stp>FY 2018</stp>
        <stp>FY 2018</stp>
        <stp>[FA1_ymffleas.xlsx]GAAP Highlights!R16C12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" s="3"/>
      </tp>
      <tp>
        <v>10.2158</v>
        <stp/>
        <stp>##V3_BDHV12</stp>
        <stp>RCOM IN Equity</stp>
        <stp>EV_TO_T12M_EBITDA</stp>
        <stp>FY 2014</stp>
        <stp>FY 2014</stp>
        <stp>[FA1_ymffleas.xlsx]Multiples!R41C7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41" s="6"/>
      </tp>
      <tp t="s">
        <v>—</v>
        <stp/>
        <stp>##V3_BDHV12</stp>
        <stp>RCOM IN Equity</stp>
        <stp>ARDR_EMPLOYER_CONTRIB_POST_RETIR</stp>
        <stp>FY 2010</stp>
        <stp>FY 2010</stp>
        <stp>[FA1_ymffleas.xlsx]Income - As Reported!R98C4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8" s="11"/>
      </tp>
      <tp t="s">
        <v>—</v>
        <stp/>
        <stp>##V3_BDHV12</stp>
        <stp>RCOM IN Equity</stp>
        <stp>ARDR_EMPLOYER_CONTRIB_POST_RETIR</stp>
        <stp>FY 2011</stp>
        <stp>FY 2011</stp>
        <stp>[FA1_ymffleas.xlsx]Income - As Reported!R98C5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8" s="11"/>
      </tp>
      <tp t="s">
        <v>—</v>
        <stp/>
        <stp>##V3_BDHV12</stp>
        <stp>RCOM IN Equity</stp>
        <stp>ARDR_EMPLOYER_CONTRIB_POST_RETIR</stp>
        <stp>FY 2012</stp>
        <stp>FY 2012</stp>
        <stp>[FA1_ymffleas.xlsx]Income - As Reported!R98C6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8" s="11"/>
      </tp>
      <tp t="s">
        <v>—</v>
        <stp/>
        <stp>##V3_BDHV12</stp>
        <stp>RCOM IN Equity</stp>
        <stp>ARDR_EMPLOYER_CONTRIB_POST_RETIR</stp>
        <stp>FY 2013</stp>
        <stp>FY 2013</stp>
        <stp>[FA1_ymffleas.xlsx]Income - As Reported!R98C7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8" s="11"/>
      </tp>
      <tp t="s">
        <v>—</v>
        <stp/>
        <stp>##V3_BDHV12</stp>
        <stp>RCOM IN Equity</stp>
        <stp>ARDR_EMPLOYER_CONTRIB_POST_RETIR</stp>
        <stp>FY 2009</stp>
        <stp>FY 2009</stp>
        <stp>[FA1_ymffleas.xlsx]Income - As Reported!R98C3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8" s="11"/>
      </tp>
      <tp>
        <v>0</v>
        <stp/>
        <stp>##V3_BDHV12</stp>
        <stp>RCOM IN Equity</stp>
        <stp>ARDR_EMPLOYER_CONTRIB_POST_RETIR</stp>
        <stp>FY 2014</stp>
        <stp>FY 2014</stp>
        <stp>[FA1_ymffleas.xlsx]Income - As Reported!R98C8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8" s="11"/>
      </tp>
      <tp>
        <v>50</v>
        <stp/>
        <stp>##V3_BDHV12</stp>
        <stp>RCOM IN Equity</stp>
        <stp>ARDR_EMPLOYER_CONTRIB_POST_RETIR</stp>
        <stp>FY 2015</stp>
        <stp>FY 2015</stp>
        <stp>[FA1_ymffleas.xlsx]Income - As Reported!R98C9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8" s="11"/>
      </tp>
      <tp t="s">
        <v>—</v>
        <stp/>
        <stp>##V3_BDHV12</stp>
        <stp>RCOM IN Equity</stp>
        <stp>ARD_DEFERRED_EXPENSES_LT</stp>
        <stp>FY 2015</stp>
        <stp>FY 2015</stp>
        <stp>[FA1_ymffleas.xlsx]Bal Sheet - As Reported!R23C9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3" s="17"/>
      </tp>
      <tp t="s">
        <v>—</v>
        <stp/>
        <stp>##V3_BDHV12</stp>
        <stp>RCOM IN Equity</stp>
        <stp>ARD_DEFERRED_EXPENSES_LT</stp>
        <stp>FY 2014</stp>
        <stp>FY 2014</stp>
        <stp>[FA1_ymffleas.xlsx]Bal Sheet - As Reported!R23C8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3" s="17"/>
      </tp>
      <tp t="s">
        <v>—</v>
        <stp/>
        <stp>##V3_BDHV12</stp>
        <stp>RCOM IN Equity</stp>
        <stp>ARD_DEFERRED_EXPENSES_LT</stp>
        <stp>FY 2013</stp>
        <stp>FY 2013</stp>
        <stp>[FA1_ymffleas.xlsx]Bal Sheet - As Reported!R23C7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3" s="17"/>
      </tp>
      <tp t="s">
        <v>—</v>
        <stp/>
        <stp>##V3_BDHV12</stp>
        <stp>RCOM IN Equity</stp>
        <stp>ARD_DEFERRED_EXPENSES_LT</stp>
        <stp>FY 2012</stp>
        <stp>FY 2012</stp>
        <stp>[FA1_ymffleas.xlsx]Bal Sheet - As Reported!R23C6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3" s="17"/>
      </tp>
      <tp t="s">
        <v>—</v>
        <stp/>
        <stp>##V3_BDHV12</stp>
        <stp>RCOM IN Equity</stp>
        <stp>ARD_DEFERRED_EXPENSES_LT</stp>
        <stp>FY 2011</stp>
        <stp>FY 2011</stp>
        <stp>[FA1_ymffleas.xlsx]Bal Sheet - As Reported!R23C5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3" s="17"/>
      </tp>
      <tp t="s">
        <v>—</v>
        <stp/>
        <stp>##V3_BDHV12</stp>
        <stp>RCOM IN Equity</stp>
        <stp>ARD_DEFERRED_EXPENSES_LT</stp>
        <stp>FY 2010</stp>
        <stp>FY 2010</stp>
        <stp>[FA1_ymffleas.xlsx]Bal Sheet - As Reported!R23C4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3" s="17"/>
      </tp>
      <tp t="s">
        <v>—</v>
        <stp/>
        <stp>##V3_BDHV12</stp>
        <stp>RCOM IN Equity</stp>
        <stp>ARD_DEFERRED_EXPENSES_LT</stp>
        <stp>FY 2009</stp>
        <stp>FY 2009</stp>
        <stp>[FA1_ymffleas.xlsx]Bal Sheet - As Reported!R23C3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3" s="17"/>
      </tp>
      <tp>
        <v>30.792000000000002</v>
        <stp/>
        <stp>##V3_BDHV12</stp>
        <stp>RCOM IN Equity</stp>
        <stp>EBITDA_MARGIN</stp>
        <stp>FY 2013</stp>
        <stp>FY 2013</stp>
        <stp>[FA1_ymffleas.xlsx]Cash Flow - Standardized!R59C6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59" s="19"/>
      </tp>
      <tp>
        <v>120</v>
        <stp/>
        <stp>##V3_BDHV12</stp>
        <stp>RCOM IN Equity</stp>
        <stp>ARD_DEFERRED_INC_TAX_EXP_BEN</stp>
        <stp>FY 2018</stp>
        <stp>FY 2018</stp>
        <stp>[FA1_ymffleas.xlsx]Income - As Reported!R29C12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9" s="11"/>
      </tp>
      <tp>
        <v>-920</v>
        <stp/>
        <stp>##V3_BDHV12</stp>
        <stp>RCOM IN Equity</stp>
        <stp>ARD_DEFERRED_INC_TAX_EXP_BEN</stp>
        <stp>FY 2017</stp>
        <stp>FY 2017</stp>
        <stp>[FA1_ymffleas.xlsx]Income - As Reported!R29C11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9" s="11"/>
      </tp>
      <tp>
        <v>-4420</v>
        <stp/>
        <stp>##V3_BDHV12</stp>
        <stp>RCOM IN Equity</stp>
        <stp>ARD_DEFERRED_INC_TAX_EXP_BEN</stp>
        <stp>FY 2016</stp>
        <stp>FY 2016</stp>
        <stp>[FA1_ymffleas.xlsx]Income - As Reported!R29C10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9" s="11"/>
      </tp>
      <tp>
        <v>0</v>
        <stp/>
        <stp>##V3_BDHV12</stp>
        <stp>RCOM IN Equity</stp>
        <stp>ARD_DEFERRED_TAX_ASSETS_LT</stp>
        <stp>FY 2015</stp>
        <stp>FY 2015</stp>
        <stp>[FA1_ymffleas.xlsx]Bal Sheet - As Reported!R31C9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1" s="17"/>
      </tp>
      <tp>
        <v>14880</v>
        <stp/>
        <stp>##V3_BDHV12</stp>
        <stp>RCOM IN Equity</stp>
        <stp>ARD_DEFERRED_TAX_ASSETS_LT</stp>
        <stp>FY 2014</stp>
        <stp>FY 2014</stp>
        <stp>[FA1_ymffleas.xlsx]Bal Sheet - As Reported!R31C8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1" s="17"/>
      </tp>
      <tp t="s">
        <v>—</v>
        <stp/>
        <stp>##V3_BDHV12</stp>
        <stp>RCOM IN Equity</stp>
        <stp>ARD_DEFERRED_TAX_ASSETS_LT</stp>
        <stp>FY 2009</stp>
        <stp>FY 2009</stp>
        <stp>[FA1_ymffleas.xlsx]Bal Sheet - As Reported!R31C3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1" s="17"/>
      </tp>
      <tp t="s">
        <v>—</v>
        <stp/>
        <stp>##V3_BDHV12</stp>
        <stp>RCOM IN Equity</stp>
        <stp>ARD_DEFERRED_TAX_ASSETS_LT</stp>
        <stp>FY 2013</stp>
        <stp>FY 2013</stp>
        <stp>[FA1_ymffleas.xlsx]Bal Sheet - As Reported!R31C7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1" s="17"/>
      </tp>
      <tp t="s">
        <v>—</v>
        <stp/>
        <stp>##V3_BDHV12</stp>
        <stp>RCOM IN Equity</stp>
        <stp>ARD_DEFERRED_TAX_ASSETS_LT</stp>
        <stp>FY 2012</stp>
        <stp>FY 2012</stp>
        <stp>[FA1_ymffleas.xlsx]Bal Sheet - As Reported!R31C6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1" s="17"/>
      </tp>
      <tp t="s">
        <v>—</v>
        <stp/>
        <stp>##V3_BDHV12</stp>
        <stp>RCOM IN Equity</stp>
        <stp>ARD_DEFERRED_TAX_ASSETS_LT</stp>
        <stp>FY 2011</stp>
        <stp>FY 2011</stp>
        <stp>[FA1_ymffleas.xlsx]Bal Sheet - As Reported!R31C5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1" s="17"/>
      </tp>
      <tp t="s">
        <v>—</v>
        <stp/>
        <stp>##V3_BDHV12</stp>
        <stp>RCOM IN Equity</stp>
        <stp>ARD_DEFERRED_TAX_ASSETS_LT</stp>
        <stp>FY 2010</stp>
        <stp>FY 2010</stp>
        <stp>[FA1_ymffleas.xlsx]Bal Sheet - As Reported!R31C4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1" s="17"/>
      </tp>
      <tp>
        <v>35.269399999999997</v>
        <stp/>
        <stp>##V3_BDHV12</stp>
        <stp>RCOM IN Equity</stp>
        <stp>EBITDA_MARGIN</stp>
        <stp>FY 2010</stp>
        <stp>FY 2010</stp>
        <stp>[FA1_ymffleas.xlsx]Income - Adjusted!R122C3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C122" s="9"/>
      </tp>
      <tp t="s">
        <v>—</v>
        <stp/>
        <stp>##V3_BDHV12</stp>
        <stp>RCOM IN Equity</stp>
        <stp>ARD_DILUTED_EPS_BEF_XO_ITEMS</stp>
        <stp>FY 2018</stp>
        <stp>FY 2018</stp>
        <stp>[FA1_ymffleas.xlsx]Income - As Reported!R44C12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4" s="11"/>
      </tp>
      <tp t="s">
        <v>—</v>
        <stp/>
        <stp>##V3_BDHV12</stp>
        <stp>RCOM IN Equity</stp>
        <stp>ARD_DILUTED_EPS_BEF_XO_ITEMS</stp>
        <stp>FY 2016</stp>
        <stp>FY 2016</stp>
        <stp>[FA1_ymffleas.xlsx]Income - As Reported!R44C10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4" s="11"/>
      </tp>
      <tp t="s">
        <v>—</v>
        <stp/>
        <stp>##V3_BDHV12</stp>
        <stp>RCOM IN Equity</stp>
        <stp>ARD_DILUTED_EPS_BEF_XO_ITEMS</stp>
        <stp>FY 2017</stp>
        <stp>FY 2017</stp>
        <stp>[FA1_ymffleas.xlsx]Income - As Reported!R44C11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4" s="11"/>
      </tp>
      <tp>
        <v>33.7879</v>
        <stp/>
        <stp>##V3_BDHV12</stp>
        <stp>RCOM IN Equity</stp>
        <stp>EBITDA_MARGIN</stp>
        <stp>FY 2010</stp>
        <stp>FY 2010</stp>
        <stp>[FA1_ymffleas.xlsx]Income - GAAP!R100C3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00" s="10"/>
      </tp>
      <tp>
        <v>-69.856999999999999</v>
        <stp/>
        <stp>##V3_BDHV12</stp>
        <stp>RCOM IN Equity</stp>
        <stp>SALES_GROWTH</stp>
        <stp>FY 2017</stp>
        <stp>FY 2017</stp>
        <stp>[FA1_ymffleas.xlsx]Adj Highlights!R13C10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J13" s="2"/>
      </tp>
      <tp t="s">
        <v>—</v>
        <stp/>
        <stp>##V3_BDHV12</stp>
        <stp>RCOM IN Equity</stp>
        <stp>ARDR_PREPAYMENT_ADVANCE</stp>
        <stp>FY 2010</stp>
        <stp>FY 2010</stp>
        <stp>[FA1_ymffleas.xlsx]Bal Sheet - As Reported!R158C4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8" s="17"/>
      </tp>
      <tp t="s">
        <v>—</v>
        <stp/>
        <stp>##V3_BDHV12</stp>
        <stp>RCOM IN Equity</stp>
        <stp>ARDR_PREPAYMENT_ADVANCE</stp>
        <stp>FY 2011</stp>
        <stp>FY 2011</stp>
        <stp>[FA1_ymffleas.xlsx]Bal Sheet - As Reported!R158C5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8" s="17"/>
      </tp>
      <tp t="s">
        <v>—</v>
        <stp/>
        <stp>##V3_BDHV12</stp>
        <stp>RCOM IN Equity</stp>
        <stp>ARDR_PREPAYMENT_ADVANCE</stp>
        <stp>FY 2012</stp>
        <stp>FY 2012</stp>
        <stp>[FA1_ymffleas.xlsx]Bal Sheet - As Reported!R158C6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8" s="17"/>
      </tp>
      <tp t="s">
        <v>—</v>
        <stp/>
        <stp>##V3_BDHV12</stp>
        <stp>RCOM IN Equity</stp>
        <stp>ARDR_PREPAYMENT_ADVANCE</stp>
        <stp>FY 2013</stp>
        <stp>FY 2013</stp>
        <stp>[FA1_ymffleas.xlsx]Bal Sheet - As Reported!R158C7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8" s="17"/>
      </tp>
      <tp t="s">
        <v>—</v>
        <stp/>
        <stp>##V3_BDHV12</stp>
        <stp>RCOM IN Equity</stp>
        <stp>ARDR_PREPAYMENT_ADVANCE</stp>
        <stp>FY 2009</stp>
        <stp>FY 2009</stp>
        <stp>[FA1_ymffleas.xlsx]Bal Sheet - As Reported!R158C3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8" s="17"/>
      </tp>
      <tp t="s">
        <v>—</v>
        <stp/>
        <stp>##V3_BDHV12</stp>
        <stp>RCOM IN Equity</stp>
        <stp>ARDR_PREPAYMENT_ADVANCE</stp>
        <stp>FY 2014</stp>
        <stp>FY 2014</stp>
        <stp>[FA1_ymffleas.xlsx]Bal Sheet - As Reported!R158C8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8" s="17"/>
      </tp>
      <tp t="s">
        <v>—</v>
        <stp/>
        <stp>##V3_BDHV12</stp>
        <stp>RCOM IN Equity</stp>
        <stp>ARDR_PREPAYMENT_ADVANCE</stp>
        <stp>FY 2015</stp>
        <stp>FY 2015</stp>
        <stp>[FA1_ymffleas.xlsx]Bal Sheet - As Reported!R158C9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8" s="17"/>
      </tp>
      <tp t="s">
        <v>—</v>
        <stp/>
        <stp>##V3_BDHV12</stp>
        <stp>RCOM IN Equity</stp>
        <stp>ARDR_CRNT_CAPITAL_LEASE</stp>
        <stp>FY 2013</stp>
        <stp>FY 2013</stp>
        <stp>[FA1_ymffleas.xlsx]Bal Sheet - As Reported!R198C7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8" s="17"/>
      </tp>
      <tp t="s">
        <v>—</v>
        <stp/>
        <stp>##V3_BDHV12</stp>
        <stp>RCOM IN Equity</stp>
        <stp>ARDR_CRNT_CAPITAL_LEASE</stp>
        <stp>FY 2012</stp>
        <stp>FY 2012</stp>
        <stp>[FA1_ymffleas.xlsx]Bal Sheet - As Reported!R198C6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8" s="17"/>
      </tp>
      <tp t="s">
        <v>—</v>
        <stp/>
        <stp>##V3_BDHV12</stp>
        <stp>RCOM IN Equity</stp>
        <stp>ARDR_CRNT_CAPITAL_LEASE</stp>
        <stp>FY 2011</stp>
        <stp>FY 2011</stp>
        <stp>[FA1_ymffleas.xlsx]Bal Sheet - As Reported!R198C5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8" s="17"/>
      </tp>
      <tp t="s">
        <v>—</v>
        <stp/>
        <stp>##V3_BDHV12</stp>
        <stp>RCOM IN Equity</stp>
        <stp>ARDR_CRNT_CAPITAL_LEASE</stp>
        <stp>FY 2010</stp>
        <stp>FY 2010</stp>
        <stp>[FA1_ymffleas.xlsx]Bal Sheet - As Reported!R198C4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8" s="17"/>
      </tp>
      <tp t="s">
        <v>—</v>
        <stp/>
        <stp>##V3_BDHV12</stp>
        <stp>RCOM IN Equity</stp>
        <stp>ARDR_CRNT_CAPITAL_LEASE</stp>
        <stp>FY 2009</stp>
        <stp>FY 2009</stp>
        <stp>[FA1_ymffleas.xlsx]Bal Sheet - As Reported!R198C3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8" s="17"/>
      </tp>
      <tp>
        <v>110</v>
        <stp/>
        <stp>##V3_BDHV12</stp>
        <stp>RCOM IN Equity</stp>
        <stp>ARDR_CRNT_CAPITAL_LEASE</stp>
        <stp>FY 2015</stp>
        <stp>FY 2015</stp>
        <stp>[FA1_ymffleas.xlsx]Bal Sheet - As Reported!R198C9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8" s="17"/>
      </tp>
      <tp>
        <v>200</v>
        <stp/>
        <stp>##V3_BDHV12</stp>
        <stp>RCOM IN Equity</stp>
        <stp>ARDR_CRNT_CAPITAL_LEASE</stp>
        <stp>FY 2014</stp>
        <stp>FY 2014</stp>
        <stp>[FA1_ymffleas.xlsx]Bal Sheet - As Reported!R198C8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8" s="17"/>
      </tp>
      <tp>
        <v>-6.9463999999999997</v>
        <stp/>
        <stp>##V3_BDHV12</stp>
        <stp>RCOM IN Equity</stp>
        <stp>TOTAL_EQUITY_SEQUENTIAL_GROWTH</stp>
        <stp>FY 2013</stp>
        <stp>FY 2013</stp>
        <stp>[FA1_ymffleas.xlsx]Growth!R78C7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8" s="22"/>
      </tp>
      <tp>
        <v>83760.800000000003</v>
        <stp/>
        <stp>##V3_BDHV12</stp>
        <stp>RCOM IN Equity</stp>
        <stp>EBITDA</stp>
        <stp>FY 2011</stp>
        <stp>FY 2011</stp>
        <stp>[FA1_ymffleas.xlsx]Adj Highlights!R16C4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6" s="2"/>
      </tp>
      <tp>
        <v>-10.084</v>
        <stp/>
        <stp>##V3_BDHV12</stp>
        <stp>RCOM IN Equity</stp>
        <stp>TOTAL_EQUITY_SEQUENTIAL_GROWTH</stp>
        <stp>FY 2012</stp>
        <stp>FY 2012</stp>
        <stp>[FA1_ymffleas.xlsx]Growth!R78C6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8" s="22"/>
      </tp>
      <tp>
        <v>61650</v>
        <stp/>
        <stp>##V3_BDHV12</stp>
        <stp>RCOM IN Equity</stp>
        <stp>EBITDA</stp>
        <stp>FY 2012</stp>
        <stp>FY 2012</stp>
        <stp>[FA1_ymffleas.xlsx]Adj Highlights!R16C5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6" s="2"/>
      </tp>
      <tp>
        <v>-6.1246999999999998</v>
        <stp/>
        <stp>##V3_BDHV12</stp>
        <stp>RCOM IN Equity</stp>
        <stp>TOTAL_EQUITY_SEQUENTIAL_GROWTH</stp>
        <stp>FY 2011</stp>
        <stp>FY 2011</stp>
        <stp>[FA1_ymffleas.xlsx]Growth!R78C5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8" s="22"/>
      </tp>
      <tp>
        <v>88.110399999999998</v>
        <stp/>
        <stp>##V3_BDHV12</stp>
        <stp>RCOM IN Equity</stp>
        <stp>REVENUE_PER_SH</stp>
        <stp>FY 2016</stp>
        <stp>FY 2016</stp>
        <stp>[FA1_ymffleas.xlsx]Per Share!R11C9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1" s="7"/>
      </tp>
      <tp>
        <v>59710</v>
        <stp/>
        <stp>##V3_BDHV12</stp>
        <stp>RCOM IN Equity</stp>
        <stp>EBITDA</stp>
        <stp>FY 2013</stp>
        <stp>FY 2013</stp>
        <stp>[FA1_ymffleas.xlsx]Adj Highlights!R16C6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6" s="2"/>
      </tp>
      <tp>
        <v>2.5242</v>
        <stp/>
        <stp>##V3_BDHV12</stp>
        <stp>RCOM IN Equity</stp>
        <stp>TOTAL_EQUITY_SEQUENTIAL_GROWTH</stp>
        <stp>FY 2010</stp>
        <stp>FY 2010</stp>
        <stp>[FA1_ymffleas.xlsx]Growth!R78C4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8" s="22"/>
      </tp>
      <tp>
        <v>67260</v>
        <stp/>
        <stp>##V3_BDHV12</stp>
        <stp>RCOM IN Equity</stp>
        <stp>EBITDA</stp>
        <stp>FY 2014</stp>
        <stp>FY 2014</stp>
        <stp>[FA1_ymffleas.xlsx]Adj Highlights!R16C7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6" s="2"/>
      </tp>
      <tp>
        <v>36.487499999999997</v>
        <stp/>
        <stp>##V3_BDHV12</stp>
        <stp>RCOM IN Equity</stp>
        <stp>TOTAL_EQUITY_SEQUENTIAL_GROWTH</stp>
        <stp>FY 2009</stp>
        <stp>FY 2009</stp>
        <stp>[FA1_ymffleas.xlsx]Growth!R78C3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8" s="22"/>
      </tp>
      <tp>
        <v>20.7959</v>
        <stp/>
        <stp>##V3_BDHV12</stp>
        <stp>RCOM IN Equity</stp>
        <stp>EPS_DILUTED_SEQUENTIAL_GROWTH</stp>
        <stp>FY 2009</stp>
        <stp>FY 2009</stp>
        <stp>[FA1_ymffleas.xlsx]Growth!R64C3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64" s="22"/>
      </tp>
      <tp t="s">
        <v>—</v>
        <stp/>
        <stp>##V3_BDHV12</stp>
        <stp>RCOM IN Equity</stp>
        <stp>AVERAGE_PRICE_TO_FREE_CASH_FLOW</stp>
        <stp>FY 2016</stp>
        <stp>FY 2016</stp>
        <stp>[FA1_ymffleas.xlsx]Multiples!R32C9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2" s="6"/>
      </tp>
      <tp>
        <v>12.997999999999999</v>
        <stp/>
        <stp>##V3_BDHV12</stp>
        <stp>RCOM IN Equity</stp>
        <stp>AVERAGE_PRICE_TO_FREE_CASH_FLOW</stp>
        <stp>FY 2015</stp>
        <stp>FY 2015</stp>
        <stp>[FA1_ymffleas.xlsx]Multiples!R32C8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2" s="6"/>
      </tp>
      <tp>
        <v>72955</v>
        <stp/>
        <stp>##V3_BDHV12</stp>
        <stp>RCOM IN Equity</stp>
        <stp>EBITDA</stp>
        <stp>FY 2010</stp>
        <stp>FY 2010</stp>
        <stp>[FA1_ymffleas.xlsx]Adj Highlights!R16C3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6" s="2"/>
      </tp>
      <tp>
        <v>15.6043</v>
        <stp/>
        <stp>##V3_BDHV12</stp>
        <stp>RCOM IN Equity</stp>
        <stp>AVERAGE_PRICE_TO_FREE_CASH_FLOW</stp>
        <stp>FY 2014</stp>
        <stp>FY 2014</stp>
        <stp>[FA1_ymffleas.xlsx]Multiples!R32C7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2" s="6"/>
      </tp>
      <tp t="s">
        <v>—</v>
        <stp/>
        <stp>##V3_BDHV12</stp>
        <stp>RCOM IN Equity</stp>
        <stp>AVERAGE_PRICE_TO_FREE_CASH_FLOW</stp>
        <stp>FY 2013</stp>
        <stp>FY 2013</stp>
        <stp>[FA1_ymffleas.xlsx]Multiples!R32C6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2" s="6"/>
      </tp>
      <tp t="s">
        <v>—</v>
        <stp/>
        <stp>##V3_BDHV12</stp>
        <stp>RCOM IN Equity</stp>
        <stp>AVERAGE_PRICE_TO_FREE_CASH_FLOW</stp>
        <stp>FY 2012</stp>
        <stp>FY 2012</stp>
        <stp>[FA1_ymffleas.xlsx]Multiples!R32C5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2" s="6"/>
      </tp>
      <tp>
        <v>31.555599999999998</v>
        <stp/>
        <stp>##V3_BDHV12</stp>
        <stp>RCOM IN Equity</stp>
        <stp>EV_TO_T12M_EBIT</stp>
        <stp>FY 2014</stp>
        <stp>FY 2014</stp>
        <stp>[FA1_ymffleas.xlsx]Multiples!R46C7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46" s="6"/>
      </tp>
      <tp>
        <v>46.429900000000004</v>
        <stp/>
        <stp>##V3_BDHV12</stp>
        <stp>RCOM IN Equity</stp>
        <stp>AVERAGE_PRICE_TO_FREE_CASH_FLOW</stp>
        <stp>FY 2011</stp>
        <stp>FY 2011</stp>
        <stp>[FA1_ymffleas.xlsx]Multiples!R32C4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2" s="6"/>
      </tp>
      <tp>
        <v>51.615099999999998</v>
        <stp/>
        <stp>##V3_BDHV12</stp>
        <stp>RCOM IN Equity</stp>
        <stp>AVERAGE_PRICE_TO_FREE_CASH_FLOW</stp>
        <stp>FY 2010</stp>
        <stp>FY 2010</stp>
        <stp>[FA1_ymffleas.xlsx]Multiples!R32C3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2" s="6"/>
      </tp>
      <tp>
        <v>72100</v>
        <stp/>
        <stp>##V3_BDHV12</stp>
        <stp>RCOM IN Equity</stp>
        <stp>EBITDA</stp>
        <stp>FY 2015</stp>
        <stp>FY 2015</stp>
        <stp>[FA1_ymffleas.xlsx]Adj Highlights!R16C8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6" s="2"/>
      </tp>
      <tp>
        <v>72760</v>
        <stp/>
        <stp>##V3_BDHV12</stp>
        <stp>RCOM IN Equity</stp>
        <stp>EBITDA</stp>
        <stp>FY 2016</stp>
        <stp>FY 2016</stp>
        <stp>[FA1_ymffleas.xlsx]Adj Highlights!R16C9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6" s="2"/>
      </tp>
      <tp>
        <v>14.636699999999999</v>
        <stp/>
        <stp>##V3_BDHV12</stp>
        <stp>RCOM IN Equity</stp>
        <stp>TOTAL_EQUITY_SEQUENTIAL_GROWTH</stp>
        <stp>FY 2015</stp>
        <stp>FY 2015</stp>
        <stp>[FA1_ymffleas.xlsx]Growth!R78C9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8" s="22"/>
      </tp>
      <tp>
        <v>-2.9964</v>
        <stp/>
        <stp>##V3_BDHV12</stp>
        <stp>RCOM IN Equity</stp>
        <stp>TOTAL_EQUITY_SEQUENTIAL_GROWTH</stp>
        <stp>FY 2014</stp>
        <stp>FY 2014</stp>
        <stp>[FA1_ymffleas.xlsx]Growth!R78C8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8" s="22"/>
      </tp>
      <tp>
        <v>0.74939999999999996</v>
        <stp/>
        <stp>##V3_BDHV12</stp>
        <stp>RCOM IN Equity</stp>
        <stp>EBITDA_GROWTH</stp>
        <stp>FY 2016</stp>
        <stp>FY 2016</stp>
        <stp>[FA1_ymffleas.xlsx]Growth!R8C10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8" s="22"/>
      </tp>
      <tp>
        <v>0</v>
        <stp/>
        <stp>##V3_BDHV12</stp>
        <stp>RCOM IN Equity</stp>
        <stp>IS_DISC_OPS_DILUTED_SH</stp>
        <stp>FY 2015</stp>
        <stp>FY 2015</stp>
        <stp>[FA1_ymffleas.xlsx]Reconciliation!R45C8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5" s="12"/>
      </tp>
      <tp>
        <v>0</v>
        <stp/>
        <stp>##V3_BDHV12</stp>
        <stp>RCOM IN Equity</stp>
        <stp>IS_DISC_OPS_DILUTED_SH</stp>
        <stp>FY 2016</stp>
        <stp>FY 2016</stp>
        <stp>[FA1_ymffleas.xlsx]Reconciliation!R45C9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5" s="12"/>
      </tp>
      <tp t="s">
        <v>—</v>
        <stp/>
        <stp>##V3_BDHV12</stp>
        <stp>RCOM IN Equity</stp>
        <stp>ARDR_COMMON_STOCK_SUBSCRIBED_STK</stp>
        <stp>FY 2014</stp>
        <stp>FY 2014</stp>
        <stp>[FA1_ymffleas.xlsx]Bal Sheet - As Reported!R181C8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1" s="17"/>
      </tp>
      <tp t="s">
        <v>—</v>
        <stp/>
        <stp>##V3_BDHV12</stp>
        <stp>RCOM IN Equity</stp>
        <stp>ARDR_COMMON_STOCK_SUBSCRIBED_STK</stp>
        <stp>FY 2015</stp>
        <stp>FY 2015</stp>
        <stp>[FA1_ymffleas.xlsx]Bal Sheet - As Reported!R181C9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1" s="17"/>
      </tp>
      <tp t="s">
        <v>—</v>
        <stp/>
        <stp>##V3_BDHV12</stp>
        <stp>RCOM IN Equity</stp>
        <stp>ARDR_COMMON_STOCK_SUBSCRIBED_STK</stp>
        <stp>FY 2009</stp>
        <stp>FY 2009</stp>
        <stp>[FA1_ymffleas.xlsx]Bal Sheet - As Reported!R181C3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1" s="17"/>
      </tp>
      <tp t="s">
        <v>—</v>
        <stp/>
        <stp>##V3_BDHV12</stp>
        <stp>RCOM IN Equity</stp>
        <stp>ARDR_COMMON_STOCK_SUBSCRIBED_STK</stp>
        <stp>FY 2010</stp>
        <stp>FY 2010</stp>
        <stp>[FA1_ymffleas.xlsx]Bal Sheet - As Reported!R181C4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1" s="17"/>
      </tp>
      <tp t="s">
        <v>—</v>
        <stp/>
        <stp>##V3_BDHV12</stp>
        <stp>RCOM IN Equity</stp>
        <stp>ARDR_COMMON_STOCK_SUBSCRIBED_STK</stp>
        <stp>FY 2011</stp>
        <stp>FY 2011</stp>
        <stp>[FA1_ymffleas.xlsx]Bal Sheet - As Reported!R181C5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1" s="17"/>
      </tp>
      <tp t="s">
        <v>—</v>
        <stp/>
        <stp>##V3_BDHV12</stp>
        <stp>RCOM IN Equity</stp>
        <stp>ARDR_COMMON_STOCK_SUBSCRIBED_STK</stp>
        <stp>FY 2012</stp>
        <stp>FY 2012</stp>
        <stp>[FA1_ymffleas.xlsx]Bal Sheet - As Reported!R181C6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1" s="17"/>
      </tp>
      <tp t="s">
        <v>—</v>
        <stp/>
        <stp>##V3_BDHV12</stp>
        <stp>RCOM IN Equity</stp>
        <stp>ARDR_COMMON_STOCK_SUBSCRIBED_STK</stp>
        <stp>FY 2013</stp>
        <stp>FY 2013</stp>
        <stp>[FA1_ymffleas.xlsx]Bal Sheet - As Reported!R181C7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1" s="17"/>
      </tp>
      <tp>
        <v>51250</v>
        <stp/>
        <stp>##V3_BDHV12</stp>
        <stp>RCOM IN Equity</stp>
        <stp>ARD_GOODWLL</stp>
        <stp>FY 2013</stp>
        <stp>FY 2013</stp>
        <stp>[FA1_ymffleas.xlsx]Bal Sheet - As Reported!R30C7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0" s="17"/>
      </tp>
      <tp>
        <v>50090</v>
        <stp/>
        <stp>##V3_BDHV12</stp>
        <stp>RCOM IN Equity</stp>
        <stp>ARD_GOODWLL</stp>
        <stp>FY 2012</stp>
        <stp>FY 2012</stp>
        <stp>[FA1_ymffleas.xlsx]Bal Sheet - As Reported!R30C6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0" s="17"/>
      </tp>
      <tp>
        <v>47470</v>
        <stp/>
        <stp>##V3_BDHV12</stp>
        <stp>RCOM IN Equity</stp>
        <stp>ARD_GOODWLL</stp>
        <stp>FY 2011</stp>
        <stp>FY 2011</stp>
        <stp>[FA1_ymffleas.xlsx]Bal Sheet - As Reported!R30C5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0" s="17"/>
      </tp>
      <tp>
        <v>49975.6</v>
        <stp/>
        <stp>##V3_BDHV12</stp>
        <stp>RCOM IN Equity</stp>
        <stp>ARD_GOODWLL</stp>
        <stp>FY 2010</stp>
        <stp>FY 2010</stp>
        <stp>[FA1_ymffleas.xlsx]Bal Sheet - As Reported!R30C4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0" s="17"/>
      </tp>
      <tp>
        <v>52215.3</v>
        <stp/>
        <stp>##V3_BDHV12</stp>
        <stp>RCOM IN Equity</stp>
        <stp>ARD_GOODWLL</stp>
        <stp>FY 2009</stp>
        <stp>FY 2009</stp>
        <stp>[FA1_ymffleas.xlsx]Bal Sheet - As Reported!R30C3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0" s="17"/>
      </tp>
      <tp>
        <v>54230</v>
        <stp/>
        <stp>##V3_BDHV12</stp>
        <stp>RCOM IN Equity</stp>
        <stp>ARD_GOODWLL</stp>
        <stp>FY 2015</stp>
        <stp>FY 2015</stp>
        <stp>[FA1_ymffleas.xlsx]Bal Sheet - As Reported!R30C9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0" s="17"/>
      </tp>
      <tp>
        <v>53000</v>
        <stp/>
        <stp>##V3_BDHV12</stp>
        <stp>RCOM IN Equity</stp>
        <stp>ARD_GOODWLL</stp>
        <stp>FY 2014</stp>
        <stp>FY 2014</stp>
        <stp>[FA1_ymffleas.xlsx]Bal Sheet - As Reported!R30C8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0" s="17"/>
      </tp>
      <tp>
        <v>21.619299999999999</v>
        <stp/>
        <stp>##V3_BDHV12</stp>
        <stp>RCOM IN Equity</stp>
        <stp>IS_DILUTED_EPS</stp>
        <stp>FY 2010</stp>
        <stp>FY 2010</stp>
        <stp>[FA1_ymffleas.xlsx]Per Share!R17C3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7" s="7"/>
      </tp>
      <tp t="s">
        <v>—</v>
        <stp/>
        <stp>##V3_BDHV12</stp>
        <stp>RCOM IN Equity</stp>
        <stp>ARDR_FOREIGN_EXCHANGE</stp>
        <stp>FY 2018</stp>
        <stp>FY 2018</stp>
        <stp>[FA1_ymffleas.xlsx]Income - As Reported!R70C12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0" s="11"/>
      </tp>
      <tp t="s">
        <v>—</v>
        <stp/>
        <stp>##V3_BDHV12</stp>
        <stp>RCOM IN Equity</stp>
        <stp>ARDR_FOREIGN_EXCHANGE</stp>
        <stp>FY 2016</stp>
        <stp>FY 2016</stp>
        <stp>[FA1_ymffleas.xlsx]Income - As Reported!R70C10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0" s="11"/>
      </tp>
      <tp t="s">
        <v>—</v>
        <stp/>
        <stp>##V3_BDHV12</stp>
        <stp>RCOM IN Equity</stp>
        <stp>ARDR_FOREIGN_EXCHANGE</stp>
        <stp>FY 2017</stp>
        <stp>FY 2017</stp>
        <stp>[FA1_ymffleas.xlsx]Income - As Reported!R70C11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0" s="11"/>
      </tp>
      <tp>
        <v>0</v>
        <stp/>
        <stp>##V3_BDHV12</stp>
        <stp>RCOM IN Equity</stp>
        <stp>IS_DISC_OPS_DILUTED_SH</stp>
        <stp>FY 2010</stp>
        <stp>FY 2010</stp>
        <stp>[FA1_ymffleas.xlsx]Reconciliation!R45C3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5" s="12"/>
      </tp>
      <tp>
        <v>0</v>
        <stp/>
        <stp>##V3_BDHV12</stp>
        <stp>RCOM IN Equity</stp>
        <stp>IS_DISC_OPS_DILUTED_SH</stp>
        <stp>FY 2013</stp>
        <stp>FY 2013</stp>
        <stp>[FA1_ymffleas.xlsx]Reconciliation!R45C6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5" s="12"/>
      </tp>
      <tp>
        <v>225500</v>
        <stp/>
        <stp>##V3_BDHV12</stp>
        <stp>RCOM IN Equity</stp>
        <stp>BS_LT_BORROW</stp>
        <stp>FY 2017</stp>
        <stp>FY 2017</stp>
        <stp>[FA1_ymffleas.xlsx]Bal Sheet - Standardized!R103C11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3" s="16"/>
      </tp>
      <tp>
        <v>291140</v>
        <stp/>
        <stp>##V3_BDHV12</stp>
        <stp>RCOM IN Equity</stp>
        <stp>BS_LT_BORROW</stp>
        <stp>FY 2016</stp>
        <stp>FY 2016</stp>
        <stp>[FA1_ymffleas.xlsx]Bal Sheet - Standardized!R103C10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3" s="16"/>
      </tp>
      <tp>
        <v>130700</v>
        <stp/>
        <stp>##V3_BDHV12</stp>
        <stp>RCOM IN Equity</stp>
        <stp>BS_LT_BORROW</stp>
        <stp>FY 2018</stp>
        <stp>FY 2018</stp>
        <stp>[FA1_ymffleas.xlsx]Bal Sheet - Standardized!R103C12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3" s="16"/>
      </tp>
      <tp>
        <v>0</v>
        <stp/>
        <stp>##V3_BDHV12</stp>
        <stp>RCOM IN Equity</stp>
        <stp>IS_DISC_OPS_DILUTED_SH</stp>
        <stp>FY 2014</stp>
        <stp>FY 2014</stp>
        <stp>[FA1_ymffleas.xlsx]Reconciliation!R45C7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5" s="12"/>
      </tp>
      <tp>
        <v>0</v>
        <stp/>
        <stp>##V3_BDHV12</stp>
        <stp>RCOM IN Equity</stp>
        <stp>IS_DISC_OPS_DILUTED_SH</stp>
        <stp>FY 2011</stp>
        <stp>FY 2011</stp>
        <stp>[FA1_ymffleas.xlsx]Reconciliation!R45C4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5" s="12"/>
      </tp>
      <tp>
        <v>0</v>
        <stp/>
        <stp>##V3_BDHV12</stp>
        <stp>RCOM IN Equity</stp>
        <stp>IS_DISC_OPS_DILUTED_SH</stp>
        <stp>FY 2012</stp>
        <stp>FY 2012</stp>
        <stp>[FA1_ymffleas.xlsx]Reconciliation!R45C5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5" s="12"/>
      </tp>
      <tp>
        <v>2064.0268999999998</v>
        <stp/>
        <stp>##V3_BDHV12</stp>
        <stp>RCOM IN Equity</stp>
        <stp>ARDR_SHARES_OUTSTANDING</stp>
        <stp>FY 2009</stp>
        <stp>FY 2009</stp>
        <stp>[FA1_ymffleas.xlsx]Bal Sheet - As Reported!R98C3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8" s="17"/>
      </tp>
      <tp>
        <v>2064.0268999999998</v>
        <stp/>
        <stp>##V3_BDHV12</stp>
        <stp>RCOM IN Equity</stp>
        <stp>ARDR_SHARES_OUTSTANDING</stp>
        <stp>FY 2012</stp>
        <stp>FY 2012</stp>
        <stp>[FA1_ymffleas.xlsx]Bal Sheet - As Reported!R98C6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8" s="17"/>
      </tp>
      <tp>
        <v>2064.0268999999998</v>
        <stp/>
        <stp>##V3_BDHV12</stp>
        <stp>RCOM IN Equity</stp>
        <stp>ARDR_SHARES_OUTSTANDING</stp>
        <stp>FY 2013</stp>
        <stp>FY 2013</stp>
        <stp>[FA1_ymffleas.xlsx]Bal Sheet - As Reported!R98C7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8" s="17"/>
      </tp>
      <tp>
        <v>2064.0268999999998</v>
        <stp/>
        <stp>##V3_BDHV12</stp>
        <stp>RCOM IN Equity</stp>
        <stp>ARDR_SHARES_OUTSTANDING</stp>
        <stp>FY 2010</stp>
        <stp>FY 2010</stp>
        <stp>[FA1_ymffleas.xlsx]Bal Sheet - As Reported!R98C4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8" s="17"/>
      </tp>
      <tp>
        <v>2064.0268999999998</v>
        <stp/>
        <stp>##V3_BDHV12</stp>
        <stp>RCOM IN Equity</stp>
        <stp>ARDR_SHARES_OUTSTANDING</stp>
        <stp>FY 2011</stp>
        <stp>FY 2011</stp>
        <stp>[FA1_ymffleas.xlsx]Bal Sheet - As Reported!R98C5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8" s="17"/>
      </tp>
      <tp>
        <v>2900</v>
        <stp/>
        <stp>##V3_BDHV12</stp>
        <stp>RCOM IN Equity</stp>
        <stp>BS_TOTAL_CAPITAL_LEASES</stp>
        <stp>FY 2014</stp>
        <stp>FY 2014</stp>
        <stp>[FA1_ymffleas.xlsx]Bal Sheet - Standardized!R162C8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2" s="16"/>
      </tp>
      <tp>
        <v>1360</v>
        <stp/>
        <stp>##V3_BDHV12</stp>
        <stp>RCOM IN Equity</stp>
        <stp>BS_TOTAL_CAPITAL_LEASES</stp>
        <stp>FY 2015</stp>
        <stp>FY 2015</stp>
        <stp>[FA1_ymffleas.xlsx]Bal Sheet - Standardized!R162C9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2" s="16"/>
      </tp>
      <tp>
        <v>0</v>
        <stp/>
        <stp>##V3_BDHV12</stp>
        <stp>RCOM IN Equity</stp>
        <stp>BS_TOTAL_CAPITAL_LEASES</stp>
        <stp>FY 2010</stp>
        <stp>FY 2010</stp>
        <stp>[FA1_ymffleas.xlsx]Bal Sheet - Standardized!R162C4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2" s="16"/>
      </tp>
      <tp>
        <v>0</v>
        <stp/>
        <stp>##V3_BDHV12</stp>
        <stp>RCOM IN Equity</stp>
        <stp>BS_TOTAL_CAPITAL_LEASES</stp>
        <stp>FY 2011</stp>
        <stp>FY 2011</stp>
        <stp>[FA1_ymffleas.xlsx]Bal Sheet - Standardized!R162C5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2" s="16"/>
      </tp>
      <tp>
        <v>0</v>
        <stp/>
        <stp>##V3_BDHV12</stp>
        <stp>RCOM IN Equity</stp>
        <stp>BS_TOTAL_CAPITAL_LEASES</stp>
        <stp>FY 2012</stp>
        <stp>FY 2012</stp>
        <stp>[FA1_ymffleas.xlsx]Bal Sheet - Standardized!R162C6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2" s="16"/>
      </tp>
      <tp>
        <v>0</v>
        <stp/>
        <stp>##V3_BDHV12</stp>
        <stp>RCOM IN Equity</stp>
        <stp>BS_TOTAL_CAPITAL_LEASES</stp>
        <stp>FY 2013</stp>
        <stp>FY 2013</stp>
        <stp>[FA1_ymffleas.xlsx]Bal Sheet - Standardized!R162C7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2" s="16"/>
      </tp>
      <tp>
        <v>0</v>
        <stp/>
        <stp>##V3_BDHV12</stp>
        <stp>RCOM IN Equity</stp>
        <stp>BS_TOTAL_CAPITAL_LEASES</stp>
        <stp>FY 2009</stp>
        <stp>FY 2009</stp>
        <stp>[FA1_ymffleas.xlsx]Bal Sheet - Standardized!R162C3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2" s="16"/>
      </tp>
      <tp>
        <v>2064.0268999999998</v>
        <stp/>
        <stp>##V3_BDHV12</stp>
        <stp>RCOM IN Equity</stp>
        <stp>ARDR_SHARES_OUTSTANDING</stp>
        <stp>FY 2014</stp>
        <stp>FY 2014</stp>
        <stp>[FA1_ymffleas.xlsx]Bal Sheet - As Reported!R98C8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8" s="17"/>
      </tp>
      <tp>
        <v>2488.9796999999999</v>
        <stp/>
        <stp>##V3_BDHV12</stp>
        <stp>RCOM IN Equity</stp>
        <stp>ARDR_SHARES_OUTSTANDING</stp>
        <stp>FY 2015</stp>
        <stp>FY 2015</stp>
        <stp>[FA1_ymffleas.xlsx]Bal Sheet - As Reported!R98C9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8" s="17"/>
      </tp>
      <tp>
        <v>8.8207000000000004</v>
        <stp/>
        <stp>##V3_BDHV12</stp>
        <stp>RCOM IN Equity</stp>
        <stp>EV_TO_T12M_EBITDA</stp>
        <stp>FY 2013</stp>
        <stp>FY 2013</stp>
        <stp>[FA1_ymffleas.xlsx]Multiples!R41C6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41" s="6"/>
      </tp>
      <tp>
        <v>990.5</v>
        <stp/>
        <stp>##V3_BDHV12</stp>
        <stp>RCOM IN Equity</stp>
        <stp>ARD_DEFERRED_TAX_LIAB_LT</stp>
        <stp>FY 2010</stp>
        <stp>FY 2010</stp>
        <stp>[FA1_ymffleas.xlsx]Bal Sheet - As Reported!R21C4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1" s="17"/>
      </tp>
      <tp>
        <v>3670</v>
        <stp/>
        <stp>##V3_BDHV12</stp>
        <stp>RCOM IN Equity</stp>
        <stp>ARD_DEFERRED_TAX_LIAB_LT</stp>
        <stp>FY 2011</stp>
        <stp>FY 2011</stp>
        <stp>[FA1_ymffleas.xlsx]Bal Sheet - As Reported!R21C5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1" s="17"/>
      </tp>
      <tp>
        <v>10180</v>
        <stp/>
        <stp>##V3_BDHV12</stp>
        <stp>RCOM IN Equity</stp>
        <stp>ARD_DEFERRED_TAX_LIAB_LT</stp>
        <stp>FY 2012</stp>
        <stp>FY 2012</stp>
        <stp>[FA1_ymffleas.xlsx]Bal Sheet - As Reported!R21C6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1" s="17"/>
      </tp>
      <tp t="s">
        <v>—</v>
        <stp/>
        <stp>##V3_BDHV12</stp>
        <stp>RCOM IN Equity</stp>
        <stp>ARD_DEFERRED_TAX_LIAB_LT</stp>
        <stp>FY 2013</stp>
        <stp>FY 2013</stp>
        <stp>[FA1_ymffleas.xlsx]Bal Sheet - As Reported!R21C7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1" s="17"/>
      </tp>
      <tp>
        <v>281</v>
        <stp/>
        <stp>##V3_BDHV12</stp>
        <stp>RCOM IN Equity</stp>
        <stp>ARD_DEFERRED_TAX_LIAB_LT</stp>
        <stp>FY 2009</stp>
        <stp>FY 2009</stp>
        <stp>[FA1_ymffleas.xlsx]Bal Sheet - As Reported!R21C3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1" s="17"/>
      </tp>
      <tp>
        <v>18030</v>
        <stp/>
        <stp>##V3_BDHV12</stp>
        <stp>RCOM IN Equity</stp>
        <stp>ARD_DEFERRED_TAX_LIAB_LT</stp>
        <stp>FY 2014</stp>
        <stp>FY 2014</stp>
        <stp>[FA1_ymffleas.xlsx]Bal Sheet - As Reported!R21C8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1" s="17"/>
      </tp>
      <tp>
        <v>5290</v>
        <stp/>
        <stp>##V3_BDHV12</stp>
        <stp>RCOM IN Equity</stp>
        <stp>ARD_DEFERRED_TAX_LIAB_LT</stp>
        <stp>FY 2015</stp>
        <stp>FY 2015</stp>
        <stp>[FA1_ymffleas.xlsx]Bal Sheet - As Reported!R21C9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1" s="17"/>
      </tp>
      <tp t="s">
        <v>—</v>
        <stp/>
        <stp>##V3_BDHV12</stp>
        <stp>RCOM IN Equity</stp>
        <stp>ARDR_%_OF_FOREIGN_SHAREHOLDERS</stp>
        <stp>FY 2016</stp>
        <stp>FY 2016</stp>
        <stp>[FA1_ymffleas.xlsx]Bal Sheet - As Reported!R133C10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33" s="17"/>
      </tp>
      <tp t="s">
        <v>—</v>
        <stp/>
        <stp>##V3_BDHV12</stp>
        <stp>RCOM IN Equity</stp>
        <stp>ARDR_%_OF_FOREIGN_SHAREHOLDERS</stp>
        <stp>FY 2017</stp>
        <stp>FY 2017</stp>
        <stp>[FA1_ymffleas.xlsx]Bal Sheet - As Reported!R133C11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33" s="17"/>
      </tp>
      <tp t="s">
        <v>—</v>
        <stp/>
        <stp>##V3_BDHV12</stp>
        <stp>RCOM IN Equity</stp>
        <stp>ARDR_%_OF_FOREIGN_SHAREHOLDERS</stp>
        <stp>FY 2018</stp>
        <stp>FY 2018</stp>
        <stp>[FA1_ymffleas.xlsx]Bal Sheet - As Reported!R133C12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33" s="17"/>
      </tp>
      <tp>
        <v>10320</v>
        <stp/>
        <stp>##V3_BDHV12</stp>
        <stp>RCOM IN Equity</stp>
        <stp>BS_COMMON_STOCK</stp>
        <stp>FY 2013</stp>
        <stp>FY 2013</stp>
        <stp>[FA1_ymffleas.xlsx]Bal Sheet - Standardized!R137C7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7" s="16"/>
      </tp>
      <tp>
        <v>10320</v>
        <stp/>
        <stp>##V3_BDHV12</stp>
        <stp>RCOM IN Equity</stp>
        <stp>BS_COMMON_STOCK</stp>
        <stp>FY 2012</stp>
        <stp>FY 2012</stp>
        <stp>[FA1_ymffleas.xlsx]Bal Sheet - Standardized!R137C6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7" s="16"/>
      </tp>
      <tp>
        <v>10320</v>
        <stp/>
        <stp>##V3_BDHV12</stp>
        <stp>RCOM IN Equity</stp>
        <stp>BS_COMMON_STOCK</stp>
        <stp>FY 2011</stp>
        <stp>FY 2011</stp>
        <stp>[FA1_ymffleas.xlsx]Bal Sheet - Standardized!R137C5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7" s="16"/>
      </tp>
      <tp>
        <v>10320.1</v>
        <stp/>
        <stp>##V3_BDHV12</stp>
        <stp>RCOM IN Equity</stp>
        <stp>BS_COMMON_STOCK</stp>
        <stp>FY 2010</stp>
        <stp>FY 2010</stp>
        <stp>[FA1_ymffleas.xlsx]Bal Sheet - Standardized!R137C4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7" s="16"/>
      </tp>
      <tp>
        <v>10320.1</v>
        <stp/>
        <stp>##V3_BDHV12</stp>
        <stp>RCOM IN Equity</stp>
        <stp>BS_COMMON_STOCK</stp>
        <stp>FY 2009</stp>
        <stp>FY 2009</stp>
        <stp>[FA1_ymffleas.xlsx]Bal Sheet - Standardized!R137C3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7" s="16"/>
      </tp>
      <tp>
        <v>12440</v>
        <stp/>
        <stp>##V3_BDHV12</stp>
        <stp>RCOM IN Equity</stp>
        <stp>BS_COMMON_STOCK</stp>
        <stp>FY 2015</stp>
        <stp>FY 2015</stp>
        <stp>[FA1_ymffleas.xlsx]Bal Sheet - Standardized!R137C9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7" s="16"/>
      </tp>
      <tp>
        <v>10320</v>
        <stp/>
        <stp>##V3_BDHV12</stp>
        <stp>RCOM IN Equity</stp>
        <stp>BS_COMMON_STOCK</stp>
        <stp>FY 2014</stp>
        <stp>FY 2014</stp>
        <stp>[FA1_ymffleas.xlsx]Bal Sheet - Standardized!R137C8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7" s="16"/>
      </tp>
      <tp>
        <v>32.024799999999999</v>
        <stp/>
        <stp>##V3_BDHV12</stp>
        <stp>RCOM IN Equity</stp>
        <stp>EBITDA_MARGIN</stp>
        <stp>FY 2014</stp>
        <stp>FY 2014</stp>
        <stp>[FA1_ymffleas.xlsx]Cash Flow - Standardized!R59C7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59" s="19"/>
      </tp>
      <tp>
        <v>15.7097</v>
        <stp/>
        <stp>##V3_BDHV12</stp>
        <stp>RCOM IN Equity</stp>
        <stp>OPER_INC_PER_SH</stp>
        <stp>FY 2010</stp>
        <stp>FY 2010</stp>
        <stp>[FA1_ymffleas.xlsx]Per Share!R13C3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3" s="7"/>
      </tp>
      <tp>
        <v>-29.9207</v>
        <stp/>
        <stp>##V3_BDHV12</stp>
        <stp>RCOM IN Equity</stp>
        <stp>SALES_GROWTH</stp>
        <stp>FY 2018</stp>
        <stp>FY 2018</stp>
        <stp>[FA1_ymffleas.xlsx]Adj Highlights!R13C11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K13" s="2"/>
      </tp>
      <tp t="s">
        <v>—</v>
        <stp/>
        <stp>##V3_BDHV12</stp>
        <stp>RCOM IN Equity</stp>
        <stp>ARD_TOTAL_FINANCIAL_LOSSES</stp>
        <stp>FY 2009</stp>
        <stp>FY 2009</stp>
        <stp>[FA1_ymffleas.xlsx]Income - As Reported!R33C3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3" s="11"/>
      </tp>
      <tp>
        <v>24990</v>
        <stp/>
        <stp>##V3_BDHV12</stp>
        <stp>RCOM IN Equity</stp>
        <stp>ARD_TOTAL_FINANCIAL_LOSSES</stp>
        <stp>FY 2013</stp>
        <stp>FY 2013</stp>
        <stp>[FA1_ymffleas.xlsx]Income - As Reported!R33C7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3" s="11"/>
      </tp>
      <tp>
        <v>16300</v>
        <stp/>
        <stp>##V3_BDHV12</stp>
        <stp>RCOM IN Equity</stp>
        <stp>ARD_TOTAL_FINANCIAL_LOSSES</stp>
        <stp>FY 2012</stp>
        <stp>FY 2012</stp>
        <stp>[FA1_ymffleas.xlsx]Income - As Reported!R33C6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3" s="11"/>
      </tp>
      <tp>
        <v>11330</v>
        <stp/>
        <stp>##V3_BDHV12</stp>
        <stp>RCOM IN Equity</stp>
        <stp>ARD_TOTAL_FINANCIAL_LOSSES</stp>
        <stp>FY 2011</stp>
        <stp>FY 2011</stp>
        <stp>[FA1_ymffleas.xlsx]Income - As Reported!R33C5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3" s="11"/>
      </tp>
      <tp t="s">
        <v>—</v>
        <stp/>
        <stp>##V3_BDHV12</stp>
        <stp>RCOM IN Equity</stp>
        <stp>ARD_TOTAL_FINANCIAL_LOSSES</stp>
        <stp>FY 2010</stp>
        <stp>FY 2010</stp>
        <stp>[FA1_ymffleas.xlsx]Income - As Reported!R33C4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3" s="11"/>
      </tp>
      <tp>
        <v>27550</v>
        <stp/>
        <stp>##V3_BDHV12</stp>
        <stp>RCOM IN Equity</stp>
        <stp>ARD_TOTAL_FINANCIAL_LOSSES</stp>
        <stp>FY 2015</stp>
        <stp>FY 2015</stp>
        <stp>[FA1_ymffleas.xlsx]Income - As Reported!R33C9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3" s="11"/>
      </tp>
      <tp>
        <v>30190</v>
        <stp/>
        <stp>##V3_BDHV12</stp>
        <stp>RCOM IN Equity</stp>
        <stp>ARD_TOTAL_FINANCIAL_LOSSES</stp>
        <stp>FY 2014</stp>
        <stp>FY 2014</stp>
        <stp>[FA1_ymffleas.xlsx]Income - As Reported!R33C8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3" s="11"/>
      </tp>
      <tp>
        <v>-7440</v>
        <stp/>
        <stp>##V3_BDHV12</stp>
        <stp>RCOM IN Equity</stp>
        <stp>TRAIL_12M_FREE_CASH_FLOW</stp>
        <stp>FY 2013</stp>
        <stp>FY 2013</stp>
        <stp>[FA1_ymffleas.xlsx]Yield Analysis!R9C7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" s="26"/>
      </tp>
      <tp>
        <v>-7770</v>
        <stp/>
        <stp>##V3_BDHV12</stp>
        <stp>RCOM IN Equity</stp>
        <stp>TRAIL_12M_FREE_CASH_FLOW</stp>
        <stp>FY 2012</stp>
        <stp>FY 2012</stp>
        <stp>[FA1_ymffleas.xlsx]Yield Analysis!R9C6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" s="26"/>
      </tp>
      <tp>
        <v>-92550</v>
        <stp/>
        <stp>##V3_BDHV12</stp>
        <stp>RCOM IN Equity</stp>
        <stp>TRAIL_12M_FREE_CASH_FLOW</stp>
        <stp>FY 2011</stp>
        <stp>FY 2011</stp>
        <stp>[FA1_ymffleas.xlsx]Yield Analysis!R9C5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" s="26"/>
      </tp>
      <tp>
        <v>6796.1</v>
        <stp/>
        <stp>##V3_BDHV12</stp>
        <stp>RCOM IN Equity</stp>
        <stp>TRAIL_12M_FREE_CASH_FLOW</stp>
        <stp>FY 2010</stp>
        <stp>FY 2010</stp>
        <stp>[FA1_ymffleas.xlsx]Yield Analysis!R9C4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" s="26"/>
      </tp>
      <tp>
        <v>-71282.899999999994</v>
        <stp/>
        <stp>##V3_BDHV12</stp>
        <stp>RCOM IN Equity</stp>
        <stp>TRAIL_12M_FREE_CASH_FLOW</stp>
        <stp>FY 2009</stp>
        <stp>FY 2009</stp>
        <stp>[FA1_ymffleas.xlsx]Yield Analysis!R9C3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" s="26"/>
      </tp>
      <tp>
        <v>-20100</v>
        <stp/>
        <stp>##V3_BDHV12</stp>
        <stp>RCOM IN Equity</stp>
        <stp>TRAIL_12M_FREE_CASH_FLOW</stp>
        <stp>FY 2015</stp>
        <stp>FY 2015</stp>
        <stp>[FA1_ymffleas.xlsx]Yield Analysis!R9C9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" s="26"/>
      </tp>
      <tp>
        <v>17050</v>
        <stp/>
        <stp>##V3_BDHV12</stp>
        <stp>RCOM IN Equity</stp>
        <stp>TRAIL_12M_FREE_CASH_FLOW</stp>
        <stp>FY 2014</stp>
        <stp>FY 2014</stp>
        <stp>[FA1_ymffleas.xlsx]Yield Analysis!R9C8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" s="26"/>
      </tp>
      <tp>
        <v>30.3399</v>
        <stp/>
        <stp>##V3_BDHV12</stp>
        <stp>RCOM IN Equity</stp>
        <stp>EV_TO_T12M_EBIT</stp>
        <stp>FY 2011</stp>
        <stp>FY 2011</stp>
        <stp>[FA1_ymffleas.xlsx]Multiples!R46C4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46" s="6"/>
      </tp>
      <tp>
        <v>-5.6855000000000002</v>
        <stp/>
        <stp>##V3_BDHV12</stp>
        <stp>RCOM IN Equity</stp>
        <stp>IS_DILUTED_EPS</stp>
        <stp>FY 2017</stp>
        <stp>FY 2017</stp>
        <stp>[FA1_ymffleas.xlsx]Income - GAAP!R93C10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93" s="10"/>
      </tp>
      <tp>
        <v>0.32440000000000002</v>
        <stp/>
        <stp>##V3_BDHV12</stp>
        <stp>RCOM IN Equity</stp>
        <stp>LOW_CLOSING_PRICE_TO_BOOK_RATIO</stp>
        <stp>FY 2016</stp>
        <stp>FY 2016</stp>
        <stp>[FA1_ymffleas.xlsx]Multiples!R14C9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4" s="6"/>
      </tp>
      <tp>
        <v>0.36720000000000003</v>
        <stp/>
        <stp>##V3_BDHV12</stp>
        <stp>RCOM IN Equity</stp>
        <stp>LOW_CLOSING_PRICE_TO_BOOK_RATIO</stp>
        <stp>FY 2015</stp>
        <stp>FY 2015</stp>
        <stp>[FA1_ymffleas.xlsx]Multiples!R14C8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4" s="6"/>
      </tp>
      <tp>
        <v>6230</v>
        <stp/>
        <stp>##V3_BDHV12</stp>
        <stp>RCOM IN Equity</stp>
        <stp>NI_INCLUDING_MINORITY_INT_RATIO</stp>
        <stp>FY 2015</stp>
        <stp>FY 2015</stp>
        <stp>[FA1_ymffleas.xlsx]Income - GAAP!R73C8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73" s="10"/>
      </tp>
      <tp>
        <v>6600</v>
        <stp/>
        <stp>##V3_BDHV12</stp>
        <stp>RCOM IN Equity</stp>
        <stp>NI_INCLUDING_MINORITY_INT_RATIO</stp>
        <stp>FY 2016</stp>
        <stp>FY 2016</stp>
        <stp>[FA1_ymffleas.xlsx]Income - GAAP!R73C9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73" s="10"/>
      </tp>
      <tp>
        <v>-15.611800000000001</v>
        <stp/>
        <stp>##V3_BDHV12</stp>
        <stp>RCOM IN Equity</stp>
        <stp>CHG_PCT_PERIOD</stp>
        <stp>FY 2016</stp>
        <stp>FY 2016</stp>
        <stp>[FA1_ymffleas.xlsx]Stock Value!R7C9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" s="8"/>
      </tp>
      <tp>
        <v>-54.034100000000002</v>
        <stp/>
        <stp>##V3_BDHV12</stp>
        <stp>RCOM IN Equity</stp>
        <stp>CHG_PCT_PERIOD</stp>
        <stp>FY 2015</stp>
        <stp>FY 2015</stp>
        <stp>[FA1_ymffleas.xlsx]Stock Value!R7C8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" s="8"/>
      </tp>
      <tp>
        <v>133.09219999999999</v>
        <stp/>
        <stp>##V3_BDHV12</stp>
        <stp>RCOM IN Equity</stp>
        <stp>CHG_PCT_PERIOD</stp>
        <stp>FY 2014</stp>
        <stp>FY 2014</stp>
        <stp>[FA1_ymffleas.xlsx]Stock Value!R7C7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" s="8"/>
      </tp>
      <tp>
        <v>14950</v>
        <stp/>
        <stp>##V3_BDHV12</stp>
        <stp>RCOM IN Equity</stp>
        <stp>NI_INCLUDING_MINORITY_INT_RATIO</stp>
        <stp>FY 2011</stp>
        <stp>FY 2011</stp>
        <stp>[FA1_ymffleas.xlsx]Income - GAAP!R73C4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73" s="10"/>
      </tp>
      <tp>
        <v>-34.205800000000004</v>
        <stp/>
        <stp>##V3_BDHV12</stp>
        <stp>RCOM IN Equity</stp>
        <stp>CHG_PCT_PERIOD</stp>
        <stp>FY 2013</stp>
        <stp>FY 2013</stp>
        <stp>[FA1_ymffleas.xlsx]Stock Value!R7C6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" s="8"/>
      </tp>
      <tp>
        <v>9890</v>
        <stp/>
        <stp>##V3_BDHV12</stp>
        <stp>RCOM IN Equity</stp>
        <stp>NI_INCLUDING_MINORITY_INT_RATIO</stp>
        <stp>FY 2012</stp>
        <stp>FY 2012</stp>
        <stp>[FA1_ymffleas.xlsx]Income - GAAP!R73C5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73" s="10"/>
      </tp>
      <tp t="s">
        <v>—</v>
        <stp/>
        <stp>##V3_BDHV12</stp>
        <stp>RCOM IN Equity</stp>
        <stp>CASH_DVD_COVERAGE</stp>
        <stp>FY 2016</stp>
        <stp>FY 2016</stp>
        <stp>[FA1_ymffleas.xlsx]Dividend Summary!R10C10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0" s="31"/>
      </tp>
      <tp>
        <v>-21.922899999999998</v>
        <stp/>
        <stp>##V3_BDHV12</stp>
        <stp>RCOM IN Equity</stp>
        <stp>CHG_PCT_PERIOD</stp>
        <stp>FY 2012</stp>
        <stp>FY 2012</stp>
        <stp>[FA1_ymffleas.xlsx]Stock Value!R7C5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" s="8"/>
      </tp>
      <tp>
        <v>7450</v>
        <stp/>
        <stp>##V3_BDHV12</stp>
        <stp>RCOM IN Equity</stp>
        <stp>NI_INCLUDING_MINORITY_INT_RATIO</stp>
        <stp>FY 2013</stp>
        <stp>FY 2013</stp>
        <stp>[FA1_ymffleas.xlsx]Income - GAAP!R73C6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73" s="10"/>
      </tp>
      <tp>
        <v>0.75519999999999998</v>
        <stp/>
        <stp>##V3_BDHV12</stp>
        <stp>RCOM IN Equity</stp>
        <stp>LOW_CLOSING_PRICE_TO_BOOK_RATIO</stp>
        <stp>FY 2010</stp>
        <stp>FY 2010</stp>
        <stp>[FA1_ymffleas.xlsx]Multiples!R14C3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4" s="6"/>
      </tp>
      <tp>
        <v>-36.657800000000002</v>
        <stp/>
        <stp>##V3_BDHV12</stp>
        <stp>RCOM IN Equity</stp>
        <stp>CHG_PCT_PERIOD</stp>
        <stp>FY 2011</stp>
        <stp>FY 2011</stp>
        <stp>[FA1_ymffleas.xlsx]Stock Value!R7C4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" s="8"/>
      </tp>
      <tp>
        <v>11390</v>
        <stp/>
        <stp>##V3_BDHV12</stp>
        <stp>RCOM IN Equity</stp>
        <stp>NI_INCLUDING_MINORITY_INT_RATIO</stp>
        <stp>FY 2014</stp>
        <stp>FY 2014</stp>
        <stp>[FA1_ymffleas.xlsx]Income - GAAP!R73C7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73" s="10"/>
      </tp>
      <tp>
        <v>-2.8024</v>
        <stp/>
        <stp>##V3_BDHV12</stp>
        <stp>RCOM IN Equity</stp>
        <stp>CHG_PCT_PERIOD</stp>
        <stp>FY 2010</stp>
        <stp>FY 2010</stp>
        <stp>[FA1_ymffleas.xlsx]Stock Value!R7C3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" s="8"/>
      </tp>
      <tp>
        <v>0.3165</v>
        <stp/>
        <stp>##V3_BDHV12</stp>
        <stp>RCOM IN Equity</stp>
        <stp>LOW_CLOSING_PRICE_TO_BOOK_RATIO</stp>
        <stp>FY 2012</stp>
        <stp>FY 2012</stp>
        <stp>[FA1_ymffleas.xlsx]Multiples!R14C5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4" s="6"/>
      </tp>
      <tp>
        <v>0.40820000000000001</v>
        <stp/>
        <stp>##V3_BDHV12</stp>
        <stp>RCOM IN Equity</stp>
        <stp>LOW_CLOSING_PRICE_TO_BOOK_RATIO</stp>
        <stp>FY 2011</stp>
        <stp>FY 2011</stp>
        <stp>[FA1_ymffleas.xlsx]Multiples!R14C4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4" s="6"/>
      </tp>
      <tp>
        <v>0.34789999999999999</v>
        <stp/>
        <stp>##V3_BDHV12</stp>
        <stp>RCOM IN Equity</stp>
        <stp>LOW_CLOSING_PRICE_TO_BOOK_RATIO</stp>
        <stp>FY 2014</stp>
        <stp>FY 2014</stp>
        <stp>[FA1_ymffleas.xlsx]Multiples!R14C7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4" s="6"/>
      </tp>
      <tp>
        <v>47742.5</v>
        <stp/>
        <stp>##V3_BDHV12</stp>
        <stp>RCOM IN Equity</stp>
        <stp>NI_INCLUDING_MINORITY_INT_RATIO</stp>
        <stp>FY 2010</stp>
        <stp>FY 2010</stp>
        <stp>[FA1_ymffleas.xlsx]Income - GAAP!R73C3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73" s="10"/>
      </tp>
      <tp>
        <v>0.27239999999999998</v>
        <stp/>
        <stp>##V3_BDHV12</stp>
        <stp>RCOM IN Equity</stp>
        <stp>LOW_CLOSING_PRICE_TO_BOOK_RATIO</stp>
        <stp>FY 2013</stp>
        <stp>FY 2013</stp>
        <stp>[FA1_ymffleas.xlsx]Multiples!R14C6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4" s="6"/>
      </tp>
      <tp>
        <v>-5.6855000000000002</v>
        <stp/>
        <stp>##V3_BDHV12</stp>
        <stp>RCOM IN Equity</stp>
        <stp>IS_EPS</stp>
        <stp>FY 2017</stp>
        <stp>FY 2017</stp>
        <stp>[FA1_ymffleas.xlsx]Income - Adjusted!R110C10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10" s="9"/>
      </tp>
      <tp>
        <v>3.1419999999999999</v>
        <stp/>
        <stp>##V3_BDHV12</stp>
        <stp>RCOM IN Equity</stp>
        <stp>SUSTAIN_GROWTH_RT</stp>
        <stp>FY 2014</stp>
        <stp>FY 2014</stp>
        <stp>[FA1_ymffleas.xlsx]Profitability!R24C8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4" s="21"/>
      </tp>
      <tp>
        <v>276760</v>
        <stp/>
        <stp>##V3_BDHV12</stp>
        <stp>RCOM IN Equity</stp>
        <stp>ARD_TOTAL_CURRENT_LIABILITIES</stp>
        <stp>FY 2016</stp>
        <stp>FY 2016</stp>
        <stp>[FA1_ymffleas.xlsx]As Reported Summary!R19C10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" s="30"/>
      </tp>
      <tp>
        <v>360340</v>
        <stp/>
        <stp>##V3_BDHV12</stp>
        <stp>RCOM IN Equity</stp>
        <stp>ARD_TOTAL_CURRENT_LIABILITIES</stp>
        <stp>FY 2017</stp>
        <stp>FY 2017</stp>
        <stp>[FA1_ymffleas.xlsx]As Reported Summary!R19C11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" s="30"/>
      </tp>
      <tp>
        <v>524780</v>
        <stp/>
        <stp>##V3_BDHV12</stp>
        <stp>RCOM IN Equity</stp>
        <stp>ARD_TOTAL_CURRENT_LIABILITIES</stp>
        <stp>FY 2018</stp>
        <stp>FY 2018</stp>
        <stp>[FA1_ymffleas.xlsx]As Reported Summary!R19C12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" s="30"/>
      </tp>
      <tp>
        <v>9.5671999999999997</v>
        <stp/>
        <stp>##V3_BDHV12</stp>
        <stp>RCOM IN Equity</stp>
        <stp>EV_TO_T12M_EBITDA</stp>
        <stp>FY 2012</stp>
        <stp>FY 2012</stp>
        <stp>[FA1_ymffleas.xlsx]Multiples!R41C5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41" s="6"/>
      </tp>
      <tp>
        <v>32737</v>
        <stp/>
        <stp>##V3_BDHV12</stp>
        <stp>RCOM IN Equity</stp>
        <stp>IS_DEPR_EXP</stp>
        <stp>FY 2009</stp>
        <stp>FY 2009</stp>
        <stp>[FA1_ymffleas.xlsx]CAPEX &amp; Depreciation!R6C3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" s="28"/>
      </tp>
      <tp>
        <v>19080</v>
        <stp/>
        <stp>##V3_BDHV12</stp>
        <stp>RCOM IN Equity</stp>
        <stp>IS_DEPR_EXP</stp>
        <stp>FY 2013</stp>
        <stp>FY 2013</stp>
        <stp>[FA1_ymffleas.xlsx]CAPEX &amp; Depreciation!R6C7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" s="28"/>
      </tp>
      <tp>
        <v>16370</v>
        <stp/>
        <stp>##V3_BDHV12</stp>
        <stp>RCOM IN Equity</stp>
        <stp>IS_DEPR_EXP</stp>
        <stp>FY 2012</stp>
        <stp>FY 2012</stp>
        <stp>[FA1_ymffleas.xlsx]CAPEX &amp; Depreciation!R6C6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" s="28"/>
      </tp>
      <tp>
        <v>37440</v>
        <stp/>
        <stp>##V3_BDHV12</stp>
        <stp>RCOM IN Equity</stp>
        <stp>IS_DEPR_EXP</stp>
        <stp>FY 2011</stp>
        <stp>FY 2011</stp>
        <stp>[FA1_ymffleas.xlsx]CAPEX &amp; Depreciation!R6C5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" s="28"/>
      </tp>
      <tp>
        <v>28646</v>
        <stp/>
        <stp>##V3_BDHV12</stp>
        <stp>RCOM IN Equity</stp>
        <stp>IS_DEPR_EXP</stp>
        <stp>FY 2010</stp>
        <stp>FY 2010</stp>
        <stp>[FA1_ymffleas.xlsx]CAPEX &amp; Depreciation!R6C4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" s="28"/>
      </tp>
      <tp t="s">
        <v>—</v>
        <stp/>
        <stp>##V3_BDHV12</stp>
        <stp>RCOM IN Equity</stp>
        <stp>IS_DEPR_EXP</stp>
        <stp>FY 2015</stp>
        <stp>FY 2015</stp>
        <stp>[FA1_ymffleas.xlsx]CAPEX &amp; Depreciation!R6C9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" s="28"/>
      </tp>
      <tp t="s">
        <v>—</v>
        <stp/>
        <stp>##V3_BDHV12</stp>
        <stp>RCOM IN Equity</stp>
        <stp>IS_DEPR_EXP</stp>
        <stp>FY 2014</stp>
        <stp>FY 2014</stp>
        <stp>[FA1_ymffleas.xlsx]CAPEX &amp; Depreciation!R6C8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" s="28"/>
      </tp>
      <tp>
        <v>37.9193</v>
        <stp/>
        <stp>##V3_BDHV12</stp>
        <stp>RCOM IN Equity</stp>
        <stp>EBITDA_MARGIN</stp>
        <stp>FY 2011</stp>
        <stp>FY 2011</stp>
        <stp>[FA1_ymffleas.xlsx]Cash Flow - Standardized!R59C4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59" s="19"/>
      </tp>
      <tp t="s">
        <v>—</v>
        <stp/>
        <stp>##V3_BDHV12</stp>
        <stp>RCOM IN Equity</stp>
        <stp>CASH_DVD_COVERAGE</stp>
        <stp>FY 2014</stp>
        <stp>FY 2014</stp>
        <stp>[FA1_ymffleas.xlsx]Dividend Summary!R10C8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0" s="31"/>
      </tp>
      <tp>
        <v>15.2887</v>
        <stp/>
        <stp>##V3_BDHV12</stp>
        <stp>RCOM IN Equity</stp>
        <stp>CAPEX_SEQUENTIAL_GROWTH</stp>
        <stp>FY 2015</stp>
        <stp>FY 2015</stp>
        <stp>[FA1_ymffleas.xlsx]Growth!R83C9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3" s="22"/>
      </tp>
      <tp>
        <v>2.4125000000000001</v>
        <stp/>
        <stp>##V3_BDHV12</stp>
        <stp>RCOM IN Equity</stp>
        <stp>CAPEX_SEQUENTIAL_GROWTH</stp>
        <stp>FY 2014</stp>
        <stp>FY 2014</stp>
        <stp>[FA1_ymffleas.xlsx]Growth!R83C8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3" s="22"/>
      </tp>
      <tp>
        <v>2.964</v>
        <stp/>
        <stp>##V3_BDHV12</stp>
        <stp>RCOM IN Equity</stp>
        <stp>DILUTED_EPS_EX_STK_BASED_COMP</stp>
        <stp>FY 2015</stp>
        <stp>FY 2015</stp>
        <stp>[FA1_ymffleas.xlsx]SBC &amp; Amort!R8C9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" s="13"/>
      </tp>
      <tp>
        <v>5.1045999999999996</v>
        <stp/>
        <stp>##V3_BDHV12</stp>
        <stp>RCOM IN Equity</stp>
        <stp>DILUTED_EPS_EX_STK_BASED_COMP</stp>
        <stp>FY 2014</stp>
        <stp>FY 2014</stp>
        <stp>[FA1_ymffleas.xlsx]SBC &amp; Amort!R8C8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" s="13"/>
      </tp>
      <tp>
        <v>3.2397999999999998</v>
        <stp/>
        <stp>##V3_BDHV12</stp>
        <stp>RCOM IN Equity</stp>
        <stp>DILUTED_EPS_EX_STK_BASED_COMP</stp>
        <stp>FY 2013</stp>
        <stp>FY 2013</stp>
        <stp>[FA1_ymffleas.xlsx]SBC &amp; Amort!R8C7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" s="13"/>
      </tp>
      <tp>
        <v>37.766300000000001</v>
        <stp/>
        <stp>##V3_BDHV12</stp>
        <stp>RCOM IN Equity</stp>
        <stp>CAPEX_SEQUENTIAL_GROWTH</stp>
        <stp>FY 2011</stp>
        <stp>FY 2011</stp>
        <stp>[FA1_ymffleas.xlsx]Growth!R83C5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3" s="22"/>
      </tp>
      <tp>
        <v>5.4855</v>
        <stp/>
        <stp>##V3_BDHV12</stp>
        <stp>RCOM IN Equity</stp>
        <stp>DILUTED_EPS_EX_STK_BASED_COMP</stp>
        <stp>FY 2012</stp>
        <stp>FY 2012</stp>
        <stp>[FA1_ymffleas.xlsx]SBC &amp; Amort!R8C6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" s="13"/>
      </tp>
      <tp>
        <v>-38.849800000000002</v>
        <stp/>
        <stp>##V3_BDHV12</stp>
        <stp>RCOM IN Equity</stp>
        <stp>CAPEX_SEQUENTIAL_GROWTH</stp>
        <stp>FY 2010</stp>
        <stp>FY 2010</stp>
        <stp>[FA1_ymffleas.xlsx]Growth!R83C4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3" s="22"/>
      </tp>
      <tp>
        <v>5.0075000000000003</v>
        <stp/>
        <stp>##V3_BDHV12</stp>
        <stp>RCOM IN Equity</stp>
        <stp>DILUTED_EPS_EX_STK_BASED_COMP</stp>
        <stp>FY 2011</stp>
        <stp>FY 2011</stp>
        <stp>[FA1_ymffleas.xlsx]SBC &amp; Amort!R8C5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" s="13"/>
      </tp>
      <tp>
        <v>-56.412399999999998</v>
        <stp/>
        <stp>##V3_BDHV12</stp>
        <stp>RCOM IN Equity</stp>
        <stp>CAPEX_SEQUENTIAL_GROWTH</stp>
        <stp>FY 2013</stp>
        <stp>FY 2013</stp>
        <stp>[FA1_ymffleas.xlsx]Growth!R83C7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3" s="22"/>
      </tp>
      <tp>
        <v>21.8962</v>
        <stp/>
        <stp>##V3_BDHV12</stp>
        <stp>RCOM IN Equity</stp>
        <stp>DILUTED_EPS_EX_STK_BASED_COMP</stp>
        <stp>FY 2010</stp>
        <stp>FY 2010</stp>
        <stp>[FA1_ymffleas.xlsx]SBC &amp; Amort!R8C4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" s="13"/>
      </tp>
      <tp>
        <v>-53.035699999999999</v>
        <stp/>
        <stp>##V3_BDHV12</stp>
        <stp>RCOM IN Equity</stp>
        <stp>CAPEX_SEQUENTIAL_GROWTH</stp>
        <stp>FY 2012</stp>
        <stp>FY 2012</stp>
        <stp>[FA1_ymffleas.xlsx]Growth!R83C6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3" s="22"/>
      </tp>
      <tp>
        <v>27.0672</v>
        <stp/>
        <stp>##V3_BDHV12</stp>
        <stp>RCOM IN Equity</stp>
        <stp>DILUTED_EPS_EX_STK_BASED_COMP</stp>
        <stp>FY 2009</stp>
        <stp>FY 2009</stp>
        <stp>[FA1_ymffleas.xlsx]SBC &amp; Amort!R8C3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" s="13"/>
      </tp>
      <tp>
        <v>-29.5212</v>
        <stp/>
        <stp>##V3_BDHV12</stp>
        <stp>RCOM IN Equity</stp>
        <stp>CAPEX_SEQUENTIAL_GROWTH</stp>
        <stp>FY 2009</stp>
        <stp>FY 2009</stp>
        <stp>[FA1_ymffleas.xlsx]Growth!R83C3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3" s="22"/>
      </tp>
      <tp t="s">
        <v>—</v>
        <stp/>
        <stp>##V3_BDHV12</stp>
        <stp>RCOM IN Equity</stp>
        <stp>ARDR_OTHER_OPER_INCOME_SAGA</stp>
        <stp>FY 2018</stp>
        <stp>FY 2018</stp>
        <stp>[FA1_ymffleas.xlsx]Income - As Reported!R121C12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1" s="11"/>
      </tp>
      <tp t="s">
        <v>—</v>
        <stp/>
        <stp>##V3_BDHV12</stp>
        <stp>RCOM IN Equity</stp>
        <stp>ARDR_OTHER_OPER_INCOME_SAGA</stp>
        <stp>FY 2017</stp>
        <stp>FY 2017</stp>
        <stp>[FA1_ymffleas.xlsx]Income - As Reported!R121C11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1" s="11"/>
      </tp>
      <tp>
        <v>-2110</v>
        <stp/>
        <stp>##V3_BDHV12</stp>
        <stp>RCOM IN Equity</stp>
        <stp>ARDR_OTHER_OPER_INCOME_SAGA</stp>
        <stp>FY 2016</stp>
        <stp>FY 2016</stp>
        <stp>[FA1_ymffleas.xlsx]Income - As Reported!R121C10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1" s="11"/>
      </tp>
      <tp>
        <v>2.9695999999999998</v>
        <stp/>
        <stp>##V3_BDHV12</stp>
        <stp>RCOM IN Equity</stp>
        <stp>IS_BASIC_EPS_CONT_OPS</stp>
        <stp>FY 2015</stp>
        <stp>FY 2015</stp>
        <stp>[FA1_ymffleas.xlsx]Per Share!R16C8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" s="7"/>
      </tp>
      <tp>
        <v>2.0196999999999998</v>
        <stp/>
        <stp>##V3_BDHV12</stp>
        <stp>RCOM IN Equity</stp>
        <stp>IS_BASIC_EPS_CONT_OPS</stp>
        <stp>FY 2016</stp>
        <stp>FY 2016</stp>
        <stp>[FA1_ymffleas.xlsx]Per Share!R16C9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" s="7"/>
      </tp>
      <tp>
        <v>3.2397999999999998</v>
        <stp/>
        <stp>##V3_BDHV12</stp>
        <stp>RCOM IN Equity</stp>
        <stp>IS_BASIC_EPS_CONT_OPS</stp>
        <stp>FY 2013</stp>
        <stp>FY 2013</stp>
        <stp>[FA1_ymffleas.xlsx]Per Share!R16C6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" s="7"/>
      </tp>
      <tp>
        <v>5.1078000000000001</v>
        <stp/>
        <stp>##V3_BDHV12</stp>
        <stp>RCOM IN Equity</stp>
        <stp>IS_BASIC_EPS_CONT_OPS</stp>
        <stp>FY 2014</stp>
        <stp>FY 2014</stp>
        <stp>[FA1_ymffleas.xlsx]Per Share!R16C7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" s="7"/>
      </tp>
      <tp>
        <v>5.2465999999999999</v>
        <stp/>
        <stp>##V3_BDHV12</stp>
        <stp>RCOM IN Equity</stp>
        <stp>IS_BASIC_EPS_CONT_OPS</stp>
        <stp>FY 2011</stp>
        <stp>FY 2011</stp>
        <stp>[FA1_ymffleas.xlsx]Per Share!R16C4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" s="7"/>
      </tp>
      <tp>
        <v>5.6088000000000005</v>
        <stp/>
        <stp>##V3_BDHV12</stp>
        <stp>RCOM IN Equity</stp>
        <stp>IS_BASIC_EPS_CONT_OPS</stp>
        <stp>FY 2012</stp>
        <stp>FY 2012</stp>
        <stp>[FA1_ymffleas.xlsx]Per Share!R16C5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" s="7"/>
      </tp>
      <tp>
        <v>22.863099999999999</v>
        <stp/>
        <stp>##V3_BDHV12</stp>
        <stp>RCOM IN Equity</stp>
        <stp>IS_BASIC_EPS_CONT_OPS</stp>
        <stp>FY 2010</stp>
        <stp>FY 2010</stp>
        <stp>[FA1_ymffleas.xlsx]Per Share!R16C3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" s="7"/>
      </tp>
      <tp t="s">
        <v>—</v>
        <stp/>
        <stp>##V3_BDHV12</stp>
        <stp>RCOM IN Equity</stp>
        <stp>ADJ_EPS_EX_SBC_AMORT_TOT_INT_DIL</stp>
        <stp>FY 2016</stp>
        <stp>FY 2016</stp>
        <stp>[FA1_ymffleas.xlsx]SBC &amp; Amort!R12C10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2" s="13"/>
      </tp>
      <tp t="s">
        <v>—</v>
        <stp/>
        <stp>##V3_BDHV12</stp>
        <stp>RCOM IN Equity</stp>
        <stp>IS_NET_INTEREST_EXPENSE</stp>
        <stp>FY 2010</stp>
        <stp>FY 2010</stp>
        <stp>[FA1_ymffleas.xlsx]Income - GAAP!R39C3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9" s="10"/>
      </tp>
      <tp t="s">
        <v>—</v>
        <stp/>
        <stp>##V3_BDHV12</stp>
        <stp>RCOM IN Equity</stp>
        <stp>ADJ_EPS_EX_SBC_AMORT_TOT_INT_DIL</stp>
        <stp>FY 2017</stp>
        <stp>FY 2017</stp>
        <stp>[FA1_ymffleas.xlsx]SBC &amp; Amort!R12C11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2" s="13"/>
      </tp>
      <tp t="s">
        <v>—</v>
        <stp/>
        <stp>##V3_BDHV12</stp>
        <stp>RCOM IN Equity</stp>
        <stp>BS_INVEST_IN_ASSOC_CO</stp>
        <stp>FY 2018</stp>
        <stp>FY 2018</stp>
        <stp>[FA1_ymffleas.xlsx]Bal Sheet - Standardized!R65C12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5" s="16"/>
      </tp>
      <tp>
        <v>300</v>
        <stp/>
        <stp>##V3_BDHV12</stp>
        <stp>RCOM IN Equity</stp>
        <stp>BS_INVEST_IN_ASSOC_CO</stp>
        <stp>FY 2016</stp>
        <stp>FY 2016</stp>
        <stp>[FA1_ymffleas.xlsx]Bal Sheet - Standardized!R65C10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5" s="16"/>
      </tp>
      <tp>
        <v>320</v>
        <stp/>
        <stp>##V3_BDHV12</stp>
        <stp>RCOM IN Equity</stp>
        <stp>BS_INVEST_IN_ASSOC_CO</stp>
        <stp>FY 2017</stp>
        <stp>FY 2017</stp>
        <stp>[FA1_ymffleas.xlsx]Bal Sheet - Standardized!R65C11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5" s="16"/>
      </tp>
      <tp t="s">
        <v>—</v>
        <stp/>
        <stp>##V3_BDHV12</stp>
        <stp>RCOM IN Equity</stp>
        <stp>ADJ_EPS_EX_SBC_AMORT_TOT_INT_DIL</stp>
        <stp>FY 2018</stp>
        <stp>FY 2018</stp>
        <stp>[FA1_ymffleas.xlsx]SBC &amp; Amort!R12C12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2" s="13"/>
      </tp>
      <tp>
        <v>-50</v>
        <stp/>
        <stp>##V3_BDHV12</stp>
        <stp>RCOM IN Equity</stp>
        <stp>ARDR_BENEFITS_PAID_POST_RETIR</stp>
        <stp>FY 2017</stp>
        <stp>FY 2017</stp>
        <stp>[FA1_ymffleas.xlsx]Income - As Reported!R99C11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9" s="11"/>
      </tp>
      <tp>
        <v>-70</v>
        <stp/>
        <stp>##V3_BDHV12</stp>
        <stp>RCOM IN Equity</stp>
        <stp>ARDR_BENEFITS_PAID_POST_RETIR</stp>
        <stp>FY 2016</stp>
        <stp>FY 2016</stp>
        <stp>[FA1_ymffleas.xlsx]Income - As Reported!R99C10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9" s="11"/>
      </tp>
      <tp>
        <v>-170</v>
        <stp/>
        <stp>##V3_BDHV12</stp>
        <stp>RCOM IN Equity</stp>
        <stp>ARDR_BENEFITS_PAID_POST_RETIR</stp>
        <stp>FY 2018</stp>
        <stp>FY 2018</stp>
        <stp>[FA1_ymffleas.xlsx]Income - As Reported!R99C12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9" s="11"/>
      </tp>
      <tp>
        <v>21000</v>
        <stp/>
        <stp>##V3_BDHV12</stp>
        <stp>RCOM IN Equity</stp>
        <stp>IS_NET_INTEREST_EXPENSE</stp>
        <stp>FY 2013</stp>
        <stp>FY 2013</stp>
        <stp>[FA1_ymffleas.xlsx]Income - GAAP!R39C6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9" s="10"/>
      </tp>
      <tp t="s">
        <v>—</v>
        <stp/>
        <stp>##V3_BDHV12</stp>
        <stp>RCOM IN Equity</stp>
        <stp>ADJ_EPS_EX_SBC_AMORT_TOT_INT_BAS</stp>
        <stp>FY 2018</stp>
        <stp>FY 2018</stp>
        <stp>[FA1_ymffleas.xlsx]SBC &amp; Amort!R11C12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1" s="13"/>
      </tp>
      <tp>
        <v>27430</v>
        <stp/>
        <stp>##V3_BDHV12</stp>
        <stp>RCOM IN Equity</stp>
        <stp>IS_NET_INTEREST_EXPENSE</stp>
        <stp>FY 2014</stp>
        <stp>FY 2014</stp>
        <stp>[FA1_ymffleas.xlsx]Income - GAAP!R39C7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9" s="10"/>
      </tp>
      <tp>
        <v>8410</v>
        <stp/>
        <stp>##V3_BDHV12</stp>
        <stp>RCOM IN Equity</stp>
        <stp>IS_NET_INTEREST_EXPENSE</stp>
        <stp>FY 2011</stp>
        <stp>FY 2011</stp>
        <stp>[FA1_ymffleas.xlsx]Income - GAAP!R39C4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9" s="10"/>
      </tp>
      <tp t="s">
        <v>—</v>
        <stp/>
        <stp>##V3_BDHV12</stp>
        <stp>RCOM IN Equity</stp>
        <stp>ADJ_EPS_EX_SBC_AMORT_TOT_INT_BAS</stp>
        <stp>FY 2016</stp>
        <stp>FY 2016</stp>
        <stp>[FA1_ymffleas.xlsx]SBC &amp; Amort!R11C10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1" s="13"/>
      </tp>
      <tp>
        <v>14370</v>
        <stp/>
        <stp>##V3_BDHV12</stp>
        <stp>RCOM IN Equity</stp>
        <stp>IS_NET_INTEREST_EXPENSE</stp>
        <stp>FY 2012</stp>
        <stp>FY 2012</stp>
        <stp>[FA1_ymffleas.xlsx]Income - GAAP!R39C5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9" s="10"/>
      </tp>
      <tp t="s">
        <v>—</v>
        <stp/>
        <stp>##V3_BDHV12</stp>
        <stp>RCOM IN Equity</stp>
        <stp>ADJ_EPS_EX_SBC_AMORT_TOT_INT_BAS</stp>
        <stp>FY 2017</stp>
        <stp>FY 2017</stp>
        <stp>[FA1_ymffleas.xlsx]SBC &amp; Amort!R11C11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1" s="13"/>
      </tp>
      <tp>
        <v>24150</v>
        <stp/>
        <stp>##V3_BDHV12</stp>
        <stp>RCOM IN Equity</stp>
        <stp>IS_NET_INTEREST_EXPENSE</stp>
        <stp>FY 2015</stp>
        <stp>FY 2015</stp>
        <stp>[FA1_ymffleas.xlsx]Income - GAAP!R39C8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9" s="10"/>
      </tp>
      <tp>
        <v>30.513000000000002</v>
        <stp/>
        <stp>##V3_BDHV12</stp>
        <stp>RCOM IN Equity</stp>
        <stp>EV_TO_T12M_EBIT</stp>
        <stp>FY 2012</stp>
        <stp>FY 2012</stp>
        <stp>[FA1_ymffleas.xlsx]Multiples!R46C5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46" s="6"/>
      </tp>
      <tp>
        <v>22100</v>
        <stp/>
        <stp>##V3_BDHV12</stp>
        <stp>RCOM IN Equity</stp>
        <stp>IS_NET_INTEREST_EXPENSE</stp>
        <stp>FY 2016</stp>
        <stp>FY 2016</stp>
        <stp>[FA1_ymffleas.xlsx]Income - GAAP!R39C9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9" s="10"/>
      </tp>
      <tp>
        <v>-92.296599999999998</v>
        <stp/>
        <stp>##V3_BDHV12</stp>
        <stp>RCOM IN Equity</stp>
        <stp>IS_DILUTED_EPS</stp>
        <stp>FY 2018</stp>
        <stp>FY 2018</stp>
        <stp>[FA1_ymffleas.xlsx]Income - GAAP!R93C11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93" s="10"/>
      </tp>
      <tp>
        <v>-33.2761</v>
        <stp/>
        <stp>##V3_BDHV12</stp>
        <stp>RCOM IN Equity</stp>
        <stp>EBITDA_GROWTH</stp>
        <stp>FY 2018</stp>
        <stp>FY 2018</stp>
        <stp>[FA1_ymffleas.xlsx]Growth!R8C12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8" s="22"/>
      </tp>
      <tp t="s">
        <v>—</v>
        <stp/>
        <stp>##V3_BDHV12</stp>
        <stp>RCOM IN Equity</stp>
        <stp>ARDR_PROV_LIAB_CHARGES_AND_OTHER</stp>
        <stp>FY 2014</stp>
        <stp>FY 2014</stp>
        <stp>[FA1_ymffleas.xlsx]Bal Sheet - As Reported!R154C8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4" s="17"/>
      </tp>
      <tp t="s">
        <v>—</v>
        <stp/>
        <stp>##V3_BDHV12</stp>
        <stp>RCOM IN Equity</stp>
        <stp>ARDR_PROV_LIAB_CHARGES_AND_OTHER</stp>
        <stp>FY 2015</stp>
        <stp>FY 2015</stp>
        <stp>[FA1_ymffleas.xlsx]Bal Sheet - As Reported!R154C9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4" s="17"/>
      </tp>
      <tp t="s">
        <v>—</v>
        <stp/>
        <stp>##V3_BDHV12</stp>
        <stp>RCOM IN Equity</stp>
        <stp>ARDR_PROV_LIAB_CHARGES_AND_OTHER</stp>
        <stp>FY 2012</stp>
        <stp>FY 2012</stp>
        <stp>[FA1_ymffleas.xlsx]Bal Sheet - As Reported!R154C6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4" s="17"/>
      </tp>
      <tp t="s">
        <v>—</v>
        <stp/>
        <stp>##V3_BDHV12</stp>
        <stp>RCOM IN Equity</stp>
        <stp>ARDR_PROV_LIAB_CHARGES_AND_OTHER</stp>
        <stp>FY 2013</stp>
        <stp>FY 2013</stp>
        <stp>[FA1_ymffleas.xlsx]Bal Sheet - As Reported!R154C7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4" s="17"/>
      </tp>
      <tp t="s">
        <v>—</v>
        <stp/>
        <stp>##V3_BDHV12</stp>
        <stp>RCOM IN Equity</stp>
        <stp>ARDR_PROV_LIAB_CHARGES_AND_OTHER</stp>
        <stp>FY 2010</stp>
        <stp>FY 2010</stp>
        <stp>[FA1_ymffleas.xlsx]Bal Sheet - As Reported!R154C4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4" s="17"/>
      </tp>
      <tp t="s">
        <v>—</v>
        <stp/>
        <stp>##V3_BDHV12</stp>
        <stp>RCOM IN Equity</stp>
        <stp>ARDR_PROV_LIAB_CHARGES_AND_OTHER</stp>
        <stp>FY 2011</stp>
        <stp>FY 2011</stp>
        <stp>[FA1_ymffleas.xlsx]Bal Sheet - As Reported!R154C5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4" s="17"/>
      </tp>
      <tp t="s">
        <v>—</v>
        <stp/>
        <stp>##V3_BDHV12</stp>
        <stp>RCOM IN Equity</stp>
        <stp>ARDR_PROV_LIAB_CHARGES_AND_OTHER</stp>
        <stp>FY 2009</stp>
        <stp>FY 2009</stp>
        <stp>[FA1_ymffleas.xlsx]Bal Sheet - As Reported!R154C3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4" s="17"/>
      </tp>
      <tp t="s">
        <v>—</v>
        <stp/>
        <stp>##V3_BDHV12</stp>
        <stp>RCOM IN Equity</stp>
        <stp>CASH_DVD_COVERAGE</stp>
        <stp>FY 2017</stp>
        <stp>FY 2017</stp>
        <stp>[FA1_ymffleas.xlsx]Dividend Summary!R10C11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0" s="31"/>
      </tp>
      <tp>
        <v>-92.296599999999998</v>
        <stp/>
        <stp>##V3_BDHV12</stp>
        <stp>RCOM IN Equity</stp>
        <stp>IS_EPS</stp>
        <stp>FY 2018</stp>
        <stp>FY 2018</stp>
        <stp>[FA1_ymffleas.xlsx]Income - Adjusted!R110C11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10" s="9"/>
      </tp>
      <tp>
        <v>2.0188999999999999</v>
        <stp/>
        <stp>##V3_BDHV12</stp>
        <stp>RCOM IN Equity</stp>
        <stp>SUSTAIN_GROWTH_RT</stp>
        <stp>FY 2015</stp>
        <stp>FY 2015</stp>
        <stp>[FA1_ymffleas.xlsx]Profitability!R24C9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4" s="21"/>
      </tp>
      <tp>
        <v>21.619299999999999</v>
        <stp/>
        <stp>##V3_BDHV12</stp>
        <stp>RCOM IN Equity</stp>
        <stp>IS_DILUTED_EPS</stp>
        <stp>FY 2010</stp>
        <stp>FY 2010</stp>
        <stp>[FA1_ymffleas.xlsx]Reconciliation!R44C3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44" s="12"/>
      </tp>
      <tp>
        <v>0</v>
        <stp/>
        <stp>##V3_BDHV12</stp>
        <stp>RCOM IN Equity</stp>
        <stp>INVTRY_IN_PROGRESS</stp>
        <stp>FY 2016</stp>
        <stp>FY 2016</stp>
        <stp>[FA1_ymffleas.xlsx]Bal Sheet - Standardized!R25C10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5" s="16"/>
      </tp>
      <tp>
        <v>0</v>
        <stp/>
        <stp>##V3_BDHV12</stp>
        <stp>RCOM IN Equity</stp>
        <stp>INVTRY_IN_PROGRESS</stp>
        <stp>FY 2017</stp>
        <stp>FY 2017</stp>
        <stp>[FA1_ymffleas.xlsx]Bal Sheet - Standardized!R25C11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5" s="16"/>
      </tp>
      <tp>
        <v>0</v>
        <stp/>
        <stp>##V3_BDHV12</stp>
        <stp>RCOM IN Equity</stp>
        <stp>INVTRY_IN_PROGRESS</stp>
        <stp>FY 2018</stp>
        <stp>FY 2018</stp>
        <stp>[FA1_ymffleas.xlsx]Bal Sheet - Standardized!R25C12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5" s="16"/>
      </tp>
      <tp>
        <v>6.7808000000000002</v>
        <stp/>
        <stp>##V3_BDHV12</stp>
        <stp>RCOM IN Equity</stp>
        <stp>EV_TO_T12M_EBITDA</stp>
        <stp>FY 2011</stp>
        <stp>FY 2011</stp>
        <stp>[FA1_ymffleas.xlsx]Multiples!R41C4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41" s="6"/>
      </tp>
      <tp t="s">
        <v>—</v>
        <stp/>
        <stp>##V3_BDHV12</stp>
        <stp>RCOM IN Equity</stp>
        <stp>ARD_CORPORATE_DIVIDEND_TAX</stp>
        <stp>FY 2016</stp>
        <stp>FY 2016</stp>
        <stp>[FA1_ymffleas.xlsx]Income - As Reported!R50C10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0" s="11"/>
      </tp>
      <tp t="s">
        <v>—</v>
        <stp/>
        <stp>##V3_BDHV12</stp>
        <stp>RCOM IN Equity</stp>
        <stp>ARD_CORPORATE_DIVIDEND_TAX</stp>
        <stp>FY 2017</stp>
        <stp>FY 2017</stp>
        <stp>[FA1_ymffleas.xlsx]Income - As Reported!R50C11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0" s="11"/>
      </tp>
      <tp t="s">
        <v>—</v>
        <stp/>
        <stp>##V3_BDHV12</stp>
        <stp>RCOM IN Equity</stp>
        <stp>ARD_CORPORATE_DIVIDEND_TAX</stp>
        <stp>FY 2018</stp>
        <stp>FY 2018</stp>
        <stp>[FA1_ymffleas.xlsx]Income - As Reported!R50C12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0" s="11"/>
      </tp>
      <tp>
        <v>30.962800000000001</v>
        <stp/>
        <stp>##V3_BDHV12</stp>
        <stp>RCOM IN Equity</stp>
        <stp>EBITDA_MARGIN</stp>
        <stp>FY 2012</stp>
        <stp>FY 2012</stp>
        <stp>[FA1_ymffleas.xlsx]Cash Flow - Standardized!R59C5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59" s="19"/>
      </tp>
      <tp>
        <v>105310</v>
        <stp/>
        <stp>##V3_BDHV12</stp>
        <stp>RCOM IN Equity</stp>
        <stp>OTHER_CURRENT_LIABS_DETAILED</stp>
        <stp>FY 2018</stp>
        <stp>FY 2018</stp>
        <stp>[FA1_ymffleas.xlsx]Bal Sheet - Standardized!R99C12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9" s="16"/>
      </tp>
      <tp>
        <v>55910</v>
        <stp/>
        <stp>##V3_BDHV12</stp>
        <stp>RCOM IN Equity</stp>
        <stp>OTHER_CURRENT_LIABS_DETAILED</stp>
        <stp>FY 2016</stp>
        <stp>FY 2016</stp>
        <stp>[FA1_ymffleas.xlsx]Bal Sheet - Standardized!R99C10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9" s="16"/>
      </tp>
      <tp>
        <v>53870</v>
        <stp/>
        <stp>##V3_BDHV12</stp>
        <stp>RCOM IN Equity</stp>
        <stp>OTHER_CURRENT_LIABS_DETAILED</stp>
        <stp>FY 2017</stp>
        <stp>FY 2017</stp>
        <stp>[FA1_ymffleas.xlsx]Bal Sheet - Standardized!R99C11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9" s="16"/>
      </tp>
      <tp t="s">
        <v>—</v>
        <stp/>
        <stp>##V3_BDHV12</stp>
        <stp>RCOM IN Equity</stp>
        <stp>CASH_DVD_COVERAGE</stp>
        <stp>FY 2015</stp>
        <stp>FY 2015</stp>
        <stp>[FA1_ymffleas.xlsx]Dividend Summary!R10C9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0" s="31"/>
      </tp>
      <tp t="s">
        <v>—</v>
        <stp/>
        <stp>##V3_BDHV12</stp>
        <stp>RCOM IN Equity</stp>
        <stp>ARD_OTHER_OPERATING_INC</stp>
        <stp>FY 2014</stp>
        <stp>FY 2014</stp>
        <stp>[FA1_ymffleas.xlsx]Income - As Reported!R19C8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" s="11"/>
      </tp>
      <tp t="s">
        <v>—</v>
        <stp/>
        <stp>##V3_BDHV12</stp>
        <stp>RCOM IN Equity</stp>
        <stp>ARD_OTHER_OPERATING_INC</stp>
        <stp>FY 2015</stp>
        <stp>FY 2015</stp>
        <stp>[FA1_ymffleas.xlsx]Income - As Reported!R19C9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" s="11"/>
      </tp>
      <tp>
        <v>7050</v>
        <stp/>
        <stp>##V3_BDHV12</stp>
        <stp>RCOM IN Equity</stp>
        <stp>ARD_OTHER_OPERATING_INC</stp>
        <stp>FY 2012</stp>
        <stp>FY 2012</stp>
        <stp>[FA1_ymffleas.xlsx]Income - As Reported!R19C6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" s="11"/>
      </tp>
      <tp t="s">
        <v>—</v>
        <stp/>
        <stp>##V3_BDHV12</stp>
        <stp>RCOM IN Equity</stp>
        <stp>ARD_OTHER_OPERATING_INC</stp>
        <stp>FY 2013</stp>
        <stp>FY 2013</stp>
        <stp>[FA1_ymffleas.xlsx]Income - As Reported!R19C7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" s="11"/>
      </tp>
      <tp t="s">
        <v>—</v>
        <stp/>
        <stp>##V3_BDHV12</stp>
        <stp>RCOM IN Equity</stp>
        <stp>ARD_OTHER_OPERATING_INC</stp>
        <stp>FY 2010</stp>
        <stp>FY 2010</stp>
        <stp>[FA1_ymffleas.xlsx]Income - As Reported!R19C4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" s="11"/>
      </tp>
      <tp t="s">
        <v>—</v>
        <stp/>
        <stp>##V3_BDHV12</stp>
        <stp>RCOM IN Equity</stp>
        <stp>ARD_OTHER_OPERATING_INC</stp>
        <stp>FY 2011</stp>
        <stp>FY 2011</stp>
        <stp>[FA1_ymffleas.xlsx]Income - As Reported!R19C5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" s="11"/>
      </tp>
      <tp t="s">
        <v>—</v>
        <stp/>
        <stp>##V3_BDHV12</stp>
        <stp>RCOM IN Equity</stp>
        <stp>ARD_OTHER_OPERATING_INC</stp>
        <stp>FY 2009</stp>
        <stp>FY 2009</stp>
        <stp>[FA1_ymffleas.xlsx]Income - As Reported!R19C3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" s="11"/>
      </tp>
      <tp>
        <v>6678197.8433999997</v>
        <stp/>
        <stp>##V3_BDHV12</stp>
        <stp>RCOM IN Equity</stp>
        <stp>ACTUAL_SALES_PER_EMPL</stp>
        <stp>FY 2010</stp>
        <stp>FY 2010</stp>
        <stp>[FA1_ymffleas.xlsx]Income - Adjusted!R127C3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C127" s="9"/>
      </tp>
      <tp>
        <v>-5230</v>
        <stp/>
        <stp>##V3_BDHV12</stp>
        <stp>RCOM IN Equity</stp>
        <stp>T12_OTHER_CFF</stp>
        <stp>FY 2014</stp>
        <stp>FY 2014</stp>
        <stp>[FA1_ymffleas.xlsx]Yield Analysis!R17C8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" s="26"/>
      </tp>
      <tp>
        <v>-1110</v>
        <stp/>
        <stp>##V3_BDHV12</stp>
        <stp>RCOM IN Equity</stp>
        <stp>T12_OTHER_CFF</stp>
        <stp>FY 2015</stp>
        <stp>FY 2015</stp>
        <stp>[FA1_ymffleas.xlsx]Yield Analysis!R17C9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" s="26"/>
      </tp>
      <tp>
        <v>9.4</v>
        <stp/>
        <stp>##V3_BDHV12</stp>
        <stp>RCOM IN Equity</stp>
        <stp>T12_OTHER_CFF</stp>
        <stp>FY 2010</stp>
        <stp>FY 2010</stp>
        <stp>[FA1_ymffleas.xlsx]Yield Analysis!R17C4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" s="26"/>
      </tp>
      <tp>
        <v>0</v>
        <stp/>
        <stp>##V3_BDHV12</stp>
        <stp>RCOM IN Equity</stp>
        <stp>T12_OTHER_CFF</stp>
        <stp>FY 2011</stp>
        <stp>FY 2011</stp>
        <stp>[FA1_ymffleas.xlsx]Yield Analysis!R17C5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" s="26"/>
      </tp>
      <tp>
        <v>-3430</v>
        <stp/>
        <stp>##V3_BDHV12</stp>
        <stp>RCOM IN Equity</stp>
        <stp>T12_OTHER_CFF</stp>
        <stp>FY 2012</stp>
        <stp>FY 2012</stp>
        <stp>[FA1_ymffleas.xlsx]Yield Analysis!R17C6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" s="26"/>
      </tp>
      <tp>
        <v>-12650</v>
        <stp/>
        <stp>##V3_BDHV12</stp>
        <stp>RCOM IN Equity</stp>
        <stp>T12_OTHER_CFF</stp>
        <stp>FY 2013</stp>
        <stp>FY 2013</stp>
        <stp>[FA1_ymffleas.xlsx]Yield Analysis!R17C7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" s="26"/>
      </tp>
      <tp>
        <v>-17287.599999999999</v>
        <stp/>
        <stp>##V3_BDHV12</stp>
        <stp>RCOM IN Equity</stp>
        <stp>T12_OTHER_CFF</stp>
        <stp>FY 2009</stp>
        <stp>FY 2009</stp>
        <stp>[FA1_ymffleas.xlsx]Yield Analysis!R17C3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" s="26"/>
      </tp>
      <tp>
        <v>6678197.8433999997</v>
        <stp/>
        <stp>##V3_BDHV12</stp>
        <stp>RCOM IN Equity</stp>
        <stp>ACTUAL_SALES_PER_EMPL</stp>
        <stp>FY 2010</stp>
        <stp>FY 2010</stp>
        <stp>[FA1_ymffleas.xlsx]Income - GAAP!R105C3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05" s="10"/>
      </tp>
      <tp>
        <v>66430</v>
        <stp/>
        <stp>##V3_BDHV12</stp>
        <stp>RCOM IN Equity</stp>
        <stp>IS_COMPARABLE_EBITDA</stp>
        <stp>FY 2014</stp>
        <stp>FY 2014</stp>
        <stp>[FA1_ymffleas.xlsx]Earnings!R27C8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7" s="4"/>
      </tp>
      <tp>
        <v>71900</v>
        <stp/>
        <stp>##V3_BDHV12</stp>
        <stp>RCOM IN Equity</stp>
        <stp>IS_COMPARABLE_EBITDA</stp>
        <stp>FY 2015</stp>
        <stp>FY 2015</stp>
        <stp>[FA1_ymffleas.xlsx]Earnings!R27C9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7" s="4"/>
      </tp>
      <tp>
        <v>85809.3</v>
        <stp/>
        <stp>##V3_BDHV12</stp>
        <stp>RCOM IN Equity</stp>
        <stp>IS_COMPARABLE_EBITDA</stp>
        <stp>FY 2009</stp>
        <stp>FY 2009</stp>
        <stp>[FA1_ymffleas.xlsx]Earnings!R27C3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7" s="4"/>
      </tp>
      <tp>
        <v>71845.899999999994</v>
        <stp/>
        <stp>##V3_BDHV12</stp>
        <stp>RCOM IN Equity</stp>
        <stp>IS_COMPARABLE_EBITDA</stp>
        <stp>FY 2010</stp>
        <stp>FY 2010</stp>
        <stp>[FA1_ymffleas.xlsx]Earnings!R27C4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7" s="4"/>
      </tp>
      <tp>
        <v>84042.9</v>
        <stp/>
        <stp>##V3_BDHV12</stp>
        <stp>RCOM IN Equity</stp>
        <stp>IS_COMPARABLE_EBITDA</stp>
        <stp>FY 2011</stp>
        <stp>FY 2011</stp>
        <stp>[FA1_ymffleas.xlsx]Earnings!R27C5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7" s="4"/>
      </tp>
      <tp>
        <v>57850</v>
        <stp/>
        <stp>##V3_BDHV12</stp>
        <stp>RCOM IN Equity</stp>
        <stp>IS_COMPARABLE_EBITDA</stp>
        <stp>FY 2012</stp>
        <stp>FY 2012</stp>
        <stp>[FA1_ymffleas.xlsx]Earnings!R27C6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7" s="4"/>
      </tp>
      <tp>
        <v>59420</v>
        <stp/>
        <stp>##V3_BDHV12</stp>
        <stp>RCOM IN Equity</stp>
        <stp>IS_COMPARABLE_EBITDA</stp>
        <stp>FY 2013</stp>
        <stp>FY 2013</stp>
        <stp>[FA1_ymffleas.xlsx]Earnings!R27C7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7" s="4"/>
      </tp>
      <tp>
        <v>180</v>
        <stp/>
        <stp>##V3_BDHV12</stp>
        <stp>RCOM IN Equity</stp>
        <stp>ARDR_OP_LEASES_EXP_2_TO_5YRS</stp>
        <stp>FY 2017</stp>
        <stp>FY 2017</stp>
        <stp>[FA1_ymffleas.xlsx]Bal Sheet - As Reported!R170C11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0" s="17"/>
      </tp>
      <tp>
        <v>400</v>
        <stp/>
        <stp>##V3_BDHV12</stp>
        <stp>RCOM IN Equity</stp>
        <stp>ARDR_OP_LEASES_EXP_2_TO_5YRS</stp>
        <stp>FY 2016</stp>
        <stp>FY 2016</stp>
        <stp>[FA1_ymffleas.xlsx]Bal Sheet - As Reported!R170C10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0" s="17"/>
      </tp>
      <tp>
        <v>0</v>
        <stp/>
        <stp>##V3_BDHV12</stp>
        <stp>RCOM IN Equity</stp>
        <stp>ARDR_OP_LEASES_EXP_2_TO_5YRS</stp>
        <stp>FY 2018</stp>
        <stp>FY 2018</stp>
        <stp>[FA1_ymffleas.xlsx]Bal Sheet - As Reported!R170C12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0" s="17"/>
      </tp>
      <tp>
        <v>2125.3000000000002</v>
        <stp/>
        <stp>##V3_BDHV12</stp>
        <stp>RCOM IN Equity</stp>
        <stp>ARDR_INCOME_TAX_ACCRUED_PAYABLE</stp>
        <stp>FY 2009</stp>
        <stp>FY 2009</stp>
        <stp>[FA1_ymffleas.xlsx]Bal Sheet - As Reported!R101C3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1" s="17"/>
      </tp>
      <tp>
        <v>790</v>
        <stp/>
        <stp>##V3_BDHV12</stp>
        <stp>RCOM IN Equity</stp>
        <stp>ARDR_INCOME_TAX_ACCRUED_PAYABLE</stp>
        <stp>FY 2013</stp>
        <stp>FY 2013</stp>
        <stp>[FA1_ymffleas.xlsx]Bal Sheet - As Reported!R101C7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1" s="17"/>
      </tp>
      <tp>
        <v>520</v>
        <stp/>
        <stp>##V3_BDHV12</stp>
        <stp>RCOM IN Equity</stp>
        <stp>ARDR_INCOME_TAX_ACCRUED_PAYABLE</stp>
        <stp>FY 2012</stp>
        <stp>FY 2012</stp>
        <stp>[FA1_ymffleas.xlsx]Bal Sheet - As Reported!R101C6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1" s="17"/>
      </tp>
      <tp>
        <v>2160</v>
        <stp/>
        <stp>##V3_BDHV12</stp>
        <stp>RCOM IN Equity</stp>
        <stp>ARDR_INCOME_TAX_ACCRUED_PAYABLE</stp>
        <stp>FY 2011</stp>
        <stp>FY 2011</stp>
        <stp>[FA1_ymffleas.xlsx]Bal Sheet - As Reported!R101C5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1" s="17"/>
      </tp>
      <tp>
        <v>4692.6000000000004</v>
        <stp/>
        <stp>##V3_BDHV12</stp>
        <stp>RCOM IN Equity</stp>
        <stp>ARDR_INCOME_TAX_ACCRUED_PAYABLE</stp>
        <stp>FY 2010</stp>
        <stp>FY 2010</stp>
        <stp>[FA1_ymffleas.xlsx]Bal Sheet - As Reported!R101C4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1" s="17"/>
      </tp>
      <tp>
        <v>270</v>
        <stp/>
        <stp>##V3_BDHV12</stp>
        <stp>RCOM IN Equity</stp>
        <stp>ARDR_INCOME_TAX_ACCRUED_PAYABLE</stp>
        <stp>FY 2015</stp>
        <stp>FY 2015</stp>
        <stp>[FA1_ymffleas.xlsx]Bal Sheet - As Reported!R101C9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1" s="17"/>
      </tp>
      <tp>
        <v>60</v>
        <stp/>
        <stp>##V3_BDHV12</stp>
        <stp>RCOM IN Equity</stp>
        <stp>ARDR_INCOME_TAX_ACCRUED_PAYABLE</stp>
        <stp>FY 2014</stp>
        <stp>FY 2014</stp>
        <stp>[FA1_ymffleas.xlsx]Bal Sheet - As Reported!R101C8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1" s="17"/>
      </tp>
      <tp t="s">
        <v>—</v>
        <stp/>
        <stp>##V3_BDHV12</stp>
        <stp>RCOM IN Equity</stp>
        <stp>ARDR_AUTH_COMM_CAPT_AMT</stp>
        <stp>FY 2015</stp>
        <stp>FY 2015</stp>
        <stp>[FA1_ymffleas.xlsx]Bal Sheet - As Reported!R160C9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0" s="17"/>
      </tp>
      <tp t="s">
        <v>—</v>
        <stp/>
        <stp>##V3_BDHV12</stp>
        <stp>RCOM IN Equity</stp>
        <stp>ARDR_AUTH_COMM_CAPT_AMT</stp>
        <stp>FY 2014</stp>
        <stp>FY 2014</stp>
        <stp>[FA1_ymffleas.xlsx]Bal Sheet - As Reported!R160C8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0" s="17"/>
      </tp>
      <tp t="s">
        <v>—</v>
        <stp/>
        <stp>##V3_BDHV12</stp>
        <stp>RCOM IN Equity</stp>
        <stp>ARDR_AUTH_COMM_CAPT_AMT</stp>
        <stp>FY 2009</stp>
        <stp>FY 2009</stp>
        <stp>[FA1_ymffleas.xlsx]Bal Sheet - As Reported!R160C3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0" s="17"/>
      </tp>
      <tp t="s">
        <v>—</v>
        <stp/>
        <stp>##V3_BDHV12</stp>
        <stp>RCOM IN Equity</stp>
        <stp>ARDR_AUTH_COMM_CAPT_AMT</stp>
        <stp>FY 2013</stp>
        <stp>FY 2013</stp>
        <stp>[FA1_ymffleas.xlsx]Bal Sheet - As Reported!R160C7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0" s="17"/>
      </tp>
      <tp t="s">
        <v>—</v>
        <stp/>
        <stp>##V3_BDHV12</stp>
        <stp>RCOM IN Equity</stp>
        <stp>ARDR_AUTH_COMM_CAPT_AMT</stp>
        <stp>FY 2012</stp>
        <stp>FY 2012</stp>
        <stp>[FA1_ymffleas.xlsx]Bal Sheet - As Reported!R160C6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0" s="17"/>
      </tp>
      <tp t="s">
        <v>—</v>
        <stp/>
        <stp>##V3_BDHV12</stp>
        <stp>RCOM IN Equity</stp>
        <stp>ARDR_AUTH_COMM_CAPT_AMT</stp>
        <stp>FY 2011</stp>
        <stp>FY 2011</stp>
        <stp>[FA1_ymffleas.xlsx]Bal Sheet - As Reported!R160C5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0" s="17"/>
      </tp>
      <tp t="s">
        <v>—</v>
        <stp/>
        <stp>##V3_BDHV12</stp>
        <stp>RCOM IN Equity</stp>
        <stp>ARDR_AUTH_COMM_CAPT_AMT</stp>
        <stp>FY 2010</stp>
        <stp>FY 2010</stp>
        <stp>[FA1_ymffleas.xlsx]Bal Sheet - As Reported!R160C4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0" s="17"/>
      </tp>
      <tp>
        <v>107.01900000000001</v>
        <stp/>
        <stp>##V3_BDHV12</stp>
        <stp>RCOM IN Equity</stp>
        <stp>REVENUE_PER_SH</stp>
        <stp>FY 2011</stp>
        <stp>FY 2011</stp>
        <stp>[FA1_ymffleas.xlsx]Per Share!R11C4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1" s="7"/>
      </tp>
      <tp>
        <v>71.116900000000001</v>
        <stp/>
        <stp>##V3_BDHV12</stp>
        <stp>RCOM IN Equity</stp>
        <stp>EBITDA_MARGIN</stp>
        <stp>FY 2017</stp>
        <stp>FY 2017</stp>
        <stp>[FA1_ymffleas.xlsx]Cash Flow - Standardized!R59C10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59" s="19"/>
      </tp>
      <tp>
        <v>4920</v>
        <stp/>
        <stp>##V3_BDHV12</stp>
        <stp>RCOM IN Equity</stp>
        <stp>IS_GENERAL_AND_ADMINISTRATIVE</stp>
        <stp>FY 2018</stp>
        <stp>FY 2018</stp>
        <stp>[FA1_ymffleas.xlsx]Income - Adjusted!R25C11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25" s="9"/>
      </tp>
      <tp>
        <v>5530</v>
        <stp/>
        <stp>##V3_BDHV12</stp>
        <stp>RCOM IN Equity</stp>
        <stp>IS_GENERAL_AND_ADMINISTRATIVE</stp>
        <stp>FY 2017</stp>
        <stp>FY 2017</stp>
        <stp>[FA1_ymffleas.xlsx]Income - Adjusted!R25C10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25" s="9"/>
      </tp>
      <tp t="s">
        <v>—</v>
        <stp/>
        <stp>##V3_BDHV12</stp>
        <stp>RCOM IN Equity</stp>
        <stp>SOCIAL_DISCLOSURE_SCORE</stp>
        <stp>FY 2010</stp>
        <stp>FY 2010</stp>
        <stp>[FA1_ymffleas.xlsx]ESG - Overview!R14C4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4" s="34"/>
      </tp>
      <tp t="s">
        <v>—</v>
        <stp/>
        <stp>##V3_BDHV12</stp>
        <stp>RCOM IN Equity</stp>
        <stp>SOCIAL_DISCLOSURE_SCORE</stp>
        <stp>FY 2011</stp>
        <stp>FY 2011</stp>
        <stp>[FA1_ymffleas.xlsx]ESG - Overview!R14C5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4" s="34"/>
      </tp>
      <tp t="s">
        <v>—</v>
        <stp/>
        <stp>##V3_BDHV12</stp>
        <stp>RCOM IN Equity</stp>
        <stp>SOCIAL_DISCLOSURE_SCORE</stp>
        <stp>FY 2012</stp>
        <stp>FY 2012</stp>
        <stp>[FA1_ymffleas.xlsx]ESG - Overview!R14C6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4" s="34"/>
      </tp>
      <tp t="s">
        <v>—</v>
        <stp/>
        <stp>##V3_BDHV12</stp>
        <stp>RCOM IN Equity</stp>
        <stp>SOCIAL_DISCLOSURE_SCORE</stp>
        <stp>FY 2013</stp>
        <stp>FY 2013</stp>
        <stp>[FA1_ymffleas.xlsx]ESG - Overview!R14C7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4" s="34"/>
      </tp>
      <tp>
        <v>347280</v>
        <stp/>
        <stp>##V3_BDHV12</stp>
        <stp>RCOM IN Equity</stp>
        <stp>NON_CUR_LIAB</stp>
        <stp>FY 2017</stp>
        <stp>FY 2017</stp>
        <stp>[FA1_ymffleas.xlsx]Bal Sheet - Standardized!R129C11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9" s="16"/>
      </tp>
      <tp>
        <v>439130</v>
        <stp/>
        <stp>##V3_BDHV12</stp>
        <stp>RCOM IN Equity</stp>
        <stp>NON_CUR_LIAB</stp>
        <stp>FY 2016</stp>
        <stp>FY 2016</stp>
        <stp>[FA1_ymffleas.xlsx]Bal Sheet - Standardized!R129C10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9" s="16"/>
      </tp>
      <tp>
        <v>189850</v>
        <stp/>
        <stp>##V3_BDHV12</stp>
        <stp>RCOM IN Equity</stp>
        <stp>NON_CUR_LIAB</stp>
        <stp>FY 2018</stp>
        <stp>FY 2018</stp>
        <stp>[FA1_ymffleas.xlsx]Bal Sheet - Standardized!R129C12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9" s="16"/>
      </tp>
      <tp t="s">
        <v>—</v>
        <stp/>
        <stp>##V3_BDHV12</stp>
        <stp>RCOM IN Equity</stp>
        <stp>SOCIAL_DISCLOSURE_SCORE</stp>
        <stp>FY 2009</stp>
        <stp>FY 2009</stp>
        <stp>[FA1_ymffleas.xlsx]ESG - Overview!R14C3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4" s="34"/>
      </tp>
      <tp t="s">
        <v>—</v>
        <stp/>
        <stp>##V3_BDHV12</stp>
        <stp>RCOM IN Equity</stp>
        <stp>ARD_OTHER_NON_CASH_ITEMS</stp>
        <stp>FY 2018</stp>
        <stp>FY 2018</stp>
        <stp>[FA1_ymffleas.xlsx]Cash Flow - As Reported!R11C12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" s="20"/>
      </tp>
      <tp>
        <v>-480</v>
        <stp/>
        <stp>##V3_BDHV12</stp>
        <stp>RCOM IN Equity</stp>
        <stp>ARD_OTHER_NON_CASH_ITEMS</stp>
        <stp>FY 2016</stp>
        <stp>FY 2016</stp>
        <stp>[FA1_ymffleas.xlsx]Cash Flow - As Reported!R11C10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" s="20"/>
      </tp>
      <tp t="s">
        <v>—</v>
        <stp/>
        <stp>##V3_BDHV12</stp>
        <stp>RCOM IN Equity</stp>
        <stp>ARD_OTHER_NON_CASH_ITEMS</stp>
        <stp>FY 2017</stp>
        <stp>FY 2017</stp>
        <stp>[FA1_ymffleas.xlsx]Cash Flow - As Reported!R11C11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" s="20"/>
      </tp>
      <tp t="s">
        <v>—</v>
        <stp/>
        <stp>##V3_BDHV12</stp>
        <stp>RCOM IN Equity</stp>
        <stp>SOCIAL_DISCLOSURE_SCORE</stp>
        <stp>FY 2014</stp>
        <stp>FY 2014</stp>
        <stp>[FA1_ymffleas.xlsx]ESG - Overview!R14C8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4" s="34"/>
      </tp>
      <tp t="s">
        <v>—</v>
        <stp/>
        <stp>##V3_BDHV12</stp>
        <stp>RCOM IN Equity</stp>
        <stp>SOCIAL_DISCLOSURE_SCORE</stp>
        <stp>FY 2015</stp>
        <stp>FY 2015</stp>
        <stp>[FA1_ymffleas.xlsx]ESG - Overview!R14C9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4" s="34"/>
      </tp>
      <tp>
        <v>2.2814000000000001</v>
        <stp/>
        <stp>##V3_BDHV12</stp>
        <stp>RCOM IN Equity</stp>
        <stp>SUSTAIN_GROWTH_RT</stp>
        <stp>FY 2012</stp>
        <stp>FY 2012</stp>
        <stp>[FA1_ymffleas.xlsx]Profitability!R24C6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4" s="21"/>
      </tp>
      <tp t="s">
        <v>—</v>
        <stp/>
        <stp>##V3_BDHV12</stp>
        <stp>RCOM IN Equity</stp>
        <stp>ARDR_LOSS_GAIN_DISPOS_LT_INVEST</stp>
        <stp>FY 2015</stp>
        <stp>FY 2015</stp>
        <stp>[FA1_ymffleas.xlsx]Income - As Reported!R108C9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8" s="11"/>
      </tp>
      <tp t="s">
        <v>—</v>
        <stp/>
        <stp>##V3_BDHV12</stp>
        <stp>RCOM IN Equity</stp>
        <stp>ARDR_LOSS_GAIN_DISPOS_LT_INVEST</stp>
        <stp>FY 2014</stp>
        <stp>FY 2014</stp>
        <stp>[FA1_ymffleas.xlsx]Income - As Reported!R108C8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8" s="11"/>
      </tp>
      <tp t="s">
        <v>—</v>
        <stp/>
        <stp>##V3_BDHV12</stp>
        <stp>RCOM IN Equity</stp>
        <stp>ARDR_LOSS_GAIN_DISPOS_LT_INVEST</stp>
        <stp>FY 2009</stp>
        <stp>FY 2009</stp>
        <stp>[FA1_ymffleas.xlsx]Income - As Reported!R108C3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8" s="11"/>
      </tp>
      <tp t="s">
        <v>—</v>
        <stp/>
        <stp>##V3_BDHV12</stp>
        <stp>RCOM IN Equity</stp>
        <stp>ARDR_LOSS_GAIN_DISPOS_LT_INVEST</stp>
        <stp>FY 2013</stp>
        <stp>FY 2013</stp>
        <stp>[FA1_ymffleas.xlsx]Income - As Reported!R108C7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8" s="11"/>
      </tp>
      <tp>
        <v>-230</v>
        <stp/>
        <stp>##V3_BDHV12</stp>
        <stp>RCOM IN Equity</stp>
        <stp>ARDR_LOSS_GAIN_DISPOS_LT_INVEST</stp>
        <stp>FY 2012</stp>
        <stp>FY 2012</stp>
        <stp>[FA1_ymffleas.xlsx]Income - As Reported!R108C6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8" s="11"/>
      </tp>
      <tp t="s">
        <v>—</v>
        <stp/>
        <stp>##V3_BDHV12</stp>
        <stp>RCOM IN Equity</stp>
        <stp>ARDR_LOSS_GAIN_DISPOS_LT_INVEST</stp>
        <stp>FY 2011</stp>
        <stp>FY 2011</stp>
        <stp>[FA1_ymffleas.xlsx]Income - As Reported!R108C5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8" s="11"/>
      </tp>
      <tp t="s">
        <v>—</v>
        <stp/>
        <stp>##V3_BDHV12</stp>
        <stp>RCOM IN Equity</stp>
        <stp>ARDR_LOSS_GAIN_DISPOS_LT_INVEST</stp>
        <stp>FY 2010</stp>
        <stp>FY 2010</stp>
        <stp>[FA1_ymffleas.xlsx]Income - As Reported!R108C4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8" s="11"/>
      </tp>
      <tp>
        <v>900</v>
        <stp/>
        <stp>##V3_BDHV12</stp>
        <stp>RCOM IN Equity</stp>
        <stp>ARDR_RETIREMENT_PENSION_OTH_BEN</stp>
        <stp>FY 2011</stp>
        <stp>FY 2011</stp>
        <stp>[FA1_ymffleas.xlsx]Income - As Reported!R116C5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6" s="11"/>
      </tp>
      <tp>
        <v>976.9</v>
        <stp/>
        <stp>##V3_BDHV12</stp>
        <stp>RCOM IN Equity</stp>
        <stp>ARDR_RETIREMENT_PENSION_OTH_BEN</stp>
        <stp>FY 2010</stp>
        <stp>FY 2010</stp>
        <stp>[FA1_ymffleas.xlsx]Income - As Reported!R116C4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6" s="11"/>
      </tp>
      <tp>
        <v>810</v>
        <stp/>
        <stp>##V3_BDHV12</stp>
        <stp>RCOM IN Equity</stp>
        <stp>ARDR_RETIREMENT_PENSION_OTH_BEN</stp>
        <stp>FY 2013</stp>
        <stp>FY 2013</stp>
        <stp>[FA1_ymffleas.xlsx]Income - As Reported!R116C7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6" s="11"/>
      </tp>
      <tp>
        <v>870</v>
        <stp/>
        <stp>##V3_BDHV12</stp>
        <stp>RCOM IN Equity</stp>
        <stp>ARDR_RETIREMENT_PENSION_OTH_BEN</stp>
        <stp>FY 2012</stp>
        <stp>FY 2012</stp>
        <stp>[FA1_ymffleas.xlsx]Income - As Reported!R116C6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6" s="11"/>
      </tp>
      <tp>
        <v>1380.1</v>
        <stp/>
        <stp>##V3_BDHV12</stp>
        <stp>RCOM IN Equity</stp>
        <stp>ARDR_RETIREMENT_PENSION_OTH_BEN</stp>
        <stp>FY 2009</stp>
        <stp>FY 2009</stp>
        <stp>[FA1_ymffleas.xlsx]Income - As Reported!R116C3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6" s="11"/>
      </tp>
      <tp>
        <v>930</v>
        <stp/>
        <stp>##V3_BDHV12</stp>
        <stp>RCOM IN Equity</stp>
        <stp>ARDR_RETIREMENT_PENSION_OTH_BEN</stp>
        <stp>FY 2015</stp>
        <stp>FY 2015</stp>
        <stp>[FA1_ymffleas.xlsx]Income - As Reported!R116C9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6" s="11"/>
      </tp>
      <tp>
        <v>950</v>
        <stp/>
        <stp>##V3_BDHV12</stp>
        <stp>RCOM IN Equity</stp>
        <stp>ARDR_RETIREMENT_PENSION_OTH_BEN</stp>
        <stp>FY 2014</stp>
        <stp>FY 2014</stp>
        <stp>[FA1_ymffleas.xlsx]Income - As Reported!R116C8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6" s="11"/>
      </tp>
      <tp>
        <v>29240</v>
        <stp/>
        <stp>##V3_BDHV12</stp>
        <stp>RCOM IN Equity</stp>
        <stp>ARD_TOTAL_FINANCIAL_LOSSES</stp>
        <stp>FY 2016</stp>
        <stp>FY 2016</stp>
        <stp>[FA1_ymffleas.xlsx]Income - As Reported!R33C10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3" s="11"/>
      </tp>
      <tp>
        <v>2550</v>
        <stp/>
        <stp>##V3_BDHV12</stp>
        <stp>RCOM IN Equity</stp>
        <stp>ARD_TOTAL_FINANCIAL_LOSSES</stp>
        <stp>FY 2017</stp>
        <stp>FY 2017</stp>
        <stp>[FA1_ymffleas.xlsx]Income - As Reported!R33C11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3" s="11"/>
      </tp>
      <tp>
        <v>1860</v>
        <stp/>
        <stp>##V3_BDHV12</stp>
        <stp>RCOM IN Equity</stp>
        <stp>ARD_TOTAL_FINANCIAL_LOSSES</stp>
        <stp>FY 2018</stp>
        <stp>FY 2018</stp>
        <stp>[FA1_ymffleas.xlsx]Income - As Reported!R33C12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3" s="11"/>
      </tp>
      <tp>
        <v>31060</v>
        <stp/>
        <stp>##V3_BDHV12</stp>
        <stp>RCOM IN Equity</stp>
        <stp>ARDR_PREPAYMENT_ADVANCE</stp>
        <stp>FY 2018</stp>
        <stp>FY 2018</stp>
        <stp>[FA1_ymffleas.xlsx]Bal Sheet - As Reported!R158C12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8" s="17"/>
      </tp>
      <tp>
        <v>42720</v>
        <stp/>
        <stp>##V3_BDHV12</stp>
        <stp>RCOM IN Equity</stp>
        <stp>ARDR_PREPAYMENT_ADVANCE</stp>
        <stp>FY 2016</stp>
        <stp>FY 2016</stp>
        <stp>[FA1_ymffleas.xlsx]Bal Sheet - As Reported!R158C10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8" s="17"/>
      </tp>
      <tp>
        <v>50300</v>
        <stp/>
        <stp>##V3_BDHV12</stp>
        <stp>RCOM IN Equity</stp>
        <stp>ARDR_PREPAYMENT_ADVANCE</stp>
        <stp>FY 2017</stp>
        <stp>FY 2017</stp>
        <stp>[FA1_ymffleas.xlsx]Bal Sheet - As Reported!R158C11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8" s="17"/>
      </tp>
      <tp>
        <v>82.460300000000004</v>
        <stp/>
        <stp>##V3_BDHV12</stp>
        <stp>RCOM IN Equity</stp>
        <stp>WORK_CAP_GROWTH</stp>
        <stp>FY 2015</stp>
        <stp>FY 2015</stp>
        <stp>[FA1_ymffleas.xlsx]Growth!R21C9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1" s="22"/>
      </tp>
      <tp>
        <v>-8.7941000000000003</v>
        <stp/>
        <stp>##V3_BDHV12</stp>
        <stp>RCOM IN Equity</stp>
        <stp>WORK_CAP_GROWTH</stp>
        <stp>FY 2014</stp>
        <stp>FY 2014</stp>
        <stp>[FA1_ymffleas.xlsx]Growth!R21C8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1" s="22"/>
      </tp>
      <tp>
        <v>50000</v>
        <stp/>
        <stp>##V3_BDHV12</stp>
        <stp>RCOM IN Equity</stp>
        <stp>ARDR_BONDS_PAYABLE</stp>
        <stp>FY 2014</stp>
        <stp>FY 2014</stp>
        <stp>[FA1_ymffleas.xlsx]Bal Sheet - As Reported!R161C8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1" s="17"/>
      </tp>
      <tp>
        <v>46250</v>
        <stp/>
        <stp>##V3_BDHV12</stp>
        <stp>RCOM IN Equity</stp>
        <stp>ARDR_BONDS_PAYABLE</stp>
        <stp>FY 2015</stp>
        <stp>FY 2015</stp>
        <stp>[FA1_ymffleas.xlsx]Bal Sheet - As Reported!R161C9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1" s="17"/>
      </tp>
      <tp>
        <v>30000</v>
        <stp/>
        <stp>##V3_BDHV12</stp>
        <stp>RCOM IN Equity</stp>
        <stp>ARDR_BONDS_PAYABLE</stp>
        <stp>FY 2009</stp>
        <stp>FY 2009</stp>
        <stp>[FA1_ymffleas.xlsx]Bal Sheet - As Reported!R161C3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1" s="17"/>
      </tp>
      <tp>
        <v>50000</v>
        <stp/>
        <stp>##V3_BDHV12</stp>
        <stp>RCOM IN Equity</stp>
        <stp>ARDR_BONDS_PAYABLE</stp>
        <stp>FY 2012</stp>
        <stp>FY 2012</stp>
        <stp>[FA1_ymffleas.xlsx]Bal Sheet - As Reported!R161C6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1" s="17"/>
      </tp>
      <tp>
        <v>50000</v>
        <stp/>
        <stp>##V3_BDHV12</stp>
        <stp>RCOM IN Equity</stp>
        <stp>ARDR_BONDS_PAYABLE</stp>
        <stp>FY 2013</stp>
        <stp>FY 2013</stp>
        <stp>[FA1_ymffleas.xlsx]Bal Sheet - As Reported!R161C7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1" s="17"/>
      </tp>
      <tp>
        <v>30000</v>
        <stp/>
        <stp>##V3_BDHV12</stp>
        <stp>RCOM IN Equity</stp>
        <stp>ARDR_BONDS_PAYABLE</stp>
        <stp>FY 2010</stp>
        <stp>FY 2010</stp>
        <stp>[FA1_ymffleas.xlsx]Bal Sheet - As Reported!R161C4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1" s="17"/>
      </tp>
      <tp>
        <v>30000</v>
        <stp/>
        <stp>##V3_BDHV12</stp>
        <stp>RCOM IN Equity</stp>
        <stp>ARDR_BONDS_PAYABLE</stp>
        <stp>FY 2011</stp>
        <stp>FY 2011</stp>
        <stp>[FA1_ymffleas.xlsx]Bal Sheet - As Reported!R161C5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1" s="17"/>
      </tp>
      <tp>
        <v>62.496499999999997</v>
        <stp/>
        <stp>##V3_BDHV12</stp>
        <stp>RCOM IN Equity</stp>
        <stp>WORK_CAP_GROWTH</stp>
        <stp>FY 2009</stp>
        <stp>FY 2009</stp>
        <stp>[FA1_ymffleas.xlsx]Growth!R21C3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1" s="22"/>
      </tp>
      <tp>
        <v>-21.939799999999998</v>
        <stp/>
        <stp>##V3_BDHV12</stp>
        <stp>RCOM IN Equity</stp>
        <stp>WORK_CAP_GROWTH</stp>
        <stp>FY 2011</stp>
        <stp>FY 2011</stp>
        <stp>[FA1_ymffleas.xlsx]Growth!R21C5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1" s="22"/>
      </tp>
      <tp>
        <v>-63.452100000000002</v>
        <stp/>
        <stp>##V3_BDHV12</stp>
        <stp>RCOM IN Equity</stp>
        <stp>WORK_CAP_GROWTH</stp>
        <stp>FY 2010</stp>
        <stp>FY 2010</stp>
        <stp>[FA1_ymffleas.xlsx]Growth!R21C4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1" s="22"/>
      </tp>
      <tp>
        <v>17.8462</v>
        <stp/>
        <stp>##V3_BDHV12</stp>
        <stp>RCOM IN Equity</stp>
        <stp>CASH_DVD_COVERAGE</stp>
        <stp>FY 2012</stp>
        <stp>FY 2012</stp>
        <stp>[FA1_ymffleas.xlsx]Dividend Summary!R10C6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0" s="31"/>
      </tp>
      <tp>
        <v>-13.3786</v>
        <stp/>
        <stp>##V3_BDHV12</stp>
        <stp>RCOM IN Equity</stp>
        <stp>WORK_CAP_GROWTH</stp>
        <stp>FY 2013</stp>
        <stp>FY 2013</stp>
        <stp>[FA1_ymffleas.xlsx]Growth!R21C7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1" s="22"/>
      </tp>
      <tp>
        <v>37.813800000000001</v>
        <stp/>
        <stp>##V3_BDHV12</stp>
        <stp>RCOM IN Equity</stp>
        <stp>WORK_CAP_GROWTH</stp>
        <stp>FY 2012</stp>
        <stp>FY 2012</stp>
        <stp>[FA1_ymffleas.xlsx]Growth!R21C6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1" s="22"/>
      </tp>
      <tp>
        <v>0</v>
        <stp/>
        <stp>##V3_BDHV12</stp>
        <stp>RCOM IN Equity</stp>
        <stp>EQY_DPS</stp>
        <stp>FY 2016</stp>
        <stp>FY 2016</stp>
        <stp>[FA1_ymffleas.xlsx]Income - GAAP!R106C9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06" s="10"/>
      </tp>
      <tp>
        <v>0</v>
        <stp/>
        <stp>##V3_BDHV12</stp>
        <stp>RCOM IN Equity</stp>
        <stp>EQY_DPS</stp>
        <stp>FY 2015</stp>
        <stp>FY 2015</stp>
        <stp>[FA1_ymffleas.xlsx]Income - GAAP!R106C8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06" s="10"/>
      </tp>
      <tp>
        <v>0.18970000000000001</v>
        <stp/>
        <stp>##V3_BDHV12</stp>
        <stp>RCOM IN Equity</stp>
        <stp>IS_DIL_EPS_BEF_XO</stp>
        <stp>FY 2018</stp>
        <stp>FY 2018</stp>
        <stp>[FA1_ymffleas.xlsx]Income - GAAP!R94C11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4" s="10"/>
      </tp>
      <tp>
        <v>0.25</v>
        <stp/>
        <stp>##V3_BDHV12</stp>
        <stp>RCOM IN Equity</stp>
        <stp>EQY_DPS</stp>
        <stp>FY 2012</stp>
        <stp>FY 2012</stp>
        <stp>[FA1_ymffleas.xlsx]Income - GAAP!R106C5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06" s="10"/>
      </tp>
      <tp>
        <v>0.50649999999999995</v>
        <stp/>
        <stp>##V3_BDHV12</stp>
        <stp>RCOM IN Equity</stp>
        <stp>IS_DIL_EPS_BEF_XO</stp>
        <stp>FY 2017</stp>
        <stp>FY 2017</stp>
        <stp>[FA1_ymffleas.xlsx]Income - GAAP!R94C10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4" s="10"/>
      </tp>
      <tp>
        <v>0.5</v>
        <stp/>
        <stp>##V3_BDHV12</stp>
        <stp>RCOM IN Equity</stp>
        <stp>EQY_DPS</stp>
        <stp>FY 2011</stp>
        <stp>FY 2011</stp>
        <stp>[FA1_ymffleas.xlsx]Income - GAAP!R106C4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06" s="10"/>
      </tp>
      <tp>
        <v>0</v>
        <stp/>
        <stp>##V3_BDHV12</stp>
        <stp>RCOM IN Equity</stp>
        <stp>EQY_DPS</stp>
        <stp>FY 2014</stp>
        <stp>FY 2014</stp>
        <stp>[FA1_ymffleas.xlsx]Income - GAAP!R106C7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06" s="10"/>
      </tp>
      <tp>
        <v>912840</v>
        <stp/>
        <stp>##V3_BDHV12</stp>
        <stp>RCOM IN Equity</stp>
        <stp>ARD_TOT_LIAB_AND_SHAREHOLDER_EQY</stp>
        <stp>FY 2015</stp>
        <stp>FY 2015</stp>
        <stp>[FA1_ymffleas.xlsx]Bal Sheet - As Reported!R14C9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" s="17"/>
      </tp>
      <tp>
        <v>907390</v>
        <stp/>
        <stp>##V3_BDHV12</stp>
        <stp>RCOM IN Equity</stp>
        <stp>ARD_TOT_LIAB_AND_SHAREHOLDER_EQY</stp>
        <stp>FY 2014</stp>
        <stp>FY 2014</stp>
        <stp>[FA1_ymffleas.xlsx]Bal Sheet - As Reported!R14C8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" s="17"/>
      </tp>
      <tp t="s">
        <v>—</v>
        <stp/>
        <stp>##V3_BDHV12</stp>
        <stp>RCOM IN Equity</stp>
        <stp>ARD_TOT_LIAB_AND_SHAREHOLDER_EQY</stp>
        <stp>FY 2009</stp>
        <stp>FY 2009</stp>
        <stp>[FA1_ymffleas.xlsx]Bal Sheet - As Reported!R14C3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" s="17"/>
      </tp>
      <tp>
        <v>947230</v>
        <stp/>
        <stp>##V3_BDHV12</stp>
        <stp>RCOM IN Equity</stp>
        <stp>ARD_TOT_LIAB_AND_SHAREHOLDER_EQY</stp>
        <stp>FY 2011</stp>
        <stp>FY 2011</stp>
        <stp>[FA1_ymffleas.xlsx]Bal Sheet - As Reported!R14C5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" s="17"/>
      </tp>
      <tp t="s">
        <v>—</v>
        <stp/>
        <stp>##V3_BDHV12</stp>
        <stp>RCOM IN Equity</stp>
        <stp>ARD_TOT_LIAB_AND_SHAREHOLDER_EQY</stp>
        <stp>FY 2010</stp>
        <stp>FY 2010</stp>
        <stp>[FA1_ymffleas.xlsx]Bal Sheet - As Reported!R14C4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" s="17"/>
      </tp>
      <tp>
        <v>901820</v>
        <stp/>
        <stp>##V3_BDHV12</stp>
        <stp>RCOM IN Equity</stp>
        <stp>ARD_TOT_LIAB_AND_SHAREHOLDER_EQY</stp>
        <stp>FY 2013</stp>
        <stp>FY 2013</stp>
        <stp>[FA1_ymffleas.xlsx]Bal Sheet - As Reported!R14C7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" s="17"/>
      </tp>
      <tp>
        <v>922650</v>
        <stp/>
        <stp>##V3_BDHV12</stp>
        <stp>RCOM IN Equity</stp>
        <stp>ARD_TOT_LIAB_AND_SHAREHOLDER_EQY</stp>
        <stp>FY 2012</stp>
        <stp>FY 2012</stp>
        <stp>[FA1_ymffleas.xlsx]Bal Sheet - As Reported!R14C6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" s="17"/>
      </tp>
      <tp>
        <v>0.25</v>
        <stp/>
        <stp>##V3_BDHV12</stp>
        <stp>RCOM IN Equity</stp>
        <stp>EQY_DPS</stp>
        <stp>FY 2013</stp>
        <stp>FY 2013</stp>
        <stp>[FA1_ymffleas.xlsx]Income - GAAP!R106C6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06" s="10"/>
      </tp>
      <tp>
        <v>49670</v>
        <stp/>
        <stp>##V3_BDHV12</stp>
        <stp>RCOM IN Equity</stp>
        <stp>ARD_OTHER_OPERATING_EXPENSES</stp>
        <stp>FY 2017</stp>
        <stp>FY 2017</stp>
        <stp>[FA1_ymffleas.xlsx]Income - As Reported!R18C11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" s="11"/>
      </tp>
      <tp>
        <v>135980</v>
        <stp/>
        <stp>##V3_BDHV12</stp>
        <stp>RCOM IN Equity</stp>
        <stp>ARD_OTHER_OPERATING_EXPENSES</stp>
        <stp>FY 2016</stp>
        <stp>FY 2016</stp>
        <stp>[FA1_ymffleas.xlsx]Income - As Reported!R18C10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" s="11"/>
      </tp>
      <tp>
        <v>33580</v>
        <stp/>
        <stp>##V3_BDHV12</stp>
        <stp>RCOM IN Equity</stp>
        <stp>ARD_OTHER_OPERATING_EXPENSES</stp>
        <stp>FY 2018</stp>
        <stp>FY 2018</stp>
        <stp>[FA1_ymffleas.xlsx]Income - As Reported!R18C12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" s="11"/>
      </tp>
      <tp>
        <v>0.85</v>
        <stp/>
        <stp>##V3_BDHV12</stp>
        <stp>RCOM IN Equity</stp>
        <stp>EQY_DPS</stp>
        <stp>FY 2010</stp>
        <stp>FY 2010</stp>
        <stp>[FA1_ymffleas.xlsx]Income - GAAP!R106C3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06" s="10"/>
      </tp>
      <tp>
        <v>291140</v>
        <stp/>
        <stp>##V3_BDHV12</stp>
        <stp>RCOM IN Equity</stp>
        <stp>ARDR_LT_DEBT</stp>
        <stp>FY 2016</stp>
        <stp>FY 2016</stp>
        <stp>[FA1_ymffleas.xlsx]Bal Sheet - As Reported!R91C10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1" s="17"/>
      </tp>
      <tp>
        <v>225500</v>
        <stp/>
        <stp>##V3_BDHV12</stp>
        <stp>RCOM IN Equity</stp>
        <stp>ARDR_LT_DEBT</stp>
        <stp>FY 2017</stp>
        <stp>FY 2017</stp>
        <stp>[FA1_ymffleas.xlsx]Bal Sheet - As Reported!R91C11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1" s="17"/>
      </tp>
      <tp>
        <v>130210</v>
        <stp/>
        <stp>##V3_BDHV12</stp>
        <stp>RCOM IN Equity</stp>
        <stp>ARDR_LT_DEBT</stp>
        <stp>FY 2018</stp>
        <stp>FY 2018</stp>
        <stp>[FA1_ymffleas.xlsx]Bal Sheet - As Reported!R91C12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1" s="17"/>
      </tp>
      <tp>
        <v>11.919499999999999</v>
        <stp/>
        <stp>##V3_BDHV12</stp>
        <stp>RCOM IN Equity</stp>
        <stp>EARN_FOR_COM_GROWTH</stp>
        <stp>FY 2009</stp>
        <stp>FY 2009</stp>
        <stp>[FA1_ymffleas.xlsx]Growth!R10C3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0" s="22"/>
      </tp>
      <tp>
        <v>930220</v>
        <stp/>
        <stp>##V3_BDHV12</stp>
        <stp>RCOM IN Equity</stp>
        <stp>BS_TOT_ASSET</stp>
        <stp>FY 2015</stp>
        <stp>FY 2015</stp>
        <stp>[FA1_ymffleas.xlsx]Addl - Overview!R25C8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5" s="29"/>
      </tp>
      <tp>
        <v>1034540</v>
        <stp/>
        <stp>##V3_BDHV12</stp>
        <stp>RCOM IN Equity</stp>
        <stp>BS_TOT_ASSET</stp>
        <stp>FY 2016</stp>
        <stp>FY 2016</stp>
        <stp>[FA1_ymffleas.xlsx]Addl - Overview!R25C9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5" s="29"/>
      </tp>
      <tp>
        <v>947230</v>
        <stp/>
        <stp>##V3_BDHV12</stp>
        <stp>RCOM IN Equity</stp>
        <stp>BS_TOT_ASSET</stp>
        <stp>FY 2011</stp>
        <stp>FY 2011</stp>
        <stp>[FA1_ymffleas.xlsx]Addl - Overview!R25C4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5" s="29"/>
      </tp>
      <tp>
        <v>922650</v>
        <stp/>
        <stp>##V3_BDHV12</stp>
        <stp>RCOM IN Equity</stp>
        <stp>BS_TOT_ASSET</stp>
        <stp>FY 2012</stp>
        <stp>FY 2012</stp>
        <stp>[FA1_ymffleas.xlsx]Addl - Overview!R25C5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5" s="29"/>
      </tp>
      <tp>
        <v>901820</v>
        <stp/>
        <stp>##V3_BDHV12</stp>
        <stp>RCOM IN Equity</stp>
        <stp>BS_TOT_ASSET</stp>
        <stp>FY 2013</stp>
        <stp>FY 2013</stp>
        <stp>[FA1_ymffleas.xlsx]Addl - Overview!R25C6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5" s="29"/>
      </tp>
      <tp>
        <v>907390</v>
        <stp/>
        <stp>##V3_BDHV12</stp>
        <stp>RCOM IN Equity</stp>
        <stp>BS_TOT_ASSET</stp>
        <stp>FY 2014</stp>
        <stp>FY 2014</stp>
        <stp>[FA1_ymffleas.xlsx]Addl - Overview!R25C7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5" s="29"/>
      </tp>
      <tp>
        <v>925686.3</v>
        <stp/>
        <stp>##V3_BDHV12</stp>
        <stp>RCOM IN Equity</stp>
        <stp>BS_TOT_ASSET</stp>
        <stp>FY 2010</stp>
        <stp>FY 2010</stp>
        <stp>[FA1_ymffleas.xlsx]Addl - Overview!R25C3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5" s="29"/>
      </tp>
      <tp t="s">
        <v>—</v>
        <stp/>
        <stp>##V3_BDHV12</stp>
        <stp>RCOM IN Equity</stp>
        <stp>ARDR_OVER_UNDER_POST_RETIRE_BEN</stp>
        <stp>FY 2014</stp>
        <stp>FY 2014</stp>
        <stp>[FA1_ymffleas.xlsx]Bal Sheet - As Reported!R104C8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4" s="17"/>
      </tp>
      <tp t="s">
        <v>—</v>
        <stp/>
        <stp>##V3_BDHV12</stp>
        <stp>RCOM IN Equity</stp>
        <stp>ARDR_OVER_UNDER_POST_RETIRE_BEN</stp>
        <stp>FY 2015</stp>
        <stp>FY 2015</stp>
        <stp>[FA1_ymffleas.xlsx]Bal Sheet - As Reported!R104C9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4" s="17"/>
      </tp>
      <tp t="s">
        <v>—</v>
        <stp/>
        <stp>##V3_BDHV12</stp>
        <stp>RCOM IN Equity</stp>
        <stp>ARDR_OVER_UNDER_POST_RETIRE_BEN</stp>
        <stp>FY 2010</stp>
        <stp>FY 2010</stp>
        <stp>[FA1_ymffleas.xlsx]Bal Sheet - As Reported!R104C4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4" s="17"/>
      </tp>
      <tp t="s">
        <v>—</v>
        <stp/>
        <stp>##V3_BDHV12</stp>
        <stp>RCOM IN Equity</stp>
        <stp>ARDR_OVER_UNDER_POST_RETIRE_BEN</stp>
        <stp>FY 2011</stp>
        <stp>FY 2011</stp>
        <stp>[FA1_ymffleas.xlsx]Bal Sheet - As Reported!R104C5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4" s="17"/>
      </tp>
      <tp t="s">
        <v>—</v>
        <stp/>
        <stp>##V3_BDHV12</stp>
        <stp>RCOM IN Equity</stp>
        <stp>ARDR_OVER_UNDER_POST_RETIRE_BEN</stp>
        <stp>FY 2012</stp>
        <stp>FY 2012</stp>
        <stp>[FA1_ymffleas.xlsx]Bal Sheet - As Reported!R104C6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4" s="17"/>
      </tp>
      <tp t="s">
        <v>—</v>
        <stp/>
        <stp>##V3_BDHV12</stp>
        <stp>RCOM IN Equity</stp>
        <stp>ARDR_OVER_UNDER_POST_RETIRE_BEN</stp>
        <stp>FY 2013</stp>
        <stp>FY 2013</stp>
        <stp>[FA1_ymffleas.xlsx]Bal Sheet - As Reported!R104C7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4" s="17"/>
      </tp>
      <tp t="s">
        <v>—</v>
        <stp/>
        <stp>##V3_BDHV12</stp>
        <stp>RCOM IN Equity</stp>
        <stp>ARDR_OVER_UNDER_POST_RETIRE_BEN</stp>
        <stp>FY 2009</stp>
        <stp>FY 2009</stp>
        <stp>[FA1_ymffleas.xlsx]Bal Sheet - As Reported!R104C3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4" s="17"/>
      </tp>
      <tp>
        <v>90.677099999999996</v>
        <stp/>
        <stp>##V3_BDHV12</stp>
        <stp>RCOM IN Equity</stp>
        <stp>REVENUE_PER_SH</stp>
        <stp>FY 2012</stp>
        <stp>FY 2012</stp>
        <stp>[FA1_ymffleas.xlsx]Per Share!R11C5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1" s="7"/>
      </tp>
      <tp>
        <v>-910</v>
        <stp/>
        <stp>##V3_BDHV12</stp>
        <stp>RCOM IN Equity</stp>
        <stp>MIN_NONCONTROL_INTEREST_CREDITS</stp>
        <stp>FY 2015</stp>
        <stp>FY 2015</stp>
        <stp>[FA1_ymffleas.xlsx]Income - GAAP!R75C8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75" s="10"/>
      </tp>
      <tp>
        <v>210</v>
        <stp/>
        <stp>##V3_BDHV12</stp>
        <stp>RCOM IN Equity</stp>
        <stp>MIN_NONCONTROL_INTEREST_CREDITS</stp>
        <stp>FY 2016</stp>
        <stp>FY 2016</stp>
        <stp>[FA1_ymffleas.xlsx]Income - GAAP!R75C9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75" s="10"/>
      </tp>
      <tp>
        <v>241.3</v>
        <stp/>
        <stp>##V3_BDHV12</stp>
        <stp>RCOM IN Equity</stp>
        <stp>ARDR_LEASEHOLD_LAND_GROSS</stp>
        <stp>FY 2009</stp>
        <stp>FY 2009</stp>
        <stp>[FA1_ymffleas.xlsx]Bal Sheet - As Reported!R184C3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4" s="17"/>
      </tp>
      <tp>
        <v>250</v>
        <stp/>
        <stp>##V3_BDHV12</stp>
        <stp>RCOM IN Equity</stp>
        <stp>ARDR_LEASEHOLD_LAND_GROSS</stp>
        <stp>FY 2011</stp>
        <stp>FY 2011</stp>
        <stp>[FA1_ymffleas.xlsx]Bal Sheet - As Reported!R184C5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4" s="17"/>
      </tp>
      <tp>
        <v>241.3</v>
        <stp/>
        <stp>##V3_BDHV12</stp>
        <stp>RCOM IN Equity</stp>
        <stp>ARDR_LEASEHOLD_LAND_GROSS</stp>
        <stp>FY 2010</stp>
        <stp>FY 2010</stp>
        <stp>[FA1_ymffleas.xlsx]Bal Sheet - As Reported!R184C4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4" s="17"/>
      </tp>
      <tp>
        <v>250</v>
        <stp/>
        <stp>##V3_BDHV12</stp>
        <stp>RCOM IN Equity</stp>
        <stp>ARDR_LEASEHOLD_LAND_GROSS</stp>
        <stp>FY 2013</stp>
        <stp>FY 2013</stp>
        <stp>[FA1_ymffleas.xlsx]Bal Sheet - As Reported!R184C7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4" s="17"/>
      </tp>
      <tp>
        <v>250</v>
        <stp/>
        <stp>##V3_BDHV12</stp>
        <stp>RCOM IN Equity</stp>
        <stp>ARDR_LEASEHOLD_LAND_GROSS</stp>
        <stp>FY 2012</stp>
        <stp>FY 2012</stp>
        <stp>[FA1_ymffleas.xlsx]Bal Sheet - As Reported!R184C6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4" s="17"/>
      </tp>
      <tp>
        <v>250</v>
        <stp/>
        <stp>##V3_BDHV12</stp>
        <stp>RCOM IN Equity</stp>
        <stp>ARDR_LEASEHOLD_LAND_GROSS</stp>
        <stp>FY 2015</stp>
        <stp>FY 2015</stp>
        <stp>[FA1_ymffleas.xlsx]Bal Sheet - As Reported!R184C9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4" s="17"/>
      </tp>
      <tp>
        <v>250</v>
        <stp/>
        <stp>##V3_BDHV12</stp>
        <stp>RCOM IN Equity</stp>
        <stp>ARDR_LEASEHOLD_LAND_GROSS</stp>
        <stp>FY 2014</stp>
        <stp>FY 2014</stp>
        <stp>[FA1_ymffleas.xlsx]Bal Sheet - As Reported!R184C8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4" s="17"/>
      </tp>
      <tp>
        <v>1500</v>
        <stp/>
        <stp>##V3_BDHV12</stp>
        <stp>RCOM IN Equity</stp>
        <stp>MIN_NONCONTROL_INTEREST_CREDITS</stp>
        <stp>FY 2011</stp>
        <stp>FY 2011</stp>
        <stp>[FA1_ymffleas.xlsx]Income - GAAP!R75C4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75" s="10"/>
      </tp>
      <tp>
        <v>610</v>
        <stp/>
        <stp>##V3_BDHV12</stp>
        <stp>RCOM IN Equity</stp>
        <stp>MIN_NONCONTROL_INTEREST_CREDITS</stp>
        <stp>FY 2012</stp>
        <stp>FY 2012</stp>
        <stp>[FA1_ymffleas.xlsx]Income - GAAP!R75C5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75" s="10"/>
      </tp>
      <tp>
        <v>730</v>
        <stp/>
        <stp>##V3_BDHV12</stp>
        <stp>RCOM IN Equity</stp>
        <stp>MIN_NONCONTROL_INTEREST_CREDITS</stp>
        <stp>FY 2013</stp>
        <stp>FY 2013</stp>
        <stp>[FA1_ymffleas.xlsx]Income - GAAP!R75C6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75" s="10"/>
      </tp>
      <tp>
        <v>920</v>
        <stp/>
        <stp>##V3_BDHV12</stp>
        <stp>RCOM IN Equity</stp>
        <stp>MIN_NONCONTROL_INTEREST_CREDITS</stp>
        <stp>FY 2014</stp>
        <stp>FY 2014</stp>
        <stp>[FA1_ymffleas.xlsx]Income - GAAP!R75C7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75" s="10"/>
      </tp>
      <tp>
        <v>67.711699999999993</v>
        <stp/>
        <stp>##V3_BDHV12</stp>
        <stp>RCOM IN Equity</stp>
        <stp>EBITDA_MARGIN</stp>
        <stp>FY 2018</stp>
        <stp>FY 2018</stp>
        <stp>[FA1_ymffleas.xlsx]Cash Flow - Standardized!R59C11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59" s="19"/>
      </tp>
      <tp>
        <v>1192.5</v>
        <stp/>
        <stp>##V3_BDHV12</stp>
        <stp>RCOM IN Equity</stp>
        <stp>MIN_NONCONTROL_INTEREST_CREDITS</stp>
        <stp>FY 2010</stp>
        <stp>FY 2010</stp>
        <stp>[FA1_ymffleas.xlsx]Income - GAAP!R75C3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75" s="10"/>
      </tp>
      <tp>
        <v>18170</v>
        <stp/>
        <stp>##V3_BDHV12</stp>
        <stp>RCOM IN Equity</stp>
        <stp>IS_OPER_INC</stp>
        <stp>FY 2012</stp>
        <stp>FY 2012</stp>
        <stp>[FA1_ymffleas.xlsx]Reconciliation!R21C5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21" s="12"/>
      </tp>
      <tp>
        <v>18720</v>
        <stp/>
        <stp>##V3_BDHV12</stp>
        <stp>RCOM IN Equity</stp>
        <stp>IS_OPER_INC</stp>
        <stp>FY 2011</stp>
        <stp>FY 2011</stp>
        <stp>[FA1_ymffleas.xlsx]Reconciliation!R21C4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21" s="12"/>
      </tp>
      <tp>
        <v>21710</v>
        <stp/>
        <stp>##V3_BDHV12</stp>
        <stp>RCOM IN Equity</stp>
        <stp>IS_OPER_INC</stp>
        <stp>FY 2014</stp>
        <stp>FY 2014</stp>
        <stp>[FA1_ymffleas.xlsx]Reconciliation!R21C7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21" s="12"/>
      </tp>
      <tp>
        <v>20960</v>
        <stp/>
        <stp>##V3_BDHV12</stp>
        <stp>RCOM IN Equity</stp>
        <stp>IS_OPER_INC</stp>
        <stp>FY 2013</stp>
        <stp>FY 2013</stp>
        <stp>[FA1_ymffleas.xlsx]Reconciliation!R21C6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21" s="12"/>
      </tp>
      <tp>
        <v>-5.4813999999999998</v>
        <stp/>
        <stp>##V3_BDHV12</stp>
        <stp>RCOM IN Equity</stp>
        <stp>GEO_GROW_CASH_OPER_ACT</stp>
        <stp>FY 2014</stp>
        <stp>FY 2014</stp>
        <stp>[FA1_ymffleas.xlsx]Growth!R57C8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57" s="22"/>
      </tp>
      <tp>
        <v>32425.3</v>
        <stp/>
        <stp>##V3_BDHV12</stp>
        <stp>RCOM IN Equity</stp>
        <stp>IS_OPER_INC</stp>
        <stp>FY 2010</stp>
        <stp>FY 2010</stp>
        <stp>[FA1_ymffleas.xlsx]Reconciliation!R21C3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21" s="12"/>
      </tp>
      <tp>
        <v>-43.137900000000002</v>
        <stp/>
        <stp>##V3_BDHV12</stp>
        <stp>RCOM IN Equity</stp>
        <stp>GEO_GROW_CASH_OPER_ACT</stp>
        <stp>FY 2015</stp>
        <stp>FY 2015</stp>
        <stp>[FA1_ymffleas.xlsx]Growth!R57C9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57" s="22"/>
      </tp>
      <tp t="s">
        <v>—</v>
        <stp/>
        <stp>##V3_BDHV12</stp>
        <stp>RCOM IN Equity</stp>
        <stp>GEO_GROW_CASH_OPER_ACT</stp>
        <stp>FY 2012</stp>
        <stp>FY 2012</stp>
        <stp>[FA1_ymffleas.xlsx]Growth!R57C6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57" s="22"/>
      </tp>
      <tp>
        <v>-20.073499999999999</v>
        <stp/>
        <stp>##V3_BDHV12</stp>
        <stp>RCOM IN Equity</stp>
        <stp>GEO_GROW_CASH_OPER_ACT</stp>
        <stp>FY 2013</stp>
        <stp>FY 2013</stp>
        <stp>[FA1_ymffleas.xlsx]Growth!R57C7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57" s="22"/>
      </tp>
      <tp t="s">
        <v>—</v>
        <stp/>
        <stp>##V3_BDHV12</stp>
        <stp>RCOM IN Equity</stp>
        <stp>GEO_GROW_CASH_OPER_ACT</stp>
        <stp>FY 2010</stp>
        <stp>FY 2010</stp>
        <stp>[FA1_ymffleas.xlsx]Growth!R57C4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57" s="22"/>
      </tp>
      <tp t="s">
        <v>—</v>
        <stp/>
        <stp>##V3_BDHV12</stp>
        <stp>RCOM IN Equity</stp>
        <stp>GEO_GROW_CASH_OPER_ACT</stp>
        <stp>FY 2011</stp>
        <stp>FY 2011</stp>
        <stp>[FA1_ymffleas.xlsx]Growth!R57C5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57" s="22"/>
      </tp>
      <tp>
        <v>27760</v>
        <stp/>
        <stp>##V3_BDHV12</stp>
        <stp>RCOM IN Equity</stp>
        <stp>IS_OPER_INC</stp>
        <stp>FY 2016</stp>
        <stp>FY 2016</stp>
        <stp>[FA1_ymffleas.xlsx]Reconciliation!R21C9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21" s="12"/>
      </tp>
      <tp t="s">
        <v>—</v>
        <stp/>
        <stp>##V3_BDHV12</stp>
        <stp>RCOM IN Equity</stp>
        <stp>GEO_GROW_CASH_OPER_ACT</stp>
        <stp>FY 2009</stp>
        <stp>FY 2009</stp>
        <stp>[FA1_ymffleas.xlsx]Growth!R57C3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57" s="22"/>
      </tp>
      <tp>
        <v>33890</v>
        <stp/>
        <stp>##V3_BDHV12</stp>
        <stp>RCOM IN Equity</stp>
        <stp>IS_OPER_INC</stp>
        <stp>FY 2015</stp>
        <stp>FY 2015</stp>
        <stp>[FA1_ymffleas.xlsx]Reconciliation!R21C8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21" s="12"/>
      </tp>
      <tp t="s">
        <v>—</v>
        <stp/>
        <stp>##V3_BDHV12</stp>
        <stp>RCOM IN Equity</stp>
        <stp>GROSS_PROFIT</stp>
        <stp>FY 2018</stp>
        <stp>FY 2018</stp>
        <stp>[FA1_ymffleas.xlsx]Adj Highlights!R14C11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4" s="2"/>
      </tp>
      <tp>
        <v>22.553000000000001</v>
        <stp/>
        <stp>##V3_BDHV12</stp>
        <stp>RCOM IN Equity</stp>
        <stp>IS_EPS</stp>
        <stp>FY 2010</stp>
        <stp>FY 2010</stp>
        <stp>[FA1_ymffleas.xlsx]Per Share!R14C3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4" s="7"/>
      </tp>
      <tp t="s">
        <v>—</v>
        <stp/>
        <stp>##V3_BDHV12</stp>
        <stp>RCOM IN Equity</stp>
        <stp>GROSS_PROFIT</stp>
        <stp>FY 2017</stp>
        <stp>FY 2017</stp>
        <stp>[FA1_ymffleas.xlsx]Adj Highlights!R14C10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4" s="2"/>
      </tp>
      <tp>
        <v>1.7677</v>
        <stp/>
        <stp>##V3_BDHV12</stp>
        <stp>RCOM IN Equity</stp>
        <stp>SUSTAIN_GROWTH_RT</stp>
        <stp>FY 2013</stp>
        <stp>FY 2013</stp>
        <stp>[FA1_ymffleas.xlsx]Profitability!R24C7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4" s="21"/>
      </tp>
      <tp>
        <v>31150</v>
        <stp/>
        <stp>##V3_BDHV12</stp>
        <stp>RCOM IN Equity</stp>
        <stp>TOTAL_EQUITY</stp>
        <stp>FY 2018</stp>
        <stp>FY 2018</stp>
        <stp>[FA1_ymffleas.xlsx]Addl - Overview!R27C11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7" s="29"/>
      </tp>
      <tp>
        <v>289690</v>
        <stp/>
        <stp>##V3_BDHV12</stp>
        <stp>RCOM IN Equity</stp>
        <stp>TOTAL_EQUITY</stp>
        <stp>FY 2017</stp>
        <stp>FY 2017</stp>
        <stp>[FA1_ymffleas.xlsx]Addl - Overview!R27C10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7" s="29"/>
      </tp>
      <tp>
        <v>318650</v>
        <stp/>
        <stp>##V3_BDHV12</stp>
        <stp>RCOM IN Equity</stp>
        <stp>ARD_TOTAL_SHAREHOLDERS_EQUITY</stp>
        <stp>FY 2016</stp>
        <stp>FY 2016</stp>
        <stp>[FA1_ymffleas.xlsx]Bal Sheet - As Reported!R9C10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" s="17"/>
      </tp>
      <tp>
        <v>289690</v>
        <stp/>
        <stp>##V3_BDHV12</stp>
        <stp>RCOM IN Equity</stp>
        <stp>ARD_TOTAL_SHAREHOLDERS_EQUITY</stp>
        <stp>FY 2017</stp>
        <stp>FY 2017</stp>
        <stp>[FA1_ymffleas.xlsx]Bal Sheet - As Reported!R9C11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" s="17"/>
      </tp>
      <tp>
        <v>31150</v>
        <stp/>
        <stp>##V3_BDHV12</stp>
        <stp>RCOM IN Equity</stp>
        <stp>ARD_TOTAL_SHAREHOLDERS_EQUITY</stp>
        <stp>FY 2018</stp>
        <stp>FY 2018</stp>
        <stp>[FA1_ymffleas.xlsx]Bal Sheet - As Reported!R9C12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" s="17"/>
      </tp>
      <tp>
        <v>18.687100000000001</v>
        <stp/>
        <stp>##V3_BDHV12</stp>
        <stp>RCOM IN Equity</stp>
        <stp>EV_TO_T12M_EBIT</stp>
        <stp>FY 2010</stp>
        <stp>FY 2010</stp>
        <stp>[FA1_ymffleas.xlsx]Enterprise Value!R19C3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9" s="5"/>
      </tp>
      <tp>
        <v>3700</v>
        <stp/>
        <stp>##V3_BDHV12</stp>
        <stp>RCOM IN Equity</stp>
        <stp>IS_OTHER_OPERATING_EXPN_ADJUST</stp>
        <stp>FY 2012</stp>
        <stp>FY 2012</stp>
        <stp>[FA1_ymffleas.xlsx]Reconciliation!R15C5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" s="12"/>
      </tp>
      <tp>
        <v>0</v>
        <stp/>
        <stp>##V3_BDHV12</stp>
        <stp>RCOM IN Equity</stp>
        <stp>IS_OTHER_OPERATING_EXPN_ADJUST</stp>
        <stp>FY 2011</stp>
        <stp>FY 2011</stp>
        <stp>[FA1_ymffleas.xlsx]Reconciliation!R15C4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" s="12"/>
      </tp>
      <tp>
        <v>0</v>
        <stp/>
        <stp>##V3_BDHV12</stp>
        <stp>RCOM IN Equity</stp>
        <stp>IS_OTHER_OPERATING_EXPN_ADJUST</stp>
        <stp>FY 2014</stp>
        <stp>FY 2014</stp>
        <stp>[FA1_ymffleas.xlsx]Reconciliation!R15C7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" s="12"/>
      </tp>
      <tp>
        <v>0</v>
        <stp/>
        <stp>##V3_BDHV12</stp>
        <stp>RCOM IN Equity</stp>
        <stp>IS_OTHER_OPERATING_EXPN_ADJUST</stp>
        <stp>FY 2013</stp>
        <stp>FY 2013</stp>
        <stp>[FA1_ymffleas.xlsx]Reconciliation!R15C6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" s="12"/>
      </tp>
      <tp>
        <v>3049.7</v>
        <stp/>
        <stp>##V3_BDHV12</stp>
        <stp>RCOM IN Equity</stp>
        <stp>IS_OTHER_OPERATING_EXPN_ADJUST</stp>
        <stp>FY 2010</stp>
        <stp>FY 2010</stp>
        <stp>[FA1_ymffleas.xlsx]Reconciliation!R15C3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" s="12"/>
      </tp>
      <tp>
        <v>0</v>
        <stp/>
        <stp>##V3_BDHV12</stp>
        <stp>RCOM IN Equity</stp>
        <stp>IS_OTHER_OPERATING_EXPN_ADJUST</stp>
        <stp>FY 2016</stp>
        <stp>FY 2016</stp>
        <stp>[FA1_ymffleas.xlsx]Reconciliation!R15C9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" s="12"/>
      </tp>
      <tp>
        <v>0</v>
        <stp/>
        <stp>##V3_BDHV12</stp>
        <stp>RCOM IN Equity</stp>
        <stp>IS_OTHER_OPERATING_EXPN_ADJUST</stp>
        <stp>FY 2015</stp>
        <stp>FY 2015</stp>
        <stp>[FA1_ymffleas.xlsx]Reconciliation!R15C8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" s="12"/>
      </tp>
      <tp>
        <v>1320</v>
        <stp/>
        <stp>##V3_BDHV12</stp>
        <stp>RCOM IN Equity</stp>
        <stp>ARD_INCR_DECR_ST_BORROW_NET</stp>
        <stp>FY 2014</stp>
        <stp>FY 2014</stp>
        <stp>[FA1_ymffleas.xlsx]Cash Flow - As Reported!R54C8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4" s="20"/>
      </tp>
      <tp>
        <v>-35150</v>
        <stp/>
        <stp>##V3_BDHV12</stp>
        <stp>RCOM IN Equity</stp>
        <stp>ARD_INCR_DECR_ST_BORROW_NET</stp>
        <stp>FY 2015</stp>
        <stp>FY 2015</stp>
        <stp>[FA1_ymffleas.xlsx]Cash Flow - As Reported!R54C9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4" s="20"/>
      </tp>
      <tp>
        <v>-14207.7</v>
        <stp/>
        <stp>##V3_BDHV12</stp>
        <stp>RCOM IN Equity</stp>
        <stp>ARD_INCR_DECR_ST_BORROW_NET</stp>
        <stp>FY 2009</stp>
        <stp>FY 2009</stp>
        <stp>[FA1_ymffleas.xlsx]Cash Flow - As Reported!R54C3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4" s="20"/>
      </tp>
      <tp>
        <v>-52110</v>
        <stp/>
        <stp>##V3_BDHV12</stp>
        <stp>RCOM IN Equity</stp>
        <stp>ARD_INCR_DECR_ST_BORROW_NET</stp>
        <stp>FY 2012</stp>
        <stp>FY 2012</stp>
        <stp>[FA1_ymffleas.xlsx]Cash Flow - As Reported!R54C6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4" s="20"/>
      </tp>
      <tp>
        <v>32680</v>
        <stp/>
        <stp>##V3_BDHV12</stp>
        <stp>RCOM IN Equity</stp>
        <stp>ARD_INCR_DECR_ST_BORROW_NET</stp>
        <stp>FY 2013</stp>
        <stp>FY 2013</stp>
        <stp>[FA1_ymffleas.xlsx]Cash Flow - As Reported!R54C7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4" s="20"/>
      </tp>
      <tp>
        <v>-32632.400000000001</v>
        <stp/>
        <stp>##V3_BDHV12</stp>
        <stp>RCOM IN Equity</stp>
        <stp>ARD_INCR_DECR_ST_BORROW_NET</stp>
        <stp>FY 2010</stp>
        <stp>FY 2010</stp>
        <stp>[FA1_ymffleas.xlsx]Cash Flow - As Reported!R54C4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4" s="20"/>
      </tp>
      <tp>
        <v>26840</v>
        <stp/>
        <stp>##V3_BDHV12</stp>
        <stp>RCOM IN Equity</stp>
        <stp>ARD_INCR_DECR_ST_BORROW_NET</stp>
        <stp>FY 2011</stp>
        <stp>FY 2011</stp>
        <stp>[FA1_ymffleas.xlsx]Cash Flow - As Reported!R54C5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4" s="20"/>
      </tp>
      <tp>
        <v>12.9231</v>
        <stp/>
        <stp>##V3_BDHV12</stp>
        <stp>RCOM IN Equity</stp>
        <stp>CASH_DVD_COVERAGE</stp>
        <stp>FY 2013</stp>
        <stp>FY 2013</stp>
        <stp>[FA1_ymffleas.xlsx]Dividend Summary!R10C7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0" s="31"/>
      </tp>
      <tp t="s">
        <v>—</v>
        <stp/>
        <stp>##V3_BDHV12</stp>
        <stp>RCOM IN Equity</stp>
        <stp>ARD_OTHER_INTANGIBLE_ASSET</stp>
        <stp>FY 2015</stp>
        <stp>FY 2015</stp>
        <stp>[FA1_ymffleas.xlsx]Bal Sheet - As Reported!R29C9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9" s="17"/>
      </tp>
      <tp t="s">
        <v>—</v>
        <stp/>
        <stp>##V3_BDHV12</stp>
        <stp>RCOM IN Equity</stp>
        <stp>ARD_OTHER_INTANGIBLE_ASSET</stp>
        <stp>FY 2014</stp>
        <stp>FY 2014</stp>
        <stp>[FA1_ymffleas.xlsx]Bal Sheet - As Reported!R29C8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9" s="17"/>
      </tp>
      <tp t="s">
        <v>—</v>
        <stp/>
        <stp>##V3_BDHV12</stp>
        <stp>RCOM IN Equity</stp>
        <stp>ARD_OTHER_INTANGIBLE_ASSET</stp>
        <stp>FY 2009</stp>
        <stp>FY 2009</stp>
        <stp>[FA1_ymffleas.xlsx]Bal Sheet - As Reported!R29C3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9" s="17"/>
      </tp>
      <tp t="s">
        <v>—</v>
        <stp/>
        <stp>##V3_BDHV12</stp>
        <stp>RCOM IN Equity</stp>
        <stp>ARD_OTHER_INTANGIBLE_ASSET</stp>
        <stp>FY 2011</stp>
        <stp>FY 2011</stp>
        <stp>[FA1_ymffleas.xlsx]Bal Sheet - As Reported!R29C5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9" s="17"/>
      </tp>
      <tp t="s">
        <v>—</v>
        <stp/>
        <stp>##V3_BDHV12</stp>
        <stp>RCOM IN Equity</stp>
        <stp>ARD_OTHER_INTANGIBLE_ASSET</stp>
        <stp>FY 2010</stp>
        <stp>FY 2010</stp>
        <stp>[FA1_ymffleas.xlsx]Bal Sheet - As Reported!R29C4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9" s="17"/>
      </tp>
      <tp t="s">
        <v>—</v>
        <stp/>
        <stp>##V3_BDHV12</stp>
        <stp>RCOM IN Equity</stp>
        <stp>ARD_OTHER_INTANGIBLE_ASSET</stp>
        <stp>FY 2013</stp>
        <stp>FY 2013</stp>
        <stp>[FA1_ymffleas.xlsx]Bal Sheet - As Reported!R29C7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9" s="17"/>
      </tp>
      <tp t="s">
        <v>—</v>
        <stp/>
        <stp>##V3_BDHV12</stp>
        <stp>RCOM IN Equity</stp>
        <stp>ARD_OTHER_INTANGIBLE_ASSET</stp>
        <stp>FY 2012</stp>
        <stp>FY 2012</stp>
        <stp>[FA1_ymffleas.xlsx]Bal Sheet - As Reported!R29C6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9" s="17"/>
      </tp>
      <tp t="s">
        <v>—</v>
        <stp/>
        <stp>##V3_BDHV12</stp>
        <stp>RCOM IN Equity</stp>
        <stp>ARDR_WRITEDOWN_IMPAIR_OF_ASSETS</stp>
        <stp>FY 2015</stp>
        <stp>FY 2015</stp>
        <stp>[FA1_ymffleas.xlsx]Income - As Reported!R72C9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2" s="11"/>
      </tp>
      <tp t="s">
        <v>—</v>
        <stp/>
        <stp>##V3_BDHV12</stp>
        <stp>RCOM IN Equity</stp>
        <stp>ARDR_WRITEDOWN_IMPAIR_OF_ASSETS</stp>
        <stp>FY 2014</stp>
        <stp>FY 2014</stp>
        <stp>[FA1_ymffleas.xlsx]Income - As Reported!R72C8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2" s="11"/>
      </tp>
      <tp t="s">
        <v>—</v>
        <stp/>
        <stp>##V3_BDHV12</stp>
        <stp>RCOM IN Equity</stp>
        <stp>ARDR_WRITEDOWN_IMPAIR_OF_ASSETS</stp>
        <stp>FY 2013</stp>
        <stp>FY 2013</stp>
        <stp>[FA1_ymffleas.xlsx]Income - As Reported!R72C7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2" s="11"/>
      </tp>
      <tp>
        <v>3700</v>
        <stp/>
        <stp>##V3_BDHV12</stp>
        <stp>RCOM IN Equity</stp>
        <stp>ARDR_WRITEDOWN_IMPAIR_OF_ASSETS</stp>
        <stp>FY 2012</stp>
        <stp>FY 2012</stp>
        <stp>[FA1_ymffleas.xlsx]Income - As Reported!R72C6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2" s="11"/>
      </tp>
      <tp t="s">
        <v>—</v>
        <stp/>
        <stp>##V3_BDHV12</stp>
        <stp>RCOM IN Equity</stp>
        <stp>ARDR_WRITEDOWN_IMPAIR_OF_ASSETS</stp>
        <stp>FY 2011</stp>
        <stp>FY 2011</stp>
        <stp>[FA1_ymffleas.xlsx]Income - As Reported!R72C5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2" s="11"/>
      </tp>
      <tp>
        <v>3049.7</v>
        <stp/>
        <stp>##V3_BDHV12</stp>
        <stp>RCOM IN Equity</stp>
        <stp>ARDR_WRITEDOWN_IMPAIR_OF_ASSETS</stp>
        <stp>FY 2010</stp>
        <stp>FY 2010</stp>
        <stp>[FA1_ymffleas.xlsx]Income - As Reported!R72C4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2" s="11"/>
      </tp>
      <tp t="s">
        <v>—</v>
        <stp/>
        <stp>##V3_BDHV12</stp>
        <stp>RCOM IN Equity</stp>
        <stp>ARDR_WRITEDOWN_IMPAIR_OF_ASSETS</stp>
        <stp>FY 2009</stp>
        <stp>FY 2009</stp>
        <stp>[FA1_ymffleas.xlsx]Income - As Reported!R72C3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2" s="11"/>
      </tp>
      <tp>
        <v>46610</v>
        <stp/>
        <stp>##V3_BDHV12</stp>
        <stp>RCOM IN Equity</stp>
        <stp>EBITDA</stp>
        <stp>FY 2017</stp>
        <stp>FY 2017</stp>
        <stp>[FA1_ymffleas.xlsx]Cash Flow - Standardized!R58C10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58" s="19"/>
      </tp>
      <tp>
        <v>31100</v>
        <stp/>
        <stp>##V3_BDHV12</stp>
        <stp>RCOM IN Equity</stp>
        <stp>EBITDA</stp>
        <stp>FY 2018</stp>
        <stp>FY 2018</stp>
        <stp>[FA1_ymffleas.xlsx]Cash Flow - Standardized!R58C11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58" s="19"/>
      </tp>
      <tp t="s">
        <v>—</v>
        <stp/>
        <stp>##V3_BDHV12</stp>
        <stp>RCOM IN Equity</stp>
        <stp>EMPLOYEES_5_YEAR_GROWTH</stp>
        <stp>FY 2015</stp>
        <stp>FY 2015</stp>
        <stp>[FA1_ymffleas.xlsx]Growth!R49C9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9" s="22"/>
      </tp>
      <tp t="s">
        <v>—</v>
        <stp/>
        <stp>##V3_BDHV12</stp>
        <stp>RCOM IN Equity</stp>
        <stp>EMPLOYEES_5_YEAR_GROWTH</stp>
        <stp>FY 2014</stp>
        <stp>FY 2014</stp>
        <stp>[FA1_ymffleas.xlsx]Growth!R49C8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9" s="22"/>
      </tp>
      <tp>
        <v>503980</v>
        <stp/>
        <stp>##V3_BDHV12</stp>
        <stp>RCOM IN Equity</stp>
        <stp>BS_TOT_CAP</stp>
        <stp>FY 2018</stp>
        <stp>FY 2018</stp>
        <stp>[FA1_ymffleas.xlsx]Enterprise Value!R13C11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" s="5"/>
      </tp>
      <tp>
        <v>747020</v>
        <stp/>
        <stp>##V3_BDHV12</stp>
        <stp>RCOM IN Equity</stp>
        <stp>BS_TOT_CAP</stp>
        <stp>FY 2017</stp>
        <stp>FY 2017</stp>
        <stp>[FA1_ymffleas.xlsx]Enterprise Value!R13C10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" s="5"/>
      </tp>
      <tp t="s">
        <v>—</v>
        <stp/>
        <stp>##V3_BDHV12</stp>
        <stp>RCOM IN Equity</stp>
        <stp>EMPLOYEES_5_YEAR_GROWTH</stp>
        <stp>FY 2009</stp>
        <stp>FY 2009</stp>
        <stp>[FA1_ymffleas.xlsx]Growth!R49C3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9" s="22"/>
      </tp>
      <tp>
        <v>-12.6355</v>
        <stp/>
        <stp>##V3_BDHV12</stp>
        <stp>RCOM IN Equity</stp>
        <stp>EMPLOYEES_5_YEAR_GROWTH</stp>
        <stp>FY 2013</stp>
        <stp>FY 2013</stp>
        <stp>[FA1_ymffleas.xlsx]Growth!R49C7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9" s="22"/>
      </tp>
      <tp t="s">
        <v>—</v>
        <stp/>
        <stp>##V3_BDHV12</stp>
        <stp>RCOM IN Equity</stp>
        <stp>EMPLOYEES_5_YEAR_GROWTH</stp>
        <stp>FY 2012</stp>
        <stp>FY 2012</stp>
        <stp>[FA1_ymffleas.xlsx]Growth!R49C6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9" s="22"/>
      </tp>
      <tp t="s">
        <v>—</v>
        <stp/>
        <stp>##V3_BDHV12</stp>
        <stp>RCOM IN Equity</stp>
        <stp>EMPLOYEES_5_YEAR_GROWTH</stp>
        <stp>FY 2011</stp>
        <stp>FY 2011</stp>
        <stp>[FA1_ymffleas.xlsx]Growth!R49C5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9" s="22"/>
      </tp>
      <tp t="s">
        <v>—</v>
        <stp/>
        <stp>##V3_BDHV12</stp>
        <stp>RCOM IN Equity</stp>
        <stp>EMPLOYEES_5_YEAR_GROWTH</stp>
        <stp>FY 2010</stp>
        <stp>FY 2010</stp>
        <stp>[FA1_ymffleas.xlsx]Growth!R49C4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9" s="22"/>
      </tp>
      <tp>
        <v>93.477500000000006</v>
        <stp/>
        <stp>##V3_BDHV12</stp>
        <stp>RCOM IN Equity</stp>
        <stp>REVENUE_PER_SH</stp>
        <stp>FY 2013</stp>
        <stp>FY 2013</stp>
        <stp>[FA1_ymffleas.xlsx]Per Share!R11C6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1" s="7"/>
      </tp>
      <tp>
        <v>15.5046</v>
        <stp/>
        <stp>##V3_BDHV12</stp>
        <stp>RCOM IN Equity</stp>
        <stp>EV_TO_T12M_EBIT</stp>
        <stp>FY 2015</stp>
        <stp>FY 2015</stp>
        <stp>[FA1_ymffleas.xlsx]Multiples!R46C8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46" s="6"/>
      </tp>
      <tp>
        <v>1810</v>
        <stp/>
        <stp>##V3_BDHV12</stp>
        <stp>RCOM IN Equity</stp>
        <stp>CF_NET_CHNG_CASH</stp>
        <stp>FY 2013</stp>
        <stp>FY 2013</stp>
        <stp>[FA1_ymffleas.xlsx]Cash Flow - Standardized!R52C6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2" s="19"/>
      </tp>
      <tp>
        <v>-2270</v>
        <stp/>
        <stp>##V3_BDHV12</stp>
        <stp>RCOM IN Equity</stp>
        <stp>CF_NET_CHNG_CASH</stp>
        <stp>FY 2014</stp>
        <stp>FY 2014</stp>
        <stp>[FA1_ymffleas.xlsx]Cash Flow - Standardized!R52C7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2" s="19"/>
      </tp>
      <tp>
        <v>40470</v>
        <stp/>
        <stp>##V3_BDHV12</stp>
        <stp>RCOM IN Equity</stp>
        <stp>CF_NET_CHNG_CASH</stp>
        <stp>FY 2011</stp>
        <stp>FY 2011</stp>
        <stp>[FA1_ymffleas.xlsx]Cash Flow - Standardized!R52C4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2" s="19"/>
      </tp>
      <tp>
        <v>-43160</v>
        <stp/>
        <stp>##V3_BDHV12</stp>
        <stp>RCOM IN Equity</stp>
        <stp>CF_NET_CHNG_CASH</stp>
        <stp>FY 2012</stp>
        <stp>FY 2012</stp>
        <stp>[FA1_ymffleas.xlsx]Cash Flow - Standardized!R52C5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2" s="19"/>
      </tp>
      <tp>
        <v>-8643.6</v>
        <stp/>
        <stp>##V3_BDHV12</stp>
        <stp>RCOM IN Equity</stp>
        <stp>CF_NET_CHNG_CASH</stp>
        <stp>FY 2010</stp>
        <stp>FY 2010</stp>
        <stp>[FA1_ymffleas.xlsx]Cash Flow - Standardized!R52C3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2" s="19"/>
      </tp>
      <tp>
        <v>8520</v>
        <stp/>
        <stp>##V3_BDHV12</stp>
        <stp>RCOM IN Equity</stp>
        <stp>CF_NET_CHNG_CASH</stp>
        <stp>FY 2015</stp>
        <stp>FY 2015</stp>
        <stp>[FA1_ymffleas.xlsx]Cash Flow - Standardized!R52C8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2" s="19"/>
      </tp>
      <tp>
        <v>-4080</v>
        <stp/>
        <stp>##V3_BDHV12</stp>
        <stp>RCOM IN Equity</stp>
        <stp>CF_NET_CHNG_CASH</stp>
        <stp>FY 2016</stp>
        <stp>FY 2016</stp>
        <stp>[FA1_ymffleas.xlsx]Cash Flow - Standardized!R52C9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2" s="19"/>
      </tp>
      <tp>
        <v>24620</v>
        <stp/>
        <stp>##V3_BDHV12</stp>
        <stp>RCOM IN Equity</stp>
        <stp>IS_INT_EXPENSE</stp>
        <stp>FY 2015</stp>
        <stp>FY 2015</stp>
        <stp>[FA1_ymffleas.xlsx]Income - Adjusted!R41C8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41" s="9"/>
      </tp>
      <tp>
        <v>23160</v>
        <stp/>
        <stp>##V3_BDHV12</stp>
        <stp>RCOM IN Equity</stp>
        <stp>IS_INT_EXPENSE</stp>
        <stp>FY 2016</stp>
        <stp>FY 2016</stp>
        <stp>[FA1_ymffleas.xlsx]Income - Adjusted!R41C9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41" s="9"/>
      </tp>
      <tp>
        <v>22650</v>
        <stp/>
        <stp>##V3_BDHV12</stp>
        <stp>RCOM IN Equity</stp>
        <stp>IS_INT_EXPENSE</stp>
        <stp>FY 2013</stp>
        <stp>FY 2013</stp>
        <stp>[FA1_ymffleas.xlsx]Income - Adjusted!R41C6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41" s="9"/>
      </tp>
      <tp>
        <v>27900</v>
        <stp/>
        <stp>##V3_BDHV12</stp>
        <stp>RCOM IN Equity</stp>
        <stp>IS_INT_EXPENSE</stp>
        <stp>FY 2014</stp>
        <stp>FY 2014</stp>
        <stp>[FA1_ymffleas.xlsx]Income - Adjusted!R41C7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41" s="9"/>
      </tp>
      <tp>
        <v>9020</v>
        <stp/>
        <stp>##V3_BDHV12</stp>
        <stp>RCOM IN Equity</stp>
        <stp>IS_INT_EXPENSE</stp>
        <stp>FY 2011</stp>
        <stp>FY 2011</stp>
        <stp>[FA1_ymffleas.xlsx]Income - Adjusted!R41C4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41" s="9"/>
      </tp>
      <tp>
        <v>14770</v>
        <stp/>
        <stp>##V3_BDHV12</stp>
        <stp>RCOM IN Equity</stp>
        <stp>IS_INT_EXPENSE</stp>
        <stp>FY 2012</stp>
        <stp>FY 2012</stp>
        <stp>[FA1_ymffleas.xlsx]Income - Adjusted!R41C5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41" s="9"/>
      </tp>
      <tp>
        <v>13422</v>
        <stp/>
        <stp>##V3_BDHV12</stp>
        <stp>RCOM IN Equity</stp>
        <stp>IS_INT_EXPENSE</stp>
        <stp>FY 2010</stp>
        <stp>FY 2010</stp>
        <stp>[FA1_ymffleas.xlsx]Income - Adjusted!R41C3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41" s="9"/>
      </tp>
      <tp>
        <v>3.7688999999999999</v>
        <stp/>
        <stp>##V3_BDHV12</stp>
        <stp>RCOM IN Equity</stp>
        <stp>DVD_PAYOUT_RATIO</stp>
        <stp>FY 2010</stp>
        <stp>FY 2010</stp>
        <stp>[FA1_ymffleas.xlsx]Addl - Overview!R21C3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1" s="29"/>
      </tp>
      <tp>
        <v>10.4613</v>
        <stp/>
        <stp>##V3_BDHV12</stp>
        <stp>RCOM IN Equity</stp>
        <stp>SUSTAIN_GROWTH_RT</stp>
        <stp>FY 2010</stp>
        <stp>FY 2010</stp>
        <stp>[FA1_ymffleas.xlsx]Profitability!R24C4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4" s="21"/>
      </tp>
      <tp>
        <v>7.5518999999999998</v>
        <stp/>
        <stp>##V3_BDHV12</stp>
        <stp>RCOM IN Equity</stp>
        <stp>EV_TO_T12M_EBITDA</stp>
        <stp>FY 2016</stp>
        <stp>FY 2016</stp>
        <stp>[FA1_ymffleas.xlsx]Multiples!R41C9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41" s="6"/>
      </tp>
      <tp>
        <v>2810</v>
        <stp/>
        <stp>##V3_BDHV12</stp>
        <stp>RCOM IN Equity</stp>
        <stp>ARDR_PURCHASED_POWER_COSTS</stp>
        <stp>FY 2017</stp>
        <stp>FY 2017</stp>
        <stp>[FA1_ymffleas.xlsx]Income - As Reported!R93C11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3" s="11"/>
      </tp>
      <tp>
        <v>18060</v>
        <stp/>
        <stp>##V3_BDHV12</stp>
        <stp>RCOM IN Equity</stp>
        <stp>ARDR_PURCHASED_POWER_COSTS</stp>
        <stp>FY 2016</stp>
        <stp>FY 2016</stp>
        <stp>[FA1_ymffleas.xlsx]Income - As Reported!R93C10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3" s="11"/>
      </tp>
      <tp>
        <v>2140</v>
        <stp/>
        <stp>##V3_BDHV12</stp>
        <stp>RCOM IN Equity</stp>
        <stp>ARDR_PURCHASED_POWER_COSTS</stp>
        <stp>FY 2018</stp>
        <stp>FY 2018</stp>
        <stp>[FA1_ymffleas.xlsx]Income - As Reported!R93C12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3" s="11"/>
      </tp>
      <tp t="s">
        <v>—</v>
        <stp/>
        <stp>##V3_BDHV12</stp>
        <stp>RCOM IN Equity</stp>
        <stp>ARD_BUSINESS_CAPITAL_TAXES</stp>
        <stp>FY 2018</stp>
        <stp>FY 2018</stp>
        <stp>[FA1_ymffleas.xlsx]Income - As Reported!R37C12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7" s="11"/>
      </tp>
      <tp t="s">
        <v>—</v>
        <stp/>
        <stp>##V3_BDHV12</stp>
        <stp>RCOM IN Equity</stp>
        <stp>ARD_BUSINESS_CAPITAL_TAXES</stp>
        <stp>FY 2016</stp>
        <stp>FY 2016</stp>
        <stp>[FA1_ymffleas.xlsx]Income - As Reported!R37C10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7" s="11"/>
      </tp>
      <tp t="s">
        <v>—</v>
        <stp/>
        <stp>##V3_BDHV12</stp>
        <stp>RCOM IN Equity</stp>
        <stp>ARD_BUSINESS_CAPITAL_TAXES</stp>
        <stp>FY 2017</stp>
        <stp>FY 2017</stp>
        <stp>[FA1_ymffleas.xlsx]Income - As Reported!R37C11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7" s="11"/>
      </tp>
      <tp>
        <v>0.6</v>
        <stp/>
        <stp>##V3_BDHV12</stp>
        <stp>RCOM IN Equity</stp>
        <stp>ARDR_GL_ON_SALE_OF_ASSETS</stp>
        <stp>FY 2009</stp>
        <stp>FY 2009</stp>
        <stp>[FA1_ymffleas.xlsx]Income - As Reported!R71C3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1" s="11"/>
      </tp>
      <tp>
        <v>300</v>
        <stp/>
        <stp>##V3_BDHV12</stp>
        <stp>RCOM IN Equity</stp>
        <stp>ARDR_GL_ON_SALE_OF_ASSETS</stp>
        <stp>FY 2013</stp>
        <stp>FY 2013</stp>
        <stp>[FA1_ymffleas.xlsx]Income - As Reported!R71C7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1" s="11"/>
      </tp>
      <tp>
        <v>-70</v>
        <stp/>
        <stp>##V3_BDHV12</stp>
        <stp>RCOM IN Equity</stp>
        <stp>ARDR_GL_ON_SALE_OF_ASSETS</stp>
        <stp>FY 2012</stp>
        <stp>FY 2012</stp>
        <stp>[FA1_ymffleas.xlsx]Income - As Reported!R71C6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1" s="11"/>
      </tp>
      <tp>
        <v>0.8</v>
        <stp/>
        <stp>##V3_BDHV12</stp>
        <stp>RCOM IN Equity</stp>
        <stp>ARDR_GL_ON_SALE_OF_ASSETS</stp>
        <stp>FY 2011</stp>
        <stp>FY 2011</stp>
        <stp>[FA1_ymffleas.xlsx]Income - As Reported!R71C5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1" s="11"/>
      </tp>
      <tp>
        <v>14.9</v>
        <stp/>
        <stp>##V3_BDHV12</stp>
        <stp>RCOM IN Equity</stp>
        <stp>ARDR_GL_ON_SALE_OF_ASSETS</stp>
        <stp>FY 2010</stp>
        <stp>FY 2010</stp>
        <stp>[FA1_ymffleas.xlsx]Income - As Reported!R71C4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1" s="11"/>
      </tp>
      <tp>
        <v>40</v>
        <stp/>
        <stp>##V3_BDHV12</stp>
        <stp>RCOM IN Equity</stp>
        <stp>ARDR_GL_ON_SALE_OF_ASSETS</stp>
        <stp>FY 2015</stp>
        <stp>FY 2015</stp>
        <stp>[FA1_ymffleas.xlsx]Income - As Reported!R71C9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1" s="11"/>
      </tp>
      <tp>
        <v>200</v>
        <stp/>
        <stp>##V3_BDHV12</stp>
        <stp>RCOM IN Equity</stp>
        <stp>ARDR_GL_ON_SALE_OF_ASSETS</stp>
        <stp>FY 2014</stp>
        <stp>FY 2014</stp>
        <stp>[FA1_ymffleas.xlsx]Income - As Reported!R71C8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1" s="11"/>
      </tp>
      <tp>
        <v>0</v>
        <stp/>
        <stp>##V3_BDHV12</stp>
        <stp>RCOM IN Equity</stp>
        <stp>IS_NET_ABNORMAL_ITEMS</stp>
        <stp>FY 2017</stp>
        <stp>FY 2017</stp>
        <stp>[FA1_ymffleas.xlsx]Income - Adjusted!R106C10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6" s="9"/>
      </tp>
      <tp>
        <v>0</v>
        <stp/>
        <stp>##V3_BDHV12</stp>
        <stp>RCOM IN Equity</stp>
        <stp>IS_NET_ABNORMAL_ITEMS</stp>
        <stp>FY 2018</stp>
        <stp>FY 2018</stp>
        <stp>[FA1_ymffleas.xlsx]Income - Adjusted!R106C11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6" s="9"/>
      </tp>
      <tp>
        <v>33.636699999999998</v>
        <stp/>
        <stp>##V3_BDHV12</stp>
        <stp>RCOM IN Equity</stp>
        <stp>EBITDA_MARGIN</stp>
        <stp>FY 2015</stp>
        <stp>FY 2015</stp>
        <stp>[FA1_ymffleas.xlsx]Cash Flow - Standardized!R59C8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59" s="19"/>
      </tp>
      <tp>
        <v>21.916599999999999</v>
        <stp/>
        <stp>##V3_BDHV12</stp>
        <stp>RCOM IN Equity</stp>
        <stp>IS_DIL_EPS_CONT_OPS</stp>
        <stp>FY 2010</stp>
        <stp>FY 2010</stp>
        <stp>[FA1_ymffleas.xlsx]Income - Adjusted!R117C3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17" s="9"/>
      </tp>
      <tp>
        <v>5.5015999999999998</v>
        <stp/>
        <stp>##V3_BDHV12</stp>
        <stp>RCOM IN Equity</stp>
        <stp>IS_DIL_EPS_CONT_OPS</stp>
        <stp>FY 2012</stp>
        <stp>FY 2012</stp>
        <stp>[FA1_ymffleas.xlsx]Income - Adjusted!R117C5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17" s="9"/>
      </tp>
      <tp>
        <v>5.0293999999999999</v>
        <stp/>
        <stp>##V3_BDHV12</stp>
        <stp>RCOM IN Equity</stp>
        <stp>IS_DIL_EPS_CONT_OPS</stp>
        <stp>FY 2011</stp>
        <stp>FY 2011</stp>
        <stp>[FA1_ymffleas.xlsx]Income - Adjusted!R117C4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17" s="9"/>
      </tp>
      <tp>
        <v>5.1078000000000001</v>
        <stp/>
        <stp>##V3_BDHV12</stp>
        <stp>RCOM IN Equity</stp>
        <stp>IS_DIL_EPS_CONT_OPS</stp>
        <stp>FY 2014</stp>
        <stp>FY 2014</stp>
        <stp>[FA1_ymffleas.xlsx]Income - Adjusted!R117C7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17" s="9"/>
      </tp>
      <tp>
        <v>3.2397999999999998</v>
        <stp/>
        <stp>##V3_BDHV12</stp>
        <stp>RCOM IN Equity</stp>
        <stp>IS_DIL_EPS_CONT_OPS</stp>
        <stp>FY 2013</stp>
        <stp>FY 2013</stp>
        <stp>[FA1_ymffleas.xlsx]Income - Adjusted!R117C6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17" s="9"/>
      </tp>
      <tp>
        <v>-470</v>
        <stp/>
        <stp>##V3_BDHV12</stp>
        <stp>RCOM IN Equity</stp>
        <stp>ARDR_INT_INCOME</stp>
        <stp>FY 2015</stp>
        <stp>FY 2015</stp>
        <stp>[FA1_ymffleas.xlsx]Income - As Reported!R73C9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3" s="11"/>
      </tp>
      <tp>
        <v>-470</v>
        <stp/>
        <stp>##V3_BDHV12</stp>
        <stp>RCOM IN Equity</stp>
        <stp>ARDR_INT_INCOME</stp>
        <stp>FY 2014</stp>
        <stp>FY 2014</stp>
        <stp>[FA1_ymffleas.xlsx]Income - As Reported!R73C8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3" s="11"/>
      </tp>
      <tp t="s">
        <v>—</v>
        <stp/>
        <stp>##V3_BDHV12</stp>
        <stp>RCOM IN Equity</stp>
        <stp>ARDR_INT_INCOME</stp>
        <stp>FY 2009</stp>
        <stp>FY 2009</stp>
        <stp>[FA1_ymffleas.xlsx]Income - As Reported!R73C3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3" s="11"/>
      </tp>
      <tp>
        <v>-610</v>
        <stp/>
        <stp>##V3_BDHV12</stp>
        <stp>RCOM IN Equity</stp>
        <stp>ARDR_INT_INCOME</stp>
        <stp>FY 2011</stp>
        <stp>FY 2011</stp>
        <stp>[FA1_ymffleas.xlsx]Income - As Reported!R73C5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3" s="11"/>
      </tp>
      <tp t="s">
        <v>—</v>
        <stp/>
        <stp>##V3_BDHV12</stp>
        <stp>RCOM IN Equity</stp>
        <stp>ARDR_INT_INCOME</stp>
        <stp>FY 2010</stp>
        <stp>FY 2010</stp>
        <stp>[FA1_ymffleas.xlsx]Income - As Reported!R73C4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3" s="11"/>
      </tp>
      <tp>
        <v>2.0196999999999998</v>
        <stp/>
        <stp>##V3_BDHV12</stp>
        <stp>RCOM IN Equity</stp>
        <stp>IS_DIL_EPS_CONT_OPS</stp>
        <stp>FY 2016</stp>
        <stp>FY 2016</stp>
        <stp>[FA1_ymffleas.xlsx]Income - Adjusted!R117C9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17" s="9"/>
      </tp>
      <tp>
        <v>-1650</v>
        <stp/>
        <stp>##V3_BDHV12</stp>
        <stp>RCOM IN Equity</stp>
        <stp>ARDR_INT_INCOME</stp>
        <stp>FY 2013</stp>
        <stp>FY 2013</stp>
        <stp>[FA1_ymffleas.xlsx]Income - As Reported!R73C7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3" s="11"/>
      </tp>
      <tp>
        <v>-400</v>
        <stp/>
        <stp>##V3_BDHV12</stp>
        <stp>RCOM IN Equity</stp>
        <stp>ARDR_INT_INCOME</stp>
        <stp>FY 2012</stp>
        <stp>FY 2012</stp>
        <stp>[FA1_ymffleas.xlsx]Income - As Reported!R73C6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3" s="11"/>
      </tp>
      <tp>
        <v>2.9695999999999998</v>
        <stp/>
        <stp>##V3_BDHV12</stp>
        <stp>RCOM IN Equity</stp>
        <stp>IS_DIL_EPS_CONT_OPS</stp>
        <stp>FY 2015</stp>
        <stp>FY 2015</stp>
        <stp>[FA1_ymffleas.xlsx]Income - Adjusted!R117C8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17" s="9"/>
      </tp>
      <tp>
        <v>26.533300000000001</v>
        <stp/>
        <stp>##V3_BDHV12</stp>
        <stp>RCOM IN Equity</stp>
        <stp>CASH_DVD_COVERAGE</stp>
        <stp>FY 2010</stp>
        <stp>FY 2010</stp>
        <stp>[FA1_ymffleas.xlsx]Dividend Summary!R10C4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0" s="31"/>
      </tp>
      <tp>
        <v>2064.0268999999998</v>
        <stp/>
        <stp>##V3_BDHV12</stp>
        <stp>RCOM IN Equity</stp>
        <stp>IS_AVG_NUM_SH_FOR_EPS</stp>
        <stp>FY 2010</stp>
        <stp>FY 2010</stp>
        <stp>[FA1_ymffleas.xlsx]Comprehensive Income!R16C3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" s="33"/>
      </tp>
      <tp>
        <v>2064.0268999999998</v>
        <stp/>
        <stp>##V3_BDHV12</stp>
        <stp>RCOM IN Equity</stp>
        <stp>IS_AVG_NUM_SH_FOR_EPS</stp>
        <stp>FY 2014</stp>
        <stp>FY 2014</stp>
        <stp>[FA1_ymffleas.xlsx]Comprehensive Income!R16C7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" s="33"/>
      </tp>
      <tp t="s">
        <v>—</v>
        <stp/>
        <stp>##V3_BDHV12</stp>
        <stp>RCOM IN Equity</stp>
        <stp>ARDR_FINISHED_GOOD</stp>
        <stp>FY 2009</stp>
        <stp>FY 2009</stp>
        <stp>[FA1_ymffleas.xlsx]Bal Sheet - As Reported!R100C3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0" s="17"/>
      </tp>
      <tp t="s">
        <v>—</v>
        <stp/>
        <stp>##V3_BDHV12</stp>
        <stp>RCOM IN Equity</stp>
        <stp>ARDR_FINISHED_GOOD</stp>
        <stp>FY 2012</stp>
        <stp>FY 2012</stp>
        <stp>[FA1_ymffleas.xlsx]Bal Sheet - As Reported!R100C6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0" s="17"/>
      </tp>
      <tp t="s">
        <v>—</v>
        <stp/>
        <stp>##V3_BDHV12</stp>
        <stp>RCOM IN Equity</stp>
        <stp>ARDR_FINISHED_GOOD</stp>
        <stp>FY 2013</stp>
        <stp>FY 2013</stp>
        <stp>[FA1_ymffleas.xlsx]Bal Sheet - As Reported!R100C7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0" s="17"/>
      </tp>
      <tp t="s">
        <v>—</v>
        <stp/>
        <stp>##V3_BDHV12</stp>
        <stp>RCOM IN Equity</stp>
        <stp>ARDR_FINISHED_GOOD</stp>
        <stp>FY 2010</stp>
        <stp>FY 2010</stp>
        <stp>[FA1_ymffleas.xlsx]Bal Sheet - As Reported!R100C4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0" s="17"/>
      </tp>
      <tp t="s">
        <v>—</v>
        <stp/>
        <stp>##V3_BDHV12</stp>
        <stp>RCOM IN Equity</stp>
        <stp>ARDR_FINISHED_GOOD</stp>
        <stp>FY 2011</stp>
        <stp>FY 2011</stp>
        <stp>[FA1_ymffleas.xlsx]Bal Sheet - As Reported!R100C5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0" s="17"/>
      </tp>
      <tp t="s">
        <v>—</v>
        <stp/>
        <stp>##V3_BDHV12</stp>
        <stp>RCOM IN Equity</stp>
        <stp>ARDR_FINISHED_GOOD</stp>
        <stp>FY 2014</stp>
        <stp>FY 2014</stp>
        <stp>[FA1_ymffleas.xlsx]Bal Sheet - As Reported!R100C8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0" s="17"/>
      </tp>
      <tp>
        <v>1560</v>
        <stp/>
        <stp>##V3_BDHV12</stp>
        <stp>RCOM IN Equity</stp>
        <stp>ARDR_FINISHED_GOOD</stp>
        <stp>FY 2015</stp>
        <stp>FY 2015</stp>
        <stp>[FA1_ymffleas.xlsx]Bal Sheet - As Reported!R100C9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0" s="17"/>
      </tp>
      <tp>
        <v>2064.0268999999998</v>
        <stp/>
        <stp>##V3_BDHV12</stp>
        <stp>RCOM IN Equity</stp>
        <stp>IS_AVG_NUM_SH_FOR_EPS</stp>
        <stp>FY 2013</stp>
        <stp>FY 2013</stp>
        <stp>[FA1_ymffleas.xlsx]Comprehensive Income!R16C6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" s="33"/>
      </tp>
      <tp>
        <v>2064.0268999999998</v>
        <stp/>
        <stp>##V3_BDHV12</stp>
        <stp>RCOM IN Equity</stp>
        <stp>IS_AVG_NUM_SH_FOR_EPS</stp>
        <stp>FY 2012</stp>
        <stp>FY 2012</stp>
        <stp>[FA1_ymffleas.xlsx]Comprehensive Income!R16C5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" s="33"/>
      </tp>
      <tp>
        <v>2064.0268999999998</v>
        <stp/>
        <stp>##V3_BDHV12</stp>
        <stp>RCOM IN Equity</stp>
        <stp>IS_AVG_NUM_SH_FOR_EPS</stp>
        <stp>FY 2011</stp>
        <stp>FY 2011</stp>
        <stp>[FA1_ymffleas.xlsx]Comprehensive Income!R16C4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" s="33"/>
      </tp>
      <tp>
        <v>2467.7006999999999</v>
        <stp/>
        <stp>##V3_BDHV12</stp>
        <stp>RCOM IN Equity</stp>
        <stp>IS_AVG_NUM_SH_FOR_EPS</stp>
        <stp>FY 2016</stp>
        <stp>FY 2016</stp>
        <stp>[FA1_ymffleas.xlsx]Comprehensive Income!R16C9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" s="33"/>
      </tp>
      <tp>
        <v>2333.9049</v>
        <stp/>
        <stp>##V3_BDHV12</stp>
        <stp>RCOM IN Equity</stp>
        <stp>IS_AVG_NUM_SH_FOR_EPS</stp>
        <stp>FY 2015</stp>
        <stp>FY 2015</stp>
        <stp>[FA1_ymffleas.xlsx]Comprehensive Income!R16C8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" s="33"/>
      </tp>
      <tp t="s">
        <v>—</v>
        <stp/>
        <stp>##V3_BDHV12</stp>
        <stp>RCOM IN Equity</stp>
        <stp>ARD_ACCOUNTS_PAYABLE_TRADE</stp>
        <stp>FY 2009</stp>
        <stp>FY 2009</stp>
        <stp>[FA1_ymffleas.xlsx]Bal Sheet - As Reported!R51C3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1" s="17"/>
      </tp>
      <tp>
        <v>18890</v>
        <stp/>
        <stp>##V3_BDHV12</stp>
        <stp>RCOM IN Equity</stp>
        <stp>ARD_ACCOUNTS_PAYABLE_TRADE</stp>
        <stp>FY 2011</stp>
        <stp>FY 2011</stp>
        <stp>[FA1_ymffleas.xlsx]Bal Sheet - As Reported!R51C5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1" s="17"/>
      </tp>
      <tp t="s">
        <v>—</v>
        <stp/>
        <stp>##V3_BDHV12</stp>
        <stp>RCOM IN Equity</stp>
        <stp>ARD_ACCOUNTS_PAYABLE_TRADE</stp>
        <stp>FY 2010</stp>
        <stp>FY 2010</stp>
        <stp>[FA1_ymffleas.xlsx]Bal Sheet - As Reported!R51C4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1" s="17"/>
      </tp>
      <tp>
        <v>23640</v>
        <stp/>
        <stp>##V3_BDHV12</stp>
        <stp>RCOM IN Equity</stp>
        <stp>ARD_ACCOUNTS_PAYABLE_TRADE</stp>
        <stp>FY 2013</stp>
        <stp>FY 2013</stp>
        <stp>[FA1_ymffleas.xlsx]Bal Sheet - As Reported!R51C7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1" s="17"/>
      </tp>
      <tp>
        <v>23180</v>
        <stp/>
        <stp>##V3_BDHV12</stp>
        <stp>RCOM IN Equity</stp>
        <stp>ARD_ACCOUNTS_PAYABLE_TRADE</stp>
        <stp>FY 2012</stp>
        <stp>FY 2012</stp>
        <stp>[FA1_ymffleas.xlsx]Bal Sheet - As Reported!R51C6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1" s="17"/>
      </tp>
      <tp>
        <v>62060</v>
        <stp/>
        <stp>##V3_BDHV12</stp>
        <stp>RCOM IN Equity</stp>
        <stp>ARD_ACCOUNTS_PAYABLE_TRADE</stp>
        <stp>FY 2015</stp>
        <stp>FY 2015</stp>
        <stp>[FA1_ymffleas.xlsx]Bal Sheet - As Reported!R51C9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1" s="17"/>
      </tp>
      <tp>
        <v>35160</v>
        <stp/>
        <stp>##V3_BDHV12</stp>
        <stp>RCOM IN Equity</stp>
        <stp>ARD_ACCOUNTS_PAYABLE_TRADE</stp>
        <stp>FY 2014</stp>
        <stp>FY 2014</stp>
        <stp>[FA1_ymffleas.xlsx]Bal Sheet - As Reported!R51C8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1" s="17"/>
      </tp>
      <tp>
        <v>360340</v>
        <stp/>
        <stp>##V3_BDHV12</stp>
        <stp>RCOM IN Equity</stp>
        <stp>BS_CUR_LIAB</stp>
        <stp>FY 2017</stp>
        <stp>FY 2017</stp>
        <stp>[FA1_ymffleas.xlsx]Bal Sheet - Standardized!R101C11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1" s="16"/>
      </tp>
      <tp>
        <v>276760</v>
        <stp/>
        <stp>##V3_BDHV12</stp>
        <stp>RCOM IN Equity</stp>
        <stp>BS_CUR_LIAB</stp>
        <stp>FY 2016</stp>
        <stp>FY 2016</stp>
        <stp>[FA1_ymffleas.xlsx]Bal Sheet - Standardized!R101C10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1" s="16"/>
      </tp>
      <tp>
        <v>524780</v>
        <stp/>
        <stp>##V3_BDHV12</stp>
        <stp>RCOM IN Equity</stp>
        <stp>BS_CUR_LIAB</stp>
        <stp>FY 2018</stp>
        <stp>FY 2018</stp>
        <stp>[FA1_ymffleas.xlsx]Bal Sheet - Standardized!R101C12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1" s="16"/>
      </tp>
      <tp>
        <v>880</v>
        <stp/>
        <stp>##V3_BDHV12</stp>
        <stp>RCOM IN Equity</stp>
        <stp>ARDR_PROV_FOR_DOUBTFUL_ACCTS</stp>
        <stp>FY 2017</stp>
        <stp>FY 2017</stp>
        <stp>[FA1_ymffleas.xlsx]Income - As Reported!R67C11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7" s="11"/>
      </tp>
      <tp>
        <v>1360</v>
        <stp/>
        <stp>##V3_BDHV12</stp>
        <stp>RCOM IN Equity</stp>
        <stp>ARDR_PROV_FOR_DOUBTFUL_ACCTS</stp>
        <stp>FY 2016</stp>
        <stp>FY 2016</stp>
        <stp>[FA1_ymffleas.xlsx]Income - As Reported!R67C10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7" s="11"/>
      </tp>
      <tp>
        <v>450</v>
        <stp/>
        <stp>##V3_BDHV12</stp>
        <stp>RCOM IN Equity</stp>
        <stp>ARDR_PROV_FOR_DOUBTFUL_ACCTS</stp>
        <stp>FY 2018</stp>
        <stp>FY 2018</stp>
        <stp>[FA1_ymffleas.xlsx]Income - As Reported!R67C12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7" s="11"/>
      </tp>
      <tp t="s">
        <v>—</v>
        <stp/>
        <stp>##V3_BDHV12</stp>
        <stp>RCOM IN Equity</stp>
        <stp>ARDR_CORPORATE_DIVIDEND_TAX</stp>
        <stp>FY 2016</stp>
        <stp>FY 2016</stp>
        <stp>[FA1_ymffleas.xlsx]Income - As Reported!R122C10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2" s="11"/>
      </tp>
      <tp t="s">
        <v>—</v>
        <stp/>
        <stp>##V3_BDHV12</stp>
        <stp>RCOM IN Equity</stp>
        <stp>ARDR_CORPORATE_DIVIDEND_TAX</stp>
        <stp>FY 2017</stp>
        <stp>FY 2017</stp>
        <stp>[FA1_ymffleas.xlsx]Income - As Reported!R122C11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2" s="11"/>
      </tp>
      <tp t="s">
        <v>—</v>
        <stp/>
        <stp>##V3_BDHV12</stp>
        <stp>RCOM IN Equity</stp>
        <stp>ARDR_CORPORATE_DIVIDEND_TAX</stp>
        <stp>FY 2018</stp>
        <stp>FY 2018</stp>
        <stp>[FA1_ymffleas.xlsx]Income - As Reported!R122C12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2" s="11"/>
      </tp>
      <tp>
        <v>318650</v>
        <stp/>
        <stp>##V3_BDHV12</stp>
        <stp>RCOM IN Equity</stp>
        <stp>TOTAL_EQUITY</stp>
        <stp>FY 2016</stp>
        <stp>FY 2016</stp>
        <stp>[FA1_ymffleas.xlsx]Addl - Overview!R27C9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7" s="29"/>
      </tp>
      <tp>
        <v>384480</v>
        <stp/>
        <stp>##V3_BDHV12</stp>
        <stp>RCOM IN Equity</stp>
        <stp>TOTAL_EQUITY</stp>
        <stp>FY 2015</stp>
        <stp>FY 2015</stp>
        <stp>[FA1_ymffleas.xlsx]Addl - Overview!R27C8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7" s="29"/>
      </tp>
      <tp>
        <v>335390</v>
        <stp/>
        <stp>##V3_BDHV12</stp>
        <stp>RCOM IN Equity</stp>
        <stp>TOTAL_EQUITY</stp>
        <stp>FY 2014</stp>
        <stp>FY 2014</stp>
        <stp>[FA1_ymffleas.xlsx]Addl - Overview!R27C7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7" s="29"/>
      </tp>
      <tp>
        <v>345750</v>
        <stp/>
        <stp>##V3_BDHV12</stp>
        <stp>RCOM IN Equity</stp>
        <stp>TOTAL_EQUITY</stp>
        <stp>FY 2013</stp>
        <stp>FY 2013</stp>
        <stp>[FA1_ymffleas.xlsx]Addl - Overview!R27C6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7" s="29"/>
      </tp>
      <tp>
        <v>371560</v>
        <stp/>
        <stp>##V3_BDHV12</stp>
        <stp>RCOM IN Equity</stp>
        <stp>TOTAL_EQUITY</stp>
        <stp>FY 2012</stp>
        <stp>FY 2012</stp>
        <stp>[FA1_ymffleas.xlsx]Addl - Overview!R27C5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7" s="29"/>
      </tp>
      <tp>
        <v>413230</v>
        <stp/>
        <stp>##V3_BDHV12</stp>
        <stp>RCOM IN Equity</stp>
        <stp>TOTAL_EQUITY</stp>
        <stp>FY 2011</stp>
        <stp>FY 2011</stp>
        <stp>[FA1_ymffleas.xlsx]Addl - Overview!R27C4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7" s="29"/>
      </tp>
      <tp>
        <v>440190.3</v>
        <stp/>
        <stp>##V3_BDHV12</stp>
        <stp>RCOM IN Equity</stp>
        <stp>TOTAL_EQUITY</stp>
        <stp>FY 2010</stp>
        <stp>FY 2010</stp>
        <stp>[FA1_ymffleas.xlsx]Addl - Overview!R27C3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7" s="29"/>
      </tp>
      <tp>
        <v>4257</v>
        <stp/>
        <stp>##V3_BDHV12</stp>
        <stp>RCOM IN Equity</stp>
        <stp>NUMBER_EMPLOYEES_CSR</stp>
        <stp>FY 2018</stp>
        <stp>FY 2018</stp>
        <stp>[FA1_ymffleas.xlsx]ESG - Overview!R15C12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5" s="34"/>
      </tp>
      <tp t="s">
        <v>—</v>
        <stp/>
        <stp>##V3_BDHV12</stp>
        <stp>RCOM IN Equity</stp>
        <stp>NUMBER_EMPLOYEES_CSR</stp>
        <stp>FY 2016</stp>
        <stp>FY 2016</stp>
        <stp>[FA1_ymffleas.xlsx]ESG - Overview!R15C10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5" s="34"/>
      </tp>
      <tp>
        <v>8314</v>
        <stp/>
        <stp>##V3_BDHV12</stp>
        <stp>RCOM IN Equity</stp>
        <stp>NUMBER_EMPLOYEES_CSR</stp>
        <stp>FY 2017</stp>
        <stp>FY 2017</stp>
        <stp>[FA1_ymffleas.xlsx]ESG - Overview!R15C11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5" s="34"/>
      </tp>
      <tp>
        <v>-22.922499999999999</v>
        <stp/>
        <stp>##V3_BDHV12</stp>
        <stp>RCOM IN Equity</stp>
        <stp>EPS_DIL_BEF_EXTRAORD_SEQ_GRWTH</stp>
        <stp>FY 2010</stp>
        <stp>FY 2010</stp>
        <stp>[FA1_ymffleas.xlsx]Growth!R65C4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5" s="22"/>
      </tp>
      <tp>
        <v>-71.106300000000005</v>
        <stp/>
        <stp>##V3_BDHV12</stp>
        <stp>RCOM IN Equity</stp>
        <stp>EPS_DIL_BEF_EXTRAORD_SEQ_GRWTH</stp>
        <stp>FY 2011</stp>
        <stp>FY 2011</stp>
        <stp>[FA1_ymffleas.xlsx]Growth!R65C5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5" s="22"/>
      </tp>
      <tp>
        <v>-29.401800000000001</v>
        <stp/>
        <stp>##V3_BDHV12</stp>
        <stp>RCOM IN Equity</stp>
        <stp>EPS_DIL_BEF_EXTRAORD_SEQ_GRWTH</stp>
        <stp>FY 2012</stp>
        <stp>FY 2012</stp>
        <stp>[FA1_ymffleas.xlsx]Growth!R65C6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5" s="22"/>
      </tp>
      <tp>
        <v>101.4522</v>
        <stp/>
        <stp>##V3_BDHV12</stp>
        <stp>RCOM IN Equity</stp>
        <stp>REVENUE_PER_SH</stp>
        <stp>FY 2014</stp>
        <stp>FY 2014</stp>
        <stp>[FA1_ymffleas.xlsx]Per Share!R11C7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1" s="7"/>
      </tp>
      <tp>
        <v>-26.077100000000002</v>
        <stp/>
        <stp>##V3_BDHV12</stp>
        <stp>RCOM IN Equity</stp>
        <stp>EPS_DIL_BEF_EXTRAORD_SEQ_GRWTH</stp>
        <stp>FY 2013</stp>
        <stp>FY 2013</stp>
        <stp>[FA1_ymffleas.xlsx]Growth!R65C7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5" s="22"/>
      </tp>
      <tp t="s">
        <v>—</v>
        <stp/>
        <stp>##V3_BDHV12</stp>
        <stp>RCOM IN Equity</stp>
        <stp>ARDR_OTHER_FINL_ASSETS_LT</stp>
        <stp>FY 2009</stp>
        <stp>FY 2009</stp>
        <stp>[FA1_ymffleas.xlsx]Bal Sheet - As Reported!R171C3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1" s="17"/>
      </tp>
      <tp t="s">
        <v>—</v>
        <stp/>
        <stp>##V3_BDHV12</stp>
        <stp>RCOM IN Equity</stp>
        <stp>ARDR_OTHER_FINL_ASSETS_LT</stp>
        <stp>FY 2013</stp>
        <stp>FY 2013</stp>
        <stp>[FA1_ymffleas.xlsx]Bal Sheet - As Reported!R171C7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1" s="17"/>
      </tp>
      <tp t="s">
        <v>—</v>
        <stp/>
        <stp>##V3_BDHV12</stp>
        <stp>RCOM IN Equity</stp>
        <stp>ARDR_OTHER_FINL_ASSETS_LT</stp>
        <stp>FY 2012</stp>
        <stp>FY 2012</stp>
        <stp>[FA1_ymffleas.xlsx]Bal Sheet - As Reported!R171C6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1" s="17"/>
      </tp>
      <tp t="s">
        <v>—</v>
        <stp/>
        <stp>##V3_BDHV12</stp>
        <stp>RCOM IN Equity</stp>
        <stp>ARDR_OTHER_FINL_ASSETS_LT</stp>
        <stp>FY 2011</stp>
        <stp>FY 2011</stp>
        <stp>[FA1_ymffleas.xlsx]Bal Sheet - As Reported!R171C5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1" s="17"/>
      </tp>
      <tp t="s">
        <v>—</v>
        <stp/>
        <stp>##V3_BDHV12</stp>
        <stp>RCOM IN Equity</stp>
        <stp>ARDR_OTHER_FINL_ASSETS_LT</stp>
        <stp>FY 2010</stp>
        <stp>FY 2010</stp>
        <stp>[FA1_ymffleas.xlsx]Bal Sheet - As Reported!R171C4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1" s="17"/>
      </tp>
      <tp t="s">
        <v>—</v>
        <stp/>
        <stp>##V3_BDHV12</stp>
        <stp>RCOM IN Equity</stp>
        <stp>ARDR_OTHER_FINL_ASSETS_LT</stp>
        <stp>FY 2015</stp>
        <stp>FY 2015</stp>
        <stp>[FA1_ymffleas.xlsx]Bal Sheet - As Reported!R171C9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1" s="17"/>
      </tp>
      <tp t="s">
        <v>—</v>
        <stp/>
        <stp>##V3_BDHV12</stp>
        <stp>RCOM IN Equity</stp>
        <stp>ARDR_OTHER_FINL_ASSETS_LT</stp>
        <stp>FY 2014</stp>
        <stp>FY 2014</stp>
        <stp>[FA1_ymffleas.xlsx]Bal Sheet - As Reported!R171C8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1" s="17"/>
      </tp>
      <tp>
        <v>20.7959</v>
        <stp/>
        <stp>##V3_BDHV12</stp>
        <stp>RCOM IN Equity</stp>
        <stp>EPS_DIL_BEF_EXTRAORD_SEQ_GRWTH</stp>
        <stp>FY 2009</stp>
        <stp>FY 2009</stp>
        <stp>[FA1_ymffleas.xlsx]Growth!R65C3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5" s="22"/>
      </tp>
      <tp t="s">
        <v>—</v>
        <stp/>
        <stp>##V3_BDHV12</stp>
        <stp>RCOM IN Equity</stp>
        <stp>FCF_TO_FIRM_SEQUENTIAL_GROWTH</stp>
        <stp>FY 2009</stp>
        <stp>FY 2009</stp>
        <stp>[FA1_ymffleas.xlsx]Growth!R87C3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87" s="22"/>
      </tp>
      <tp>
        <v>19.750299999999999</v>
        <stp/>
        <stp>##V3_BDHV12</stp>
        <stp>RCOM IN Equity</stp>
        <stp>EV_TO_T12M_EBIT</stp>
        <stp>FY 2016</stp>
        <stp>FY 2016</stp>
        <stp>[FA1_ymffleas.xlsx]Multiples!R46C9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46" s="6"/>
      </tp>
      <tp>
        <v>55.521500000000003</v>
        <stp/>
        <stp>##V3_BDHV12</stp>
        <stp>RCOM IN Equity</stp>
        <stp>EPS_DIL_BEF_EXTRAORD_SEQ_GRWTH</stp>
        <stp>FY 2014</stp>
        <stp>FY 2014</stp>
        <stp>[FA1_ymffleas.xlsx]Growth!R65C8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5" s="22"/>
      </tp>
      <tp>
        <v>-39.842199999999998</v>
        <stp/>
        <stp>##V3_BDHV12</stp>
        <stp>RCOM IN Equity</stp>
        <stp>EPS_DIL_BEF_EXTRAORD_SEQ_GRWTH</stp>
        <stp>FY 2015</stp>
        <stp>FY 2015</stp>
        <stp>[FA1_ymffleas.xlsx]Growth!R65C9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5" s="22"/>
      </tp>
      <tp>
        <v>2110</v>
        <stp/>
        <stp>##V3_BDHV12</stp>
        <stp>RCOM IN Equity</stp>
        <stp>BS_CURR_RENTAL_EXPENSE</stp>
        <stp>FY 2015</stp>
        <stp>FY 2015</stp>
        <stp>[FA1_ymffleas.xlsx]Income - Adjusted!R133C8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3" s="9"/>
      </tp>
      <tp>
        <v>800</v>
        <stp/>
        <stp>##V3_BDHV12</stp>
        <stp>RCOM IN Equity</stp>
        <stp>BS_CURR_RENTAL_EXPENSE</stp>
        <stp>FY 2016</stp>
        <stp>FY 2016</stp>
        <stp>[FA1_ymffleas.xlsx]Income - Adjusted!R133C9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3" s="9"/>
      </tp>
      <tp>
        <v>3640</v>
        <stp/>
        <stp>##V3_BDHV12</stp>
        <stp>RCOM IN Equity</stp>
        <stp>BS_CURR_RENTAL_EXPENSE</stp>
        <stp>FY 2013</stp>
        <stp>FY 2013</stp>
        <stp>[FA1_ymffleas.xlsx]Income - Adjusted!R133C6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3" s="9"/>
      </tp>
      <tp>
        <v>2250</v>
        <stp/>
        <stp>##V3_BDHV12</stp>
        <stp>RCOM IN Equity</stp>
        <stp>BS_CURR_RENTAL_EXPENSE</stp>
        <stp>FY 2014</stp>
        <stp>FY 2014</stp>
        <stp>[FA1_ymffleas.xlsx]Income - Adjusted!R133C7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3" s="9"/>
      </tp>
      <tp>
        <v>3420</v>
        <stp/>
        <stp>##V3_BDHV12</stp>
        <stp>RCOM IN Equity</stp>
        <stp>BS_CURR_RENTAL_EXPENSE</stp>
        <stp>FY 2011</stp>
        <stp>FY 2011</stp>
        <stp>[FA1_ymffleas.xlsx]Income - Adjusted!R133C4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3" s="9"/>
      </tp>
      <tp>
        <v>3040</v>
        <stp/>
        <stp>##V3_BDHV12</stp>
        <stp>RCOM IN Equity</stp>
        <stp>BS_CURR_RENTAL_EXPENSE</stp>
        <stp>FY 2012</stp>
        <stp>FY 2012</stp>
        <stp>[FA1_ymffleas.xlsx]Income - Adjusted!R133C5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3" s="9"/>
      </tp>
      <tp>
        <v>3950.2</v>
        <stp/>
        <stp>##V3_BDHV12</stp>
        <stp>RCOM IN Equity</stp>
        <stp>BS_CURR_RENTAL_EXPENSE</stp>
        <stp>FY 2010</stp>
        <stp>FY 2010</stp>
        <stp>[FA1_ymffleas.xlsx]Income - Adjusted!R133C3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3" s="9"/>
      </tp>
      <tp>
        <v>261970</v>
        <stp/>
        <stp>##V3_BDHV12</stp>
        <stp>RCOM IN Equity</stp>
        <stp>BS_ACCUM_DEPR</stp>
        <stp>FY 2016</stp>
        <stp>FY 2016</stp>
        <stp>[FA1_ymffleas.xlsx]Bal Sheet - Standardized!R47C10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7" s="16"/>
      </tp>
      <tp>
        <v>287350</v>
        <stp/>
        <stp>##V3_BDHV12</stp>
        <stp>RCOM IN Equity</stp>
        <stp>BS_ACCUM_DEPR</stp>
        <stp>FY 2017</stp>
        <stp>FY 2017</stp>
        <stp>[FA1_ymffleas.xlsx]Bal Sheet - Standardized!R47C11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7" s="16"/>
      </tp>
      <tp>
        <v>241490</v>
        <stp/>
        <stp>##V3_BDHV12</stp>
        <stp>RCOM IN Equity</stp>
        <stp>BS_ACCUM_DEPR</stp>
        <stp>FY 2018</stp>
        <stp>FY 2018</stp>
        <stp>[FA1_ymffleas.xlsx]Bal Sheet - Standardized!R47C12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7" s="16"/>
      </tp>
      <tp>
        <v>-8.6241000000000003</v>
        <stp/>
        <stp>##V3_BDHV12</stp>
        <stp>RCOM IN Equity</stp>
        <stp>CAPITAL_YIELD</stp>
        <stp>FY 2009</stp>
        <stp>FY 2009</stp>
        <stp>[FA1_ymffleas.xlsx]Yield Analysis!R43C3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3" s="26"/>
      </tp>
      <tp>
        <v>11.849399999999999</v>
        <stp/>
        <stp>##V3_BDHV12</stp>
        <stp>RCOM IN Equity</stp>
        <stp>CAPITAL_YIELD</stp>
        <stp>FY 2010</stp>
        <stp>FY 2010</stp>
        <stp>[FA1_ymffleas.xlsx]Yield Analysis!R43C4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3" s="26"/>
      </tp>
      <tp>
        <v>-16.608499999999999</v>
        <stp/>
        <stp>##V3_BDHV12</stp>
        <stp>RCOM IN Equity</stp>
        <stp>CAPITAL_YIELD</stp>
        <stp>FY 2011</stp>
        <stp>FY 2011</stp>
        <stp>[FA1_ymffleas.xlsx]Yield Analysis!R43C5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3" s="26"/>
      </tp>
      <tp>
        <v>6.8143000000000002</v>
        <stp/>
        <stp>##V3_BDHV12</stp>
        <stp>RCOM IN Equity</stp>
        <stp>CAPITAL_YIELD</stp>
        <stp>FY 2012</stp>
        <stp>FY 2012</stp>
        <stp>[FA1_ymffleas.xlsx]Yield Analysis!R43C6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3" s="26"/>
      </tp>
      <tp>
        <v>-1.6983000000000001</v>
        <stp/>
        <stp>##V3_BDHV12</stp>
        <stp>RCOM IN Equity</stp>
        <stp>CAPITAL_YIELD</stp>
        <stp>FY 2013</stp>
        <stp>FY 2013</stp>
        <stp>[FA1_ymffleas.xlsx]Yield Analysis!R43C7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3" s="26"/>
      </tp>
      <tp>
        <v>2.8435000000000001</v>
        <stp/>
        <stp>##V3_BDHV12</stp>
        <stp>RCOM IN Equity</stp>
        <stp>CAPITAL_YIELD</stp>
        <stp>FY 2014</stp>
        <stp>FY 2014</stp>
        <stp>[FA1_ymffleas.xlsx]Yield Analysis!R43C8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3" s="26"/>
      </tp>
      <tp>
        <v>-6.7027999999999999</v>
        <stp/>
        <stp>##V3_BDHV12</stp>
        <stp>RCOM IN Equity</stp>
        <stp>CAPITAL_YIELD</stp>
        <stp>FY 2015</stp>
        <stp>FY 2015</stp>
        <stp>[FA1_ymffleas.xlsx]Yield Analysis!R43C9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3" s="26"/>
      </tp>
      <tp t="s">
        <v>—</v>
        <stp/>
        <stp>##V3_BDHV12</stp>
        <stp>RCOM IN Equity</stp>
        <stp>ARDR_OTHER_FINANCE_INCOME</stp>
        <stp>FY 2017</stp>
        <stp>FY 2017</stp>
        <stp>[FA1_ymffleas.xlsx]Income - As Reported!R120C11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0" s="11"/>
      </tp>
      <tp t="s">
        <v>—</v>
        <stp/>
        <stp>##V3_BDHV12</stp>
        <stp>RCOM IN Equity</stp>
        <stp>ARDR_OTHER_FINANCE_INCOME</stp>
        <stp>FY 2016</stp>
        <stp>FY 2016</stp>
        <stp>[FA1_ymffleas.xlsx]Income - As Reported!R120C10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0" s="11"/>
      </tp>
      <tp t="s">
        <v>—</v>
        <stp/>
        <stp>##V3_BDHV12</stp>
        <stp>RCOM IN Equity</stp>
        <stp>ARDR_OTHER_FINANCE_INCOME</stp>
        <stp>FY 2018</stp>
        <stp>FY 2018</stp>
        <stp>[FA1_ymffleas.xlsx]Income - As Reported!R120C12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0" s="11"/>
      </tp>
      <tp>
        <v>2.9621</v>
        <stp/>
        <stp>##V3_BDHV12</stp>
        <stp>RCOM IN Equity</stp>
        <stp>SUSTAIN_GROWTH_RT</stp>
        <stp>FY 2011</stp>
        <stp>FY 2011</stp>
        <stp>[FA1_ymffleas.xlsx]Profitability!R24C5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4" s="21"/>
      </tp>
      <tp t="s">
        <v>—</v>
        <stp/>
        <stp>##V3_BDHV12</stp>
        <stp>RCOM IN Equity</stp>
        <stp>ARD_COMPREHENSIVE_INCOME_NET_INC</stp>
        <stp>FY 2010</stp>
        <stp>FY 2010</stp>
        <stp>[FA1_ymffleas.xlsx]Income - As Reported!R59C4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9" s="11"/>
      </tp>
      <tp t="s">
        <v>—</v>
        <stp/>
        <stp>##V3_BDHV12</stp>
        <stp>RCOM IN Equity</stp>
        <stp>ARD_COMPREHENSIVE_INCOME_NET_INC</stp>
        <stp>FY 2011</stp>
        <stp>FY 2011</stp>
        <stp>[FA1_ymffleas.xlsx]Income - As Reported!R59C5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9" s="11"/>
      </tp>
      <tp t="s">
        <v>—</v>
        <stp/>
        <stp>##V3_BDHV12</stp>
        <stp>RCOM IN Equity</stp>
        <stp>ARD_COMPREHENSIVE_INCOME_NET_INC</stp>
        <stp>FY 2012</stp>
        <stp>FY 2012</stp>
        <stp>[FA1_ymffleas.xlsx]Income - As Reported!R59C6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9" s="11"/>
      </tp>
      <tp t="s">
        <v>—</v>
        <stp/>
        <stp>##V3_BDHV12</stp>
        <stp>RCOM IN Equity</stp>
        <stp>ARD_COMPREHENSIVE_INCOME_NET_INC</stp>
        <stp>FY 2013</stp>
        <stp>FY 2013</stp>
        <stp>[FA1_ymffleas.xlsx]Income - As Reported!R59C7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9" s="11"/>
      </tp>
      <tp t="s">
        <v>—</v>
        <stp/>
        <stp>##V3_BDHV12</stp>
        <stp>RCOM IN Equity</stp>
        <stp>ARD_COMPREHENSIVE_INCOME_NET_INC</stp>
        <stp>FY 2009</stp>
        <stp>FY 2009</stp>
        <stp>[FA1_ymffleas.xlsx]Income - As Reported!R59C3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9" s="11"/>
      </tp>
      <tp t="s">
        <v>—</v>
        <stp/>
        <stp>##V3_BDHV12</stp>
        <stp>RCOM IN Equity</stp>
        <stp>ARD_COMPREHENSIVE_INCOME_NET_INC</stp>
        <stp>FY 2014</stp>
        <stp>FY 2014</stp>
        <stp>[FA1_ymffleas.xlsx]Income - As Reported!R59C8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9" s="11"/>
      </tp>
      <tp t="s">
        <v>—</v>
        <stp/>
        <stp>##V3_BDHV12</stp>
        <stp>RCOM IN Equity</stp>
        <stp>ARD_COMPREHENSIVE_INCOME_NET_INC</stp>
        <stp>FY 2015</stp>
        <stp>FY 2015</stp>
        <stp>[FA1_ymffleas.xlsx]Income - As Reported!R59C9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9" s="11"/>
      </tp>
      <tp>
        <v>7.2919</v>
        <stp/>
        <stp>##V3_BDHV12</stp>
        <stp>RCOM IN Equity</stp>
        <stp>EV_TO_T12M_EBITDA</stp>
        <stp>FY 2015</stp>
        <stp>FY 2015</stp>
        <stp>[FA1_ymffleas.xlsx]Multiples!R41C8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41" s="6"/>
      </tp>
      <tp>
        <v>33.390099999999997</v>
        <stp/>
        <stp>##V3_BDHV12</stp>
        <stp>RCOM IN Equity</stp>
        <stp>EBITDA_MARGIN</stp>
        <stp>FY 2016</stp>
        <stp>FY 2016</stp>
        <stp>[FA1_ymffleas.xlsx]Cash Flow - Standardized!R59C9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59" s="19"/>
      </tp>
      <tp>
        <v>528940.34380000003</v>
        <stp/>
        <stp>##V3_BDHV12</stp>
        <stp>RCOM IN Equity</stp>
        <stp>ENTERPRISE_VALUE</stp>
        <stp>FY 2018</stp>
        <stp>FY 2018</stp>
        <stp>[FA1_ymffleas.xlsx]Yield Analysis!R42C12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2" s="26"/>
      </tp>
      <tp>
        <v>548268.98730000004</v>
        <stp/>
        <stp>##V3_BDHV12</stp>
        <stp>RCOM IN Equity</stp>
        <stp>ENTERPRISE_VALUE</stp>
        <stp>FY 2016</stp>
        <stp>FY 2016</stp>
        <stp>[FA1_ymffleas.xlsx]Yield Analysis!R42C10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2" s="26"/>
      </tp>
      <tp>
        <v>543517.92420000001</v>
        <stp/>
        <stp>##V3_BDHV12</stp>
        <stp>RCOM IN Equity</stp>
        <stp>ENTERPRISE_VALUE</stp>
        <stp>FY 2017</stp>
        <stp>FY 2017</stp>
        <stp>[FA1_ymffleas.xlsx]Yield Analysis!R42C11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2" s="26"/>
      </tp>
      <tp>
        <v>543517.92420000001</v>
        <stp/>
        <stp>##V3_BDHV12</stp>
        <stp>RCOM IN Equity</stp>
        <stp>ENTERPRISE_VALUE</stp>
        <stp>FY 2017</stp>
        <stp>FY 2017</stp>
        <stp>[FA1_ymffleas.xlsx]Yield Analysis!R33C11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3" s="26"/>
      </tp>
      <tp>
        <v>548268.98730000004</v>
        <stp/>
        <stp>##V3_BDHV12</stp>
        <stp>RCOM IN Equity</stp>
        <stp>ENTERPRISE_VALUE</stp>
        <stp>FY 2016</stp>
        <stp>FY 2016</stp>
        <stp>[FA1_ymffleas.xlsx]Yield Analysis!R33C10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3" s="26"/>
      </tp>
      <tp>
        <v>528940.34380000003</v>
        <stp/>
        <stp>##V3_BDHV12</stp>
        <stp>RCOM IN Equity</stp>
        <stp>ENTERPRISE_VALUE</stp>
        <stp>FY 2018</stp>
        <stp>FY 2018</stp>
        <stp>[FA1_ymffleas.xlsx]Yield Analysis!R33C12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3" s="26"/>
      </tp>
      <tp>
        <v>13.058299999999999</v>
        <stp/>
        <stp>##V3_BDHV12</stp>
        <stp>RCOM IN Equity</stp>
        <stp>CASH_DVD_COVERAGE</stp>
        <stp>FY 2011</stp>
        <stp>FY 2011</stp>
        <stp>[FA1_ymffleas.xlsx]Dividend Summary!R10C5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0" s="31"/>
      </tp>
      <tp>
        <v>0.20610000000000001</v>
        <stp/>
        <stp>##V3_BDHV12</stp>
        <stp>RCOM IN Equity</stp>
        <stp>QUICK_RATIO</stp>
        <stp>FY 2011</stp>
        <stp>FY 2011</stp>
        <stp>[FA1_ymffleas.xlsx]Liquidity!R8C5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" s="24"/>
      </tp>
      <tp>
        <v>0.20030000000000001</v>
        <stp/>
        <stp>##V3_BDHV12</stp>
        <stp>RCOM IN Equity</stp>
        <stp>QUICK_RATIO</stp>
        <stp>FY 2010</stp>
        <stp>FY 2010</stp>
        <stp>[FA1_ymffleas.xlsx]Liquidity!R8C4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" s="24"/>
      </tp>
      <tp>
        <v>0.12180000000000001</v>
        <stp/>
        <stp>##V3_BDHV12</stp>
        <stp>RCOM IN Equity</stp>
        <stp>QUICK_RATIO</stp>
        <stp>FY 2013</stp>
        <stp>FY 2013</stp>
        <stp>[FA1_ymffleas.xlsx]Liquidity!R8C7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" s="24"/>
      </tp>
      <tp>
        <v>0.12989999999999999</v>
        <stp/>
        <stp>##V3_BDHV12</stp>
        <stp>RCOM IN Equity</stp>
        <stp>QUICK_RATIO</stp>
        <stp>FY 2012</stp>
        <stp>FY 2012</stp>
        <stp>[FA1_ymffleas.xlsx]Liquidity!R8C6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" s="24"/>
      </tp>
      <tp>
        <v>-74960.3</v>
        <stp/>
        <stp>##V3_BDHV12</stp>
        <stp>RCOM IN Equity</stp>
        <stp>CAPITAL_EXPEND</stp>
        <stp>FY 2010</stp>
        <stp>FY 2010</stp>
        <stp>[FA1_ymffleas.xlsx]Adj Highlights!R24C3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4" s="2"/>
      </tp>
      <tp>
        <v>-48500</v>
        <stp/>
        <stp>##V3_BDHV12</stp>
        <stp>RCOM IN Equity</stp>
        <stp>CAPITAL_EXPEND</stp>
        <stp>FY 2012</stp>
        <stp>FY 2012</stp>
        <stp>[FA1_ymffleas.xlsx]Adj Highlights!R24C5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4" s="2"/>
      </tp>
      <tp>
        <v>-103270</v>
        <stp/>
        <stp>##V3_BDHV12</stp>
        <stp>RCOM IN Equity</stp>
        <stp>CAPITAL_EXPEND</stp>
        <stp>FY 2011</stp>
        <stp>FY 2011</stp>
        <stp>[FA1_ymffleas.xlsx]Adj Highlights!R24C4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4" s="2"/>
      </tp>
      <tp>
        <v>-21650</v>
        <stp/>
        <stp>##V3_BDHV12</stp>
        <stp>RCOM IN Equity</stp>
        <stp>CAPITAL_EXPEND</stp>
        <stp>FY 2014</stp>
        <stp>FY 2014</stp>
        <stp>[FA1_ymffleas.xlsx]Adj Highlights!R24C7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4" s="2"/>
      </tp>
      <tp>
        <v>-21140</v>
        <stp/>
        <stp>##V3_BDHV12</stp>
        <stp>RCOM IN Equity</stp>
        <stp>CAPITAL_EXPEND</stp>
        <stp>FY 2013</stp>
        <stp>FY 2013</stp>
        <stp>[FA1_ymffleas.xlsx]Adj Highlights!R24C6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4" s="2"/>
      </tp>
      <tp>
        <v>-153300</v>
        <stp/>
        <stp>##V3_BDHV12</stp>
        <stp>RCOM IN Equity</stp>
        <stp>CAPITAL_EXPEND</stp>
        <stp>FY 2016</stp>
        <stp>FY 2016</stp>
        <stp>[FA1_ymffleas.xlsx]Adj Highlights!R24C9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4" s="2"/>
      </tp>
      <tp>
        <v>-24960</v>
        <stp/>
        <stp>##V3_BDHV12</stp>
        <stp>RCOM IN Equity</stp>
        <stp>CAPITAL_EXPEND</stp>
        <stp>FY 2015</stp>
        <stp>FY 2015</stp>
        <stp>[FA1_ymffleas.xlsx]Adj Highlights!R24C8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4" s="2"/>
      </tp>
      <tp>
        <v>0.36990000000000001</v>
        <stp/>
        <stp>##V3_BDHV12</stp>
        <stp>RCOM IN Equity</stp>
        <stp>QUICK_RATIO</stp>
        <stp>FY 2009</stp>
        <stp>FY 2009</stp>
        <stp>[FA1_ymffleas.xlsx]Liquidity!R8C3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" s="24"/>
      </tp>
      <tp>
        <v>0</v>
        <stp/>
        <stp>##V3_BDHV12</stp>
        <stp>RCOM IN Equity</stp>
        <stp>BS_AMT_OF_TSY_STOCK</stp>
        <stp>FY 2018</stp>
        <stp>FY 2018</stp>
        <stp>[FA1_ymffleas.xlsx]Bal Sheet - Standardized!R141C12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1" s="16"/>
      </tp>
      <tp>
        <v>0</v>
        <stp/>
        <stp>##V3_BDHV12</stp>
        <stp>RCOM IN Equity</stp>
        <stp>BS_AMT_OF_TSY_STOCK</stp>
        <stp>FY 2017</stp>
        <stp>FY 2017</stp>
        <stp>[FA1_ymffleas.xlsx]Bal Sheet - Standardized!R141C11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1" s="16"/>
      </tp>
      <tp>
        <v>0</v>
        <stp/>
        <stp>##V3_BDHV12</stp>
        <stp>RCOM IN Equity</stp>
        <stp>BS_AMT_OF_TSY_STOCK</stp>
        <stp>FY 2016</stp>
        <stp>FY 2016</stp>
        <stp>[FA1_ymffleas.xlsx]Bal Sheet - Standardized!R141C10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1" s="16"/>
      </tp>
      <tp>
        <v>0.18509999999999999</v>
        <stp/>
        <stp>##V3_BDHV12</stp>
        <stp>RCOM IN Equity</stp>
        <stp>QUICK_RATIO</stp>
        <stp>FY 2015</stp>
        <stp>FY 2015</stp>
        <stp>[FA1_ymffleas.xlsx]Liquidity!R8C9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" s="24"/>
      </tp>
      <tp>
        <v>8.7599999999999997E-2</v>
        <stp/>
        <stp>##V3_BDHV12</stp>
        <stp>RCOM IN Equity</stp>
        <stp>QUICK_RATIO</stp>
        <stp>FY 2014</stp>
        <stp>FY 2014</stp>
        <stp>[FA1_ymffleas.xlsx]Liquidity!R8C8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" s="24"/>
      </tp>
      <tp>
        <v>16.8398</v>
        <stp/>
        <stp>##V3_BDHV12</stp>
        <stp>RCOM IN Equity</stp>
        <stp>CASH_FLOW_TO_TOT_LIAB</stp>
        <stp>FY 2010</stp>
        <stp>FY 2010</stp>
        <stp>[FA1_ymffleas.xlsx]Liquidity!R20C4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0" s="24"/>
      </tp>
      <tp>
        <v>2.0074999999999998</v>
        <stp/>
        <stp>##V3_BDHV12</stp>
        <stp>RCOM IN Equity</stp>
        <stp>CASH_FLOW_TO_TOT_LIAB</stp>
        <stp>FY 2011</stp>
        <stp>FY 2011</stp>
        <stp>[FA1_ymffleas.xlsx]Liquidity!R20C5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0" s="24"/>
      </tp>
      <tp>
        <v>7.3907999999999996</v>
        <stp/>
        <stp>##V3_BDHV12</stp>
        <stp>RCOM IN Equity</stp>
        <stp>CASH_FLOW_TO_TOT_LIAB</stp>
        <stp>FY 2012</stp>
        <stp>FY 2012</stp>
        <stp>[FA1_ymffleas.xlsx]Liquidity!R20C6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0" s="24"/>
      </tp>
      <tp>
        <v>2.4637000000000002</v>
        <stp/>
        <stp>##V3_BDHV12</stp>
        <stp>RCOM IN Equity</stp>
        <stp>CASH_FLOW_TO_TOT_LIAB</stp>
        <stp>FY 2013</stp>
        <stp>FY 2013</stp>
        <stp>[FA1_ymffleas.xlsx]Liquidity!R20C7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0" s="24"/>
      </tp>
      <tp>
        <v>-31.003699999999998</v>
        <stp/>
        <stp>##V3_BDHV12</stp>
        <stp>RCOM IN Equity</stp>
        <stp>EARN_FOR_COM_GROWTH</stp>
        <stp>FY 2012</stp>
        <stp>FY 2012</stp>
        <stp>[FA1_ymffleas.xlsx]Growth!R10C6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0" s="22"/>
      </tp>
      <tp>
        <v>8.6552000000000007</v>
        <stp/>
        <stp>##V3_BDHV12</stp>
        <stp>RCOM IN Equity</stp>
        <stp>CASH_FLOW_TO_TOT_LIAB</stp>
        <stp>FY 2009</stp>
        <stp>FY 2009</stp>
        <stp>[FA1_ymffleas.xlsx]Liquidity!R20C3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0" s="24"/>
      </tp>
      <tp>
        <v>1022069.9</v>
        <stp/>
        <stp>##V3_BDHV12</stp>
        <stp>RCOM IN Equity</stp>
        <stp>BS_TOT_ASSET</stp>
        <stp>FY 2009</stp>
        <stp>FY 2009</stp>
        <stp>[FA1_ymffleas.xlsx]Bal Sheet - Standardized!R71C3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1" s="16"/>
      </tp>
      <tp>
        <v>947230</v>
        <stp/>
        <stp>##V3_BDHV12</stp>
        <stp>RCOM IN Equity</stp>
        <stp>BS_TOT_ASSET</stp>
        <stp>FY 2011</stp>
        <stp>FY 2011</stp>
        <stp>[FA1_ymffleas.xlsx]Bal Sheet - Standardized!R71C5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1" s="16"/>
      </tp>
      <tp>
        <v>925686.3</v>
        <stp/>
        <stp>##V3_BDHV12</stp>
        <stp>RCOM IN Equity</stp>
        <stp>BS_TOT_ASSET</stp>
        <stp>FY 2010</stp>
        <stp>FY 2010</stp>
        <stp>[FA1_ymffleas.xlsx]Bal Sheet - Standardized!R71C4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1" s="16"/>
      </tp>
      <tp>
        <v>901820</v>
        <stp/>
        <stp>##V3_BDHV12</stp>
        <stp>RCOM IN Equity</stp>
        <stp>BS_TOT_ASSET</stp>
        <stp>FY 2013</stp>
        <stp>FY 2013</stp>
        <stp>[FA1_ymffleas.xlsx]Bal Sheet - Standardized!R71C7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1" s="16"/>
      </tp>
      <tp>
        <v>922650</v>
        <stp/>
        <stp>##V3_BDHV12</stp>
        <stp>RCOM IN Equity</stp>
        <stp>BS_TOT_ASSET</stp>
        <stp>FY 2012</stp>
        <stp>FY 2012</stp>
        <stp>[FA1_ymffleas.xlsx]Bal Sheet - Standardized!R71C6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1" s="16"/>
      </tp>
      <tp>
        <v>930220</v>
        <stp/>
        <stp>##V3_BDHV12</stp>
        <stp>RCOM IN Equity</stp>
        <stp>BS_TOT_ASSET</stp>
        <stp>FY 2015</stp>
        <stp>FY 2015</stp>
        <stp>[FA1_ymffleas.xlsx]Bal Sheet - Standardized!R71C9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1" s="16"/>
      </tp>
      <tp>
        <v>907390</v>
        <stp/>
        <stp>##V3_BDHV12</stp>
        <stp>RCOM IN Equity</stp>
        <stp>BS_TOT_ASSET</stp>
        <stp>FY 2014</stp>
        <stp>FY 2014</stp>
        <stp>[FA1_ymffleas.xlsx]Bal Sheet - Standardized!R71C8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1" s="16"/>
      </tp>
      <tp>
        <v>6.7656999999999998</v>
        <stp/>
        <stp>##V3_BDHV12</stp>
        <stp>RCOM IN Equity</stp>
        <stp>CASH_FLOW_TO_TOT_LIAB</stp>
        <stp>FY 2014</stp>
        <stp>FY 2014</stp>
        <stp>[FA1_ymffleas.xlsx]Liquidity!R20C8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0" s="24"/>
      </tp>
      <tp>
        <v>0.91979999999999995</v>
        <stp/>
        <stp>##V3_BDHV12</stp>
        <stp>RCOM IN Equity</stp>
        <stp>CASH_FLOW_TO_TOT_LIAB</stp>
        <stp>FY 2015</stp>
        <stp>FY 2015</stp>
        <stp>[FA1_ymffleas.xlsx]Liquidity!R20C9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0" s="24"/>
      </tp>
      <tp t="s">
        <v>—</v>
        <stp/>
        <stp>##V3_BDHV12</stp>
        <stp>RCOM IN Equity</stp>
        <stp>FCF_TO_FIRM_SEQUENTIAL_GROWTH</stp>
        <stp>FY 2010</stp>
        <stp>FY 2010</stp>
        <stp>[FA1_ymffleas.xlsx]Growth!R87C4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87" s="22"/>
      </tp>
      <tp>
        <v>362</v>
        <stp/>
        <stp>##V3_BDHV12</stp>
        <stp>RCOM IN Equity</stp>
        <stp>PX_HIGH</stp>
        <stp>FY 2010</stp>
        <stp>FY 2010</stp>
        <stp>[FA1_ymffleas.xlsx]Multiples!R52C3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52" s="6"/>
      </tp>
      <tp>
        <v>91.85</v>
        <stp/>
        <stp>##V3_BDHV12</stp>
        <stp>RCOM IN Equity</stp>
        <stp>PX_HIGH</stp>
        <stp>FY 2013</stp>
        <stp>FY 2013</stp>
        <stp>[FA1_ymffleas.xlsx]Multiples!R52C6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52" s="6"/>
      </tp>
      <tp>
        <v>520</v>
        <stp/>
        <stp>##V3_BDHV12</stp>
        <stp>RCOM IN Equity</stp>
        <stp>INVTRY_FINISHED_GOODS</stp>
        <stp>FY 2016</stp>
        <stp>FY 2016</stp>
        <stp>[FA1_ymffleas.xlsx]Bal Sheet - Standardized!R27C10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7" s="16"/>
      </tp>
      <tp>
        <v>1120</v>
        <stp/>
        <stp>##V3_BDHV12</stp>
        <stp>RCOM IN Equity</stp>
        <stp>INVTRY_FINISHED_GOODS</stp>
        <stp>FY 2017</stp>
        <stp>FY 2017</stp>
        <stp>[FA1_ymffleas.xlsx]Bal Sheet - Standardized!R27C11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7" s="16"/>
      </tp>
      <tp>
        <v>20</v>
        <stp/>
        <stp>##V3_BDHV12</stp>
        <stp>RCOM IN Equity</stp>
        <stp>INVTRY_FINISHED_GOODS</stp>
        <stp>FY 2018</stp>
        <stp>FY 2018</stp>
        <stp>[FA1_ymffleas.xlsx]Bal Sheet - Standardized!R27C12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7" s="16"/>
      </tp>
      <tp>
        <v>164.65</v>
        <stp/>
        <stp>##V3_BDHV12</stp>
        <stp>RCOM IN Equity</stp>
        <stp>PX_HIGH</stp>
        <stp>FY 2014</stp>
        <stp>FY 2014</stp>
        <stp>[FA1_ymffleas.xlsx]Multiples!R52C7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52" s="6"/>
      </tp>
      <tp>
        <v>207.8</v>
        <stp/>
        <stp>##V3_BDHV12</stp>
        <stp>RCOM IN Equity</stp>
        <stp>PX_HIGH</stp>
        <stp>FY 2011</stp>
        <stp>FY 2011</stp>
        <stp>[FA1_ymffleas.xlsx]Multiples!R52C4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52" s="6"/>
      </tp>
      <tp>
        <v>113.85</v>
        <stp/>
        <stp>##V3_BDHV12</stp>
        <stp>RCOM IN Equity</stp>
        <stp>PX_HIGH</stp>
        <stp>FY 2012</stp>
        <stp>FY 2012</stp>
        <stp>[FA1_ymffleas.xlsx]Multiples!R52C5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52" s="6"/>
      </tp>
      <tp>
        <v>-54970</v>
        <stp/>
        <stp>##V3_BDHV12</stp>
        <stp>RCOM IN Equity</stp>
        <stp>ARD_TOT_CASHFLOWS_FROM_FINANCING</stp>
        <stp>FY 2012</stp>
        <stp>FY 2012</stp>
        <stp>[FA1_ymffleas.xlsx]Cash Flow - As Reported!R67C6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7" s="20"/>
      </tp>
      <tp>
        <v>-15760</v>
        <stp/>
        <stp>##V3_BDHV12</stp>
        <stp>RCOM IN Equity</stp>
        <stp>ARD_TOT_CASHFLOWS_FROM_FINANCING</stp>
        <stp>FY 2013</stp>
        <stp>FY 2013</stp>
        <stp>[FA1_ymffleas.xlsx]Cash Flow - As Reported!R67C7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7" s="20"/>
      </tp>
      <tp>
        <v>-86217.3</v>
        <stp/>
        <stp>##V3_BDHV12</stp>
        <stp>RCOM IN Equity</stp>
        <stp>ARD_TOT_CASHFLOWS_FROM_FINANCING</stp>
        <stp>FY 2010</stp>
        <stp>FY 2010</stp>
        <stp>[FA1_ymffleas.xlsx]Cash Flow - As Reported!R67C4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7" s="20"/>
      </tp>
      <tp>
        <v>80710</v>
        <stp/>
        <stp>##V3_BDHV12</stp>
        <stp>RCOM IN Equity</stp>
        <stp>ARD_TOT_CASHFLOWS_FROM_FINANCING</stp>
        <stp>FY 2011</stp>
        <stp>FY 2011</stp>
        <stp>[FA1_ymffleas.xlsx]Cash Flow - As Reported!R67C5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7" s="20"/>
      </tp>
      <tp>
        <v>42430.9</v>
        <stp/>
        <stp>##V3_BDHV12</stp>
        <stp>RCOM IN Equity</stp>
        <stp>ARD_TOT_CASHFLOWS_FROM_FINANCING</stp>
        <stp>FY 2009</stp>
        <stp>FY 2009</stp>
        <stp>[FA1_ymffleas.xlsx]Cash Flow - As Reported!R67C3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7" s="20"/>
      </tp>
      <tp>
        <v>-49670</v>
        <stp/>
        <stp>##V3_BDHV12</stp>
        <stp>RCOM IN Equity</stp>
        <stp>ARD_TOT_CASHFLOWS_FROM_FINANCING</stp>
        <stp>FY 2014</stp>
        <stp>FY 2014</stp>
        <stp>[FA1_ymffleas.xlsx]Cash Flow - As Reported!R67C8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7" s="20"/>
      </tp>
      <tp>
        <v>8200</v>
        <stp/>
        <stp>##V3_BDHV12</stp>
        <stp>RCOM IN Equity</stp>
        <stp>ARD_TOT_CASHFLOWS_FROM_FINANCING</stp>
        <stp>FY 2015</stp>
        <stp>FY 2015</stp>
        <stp>[FA1_ymffleas.xlsx]Cash Flow - As Reported!R67C9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7" s="20"/>
      </tp>
      <tp>
        <v>157.25</v>
        <stp/>
        <stp>##V3_BDHV12</stp>
        <stp>RCOM IN Equity</stp>
        <stp>PX_HIGH</stp>
        <stp>FY 2015</stp>
        <stp>FY 2015</stp>
        <stp>[FA1_ymffleas.xlsx]Multiples!R52C8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52" s="6"/>
      </tp>
      <tp>
        <v>91.8</v>
        <stp/>
        <stp>##V3_BDHV12</stp>
        <stp>RCOM IN Equity</stp>
        <stp>PX_HIGH</stp>
        <stp>FY 2016</stp>
        <stp>FY 2016</stp>
        <stp>[FA1_ymffleas.xlsx]Multiples!R52C9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52" s="6"/>
      </tp>
      <tp>
        <v>5.6033999999999997</v>
        <stp/>
        <stp>##V3_BDHV12</stp>
        <stp>RCOM IN Equity</stp>
        <stp>DVD_PAYOUT_RATIO</stp>
        <stp>FY 2012</stp>
        <stp>FY 2012</stp>
        <stp>[FA1_ymffleas.xlsx]Addl - Overview!R21C5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1" s="29"/>
      </tp>
      <tp>
        <v>3.26</v>
        <stp/>
        <stp>##V3_BDHV12</stp>
        <stp>RCOM IN Equity</stp>
        <stp>IS_EPS</stp>
        <stp>FY 2013</stp>
        <stp>FY 2013</stp>
        <stp>[FA1_ymffleas.xlsx]Per Share!R14C6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4" s="7"/>
      </tp>
      <tp>
        <v>84980</v>
        <stp/>
        <stp>##V3_BDHV12</stp>
        <stp>RCOM IN Equity</stp>
        <stp>BS_PURE_RETAINED_EARNINGS</stp>
        <stp>FY 2017</stp>
        <stp>FY 2017</stp>
        <stp>[FA1_ymffleas.xlsx]Bal Sheet - Standardized!R143C11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3" s="16"/>
      </tp>
      <tp>
        <v>99010</v>
        <stp/>
        <stp>##V3_BDHV12</stp>
        <stp>RCOM IN Equity</stp>
        <stp>BS_PURE_RETAINED_EARNINGS</stp>
        <stp>FY 2016</stp>
        <stp>FY 2016</stp>
        <stp>[FA1_ymffleas.xlsx]Bal Sheet - Standardized!R143C10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3" s="16"/>
      </tp>
      <tp>
        <v>-153410</v>
        <stp/>
        <stp>##V3_BDHV12</stp>
        <stp>RCOM IN Equity</stp>
        <stp>BS_PURE_RETAINED_EARNINGS</stp>
        <stp>FY 2018</stp>
        <stp>FY 2018</stp>
        <stp>[FA1_ymffleas.xlsx]Bal Sheet - Standardized!R143C12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3" s="16"/>
      </tp>
      <tp t="s">
        <v>—</v>
        <stp/>
        <stp>##V3_BDHV12</stp>
        <stp>RCOM IN Equity</stp>
        <stp>ARD_TOTAL_FINANCIAL_LOSSES_GAINS</stp>
        <stp>FY 2015</stp>
        <stp>FY 2015</stp>
        <stp>[FA1_ymffleas.xlsx]Income - As Reported!R32C9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2" s="11"/>
      </tp>
      <tp t="s">
        <v>—</v>
        <stp/>
        <stp>##V3_BDHV12</stp>
        <stp>RCOM IN Equity</stp>
        <stp>ARD_TOTAL_FINANCIAL_LOSSES_GAINS</stp>
        <stp>FY 2014</stp>
        <stp>FY 2014</stp>
        <stp>[FA1_ymffleas.xlsx]Income - As Reported!R32C8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2" s="11"/>
      </tp>
      <tp t="s">
        <v>—</v>
        <stp/>
        <stp>##V3_BDHV12</stp>
        <stp>RCOM IN Equity</stp>
        <stp>ARD_TOTAL_FINANCIAL_LOSSES_GAINS</stp>
        <stp>FY 2013</stp>
        <stp>FY 2013</stp>
        <stp>[FA1_ymffleas.xlsx]Income - As Reported!R32C7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2" s="11"/>
      </tp>
      <tp t="s">
        <v>—</v>
        <stp/>
        <stp>##V3_BDHV12</stp>
        <stp>RCOM IN Equity</stp>
        <stp>ARD_TOTAL_FINANCIAL_LOSSES_GAINS</stp>
        <stp>FY 2012</stp>
        <stp>FY 2012</stp>
        <stp>[FA1_ymffleas.xlsx]Income - As Reported!R32C6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2" s="11"/>
      </tp>
      <tp t="s">
        <v>—</v>
        <stp/>
        <stp>##V3_BDHV12</stp>
        <stp>RCOM IN Equity</stp>
        <stp>ARD_TOTAL_FINANCIAL_LOSSES_GAINS</stp>
        <stp>FY 2011</stp>
        <stp>FY 2011</stp>
        <stp>[FA1_ymffleas.xlsx]Income - As Reported!R32C5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2" s="11"/>
      </tp>
      <tp>
        <v>-10931.8</v>
        <stp/>
        <stp>##V3_BDHV12</stp>
        <stp>RCOM IN Equity</stp>
        <stp>ARD_TOTAL_FINANCIAL_LOSSES_GAINS</stp>
        <stp>FY 2010</stp>
        <stp>FY 2010</stp>
        <stp>[FA1_ymffleas.xlsx]Income - As Reported!R32C4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2" s="11"/>
      </tp>
      <tp>
        <v>10711.1</v>
        <stp/>
        <stp>##V3_BDHV12</stp>
        <stp>RCOM IN Equity</stp>
        <stp>ARD_TOTAL_FINANCIAL_LOSSES_GAINS</stp>
        <stp>FY 2009</stp>
        <stp>FY 2009</stp>
        <stp>[FA1_ymffleas.xlsx]Income - As Reported!R32C3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2" s="11"/>
      </tp>
      <tp>
        <v>3.05</v>
        <stp/>
        <stp>##V3_BDHV12</stp>
        <stp>RCOM IN Equity</stp>
        <stp>IS_DILUTED_EPS</stp>
        <stp>FY 2015</stp>
        <stp>FY 2015</stp>
        <stp>[FA1_ymffleas.xlsx]Reconciliation!R44C8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44" s="12"/>
      </tp>
      <tp t="s">
        <v>—</v>
        <stp/>
        <stp>##V3_BDHV12</stp>
        <stp>RCOM IN Equity</stp>
        <stp>ARDR_OTHER_MISC_NON_OPER_INC</stp>
        <stp>FY 2016</stp>
        <stp>FY 2016</stp>
        <stp>[FA1_ymffleas.xlsx]Income - As Reported!R119C10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9" s="11"/>
      </tp>
      <tp>
        <v>590</v>
        <stp/>
        <stp>##V3_BDHV12</stp>
        <stp>RCOM IN Equity</stp>
        <stp>ARDR_OTHER_MISC_NON_OPER_INC</stp>
        <stp>FY 2017</stp>
        <stp>FY 2017</stp>
        <stp>[FA1_ymffleas.xlsx]Income - As Reported!R119C11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9" s="11"/>
      </tp>
      <tp>
        <v>790</v>
        <stp/>
        <stp>##V3_BDHV12</stp>
        <stp>RCOM IN Equity</stp>
        <stp>ARDR_OTHER_MISC_NON_OPER_INC</stp>
        <stp>FY 2018</stp>
        <stp>FY 2018</stp>
        <stp>[FA1_ymffleas.xlsx]Income - As Reported!R119C12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9" s="11"/>
      </tp>
      <tp>
        <v>25.001899999999999</v>
        <stp/>
        <stp>##V3_BDHV12</stp>
        <stp>RCOM IN Equity</stp>
        <stp>EV_TO_T12M_EBIT</stp>
        <stp>FY 2013</stp>
        <stp>FY 2013</stp>
        <stp>[FA1_ymffleas.xlsx]Enterprise Value!R19C6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9" s="5"/>
      </tp>
      <tp>
        <v>-5.6855000000000002</v>
        <stp/>
        <stp>##V3_BDHV12</stp>
        <stp>RCOM IN Equity</stp>
        <stp>IS_DILUTED_EPS</stp>
        <stp>FY 2017</stp>
        <stp>FY 2017</stp>
        <stp>[FA1_ymffleas.xlsx]Income - Adjusted!R115C10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15" s="9"/>
      </tp>
      <tp>
        <v>318650</v>
        <stp/>
        <stp>##V3_BDHV12</stp>
        <stp>RCOM IN Equity</stp>
        <stp>TOTAL_EQUITY</stp>
        <stp>FY 2016</stp>
        <stp>FY 2016</stp>
        <stp>[FA1_ymffleas.xlsx]GAAP Highlights!R19C10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" s="3"/>
      </tp>
      <tp>
        <v>289690</v>
        <stp/>
        <stp>##V3_BDHV12</stp>
        <stp>RCOM IN Equity</stp>
        <stp>TOTAL_EQUITY</stp>
        <stp>FY 2017</stp>
        <stp>FY 2017</stp>
        <stp>[FA1_ymffleas.xlsx]GAAP Highlights!R19C11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" s="3"/>
      </tp>
      <tp>
        <v>31150</v>
        <stp/>
        <stp>##V3_BDHV12</stp>
        <stp>RCOM IN Equity</stp>
        <stp>TOTAL_EQUITY</stp>
        <stp>FY 2018</stp>
        <stp>FY 2018</stp>
        <stp>[FA1_ymffleas.xlsx]GAAP Highlights!R19C12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" s="3"/>
      </tp>
      <tp>
        <v>1.7098</v>
        <stp/>
        <stp>##V3_BDHV12</stp>
        <stp>RCOM IN Equity</stp>
        <stp>HIGH_CLOSING_PRICE_TO_BOOK_RATIO</stp>
        <stp>FY 2010</stp>
        <stp>FY 2010</stp>
        <stp>[FA1_ymffleas.xlsx]Multiples!R13C3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3" s="6"/>
      </tp>
      <tp>
        <v>0.50609999999999999</v>
        <stp/>
        <stp>##V3_BDHV12</stp>
        <stp>RCOM IN Equity</stp>
        <stp>HIGH_CLOSING_PRICE_TO_BOOK_RATIO</stp>
        <stp>FY 2013</stp>
        <stp>FY 2013</stp>
        <stp>[FA1_ymffleas.xlsx]Multiples!R13C6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3" s="6"/>
      </tp>
      <tp>
        <v>0.98019999999999996</v>
        <stp/>
        <stp>##V3_BDHV12</stp>
        <stp>RCOM IN Equity</stp>
        <stp>HIGH_CLOSING_PRICE_TO_BOOK_RATIO</stp>
        <stp>FY 2014</stp>
        <stp>FY 2014</stp>
        <stp>[FA1_ymffleas.xlsx]Multiples!R13C7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3" s="6"/>
      </tp>
      <tp>
        <v>0.95989999999999998</v>
        <stp/>
        <stp>##V3_BDHV12</stp>
        <stp>RCOM IN Equity</stp>
        <stp>HIGH_CLOSING_PRICE_TO_BOOK_RATIO</stp>
        <stp>FY 2011</stp>
        <stp>FY 2011</stp>
        <stp>[FA1_ymffleas.xlsx]Multiples!R13C4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3" s="6"/>
      </tp>
      <tp>
        <v>0.57210000000000005</v>
        <stp/>
        <stp>##V3_BDHV12</stp>
        <stp>RCOM IN Equity</stp>
        <stp>HIGH_CLOSING_PRICE_TO_BOOK_RATIO</stp>
        <stp>FY 2012</stp>
        <stp>FY 2012</stp>
        <stp>[FA1_ymffleas.xlsx]Multiples!R13C5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3" s="6"/>
      </tp>
      <tp>
        <v>850</v>
        <stp/>
        <stp>##V3_BDHV12</stp>
        <stp>RCOM IN Equity</stp>
        <stp>BS_UNBILLED_REVENUES</stp>
        <stp>FY 2018</stp>
        <stp>FY 2018</stp>
        <stp>[FA1_ymffleas.xlsx]Bal Sheet - Standardized!R19C12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" s="16"/>
      </tp>
      <tp>
        <v>6120</v>
        <stp/>
        <stp>##V3_BDHV12</stp>
        <stp>RCOM IN Equity</stp>
        <stp>BS_UNBILLED_REVENUES</stp>
        <stp>FY 2017</stp>
        <stp>FY 2017</stp>
        <stp>[FA1_ymffleas.xlsx]Bal Sheet - Standardized!R19C11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" s="16"/>
      </tp>
      <tp>
        <v>2720</v>
        <stp/>
        <stp>##V3_BDHV12</stp>
        <stp>RCOM IN Equity</stp>
        <stp>BS_UNBILLED_REVENUES</stp>
        <stp>FY 2016</stp>
        <stp>FY 2016</stp>
        <stp>[FA1_ymffleas.xlsx]Bal Sheet - Standardized!R19C10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" s="16"/>
      </tp>
      <tp>
        <v>0.97419999999999995</v>
        <stp/>
        <stp>##V3_BDHV12</stp>
        <stp>RCOM IN Equity</stp>
        <stp>HIGH_CLOSING_PRICE_TO_BOOK_RATIO</stp>
        <stp>FY 2015</stp>
        <stp>FY 2015</stp>
        <stp>[FA1_ymffleas.xlsx]Multiples!R13C8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3" s="6"/>
      </tp>
      <tp>
        <v>0.59440000000000004</v>
        <stp/>
        <stp>##V3_BDHV12</stp>
        <stp>RCOM IN Equity</stp>
        <stp>HIGH_CLOSING_PRICE_TO_BOOK_RATIO</stp>
        <stp>FY 2016</stp>
        <stp>FY 2016</stp>
        <stp>[FA1_ymffleas.xlsx]Multiples!R13C9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3" s="6"/>
      </tp>
      <tp>
        <v>20</v>
        <stp/>
        <stp>##V3_BDHV12</stp>
        <stp>RCOM IN Equity</stp>
        <stp>RETURNED_CAPITAL_EX_DEBT</stp>
        <stp>FY 2016</stp>
        <stp>FY 2016</stp>
        <stp>[FA1_ymffleas.xlsx]Yield Analysis!R24C10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4" s="26"/>
      </tp>
      <tp>
        <v>20</v>
        <stp/>
        <stp>##V3_BDHV12</stp>
        <stp>RCOM IN Equity</stp>
        <stp>RETURNED_CAPITAL_EX_DEBT</stp>
        <stp>FY 2017</stp>
        <stp>FY 2017</stp>
        <stp>[FA1_ymffleas.xlsx]Yield Analysis!R24C11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4" s="26"/>
      </tp>
      <tp t="s">
        <v>—</v>
        <stp/>
        <stp>##V3_BDHV12</stp>
        <stp>RCOM IN Equity</stp>
        <stp>RETURNED_CAPITAL_EX_DEBT</stp>
        <stp>FY 2018</stp>
        <stp>FY 2018</stp>
        <stp>[FA1_ymffleas.xlsx]Yield Analysis!R24C12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4" s="26"/>
      </tp>
      <tp>
        <v>2.0196999999999998</v>
        <stp/>
        <stp>##V3_BDHV12</stp>
        <stp>RCOM IN Equity</stp>
        <stp>IS_DIL_EPS_CONT_OPS</stp>
        <stp>FY 2016</stp>
        <stp>FY 2016</stp>
        <stp>[FA1_ymffleas.xlsx]Income - GAAP!R95C9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5" s="10"/>
      </tp>
      <tp>
        <v>2.9695999999999998</v>
        <stp/>
        <stp>##V3_BDHV12</stp>
        <stp>RCOM IN Equity</stp>
        <stp>IS_DIL_EPS_CONT_OPS</stp>
        <stp>FY 2015</stp>
        <stp>FY 2015</stp>
        <stp>[FA1_ymffleas.xlsx]Income - GAAP!R95C8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5" s="10"/>
      </tp>
      <tp t="s">
        <v>—</v>
        <stp/>
        <stp>##V3_BDHV12</stp>
        <stp>RCOM IN Equity</stp>
        <stp>ACTUAL_SALES_PER_EMPL</stp>
        <stp>FY 2015</stp>
        <stp>FY 2015</stp>
        <stp>[FA1_ymffleas.xlsx]Income - Adjusted!R127C8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H127" s="9"/>
      </tp>
      <tp>
        <v>5.5015999999999998</v>
        <stp/>
        <stp>##V3_BDHV12</stp>
        <stp>RCOM IN Equity</stp>
        <stp>IS_DIL_EPS_CONT_OPS</stp>
        <stp>FY 2012</stp>
        <stp>FY 2012</stp>
        <stp>[FA1_ymffleas.xlsx]Income - GAAP!R95C5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5" s="10"/>
      </tp>
      <tp t="s">
        <v>—</v>
        <stp/>
        <stp>##V3_BDHV12</stp>
        <stp>RCOM IN Equity</stp>
        <stp>BS_OPTIONS_GRANTED</stp>
        <stp>FY 2018</stp>
        <stp>FY 2018</stp>
        <stp>[FA1_ymffleas.xlsx]Bal Sheet - Standardized!R165C12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5" s="16"/>
      </tp>
      <tp>
        <v>5.0293999999999999</v>
        <stp/>
        <stp>##V3_BDHV12</stp>
        <stp>RCOM IN Equity</stp>
        <stp>IS_DIL_EPS_CONT_OPS</stp>
        <stp>FY 2011</stp>
        <stp>FY 2011</stp>
        <stp>[FA1_ymffleas.xlsx]Income - GAAP!R95C4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5" s="10"/>
      </tp>
      <tp>
        <v>5.1078000000000001</v>
        <stp/>
        <stp>##V3_BDHV12</stp>
        <stp>RCOM IN Equity</stp>
        <stp>IS_DIL_EPS_CONT_OPS</stp>
        <stp>FY 2014</stp>
        <stp>FY 2014</stp>
        <stp>[FA1_ymffleas.xlsx]Income - GAAP!R95C7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5" s="10"/>
      </tp>
      <tp t="s">
        <v>—</v>
        <stp/>
        <stp>##V3_BDHV12</stp>
        <stp>RCOM IN Equity</stp>
        <stp>BS_OPTIONS_GRANTED</stp>
        <stp>FY 2016</stp>
        <stp>FY 2016</stp>
        <stp>[FA1_ymffleas.xlsx]Bal Sheet - Standardized!R165C10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5" s="16"/>
      </tp>
      <tp>
        <v>3.2397999999999998</v>
        <stp/>
        <stp>##V3_BDHV12</stp>
        <stp>RCOM IN Equity</stp>
        <stp>IS_DIL_EPS_CONT_OPS</stp>
        <stp>FY 2013</stp>
        <stp>FY 2013</stp>
        <stp>[FA1_ymffleas.xlsx]Income - GAAP!R95C6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5" s="10"/>
      </tp>
      <tp t="s">
        <v>—</v>
        <stp/>
        <stp>##V3_BDHV12</stp>
        <stp>RCOM IN Equity</stp>
        <stp>BS_OPTIONS_GRANTED</stp>
        <stp>FY 2017</stp>
        <stp>FY 2017</stp>
        <stp>[FA1_ymffleas.xlsx]Bal Sheet - Standardized!R165C11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5" s="16"/>
      </tp>
      <tp>
        <v>21.916599999999999</v>
        <stp/>
        <stp>##V3_BDHV12</stp>
        <stp>RCOM IN Equity</stp>
        <stp>IS_DIL_EPS_CONT_OPS</stp>
        <stp>FY 2010</stp>
        <stp>FY 2010</stp>
        <stp>[FA1_ymffleas.xlsx]Income - GAAP!R95C3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5" s="10"/>
      </tp>
      <tp t="s">
        <v>—</v>
        <stp/>
        <stp>##V3_BDHV12</stp>
        <stp>RCOM IN Equity</stp>
        <stp>ACTUAL_SALES_PER_EMPL</stp>
        <stp>FY 2015</stp>
        <stp>FY 2015</stp>
        <stp>[FA1_ymffleas.xlsx]Income - GAAP!R105C8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05" s="10"/>
      </tp>
      <tp>
        <v>5.07</v>
        <stp/>
        <stp>##V3_BDHV12</stp>
        <stp>RCOM IN Equity</stp>
        <stp>ARD_DILUTED_EPS</stp>
        <stp>FY 2014</stp>
        <stp>FY 2014</stp>
        <stp>[FA1_ymffleas.xlsx]Income - As Reported!R45C8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5" s="11"/>
      </tp>
      <tp>
        <v>-27.586200000000002</v>
        <stp/>
        <stp>##V3_BDHV12</stp>
        <stp>RCOM IN Equity</stp>
        <stp>EARN_FOR_COM_GROWTH</stp>
        <stp>FY 2013</stp>
        <stp>FY 2013</stp>
        <stp>[FA1_ymffleas.xlsx]Growth!R10C7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0" s="22"/>
      </tp>
      <tp>
        <v>3.05</v>
        <stp/>
        <stp>##V3_BDHV12</stp>
        <stp>RCOM IN Equity</stp>
        <stp>ARD_DILUTED_EPS</stp>
        <stp>FY 2015</stp>
        <stp>FY 2015</stp>
        <stp>[FA1_ymffleas.xlsx]Income - As Reported!R45C9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5" s="11"/>
      </tp>
      <tp t="s">
        <v>—</v>
        <stp/>
        <stp>##V3_BDHV12</stp>
        <stp>RCOM IN Equity</stp>
        <stp>ARD_DILUTED_EPS</stp>
        <stp>FY 2009</stp>
        <stp>FY 2009</stp>
        <stp>[FA1_ymffleas.xlsx]Income - As Reported!R45C3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5" s="11"/>
      </tp>
      <tp t="s">
        <v>—</v>
        <stp/>
        <stp>##V3_BDHV12</stp>
        <stp>RCOM IN Equity</stp>
        <stp>BS_UNBILLED_REVENUES</stp>
        <stp>FY 2009</stp>
        <stp>FY 2009</stp>
        <stp>[FA1_ymffleas.xlsx]Bal Sheet - Standardized!R19C3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" s="16"/>
      </tp>
      <tp t="s">
        <v>—</v>
        <stp/>
        <stp>##V3_BDHV12</stp>
        <stp>RCOM IN Equity</stp>
        <stp>BS_UNBILLED_REVENUES</stp>
        <stp>FY 2011</stp>
        <stp>FY 2011</stp>
        <stp>[FA1_ymffleas.xlsx]Bal Sheet - Standardized!R19C5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" s="16"/>
      </tp>
      <tp t="s">
        <v>—</v>
        <stp/>
        <stp>##V3_BDHV12</stp>
        <stp>RCOM IN Equity</stp>
        <stp>BS_UNBILLED_REVENUES</stp>
        <stp>FY 2010</stp>
        <stp>FY 2010</stp>
        <stp>[FA1_ymffleas.xlsx]Bal Sheet - Standardized!R19C4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" s="16"/>
      </tp>
      <tp t="s">
        <v>—</v>
        <stp/>
        <stp>##V3_BDHV12</stp>
        <stp>RCOM IN Equity</stp>
        <stp>BS_UNBILLED_REVENUES</stp>
        <stp>FY 2013</stp>
        <stp>FY 2013</stp>
        <stp>[FA1_ymffleas.xlsx]Bal Sheet - Standardized!R19C7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" s="16"/>
      </tp>
      <tp t="s">
        <v>—</v>
        <stp/>
        <stp>##V3_BDHV12</stp>
        <stp>RCOM IN Equity</stp>
        <stp>BS_UNBILLED_REVENUES</stp>
        <stp>FY 2012</stp>
        <stp>FY 2012</stp>
        <stp>[FA1_ymffleas.xlsx]Bal Sheet - Standardized!R19C6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" s="16"/>
      </tp>
      <tp t="s">
        <v>—</v>
        <stp/>
        <stp>##V3_BDHV12</stp>
        <stp>RCOM IN Equity</stp>
        <stp>BS_UNBILLED_REVENUES</stp>
        <stp>FY 2015</stp>
        <stp>FY 2015</stp>
        <stp>[FA1_ymffleas.xlsx]Bal Sheet - Standardized!R19C9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" s="16"/>
      </tp>
      <tp t="s">
        <v>—</v>
        <stp/>
        <stp>##V3_BDHV12</stp>
        <stp>RCOM IN Equity</stp>
        <stp>BS_UNBILLED_REVENUES</stp>
        <stp>FY 2014</stp>
        <stp>FY 2014</stp>
        <stp>[FA1_ymffleas.xlsx]Bal Sheet - Standardized!R19C8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" s="16"/>
      </tp>
      <tp>
        <v>4.41</v>
        <stp/>
        <stp>##V3_BDHV12</stp>
        <stp>RCOM IN Equity</stp>
        <stp>ARD_DILUTED_EPS</stp>
        <stp>FY 2012</stp>
        <stp>FY 2012</stp>
        <stp>[FA1_ymffleas.xlsx]Income - As Reported!R45C6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5" s="11"/>
      </tp>
      <tp>
        <v>3.26</v>
        <stp/>
        <stp>##V3_BDHV12</stp>
        <stp>RCOM IN Equity</stp>
        <stp>ARD_DILUTED_EPS</stp>
        <stp>FY 2013</stp>
        <stp>FY 2013</stp>
        <stp>[FA1_ymffleas.xlsx]Income - As Reported!R45C7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5" s="11"/>
      </tp>
      <tp t="s">
        <v>—</v>
        <stp/>
        <stp>##V3_BDHV12</stp>
        <stp>RCOM IN Equity</stp>
        <stp>ARD_DILUTED_EPS</stp>
        <stp>FY 2010</stp>
        <stp>FY 2010</stp>
        <stp>[FA1_ymffleas.xlsx]Income - As Reported!R45C4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5" s="11"/>
      </tp>
      <tp t="s">
        <v>—</v>
        <stp/>
        <stp>##V3_BDHV12</stp>
        <stp>RCOM IN Equity</stp>
        <stp>ARD_DILUTED_EPS</stp>
        <stp>FY 2011</stp>
        <stp>FY 2011</stp>
        <stp>[FA1_ymffleas.xlsx]Income - As Reported!R45C5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5" s="11"/>
      </tp>
      <tp>
        <v>13.218</v>
        <stp/>
        <stp>##V3_BDHV12</stp>
        <stp>RCOM IN Equity</stp>
        <stp>ARDR_OPTIONS_GRANTED_DURING_PER</stp>
        <stp>FY 2009</stp>
        <stp>FY 2009</stp>
        <stp>[FA1_ymffleas.xlsx]Bal Sheet - As Reported!R145C3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5" s="17"/>
      </tp>
      <tp t="s">
        <v>—</v>
        <stp/>
        <stp>##V3_BDHV12</stp>
        <stp>RCOM IN Equity</stp>
        <stp>ARDR_OPTIONS_GRANTED_DURING_PER</stp>
        <stp>FY 2010</stp>
        <stp>FY 2010</stp>
        <stp>[FA1_ymffleas.xlsx]Bal Sheet - As Reported!R145C4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5" s="17"/>
      </tp>
      <tp t="s">
        <v>—</v>
        <stp/>
        <stp>##V3_BDHV12</stp>
        <stp>RCOM IN Equity</stp>
        <stp>ARDR_OPTIONS_GRANTED_DURING_PER</stp>
        <stp>FY 2011</stp>
        <stp>FY 2011</stp>
        <stp>[FA1_ymffleas.xlsx]Bal Sheet - As Reported!R145C5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5" s="17"/>
      </tp>
      <tp t="s">
        <v>—</v>
        <stp/>
        <stp>##V3_BDHV12</stp>
        <stp>RCOM IN Equity</stp>
        <stp>ARDR_OPTIONS_GRANTED_DURING_PER</stp>
        <stp>FY 2012</stp>
        <stp>FY 2012</stp>
        <stp>[FA1_ymffleas.xlsx]Bal Sheet - As Reported!R145C6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5" s="17"/>
      </tp>
      <tp t="s">
        <v>—</v>
        <stp/>
        <stp>##V3_BDHV12</stp>
        <stp>RCOM IN Equity</stp>
        <stp>ARDR_OPTIONS_GRANTED_DURING_PER</stp>
        <stp>FY 2013</stp>
        <stp>FY 2013</stp>
        <stp>[FA1_ymffleas.xlsx]Bal Sheet - As Reported!R145C7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5" s="17"/>
      </tp>
      <tp t="s">
        <v>—</v>
        <stp/>
        <stp>##V3_BDHV12</stp>
        <stp>RCOM IN Equity</stp>
        <stp>ARDR_OPTIONS_GRANTED_DURING_PER</stp>
        <stp>FY 2014</stp>
        <stp>FY 2014</stp>
        <stp>[FA1_ymffleas.xlsx]Bal Sheet - As Reported!R145C8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5" s="17"/>
      </tp>
      <tp t="s">
        <v>—</v>
        <stp/>
        <stp>##V3_BDHV12</stp>
        <stp>RCOM IN Equity</stp>
        <stp>ARDR_OPTIONS_GRANTED_DURING_PER</stp>
        <stp>FY 2015</stp>
        <stp>FY 2015</stp>
        <stp>[FA1_ymffleas.xlsx]Bal Sheet - As Reported!R145C9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5" s="17"/>
      </tp>
      <tp>
        <v>-153300</v>
        <stp/>
        <stp>##V3_BDHV12</stp>
        <stp>RCOM IN Equity</stp>
        <stp>ARD_CAPITAL_EXPENDITURES</stp>
        <stp>FY 2016</stp>
        <stp>FY 2016</stp>
        <stp>[FA1_ymffleas.xlsx]Cash Flow - As Reported!R44C10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4" s="20"/>
      </tp>
      <tp>
        <v>-39200</v>
        <stp/>
        <stp>##V3_BDHV12</stp>
        <stp>RCOM IN Equity</stp>
        <stp>ARD_CAPITAL_EXPENDITURES</stp>
        <stp>FY 2017</stp>
        <stp>FY 2017</stp>
        <stp>[FA1_ymffleas.xlsx]Cash Flow - As Reported!R44C11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4" s="20"/>
      </tp>
      <tp>
        <v>-5910</v>
        <stp/>
        <stp>##V3_BDHV12</stp>
        <stp>RCOM IN Equity</stp>
        <stp>ARD_CAPITAL_EXPENDITURES</stp>
        <stp>FY 2018</stp>
        <stp>FY 2018</stp>
        <stp>[FA1_ymffleas.xlsx]Cash Flow - As Reported!R44C12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4" s="20"/>
      </tp>
      <tp t="s">
        <v>—</v>
        <stp/>
        <stp>##V3_BDHV12</stp>
        <stp>RCOM IN Equity</stp>
        <stp>ARDR_OTHER_FINL_ASSETS_ST</stp>
        <stp>FY 2009</stp>
        <stp>FY 2009</stp>
        <stp>[FA1_ymffleas.xlsx]Bal Sheet - As Reported!R157C3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7" s="17"/>
      </tp>
      <tp t="s">
        <v>—</v>
        <stp/>
        <stp>##V3_BDHV12</stp>
        <stp>RCOM IN Equity</stp>
        <stp>ARDR_OTHER_FINL_ASSETS_ST</stp>
        <stp>FY 2013</stp>
        <stp>FY 2013</stp>
        <stp>[FA1_ymffleas.xlsx]Bal Sheet - As Reported!R157C7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7" s="17"/>
      </tp>
      <tp t="s">
        <v>—</v>
        <stp/>
        <stp>##V3_BDHV12</stp>
        <stp>RCOM IN Equity</stp>
        <stp>ARDR_OTHER_FINL_ASSETS_ST</stp>
        <stp>FY 2012</stp>
        <stp>FY 2012</stp>
        <stp>[FA1_ymffleas.xlsx]Bal Sheet - As Reported!R157C6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7" s="17"/>
      </tp>
      <tp t="s">
        <v>—</v>
        <stp/>
        <stp>##V3_BDHV12</stp>
        <stp>RCOM IN Equity</stp>
        <stp>ARDR_OTHER_FINL_ASSETS_ST</stp>
        <stp>FY 2011</stp>
        <stp>FY 2011</stp>
        <stp>[FA1_ymffleas.xlsx]Bal Sheet - As Reported!R157C5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7" s="17"/>
      </tp>
      <tp t="s">
        <v>—</v>
        <stp/>
        <stp>##V3_BDHV12</stp>
        <stp>RCOM IN Equity</stp>
        <stp>ARDR_OTHER_FINL_ASSETS_ST</stp>
        <stp>FY 2010</stp>
        <stp>FY 2010</stp>
        <stp>[FA1_ymffleas.xlsx]Bal Sheet - As Reported!R157C4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7" s="17"/>
      </tp>
      <tp t="s">
        <v>—</v>
        <stp/>
        <stp>##V3_BDHV12</stp>
        <stp>RCOM IN Equity</stp>
        <stp>ARDR_OTHER_FINL_ASSETS_ST</stp>
        <stp>FY 2015</stp>
        <stp>FY 2015</stp>
        <stp>[FA1_ymffleas.xlsx]Bal Sheet - As Reported!R157C9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7" s="17"/>
      </tp>
      <tp t="s">
        <v>—</v>
        <stp/>
        <stp>##V3_BDHV12</stp>
        <stp>RCOM IN Equity</stp>
        <stp>ARDR_OTHER_FINL_ASSETS_ST</stp>
        <stp>FY 2014</stp>
        <stp>FY 2014</stp>
        <stp>[FA1_ymffleas.xlsx]Bal Sheet - As Reported!R157C8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7" s="17"/>
      </tp>
      <tp>
        <v>-538.31140000000005</v>
        <stp/>
        <stp>##V3_BDHV12</stp>
        <stp>RCOM IN Equity</stp>
        <stp>FCF_TO_FIRM_SEQUENTIAL_GROWTH</stp>
        <stp>FY 2011</stp>
        <stp>FY 2011</stp>
        <stp>[FA1_ymffleas.xlsx]Growth!R87C5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87" s="22"/>
      </tp>
      <tp t="s">
        <v>—</v>
        <stp/>
        <stp>##V3_BDHV12</stp>
        <stp>RCOM IN Equity</stp>
        <stp>ARD_OTHER_FINANCIAL_LIAB_LT</stp>
        <stp>FY 2009</stp>
        <stp>FY 2009</stp>
        <stp>[FA1_ymffleas.xlsx]Bal Sheet - As Reported!R25C3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5" s="17"/>
      </tp>
      <tp t="s">
        <v>—</v>
        <stp/>
        <stp>##V3_BDHV12</stp>
        <stp>RCOM IN Equity</stp>
        <stp>ARD_OTHER_FINANCIAL_LIAB_LT</stp>
        <stp>FY 2011</stp>
        <stp>FY 2011</stp>
        <stp>[FA1_ymffleas.xlsx]Bal Sheet - As Reported!R25C5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5" s="17"/>
      </tp>
      <tp t="s">
        <v>—</v>
        <stp/>
        <stp>##V3_BDHV12</stp>
        <stp>RCOM IN Equity</stp>
        <stp>ARD_OTHER_FINANCIAL_LIAB_LT</stp>
        <stp>FY 2010</stp>
        <stp>FY 2010</stp>
        <stp>[FA1_ymffleas.xlsx]Bal Sheet - As Reported!R25C4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5" s="17"/>
      </tp>
      <tp t="s">
        <v>—</v>
        <stp/>
        <stp>##V3_BDHV12</stp>
        <stp>RCOM IN Equity</stp>
        <stp>ARD_OTHER_FINANCIAL_LIAB_LT</stp>
        <stp>FY 2013</stp>
        <stp>FY 2013</stp>
        <stp>[FA1_ymffleas.xlsx]Bal Sheet - As Reported!R25C7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5" s="17"/>
      </tp>
      <tp t="s">
        <v>—</v>
        <stp/>
        <stp>##V3_BDHV12</stp>
        <stp>RCOM IN Equity</stp>
        <stp>ARD_OTHER_FINANCIAL_LIAB_LT</stp>
        <stp>FY 2012</stp>
        <stp>FY 2012</stp>
        <stp>[FA1_ymffleas.xlsx]Bal Sheet - As Reported!R25C6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5" s="17"/>
      </tp>
      <tp t="s">
        <v>—</v>
        <stp/>
        <stp>##V3_BDHV12</stp>
        <stp>RCOM IN Equity</stp>
        <stp>ARD_OTHER_FINANCIAL_LIAB_LT</stp>
        <stp>FY 2015</stp>
        <stp>FY 2015</stp>
        <stp>[FA1_ymffleas.xlsx]Bal Sheet - As Reported!R25C9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5" s="17"/>
      </tp>
      <tp t="s">
        <v>—</v>
        <stp/>
        <stp>##V3_BDHV12</stp>
        <stp>RCOM IN Equity</stp>
        <stp>ARD_OTHER_FINANCIAL_LIAB_LT</stp>
        <stp>FY 2014</stp>
        <stp>FY 2014</stp>
        <stp>[FA1_ymffleas.xlsx]Bal Sheet - As Reported!R25C8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5" s="17"/>
      </tp>
      <tp>
        <v>7010</v>
        <stp/>
        <stp>##V3_BDHV12</stp>
        <stp>RCOM IN Equity</stp>
        <stp>NET_CHANGE_LIABILITIES</stp>
        <stp>FY 2018</stp>
        <stp>FY 2018</stp>
        <stp>[FA1_ymffleas.xlsx]Sources of Capital!R9C12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" s="32"/>
      </tp>
      <tp>
        <v>-8270</v>
        <stp/>
        <stp>##V3_BDHV12</stp>
        <stp>RCOM IN Equity</stp>
        <stp>NET_CHANGE_LIABILITIES</stp>
        <stp>FY 2017</stp>
        <stp>FY 2017</stp>
        <stp>[FA1_ymffleas.xlsx]Sources of Capital!R9C11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" s="32"/>
      </tp>
      <tp>
        <v>187530</v>
        <stp/>
        <stp>##V3_BDHV12</stp>
        <stp>RCOM IN Equity</stp>
        <stp>NET_CHANGE_LIABILITIES</stp>
        <stp>FY 2016</stp>
        <stp>FY 2016</stp>
        <stp>[FA1_ymffleas.xlsx]Sources of Capital!R9C10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" s="32"/>
      </tp>
      <tp>
        <v>773620</v>
        <stp/>
        <stp>##V3_BDHV12</stp>
        <stp>RCOM IN Equity</stp>
        <stp>ARD_TOTAL_NONCURRENT_ASSETS</stp>
        <stp>FY 2014</stp>
        <stp>FY 2014</stp>
        <stp>[FA1_ymffleas.xlsx]Bal Sheet - As Reported!R58C8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8" s="17"/>
      </tp>
      <tp>
        <v>724940</v>
        <stp/>
        <stp>##V3_BDHV12</stp>
        <stp>RCOM IN Equity</stp>
        <stp>ARD_TOTAL_NONCURRENT_ASSETS</stp>
        <stp>FY 2015</stp>
        <stp>FY 2015</stp>
        <stp>[FA1_ymffleas.xlsx]Bal Sheet - As Reported!R58C9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8" s="17"/>
      </tp>
      <tp t="s">
        <v>—</v>
        <stp/>
        <stp>##V3_BDHV12</stp>
        <stp>RCOM IN Equity</stp>
        <stp>ARD_TOTAL_NONCURRENT_ASSETS</stp>
        <stp>FY 2009</stp>
        <stp>FY 2009</stp>
        <stp>[FA1_ymffleas.xlsx]Bal Sheet - As Reported!R58C3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8" s="17"/>
      </tp>
      <tp t="s">
        <v>—</v>
        <stp/>
        <stp>##V3_BDHV12</stp>
        <stp>RCOM IN Equity</stp>
        <stp>ARD_TOTAL_NONCURRENT_ASSETS</stp>
        <stp>FY 2010</stp>
        <stp>FY 2010</stp>
        <stp>[FA1_ymffleas.xlsx]Bal Sheet - As Reported!R58C4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8" s="17"/>
      </tp>
      <tp>
        <v>782750</v>
        <stp/>
        <stp>##V3_BDHV12</stp>
        <stp>RCOM IN Equity</stp>
        <stp>ARD_TOTAL_NONCURRENT_ASSETS</stp>
        <stp>FY 2011</stp>
        <stp>FY 2011</stp>
        <stp>[FA1_ymffleas.xlsx]Bal Sheet - As Reported!R58C5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8" s="17"/>
      </tp>
      <tp>
        <v>797200</v>
        <stp/>
        <stp>##V3_BDHV12</stp>
        <stp>RCOM IN Equity</stp>
        <stp>ARD_TOTAL_NONCURRENT_ASSETS</stp>
        <stp>FY 2012</stp>
        <stp>FY 2012</stp>
        <stp>[FA1_ymffleas.xlsx]Bal Sheet - As Reported!R58C6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8" s="17"/>
      </tp>
      <tp>
        <v>779210</v>
        <stp/>
        <stp>##V3_BDHV12</stp>
        <stp>RCOM IN Equity</stp>
        <stp>ARD_TOTAL_NONCURRENT_ASSETS</stp>
        <stp>FY 2013</stp>
        <stp>FY 2013</stp>
        <stp>[FA1_ymffleas.xlsx]Bal Sheet - As Reported!R58C7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8" s="17"/>
      </tp>
      <tp>
        <v>7.6580000000000004</v>
        <stp/>
        <stp>##V3_BDHV12</stp>
        <stp>RCOM IN Equity</stp>
        <stp>DVD_PAYOUT_RATIO</stp>
        <stp>FY 2011</stp>
        <stp>FY 2011</stp>
        <stp>[FA1_ymffleas.xlsx]Addl - Overview!R21C4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1" s="29"/>
      </tp>
      <tp>
        <v>5.07</v>
        <stp/>
        <stp>##V3_BDHV12</stp>
        <stp>RCOM IN Equity</stp>
        <stp>IS_EPS</stp>
        <stp>FY 2014</stp>
        <stp>FY 2014</stp>
        <stp>[FA1_ymffleas.xlsx]Per Share!R14C7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4" s="7"/>
      </tp>
      <tp>
        <v>16.491599999999998</v>
        <stp/>
        <stp>##V3_BDHV12</stp>
        <stp>RCOM IN Equity</stp>
        <stp>SUSTAIN_GROWTH_RT</stp>
        <stp>FY 2009</stp>
        <stp>FY 2009</stp>
        <stp>[FA1_ymffleas.xlsx]Profitability!R24C3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4" s="21"/>
      </tp>
      <tp>
        <v>11890</v>
        <stp/>
        <stp>##V3_BDHV12</stp>
        <stp>RCOM IN Equity</stp>
        <stp>OTHER_NONCURRENT_LIABS_DETAILED</stp>
        <stp>FY 2012</stp>
        <stp>FY 2012</stp>
        <stp>[FA1_ymffleas.xlsx]Bal Sheet - Standardized!R127C6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7" s="16"/>
      </tp>
      <tp>
        <v>13720</v>
        <stp/>
        <stp>##V3_BDHV12</stp>
        <stp>RCOM IN Equity</stp>
        <stp>OTHER_NONCURRENT_LIABS_DETAILED</stp>
        <stp>FY 2013</stp>
        <stp>FY 2013</stp>
        <stp>[FA1_ymffleas.xlsx]Bal Sheet - Standardized!R127C7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7" s="16"/>
      </tp>
      <tp>
        <v>0</v>
        <stp/>
        <stp>##V3_BDHV12</stp>
        <stp>RCOM IN Equity</stp>
        <stp>OTHER_NONCURRENT_LIABS_DETAILED</stp>
        <stp>FY 2010</stp>
        <stp>FY 2010</stp>
        <stp>[FA1_ymffleas.xlsx]Bal Sheet - Standardized!R127C4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7" s="16"/>
      </tp>
      <tp>
        <v>4940</v>
        <stp/>
        <stp>##V3_BDHV12</stp>
        <stp>RCOM IN Equity</stp>
        <stp>OTHER_NONCURRENT_LIABS_DETAILED</stp>
        <stp>FY 2011</stp>
        <stp>FY 2011</stp>
        <stp>[FA1_ymffleas.xlsx]Bal Sheet - Standardized!R127C5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7" s="16"/>
      </tp>
      <tp>
        <v>0</v>
        <stp/>
        <stp>##V3_BDHV12</stp>
        <stp>RCOM IN Equity</stp>
        <stp>OTHER_NONCURRENT_LIABS_DETAILED</stp>
        <stp>FY 2009</stp>
        <stp>FY 2009</stp>
        <stp>[FA1_ymffleas.xlsx]Bal Sheet - Standardized!R127C3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7" s="16"/>
      </tp>
      <tp>
        <v>12790</v>
        <stp/>
        <stp>##V3_BDHV12</stp>
        <stp>RCOM IN Equity</stp>
        <stp>OTHER_NONCURRENT_LIABS_DETAILED</stp>
        <stp>FY 2014</stp>
        <stp>FY 2014</stp>
        <stp>[FA1_ymffleas.xlsx]Bal Sheet - Standardized!R127C8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7" s="16"/>
      </tp>
      <tp>
        <v>2.59</v>
        <stp/>
        <stp>##V3_BDHV12</stp>
        <stp>RCOM IN Equity</stp>
        <stp>IS_DILUTED_EPS</stp>
        <stp>FY 2016</stp>
        <stp>FY 2016</stp>
        <stp>[FA1_ymffleas.xlsx]Reconciliation!R44C9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44" s="12"/>
      </tp>
      <tp>
        <v>4990</v>
        <stp/>
        <stp>##V3_BDHV12</stp>
        <stp>RCOM IN Equity</stp>
        <stp>OTHER_NONCURRENT_LIABS_DETAILED</stp>
        <stp>FY 2015</stp>
        <stp>FY 2015</stp>
        <stp>[FA1_ymffleas.xlsx]Bal Sheet - Standardized!R127C9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7" s="16"/>
      </tp>
      <tp>
        <v>31.555599999999998</v>
        <stp/>
        <stp>##V3_BDHV12</stp>
        <stp>RCOM IN Equity</stp>
        <stp>EV_TO_T12M_EBIT</stp>
        <stp>FY 2014</stp>
        <stp>FY 2014</stp>
        <stp>[FA1_ymffleas.xlsx]Enterprise Value!R19C7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9" s="5"/>
      </tp>
      <tp>
        <v>-92.296599999999998</v>
        <stp/>
        <stp>##V3_BDHV12</stp>
        <stp>RCOM IN Equity</stp>
        <stp>IS_DILUTED_EPS</stp>
        <stp>FY 2018</stp>
        <stp>FY 2018</stp>
        <stp>[FA1_ymffleas.xlsx]Income - Adjusted!R115C11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15" s="9"/>
      </tp>
      <tp t="s">
        <v>—</v>
        <stp/>
        <stp>##V3_BDHV12</stp>
        <stp>RCOM IN Equity</stp>
        <stp>ARD_TOTAL_OPERATING_EXPENSES</stp>
        <stp>FY 2017</stp>
        <stp>FY 2017</stp>
        <stp>[FA1_ymffleas.xlsx]Income - As Reported!R12C11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" s="11"/>
      </tp>
      <tp t="s">
        <v>—</v>
        <stp/>
        <stp>##V3_BDHV12</stp>
        <stp>RCOM IN Equity</stp>
        <stp>ARD_TOTAL_OPERATING_EXPENSES</stp>
        <stp>FY 2016</stp>
        <stp>FY 2016</stp>
        <stp>[FA1_ymffleas.xlsx]Income - As Reported!R12C10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" s="11"/>
      </tp>
      <tp t="s">
        <v>—</v>
        <stp/>
        <stp>##V3_BDHV12</stp>
        <stp>RCOM IN Equity</stp>
        <stp>ARD_TOTAL_OPERATING_EXPENSES</stp>
        <stp>FY 2018</stp>
        <stp>FY 2018</stp>
        <stp>[FA1_ymffleas.xlsx]Income - As Reported!R12C12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" s="11"/>
      </tp>
      <tp>
        <v>556070</v>
        <stp/>
        <stp>##V3_BDHV12</stp>
        <stp>RCOM IN Equity</stp>
        <stp>BS_TOT_LIAB2</stp>
        <stp>FY 2013</stp>
        <stp>FY 2013</stp>
        <stp>[FA1_ymffleas.xlsx]Addl - Overview!R26C6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6" s="29"/>
      </tp>
      <tp>
        <v>572000</v>
        <stp/>
        <stp>##V3_BDHV12</stp>
        <stp>RCOM IN Equity</stp>
        <stp>BS_TOT_LIAB2</stp>
        <stp>FY 2014</stp>
        <stp>FY 2014</stp>
        <stp>[FA1_ymffleas.xlsx]Addl - Overview!R26C7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6" s="29"/>
      </tp>
      <tp>
        <v>534000</v>
        <stp/>
        <stp>##V3_BDHV12</stp>
        <stp>RCOM IN Equity</stp>
        <stp>BS_TOT_LIAB2</stp>
        <stp>FY 2011</stp>
        <stp>FY 2011</stp>
        <stp>[FA1_ymffleas.xlsx]Addl - Overview!R26C4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6" s="29"/>
      </tp>
      <tp>
        <v>551090</v>
        <stp/>
        <stp>##V3_BDHV12</stp>
        <stp>RCOM IN Equity</stp>
        <stp>BS_TOT_LIAB2</stp>
        <stp>FY 2012</stp>
        <stp>FY 2012</stp>
        <stp>[FA1_ymffleas.xlsx]Addl - Overview!R26C5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6" s="29"/>
      </tp>
      <tp>
        <v>485496</v>
        <stp/>
        <stp>##V3_BDHV12</stp>
        <stp>RCOM IN Equity</stp>
        <stp>BS_TOT_LIAB2</stp>
        <stp>FY 2010</stp>
        <stp>FY 2010</stp>
        <stp>[FA1_ymffleas.xlsx]Addl - Overview!R26C3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6" s="29"/>
      </tp>
      <tp>
        <v>36.609299999999998</v>
        <stp/>
        <stp>##V3_BDHV12</stp>
        <stp>RCOM IN Equity</stp>
        <stp>CASH_DVD_COVERAGE</stp>
        <stp>FY 2009</stp>
        <stp>FY 2009</stp>
        <stp>[FA1_ymffleas.xlsx]Dividend Summary!R10C3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0" s="31"/>
      </tp>
      <tp>
        <v>528360</v>
        <stp/>
        <stp>##V3_BDHV12</stp>
        <stp>RCOM IN Equity</stp>
        <stp>BS_TOT_LIAB2</stp>
        <stp>FY 2015</stp>
        <stp>FY 2015</stp>
        <stp>[FA1_ymffleas.xlsx]Addl - Overview!R26C8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6" s="29"/>
      </tp>
      <tp>
        <v>715890</v>
        <stp/>
        <stp>##V3_BDHV12</stp>
        <stp>RCOM IN Equity</stp>
        <stp>BS_TOT_LIAB2</stp>
        <stp>FY 2016</stp>
        <stp>FY 2016</stp>
        <stp>[FA1_ymffleas.xlsx]Addl - Overview!R26C9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6" s="29"/>
      </tp>
      <tp>
        <v>6390</v>
        <stp/>
        <stp>##V3_BDHV12</stp>
        <stp>RCOM IN Equity</stp>
        <stp>ARD_NET_INC</stp>
        <stp>FY 2016</stp>
        <stp>FY 2016</stp>
        <stp>[FA1_ymffleas.xlsx]As Reported Summary!R12C10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" s="30"/>
      </tp>
      <tp>
        <v>-14030</v>
        <stp/>
        <stp>##V3_BDHV12</stp>
        <stp>RCOM IN Equity</stp>
        <stp>ARD_NET_INC</stp>
        <stp>FY 2017</stp>
        <stp>FY 2017</stp>
        <stp>[FA1_ymffleas.xlsx]As Reported Summary!R12C11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" s="30"/>
      </tp>
      <tp>
        <v>-238390</v>
        <stp/>
        <stp>##V3_BDHV12</stp>
        <stp>RCOM IN Equity</stp>
        <stp>ARD_NET_INC</stp>
        <stp>FY 2018</stp>
        <stp>FY 2018</stp>
        <stp>[FA1_ymffleas.xlsx]As Reported Summary!R12C12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" s="30"/>
      </tp>
      <tp t="s">
        <v>—</v>
        <stp/>
        <stp>##V3_BDHV12</stp>
        <stp>RCOM IN Equity</stp>
        <stp>ACTUAL_SALES_PER_EMPL</stp>
        <stp>FY 2016</stp>
        <stp>FY 2016</stp>
        <stp>[FA1_ymffleas.xlsx]Income - Adjusted!R127C9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I127" s="9"/>
      </tp>
      <tp t="s">
        <v>—</v>
        <stp/>
        <stp>##V3_BDHV12</stp>
        <stp>RCOM IN Equity</stp>
        <stp>ARD_PRIOR_PERIOD_ADJUSTMENTS</stp>
        <stp>FY 2017</stp>
        <stp>FY 2017</stp>
        <stp>[FA1_ymffleas.xlsx]Income - As Reported!R38C11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8" s="11"/>
      </tp>
      <tp t="s">
        <v>—</v>
        <stp/>
        <stp>##V3_BDHV12</stp>
        <stp>RCOM IN Equity</stp>
        <stp>ARD_PRIOR_PERIOD_ADJUSTMENTS</stp>
        <stp>FY 2016</stp>
        <stp>FY 2016</stp>
        <stp>[FA1_ymffleas.xlsx]Income - As Reported!R38C10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8" s="11"/>
      </tp>
      <tp t="s">
        <v>—</v>
        <stp/>
        <stp>##V3_BDHV12</stp>
        <stp>RCOM IN Equity</stp>
        <stp>ARD_PRIOR_PERIOD_ADJUSTMENTS</stp>
        <stp>FY 2018</stp>
        <stp>FY 2018</stp>
        <stp>[FA1_ymffleas.xlsx]Income - As Reported!R38C12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8" s="11"/>
      </tp>
      <tp t="s">
        <v>—</v>
        <stp/>
        <stp>##V3_BDHV12</stp>
        <stp>RCOM IN Equity</stp>
        <stp>ACTUAL_SALES_PER_EMPL</stp>
        <stp>FY 2016</stp>
        <stp>FY 2016</stp>
        <stp>[FA1_ymffleas.xlsx]Income - GAAP!R105C9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05" s="10"/>
      </tp>
      <tp t="s">
        <v>—</v>
        <stp/>
        <stp>##V3_BDHV12</stp>
        <stp>RCOM IN Equity</stp>
        <stp>GROSS_PROFIT</stp>
        <stp>FY 2014</stp>
        <stp>FY 2014</stp>
        <stp>[FA1_ymffleas.xlsx]Adj Highlights!R14C7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4" s="2"/>
      </tp>
      <tp t="s">
        <v>—</v>
        <stp/>
        <stp>##V3_BDHV12</stp>
        <stp>RCOM IN Equity</stp>
        <stp>GROSS_PROFIT</stp>
        <stp>FY 2013</stp>
        <stp>FY 2013</stp>
        <stp>[FA1_ymffleas.xlsx]Adj Highlights!R14C6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4" s="2"/>
      </tp>
      <tp t="s">
        <v>—</v>
        <stp/>
        <stp>##V3_BDHV12</stp>
        <stp>RCOM IN Equity</stp>
        <stp>GROSS_PROFIT</stp>
        <stp>FY 2012</stp>
        <stp>FY 2012</stp>
        <stp>[FA1_ymffleas.xlsx]Adj Highlights!R14C5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4" s="2"/>
      </tp>
      <tp>
        <v>-22.993300000000001</v>
        <stp/>
        <stp>##V3_BDHV12</stp>
        <stp>RCOM IN Equity</stp>
        <stp>EARN_FOR_COM_GROWTH</stp>
        <stp>FY 2010</stp>
        <stp>FY 2010</stp>
        <stp>[FA1_ymffleas.xlsx]Growth!R10C4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0" s="22"/>
      </tp>
      <tp t="s">
        <v>—</v>
        <stp/>
        <stp>##V3_BDHV12</stp>
        <stp>RCOM IN Equity</stp>
        <stp>GROSS_PROFIT</stp>
        <stp>FY 2011</stp>
        <stp>FY 2011</stp>
        <stp>[FA1_ymffleas.xlsx]Adj Highlights!R14C4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4" s="2"/>
      </tp>
      <tp t="s">
        <v>—</v>
        <stp/>
        <stp>##V3_BDHV12</stp>
        <stp>RCOM IN Equity</stp>
        <stp>GROSS_PROFIT</stp>
        <stp>FY 2010</stp>
        <stp>FY 2010</stp>
        <stp>[FA1_ymffleas.xlsx]Adj Highlights!R14C3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4" s="2"/>
      </tp>
      <tp t="s">
        <v>—</v>
        <stp/>
        <stp>##V3_BDHV12</stp>
        <stp>RCOM IN Equity</stp>
        <stp>ARD_BUSINESS_CAPITAL_TAXES</stp>
        <stp>FY 2014</stp>
        <stp>FY 2014</stp>
        <stp>[FA1_ymffleas.xlsx]Income - As Reported!R37C8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7" s="11"/>
      </tp>
      <tp t="s">
        <v>—</v>
        <stp/>
        <stp>##V3_BDHV12</stp>
        <stp>RCOM IN Equity</stp>
        <stp>ARD_BUSINESS_CAPITAL_TAXES</stp>
        <stp>FY 2015</stp>
        <stp>FY 2015</stp>
        <stp>[FA1_ymffleas.xlsx]Income - As Reported!R37C9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7" s="11"/>
      </tp>
      <tp t="s">
        <v>—</v>
        <stp/>
        <stp>##V3_BDHV12</stp>
        <stp>RCOM IN Equity</stp>
        <stp>ARD_BUSINESS_CAPITAL_TAXES</stp>
        <stp>FY 2009</stp>
        <stp>FY 2009</stp>
        <stp>[FA1_ymffleas.xlsx]Income - As Reported!R37C3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7" s="11"/>
      </tp>
      <tp>
        <v>-6510</v>
        <stp/>
        <stp>##V3_BDHV12</stp>
        <stp>RCOM IN Equity</stp>
        <stp>ARD_BUSINESS_CAPITAL_TAXES</stp>
        <stp>FY 2012</stp>
        <stp>FY 2012</stp>
        <stp>[FA1_ymffleas.xlsx]Income - As Reported!R37C6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7" s="11"/>
      </tp>
      <tp t="s">
        <v>—</v>
        <stp/>
        <stp>##V3_BDHV12</stp>
        <stp>RCOM IN Equity</stp>
        <stp>ARD_BUSINESS_CAPITAL_TAXES</stp>
        <stp>FY 2013</stp>
        <stp>FY 2013</stp>
        <stp>[FA1_ymffleas.xlsx]Income - As Reported!R37C7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7" s="11"/>
      </tp>
      <tp t="s">
        <v>—</v>
        <stp/>
        <stp>##V3_BDHV12</stp>
        <stp>RCOM IN Equity</stp>
        <stp>ARD_BUSINESS_CAPITAL_TAXES</stp>
        <stp>FY 2010</stp>
        <stp>FY 2010</stp>
        <stp>[FA1_ymffleas.xlsx]Income - As Reported!R37C4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7" s="11"/>
      </tp>
      <tp t="s">
        <v>—</v>
        <stp/>
        <stp>##V3_BDHV12</stp>
        <stp>RCOM IN Equity</stp>
        <stp>ARD_BUSINESS_CAPITAL_TAXES</stp>
        <stp>FY 2011</stp>
        <stp>FY 2011</stp>
        <stp>[FA1_ymffleas.xlsx]Income - As Reported!R37C5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7" s="11"/>
      </tp>
      <tp t="s">
        <v>—</v>
        <stp/>
        <stp>##V3_BDHV12</stp>
        <stp>RCOM IN Equity</stp>
        <stp>GROSS_PROFIT</stp>
        <stp>FY 2016</stp>
        <stp>FY 2016</stp>
        <stp>[FA1_ymffleas.xlsx]Adj Highlights!R14C9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4" s="2"/>
      </tp>
      <tp t="s">
        <v>—</v>
        <stp/>
        <stp>##V3_BDHV12</stp>
        <stp>RCOM IN Equity</stp>
        <stp>GROSS_PROFIT</stp>
        <stp>FY 2015</stp>
        <stp>FY 2015</stp>
        <stp>[FA1_ymffleas.xlsx]Adj Highlights!R14C8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4" s="2"/>
      </tp>
      <tp>
        <v>0</v>
        <stp/>
        <stp>##V3_BDHV12</stp>
        <stp>RCOM IN Equity</stp>
        <stp>IS_EXTRAORD_ITEMS_&amp;_ACCTG_CHNG</stp>
        <stp>FY 2012</stp>
        <stp>FY 2012</stp>
        <stp>[FA1_ymffleas.xlsx]Income - GAAP!R71C5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1" s="10"/>
      </tp>
      <tp>
        <v>0</v>
        <stp/>
        <stp>##V3_BDHV12</stp>
        <stp>RCOM IN Equity</stp>
        <stp>IS_EXTRAORD_ITEMS_&amp;_ACCTG_CHNG</stp>
        <stp>FY 2011</stp>
        <stp>FY 2011</stp>
        <stp>[FA1_ymffleas.xlsx]Income - GAAP!R71C4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1" s="10"/>
      </tp>
      <tp>
        <v>0</v>
        <stp/>
        <stp>##V3_BDHV12</stp>
        <stp>RCOM IN Equity</stp>
        <stp>IS_EXTRAORD_ITEMS_&amp;_ACCTG_CHNG</stp>
        <stp>FY 2014</stp>
        <stp>FY 2014</stp>
        <stp>[FA1_ymffleas.xlsx]Income - GAAP!R71C7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1" s="10"/>
      </tp>
      <tp>
        <v>0</v>
        <stp/>
        <stp>##V3_BDHV12</stp>
        <stp>RCOM IN Equity</stp>
        <stp>IS_EXTRAORD_ITEMS_&amp;_ACCTG_CHNG</stp>
        <stp>FY 2013</stp>
        <stp>FY 2013</stp>
        <stp>[FA1_ymffleas.xlsx]Income - GAAP!R71C6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1" s="10"/>
      </tp>
      <tp>
        <v>0</v>
        <stp/>
        <stp>##V3_BDHV12</stp>
        <stp>RCOM IN Equity</stp>
        <stp>IS_EXTRAORD_ITEMS_&amp;_ACCTG_CHNG</stp>
        <stp>FY 2010</stp>
        <stp>FY 2010</stp>
        <stp>[FA1_ymffleas.xlsx]Income - GAAP!R71C3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1" s="10"/>
      </tp>
      <tp>
        <v>0</v>
        <stp/>
        <stp>##V3_BDHV12</stp>
        <stp>RCOM IN Equity</stp>
        <stp>IS_EXTRAORD_ITEMS_&amp;_ACCTG_CHNG</stp>
        <stp>FY 2016</stp>
        <stp>FY 2016</stp>
        <stp>[FA1_ymffleas.xlsx]Income - GAAP!R71C9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1" s="10"/>
      </tp>
      <tp>
        <v>0</v>
        <stp/>
        <stp>##V3_BDHV12</stp>
        <stp>RCOM IN Equity</stp>
        <stp>IS_EXTRAORD_ITEMS_&amp;_ACCTG_CHNG</stp>
        <stp>FY 2015</stp>
        <stp>FY 2015</stp>
        <stp>[FA1_ymffleas.xlsx]Income - GAAP!R71C8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1" s="10"/>
      </tp>
      <tp t="s">
        <v>—</v>
        <stp/>
        <stp>##V3_BDHV12</stp>
        <stp>RCOM IN Equity</stp>
        <stp>BS_OTHER_INV</stp>
        <stp>FY 2013</stp>
        <stp>FY 2013</stp>
        <stp>[FA1_ymffleas.xlsx]Bal Sheet - Standardized!R29C7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9" s="16"/>
      </tp>
      <tp t="s">
        <v>—</v>
        <stp/>
        <stp>##V3_BDHV12</stp>
        <stp>RCOM IN Equity</stp>
        <stp>BS_OTHER_INV</stp>
        <stp>FY 2012</stp>
        <stp>FY 2012</stp>
        <stp>[FA1_ymffleas.xlsx]Bal Sheet - Standardized!R29C6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9" s="16"/>
      </tp>
      <tp t="s">
        <v>—</v>
        <stp/>
        <stp>##V3_BDHV12</stp>
        <stp>RCOM IN Equity</stp>
        <stp>BS_OTHER_INV</stp>
        <stp>FY 2011</stp>
        <stp>FY 2011</stp>
        <stp>[FA1_ymffleas.xlsx]Bal Sheet - Standardized!R29C5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9" s="16"/>
      </tp>
      <tp t="s">
        <v>—</v>
        <stp/>
        <stp>##V3_BDHV12</stp>
        <stp>RCOM IN Equity</stp>
        <stp>BS_OTHER_INV</stp>
        <stp>FY 2010</stp>
        <stp>FY 2010</stp>
        <stp>[FA1_ymffleas.xlsx]Bal Sheet - Standardized!R29C4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9" s="16"/>
      </tp>
      <tp t="s">
        <v>—</v>
        <stp/>
        <stp>##V3_BDHV12</stp>
        <stp>RCOM IN Equity</stp>
        <stp>BS_OTHER_INV</stp>
        <stp>FY 2009</stp>
        <stp>FY 2009</stp>
        <stp>[FA1_ymffleas.xlsx]Bal Sheet - Standardized!R29C3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9" s="16"/>
      </tp>
      <tp>
        <v>2450</v>
        <stp/>
        <stp>##V3_BDHV12</stp>
        <stp>RCOM IN Equity</stp>
        <stp>BS_OTHER_INV</stp>
        <stp>FY 2015</stp>
        <stp>FY 2015</stp>
        <stp>[FA1_ymffleas.xlsx]Bal Sheet - Standardized!R29C9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9" s="16"/>
      </tp>
      <tp t="s">
        <v>—</v>
        <stp/>
        <stp>##V3_BDHV12</stp>
        <stp>RCOM IN Equity</stp>
        <stp>BS_OTHER_INV</stp>
        <stp>FY 2014</stp>
        <stp>FY 2014</stp>
        <stp>[FA1_ymffleas.xlsx]Bal Sheet - Standardized!R29C8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9" s="16"/>
      </tp>
      <tp t="s">
        <v>—</v>
        <stp/>
        <stp>##V3_BDHV12</stp>
        <stp>RCOM IN Equity</stp>
        <stp>ARDR_PROGRAM_RIGHT_FILM_NON_CURR</stp>
        <stp>FY 2015</stp>
        <stp>FY 2015</stp>
        <stp>[FA1_ymffleas.xlsx]Bal Sheet - As Reported!R172C9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2" s="17"/>
      </tp>
      <tp t="s">
        <v>—</v>
        <stp/>
        <stp>##V3_BDHV12</stp>
        <stp>RCOM IN Equity</stp>
        <stp>ARDR_PROGRAM_RIGHT_FILM_NON_CURR</stp>
        <stp>FY 2014</stp>
        <stp>FY 2014</stp>
        <stp>[FA1_ymffleas.xlsx]Bal Sheet - As Reported!R172C8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2" s="17"/>
      </tp>
      <tp t="s">
        <v>—</v>
        <stp/>
        <stp>##V3_BDHV12</stp>
        <stp>RCOM IN Equity</stp>
        <stp>ARDR_PROGRAM_RIGHT_FILM_NON_CURR</stp>
        <stp>FY 2013</stp>
        <stp>FY 2013</stp>
        <stp>[FA1_ymffleas.xlsx]Bal Sheet - As Reported!R172C7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2" s="17"/>
      </tp>
      <tp t="s">
        <v>—</v>
        <stp/>
        <stp>##V3_BDHV12</stp>
        <stp>RCOM IN Equity</stp>
        <stp>ARDR_PROGRAM_RIGHT_FILM_NON_CURR</stp>
        <stp>FY 2012</stp>
        <stp>FY 2012</stp>
        <stp>[FA1_ymffleas.xlsx]Bal Sheet - As Reported!R172C6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2" s="17"/>
      </tp>
      <tp t="s">
        <v>—</v>
        <stp/>
        <stp>##V3_BDHV12</stp>
        <stp>RCOM IN Equity</stp>
        <stp>ARDR_PROGRAM_RIGHT_FILM_NON_CURR</stp>
        <stp>FY 2011</stp>
        <stp>FY 2011</stp>
        <stp>[FA1_ymffleas.xlsx]Bal Sheet - As Reported!R172C5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2" s="17"/>
      </tp>
      <tp t="s">
        <v>—</v>
        <stp/>
        <stp>##V3_BDHV12</stp>
        <stp>RCOM IN Equity</stp>
        <stp>ARDR_PROGRAM_RIGHT_FILM_NON_CURR</stp>
        <stp>FY 2010</stp>
        <stp>FY 2010</stp>
        <stp>[FA1_ymffleas.xlsx]Bal Sheet - As Reported!R172C4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2" s="17"/>
      </tp>
      <tp t="s">
        <v>—</v>
        <stp/>
        <stp>##V3_BDHV12</stp>
        <stp>RCOM IN Equity</stp>
        <stp>ARDR_PROGRAM_RIGHT_FILM_NON_CURR</stp>
        <stp>FY 2009</stp>
        <stp>FY 2009</stp>
        <stp>[FA1_ymffleas.xlsx]Bal Sheet - As Reported!R172C3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2" s="17"/>
      </tp>
      <tp>
        <v>4400</v>
        <stp/>
        <stp>##V3_BDHV12</stp>
        <stp>RCOM IN Equity</stp>
        <stp>EBIT</stp>
        <stp>FY 2017</stp>
        <stp>FY 2017</stp>
        <stp>[FA1_ymffleas.xlsx]Income - GAAP!R102C10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102" s="10"/>
      </tp>
      <tp>
        <v>2430</v>
        <stp/>
        <stp>##V3_BDHV12</stp>
        <stp>RCOM IN Equity</stp>
        <stp>EBIT</stp>
        <stp>FY 2018</stp>
        <stp>FY 2018</stp>
        <stp>[FA1_ymffleas.xlsx]Income - GAAP!R102C11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102" s="10"/>
      </tp>
      <tp>
        <v>4400</v>
        <stp/>
        <stp>##V3_BDHV12</stp>
        <stp>RCOM IN Equity</stp>
        <stp>EBIT</stp>
        <stp>FY 2017</stp>
        <stp>FY 2017</stp>
        <stp>[FA1_ymffleas.xlsx]Income - Adjusted!R124C10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24" s="9"/>
      </tp>
      <tp>
        <v>2430</v>
        <stp/>
        <stp>##V3_BDHV12</stp>
        <stp>RCOM IN Equity</stp>
        <stp>EBIT</stp>
        <stp>FY 2018</stp>
        <stp>FY 2018</stp>
        <stp>[FA1_ymffleas.xlsx]Income - Adjusted!R124C11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24" s="9"/>
      </tp>
      <tp>
        <v>55.521500000000003</v>
        <stp/>
        <stp>##V3_BDHV12</stp>
        <stp>RCOM IN Equity</stp>
        <stp>EPS_DILUTED_SEQUENTIAL_GROWTH</stp>
        <stp>FY 2014</stp>
        <stp>FY 2014</stp>
        <stp>[FA1_ymffleas.xlsx]Growth!R64C8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64" s="22"/>
      </tp>
      <tp>
        <v>270</v>
        <stp/>
        <stp>##V3_BDHV12</stp>
        <stp>RCOM IN Equity</stp>
        <stp>ARDR_PENSION_POSTRETIRE_PROVS_ST</stp>
        <stp>FY 2015</stp>
        <stp>FY 2015</stp>
        <stp>[FA1_ymffleas.xlsx]Bal Sheet - As Reported!R179C9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9" s="17"/>
      </tp>
      <tp>
        <v>340</v>
        <stp/>
        <stp>##V3_BDHV12</stp>
        <stp>RCOM IN Equity</stp>
        <stp>ARDR_PENSION_POSTRETIRE_PROVS_ST</stp>
        <stp>FY 2014</stp>
        <stp>FY 2014</stp>
        <stp>[FA1_ymffleas.xlsx]Bal Sheet - As Reported!R179C8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9" s="17"/>
      </tp>
      <tp t="s">
        <v>—</v>
        <stp/>
        <stp>##V3_BDHV12</stp>
        <stp>RCOM IN Equity</stp>
        <stp>ARDR_PENSION_POSTRETIRE_PROVS_ST</stp>
        <stp>FY 2009</stp>
        <stp>FY 2009</stp>
        <stp>[FA1_ymffleas.xlsx]Bal Sheet - As Reported!R179C3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9" s="17"/>
      </tp>
      <tp t="s">
        <v>—</v>
        <stp/>
        <stp>##V3_BDHV12</stp>
        <stp>RCOM IN Equity</stp>
        <stp>ARDR_PENSION_POSTRETIRE_PROVS_ST</stp>
        <stp>FY 2011</stp>
        <stp>FY 2011</stp>
        <stp>[FA1_ymffleas.xlsx]Bal Sheet - As Reported!R179C5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9" s="17"/>
      </tp>
      <tp t="s">
        <v>—</v>
        <stp/>
        <stp>##V3_BDHV12</stp>
        <stp>RCOM IN Equity</stp>
        <stp>ARDR_PENSION_POSTRETIRE_PROVS_ST</stp>
        <stp>FY 2010</stp>
        <stp>FY 2010</stp>
        <stp>[FA1_ymffleas.xlsx]Bal Sheet - As Reported!R179C4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9" s="17"/>
      </tp>
      <tp t="s">
        <v>—</v>
        <stp/>
        <stp>##V3_BDHV12</stp>
        <stp>RCOM IN Equity</stp>
        <stp>ARDR_PENSION_POSTRETIRE_PROVS_ST</stp>
        <stp>FY 2013</stp>
        <stp>FY 2013</stp>
        <stp>[FA1_ymffleas.xlsx]Bal Sheet - As Reported!R179C7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9" s="17"/>
      </tp>
      <tp t="s">
        <v>—</v>
        <stp/>
        <stp>##V3_BDHV12</stp>
        <stp>RCOM IN Equity</stp>
        <stp>ARDR_PENSION_POSTRETIRE_PROVS_ST</stp>
        <stp>FY 2012</stp>
        <stp>FY 2012</stp>
        <stp>[FA1_ymffleas.xlsx]Bal Sheet - As Reported!R179C6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9" s="17"/>
      </tp>
      <tp t="s">
        <v>—</v>
        <stp/>
        <stp>##V3_BDHV12</stp>
        <stp>RCOM IN Equity</stp>
        <stp>FCF_TO_FIRM_SEQUENTIAL_GROWTH</stp>
        <stp>FY 2012</stp>
        <stp>FY 2012</stp>
        <stp>[FA1_ymffleas.xlsx]Growth!R87C6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87" s="22"/>
      </tp>
      <tp>
        <v>-45710</v>
        <stp/>
        <stp>##V3_BDHV12</stp>
        <stp>RCOM IN Equity</stp>
        <stp>ARD_TOT_CASHFLOWS_FROM_INVESTING</stp>
        <stp>FY 2012</stp>
        <stp>FY 2012</stp>
        <stp>[FA1_ymffleas.xlsx]Cash Flow - As Reported!R51C6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1" s="20"/>
      </tp>
      <tp>
        <v>-20690</v>
        <stp/>
        <stp>##V3_BDHV12</stp>
        <stp>RCOM IN Equity</stp>
        <stp>ARD_TOT_CASHFLOWS_FROM_INVESTING</stp>
        <stp>FY 2013</stp>
        <stp>FY 2013</stp>
        <stp>[FA1_ymffleas.xlsx]Cash Flow - As Reported!R51C7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1" s="20"/>
      </tp>
      <tp>
        <v>-18600.5</v>
        <stp/>
        <stp>##V3_BDHV12</stp>
        <stp>RCOM IN Equity</stp>
        <stp>ARD_TOT_CASHFLOWS_FROM_INVESTING</stp>
        <stp>FY 2010</stp>
        <stp>FY 2010</stp>
        <stp>[FA1_ymffleas.xlsx]Cash Flow - As Reported!R51C4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1" s="20"/>
      </tp>
      <tp>
        <v>-64580</v>
        <stp/>
        <stp>##V3_BDHV12</stp>
        <stp>RCOM IN Equity</stp>
        <stp>ARD_TOT_CASHFLOWS_FROM_INVESTING</stp>
        <stp>FY 2011</stp>
        <stp>FY 2011</stp>
        <stp>[FA1_ymffleas.xlsx]Cash Flow - As Reported!R51C5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1" s="20"/>
      </tp>
      <tp>
        <v>-100079.4</v>
        <stp/>
        <stp>##V3_BDHV12</stp>
        <stp>RCOM IN Equity</stp>
        <stp>ARD_TOT_CASHFLOWS_FROM_INVESTING</stp>
        <stp>FY 2009</stp>
        <stp>FY 2009</stp>
        <stp>[FA1_ymffleas.xlsx]Cash Flow - As Reported!R51C3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1" s="20"/>
      </tp>
      <tp>
        <v>-21000</v>
        <stp/>
        <stp>##V3_BDHV12</stp>
        <stp>RCOM IN Equity</stp>
        <stp>ARD_TOT_CASHFLOWS_FROM_INVESTING</stp>
        <stp>FY 2014</stp>
        <stp>FY 2014</stp>
        <stp>[FA1_ymffleas.xlsx]Cash Flow - As Reported!R51C8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1" s="20"/>
      </tp>
      <tp>
        <v>-31260</v>
        <stp/>
        <stp>##V3_BDHV12</stp>
        <stp>RCOM IN Equity</stp>
        <stp>ARD_TOT_CASHFLOWS_FROM_INVESTING</stp>
        <stp>FY 2015</stp>
        <stp>FY 2015</stp>
        <stp>[FA1_ymffleas.xlsx]Cash Flow - As Reported!R51C9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1" s="20"/>
      </tp>
      <tp>
        <v>-92.296599999999998</v>
        <stp/>
        <stp>##V3_BDHV12</stp>
        <stp>RCOM IN Equity</stp>
        <stp>IS_EPS</stp>
        <stp>FY 2018</stp>
        <stp>FY 2018</stp>
        <stp>[FA1_ymffleas.xlsx]Income - GAAP!R88C11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88" s="10"/>
      </tp>
      <tp t="s">
        <v>—</v>
        <stp/>
        <stp>##V3_BDHV12</stp>
        <stp>RCOM IN Equity</stp>
        <stp>ARDR_CAP_COMMIT_CNT_NOT_PROVIDED</stp>
        <stp>FY 2009</stp>
        <stp>FY 2009</stp>
        <stp>[FA1_ymffleas.xlsx]Bal Sheet - As Reported!R163C3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3" s="17"/>
      </tp>
      <tp t="s">
        <v>—</v>
        <stp/>
        <stp>##V3_BDHV12</stp>
        <stp>RCOM IN Equity</stp>
        <stp>ARDR_CAP_COMMIT_CNT_NOT_PROVIDED</stp>
        <stp>FY 2013</stp>
        <stp>FY 2013</stp>
        <stp>[FA1_ymffleas.xlsx]Bal Sheet - As Reported!R163C7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3" s="17"/>
      </tp>
      <tp t="s">
        <v>—</v>
        <stp/>
        <stp>##V3_BDHV12</stp>
        <stp>RCOM IN Equity</stp>
        <stp>ARDR_CAP_COMMIT_CNT_NOT_PROVIDED</stp>
        <stp>FY 2012</stp>
        <stp>FY 2012</stp>
        <stp>[FA1_ymffleas.xlsx]Bal Sheet - As Reported!R163C6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3" s="17"/>
      </tp>
      <tp t="s">
        <v>—</v>
        <stp/>
        <stp>##V3_BDHV12</stp>
        <stp>RCOM IN Equity</stp>
        <stp>ARDR_CAP_COMMIT_CNT_NOT_PROVIDED</stp>
        <stp>FY 2011</stp>
        <stp>FY 2011</stp>
        <stp>[FA1_ymffleas.xlsx]Bal Sheet - As Reported!R163C5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3" s="17"/>
      </tp>
      <tp t="s">
        <v>—</v>
        <stp/>
        <stp>##V3_BDHV12</stp>
        <stp>RCOM IN Equity</stp>
        <stp>ARDR_CAP_COMMIT_CNT_NOT_PROVIDED</stp>
        <stp>FY 2010</stp>
        <stp>FY 2010</stp>
        <stp>[FA1_ymffleas.xlsx]Bal Sheet - As Reported!R163C4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3" s="17"/>
      </tp>
      <tp t="s">
        <v>—</v>
        <stp/>
        <stp>##V3_BDHV12</stp>
        <stp>RCOM IN Equity</stp>
        <stp>ARDR_CAP_COMMIT_CNT_NOT_PROVIDED</stp>
        <stp>FY 2015</stp>
        <stp>FY 2015</stp>
        <stp>[FA1_ymffleas.xlsx]Bal Sheet - As Reported!R163C9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3" s="17"/>
      </tp>
      <tp t="s">
        <v>—</v>
        <stp/>
        <stp>##V3_BDHV12</stp>
        <stp>RCOM IN Equity</stp>
        <stp>ARDR_CAP_COMMIT_CNT_NOT_PROVIDED</stp>
        <stp>FY 2014</stp>
        <stp>FY 2014</stp>
        <stp>[FA1_ymffleas.xlsx]Bal Sheet - As Reported!R163C8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3" s="17"/>
      </tp>
      <tp>
        <v>3.05</v>
        <stp/>
        <stp>##V3_BDHV12</stp>
        <stp>RCOM IN Equity</stp>
        <stp>IS_DILUTED_EPS</stp>
        <stp>FY 2015</stp>
        <stp>FY 2015</stp>
        <stp>[FA1_ymffleas.xlsx]Per Share!R17C8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7" s="7"/>
      </tp>
      <tp>
        <v>239500</v>
        <stp/>
        <stp>##V3_BDHV12</stp>
        <stp>RCOM IN Equity</stp>
        <stp>ARD_TOT_COMP_INC_INCL_MIN_INT</stp>
        <stp>FY 2018</stp>
        <stp>FY 2018</stp>
        <stp>[FA1_ymffleas.xlsx]Income - As Reported!R60C12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0" s="11"/>
      </tp>
      <tp>
        <v>7980</v>
        <stp/>
        <stp>##V3_BDHV12</stp>
        <stp>RCOM IN Equity</stp>
        <stp>ARD_TOT_COMP_INC_INCL_MIN_INT</stp>
        <stp>FY 2016</stp>
        <stp>FY 2016</stp>
        <stp>[FA1_ymffleas.xlsx]Income - As Reported!R60C10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0" s="11"/>
      </tp>
      <tp>
        <v>13200</v>
        <stp/>
        <stp>##V3_BDHV12</stp>
        <stp>RCOM IN Equity</stp>
        <stp>ARD_TOT_COMP_INC_INCL_MIN_INT</stp>
        <stp>FY 2017</stp>
        <stp>FY 2017</stp>
        <stp>[FA1_ymffleas.xlsx]Income - As Reported!R60C11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0" s="11"/>
      </tp>
      <tp>
        <v>0</v>
        <stp/>
        <stp>##V3_BDHV12</stp>
        <stp>RCOM IN Equity</stp>
        <stp>DVD_PAYOUT_RATIO</stp>
        <stp>FY 2014</stp>
        <stp>FY 2014</stp>
        <stp>[FA1_ymffleas.xlsx]Addl - Overview!R21C7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1" s="29"/>
      </tp>
      <tp>
        <v>6.5164</v>
        <stp/>
        <stp>##V3_BDHV12</stp>
        <stp>RCOM IN Equity</stp>
        <stp>IS_EPS</stp>
        <stp>FY 2011</stp>
        <stp>FY 2011</stp>
        <stp>[FA1_ymffleas.xlsx]Per Share!R14C4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4" s="7"/>
      </tp>
      <tp>
        <v>-3.2509999999999999</v>
        <stp/>
        <stp>##V3_BDHV12</stp>
        <stp>RCOM IN Equity</stp>
        <stp>NET_FIXED_ASSETS_5_YEAR_GROWTH</stp>
        <stp>FY 2015</stp>
        <stp>FY 2015</stp>
        <stp>[FA1_ymffleas.xlsx]Growth!R47C9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7" s="22"/>
      </tp>
      <tp>
        <v>-2.3658000000000001</v>
        <stp/>
        <stp>##V3_BDHV12</stp>
        <stp>RCOM IN Equity</stp>
        <stp>NET_FIXED_ASSETS_5_YEAR_GROWTH</stp>
        <stp>FY 2014</stp>
        <stp>FY 2014</stp>
        <stp>[FA1_ymffleas.xlsx]Growth!R47C8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7" s="22"/>
      </tp>
      <tp>
        <v>-3.9173</v>
        <stp/>
        <stp>##V3_BDHV12</stp>
        <stp>RCOM IN Equity</stp>
        <stp>NET_FIXED_ASSETS_1_YEAR_GROWTH</stp>
        <stp>FY 2015</stp>
        <stp>FY 2015</stp>
        <stp>[FA1_ymffleas.xlsx]Growth!R18C9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8" s="22"/>
      </tp>
      <tp>
        <v>-2.2383999999999999</v>
        <stp/>
        <stp>##V3_BDHV12</stp>
        <stp>RCOM IN Equity</stp>
        <stp>NET_FIXED_ASSETS_1_YEAR_GROWTH</stp>
        <stp>FY 2014</stp>
        <stp>FY 2014</stp>
        <stp>[FA1_ymffleas.xlsx]Growth!R18C8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8" s="22"/>
      </tp>
      <tp>
        <v>-0.76990000000000003</v>
        <stp/>
        <stp>##V3_BDHV12</stp>
        <stp>RCOM IN Equity</stp>
        <stp>NET_FIXED_ASSETS_1_YEAR_GROWTH</stp>
        <stp>FY 2013</stp>
        <stp>FY 2013</stp>
        <stp>[FA1_ymffleas.xlsx]Growth!R18C7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8" s="22"/>
      </tp>
      <tp t="s">
        <v>—</v>
        <stp/>
        <stp>##V3_BDHV12</stp>
        <stp>RCOM IN Equity</stp>
        <stp>NET_FIXED_ASSETS_5_YEAR_GROWTH</stp>
        <stp>FY 2009</stp>
        <stp>FY 2009</stp>
        <stp>[FA1_ymffleas.xlsx]Growth!R47C3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7" s="22"/>
      </tp>
      <tp>
        <v>-13.08</v>
        <stp/>
        <stp>##V3_BDHV12</stp>
        <stp>RCOM IN Equity</stp>
        <stp>NET_FIXED_ASSETS_1_YEAR_GROWTH</stp>
        <stp>FY 2012</stp>
        <stp>FY 2012</stp>
        <stp>[FA1_ymffleas.xlsx]Growth!R18C6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8" s="22"/>
      </tp>
      <tp>
        <v>4.6300999999999997</v>
        <stp/>
        <stp>##V3_BDHV12</stp>
        <stp>RCOM IN Equity</stp>
        <stp>NET_FIXED_ASSETS_1_YEAR_GROWTH</stp>
        <stp>FY 2011</stp>
        <stp>FY 2011</stp>
        <stp>[FA1_ymffleas.xlsx]Growth!R18C5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8" s="22"/>
      </tp>
      <tp>
        <v>0.55930000000000002</v>
        <stp/>
        <stp>##V3_BDHV12</stp>
        <stp>RCOM IN Equity</stp>
        <stp>NET_FIXED_ASSETS_1_YEAR_GROWTH</stp>
        <stp>FY 2010</stp>
        <stp>FY 2010</stp>
        <stp>[FA1_ymffleas.xlsx]Growth!R18C4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8" s="22"/>
      </tp>
      <tp>
        <v>8.9033999999999995</v>
        <stp/>
        <stp>##V3_BDHV12</stp>
        <stp>RCOM IN Equity</stp>
        <stp>NET_FIXED_ASSETS_1_YEAR_GROWTH</stp>
        <stp>FY 2009</stp>
        <stp>FY 2009</stp>
        <stp>[FA1_ymffleas.xlsx]Growth!R18C3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8" s="22"/>
      </tp>
      <tp>
        <v>-0.23530000000000001</v>
        <stp/>
        <stp>##V3_BDHV12</stp>
        <stp>RCOM IN Equity</stp>
        <stp>NET_FIXED_ASSETS_5_YEAR_GROWTH</stp>
        <stp>FY 2013</stp>
        <stp>FY 2013</stp>
        <stp>[FA1_ymffleas.xlsx]Growth!R47C7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7" s="22"/>
      </tp>
      <tp t="s">
        <v>—</v>
        <stp/>
        <stp>##V3_BDHV12</stp>
        <stp>RCOM IN Equity</stp>
        <stp>NET_FIXED_ASSETS_5_YEAR_GROWTH</stp>
        <stp>FY 2012</stp>
        <stp>FY 2012</stp>
        <stp>[FA1_ymffleas.xlsx]Growth!R47C6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7" s="22"/>
      </tp>
      <tp t="s">
        <v>—</v>
        <stp/>
        <stp>##V3_BDHV12</stp>
        <stp>RCOM IN Equity</stp>
        <stp>NET_FIXED_ASSETS_5_YEAR_GROWTH</stp>
        <stp>FY 2011</stp>
        <stp>FY 2011</stp>
        <stp>[FA1_ymffleas.xlsx]Growth!R47C5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7" s="22"/>
      </tp>
      <tp t="s">
        <v>—</v>
        <stp/>
        <stp>##V3_BDHV12</stp>
        <stp>RCOM IN Equity</stp>
        <stp>NET_FIXED_ASSETS_5_YEAR_GROWTH</stp>
        <stp>FY 2010</stp>
        <stp>FY 2010</stp>
        <stp>[FA1_ymffleas.xlsx]Growth!R47C4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7" s="22"/>
      </tp>
      <tp>
        <v>27310</v>
        <stp/>
        <stp>##V3_BDHV12</stp>
        <stp>RCOM IN Equity</stp>
        <stp>IS_SG&amp;A_EXPENSE</stp>
        <stp>FY 2014</stp>
        <stp>FY 2014</stp>
        <stp>[FA1_ymffleas.xlsx]Income - GAAP!R21C7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21" s="10"/>
      </tp>
      <tp>
        <v>29540</v>
        <stp/>
        <stp>##V3_BDHV12</stp>
        <stp>RCOM IN Equity</stp>
        <stp>IS_SG&amp;A_EXPENSE</stp>
        <stp>FY 2013</stp>
        <stp>FY 2013</stp>
        <stp>[FA1_ymffleas.xlsx]Income - GAAP!R21C6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21" s="10"/>
      </tp>
      <tp>
        <v>28960</v>
        <stp/>
        <stp>##V3_BDHV12</stp>
        <stp>RCOM IN Equity</stp>
        <stp>IS_SG&amp;A_EXPENSE</stp>
        <stp>FY 2012</stp>
        <stp>FY 2012</stp>
        <stp>[FA1_ymffleas.xlsx]Income - GAAP!R21C5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21" s="10"/>
      </tp>
      <tp>
        <v>31060</v>
        <stp/>
        <stp>##V3_BDHV12</stp>
        <stp>RCOM IN Equity</stp>
        <stp>IS_SG&amp;A_EXPENSE</stp>
        <stp>FY 2011</stp>
        <stp>FY 2011</stp>
        <stp>[FA1_ymffleas.xlsx]Income - GAAP!R21C4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21" s="10"/>
      </tp>
      <tp>
        <v>33345.599999999999</v>
        <stp/>
        <stp>##V3_BDHV12</stp>
        <stp>RCOM IN Equity</stp>
        <stp>IS_SG&amp;A_EXPENSE</stp>
        <stp>FY 2010</stp>
        <stp>FY 2010</stp>
        <stp>[FA1_ymffleas.xlsx]Income - GAAP!R21C3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21" s="10"/>
      </tp>
      <tp>
        <v>810</v>
        <stp/>
        <stp>##V3_BDHV12</stp>
        <stp>RCOM IN Equity</stp>
        <stp>ARDR_TRAVEL_EXPENSES</stp>
        <stp>FY 2016</stp>
        <stp>FY 2016</stp>
        <stp>[FA1_ymffleas.xlsx]Income - As Reported!R117C10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7" s="11"/>
      </tp>
      <tp t="s">
        <v>—</v>
        <stp/>
        <stp>##V3_BDHV12</stp>
        <stp>RCOM IN Equity</stp>
        <stp>ARDR_TRAVEL_EXPENSES</stp>
        <stp>FY 2017</stp>
        <stp>FY 2017</stp>
        <stp>[FA1_ymffleas.xlsx]Income - As Reported!R117C11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7" s="11"/>
      </tp>
      <tp t="s">
        <v>—</v>
        <stp/>
        <stp>##V3_BDHV12</stp>
        <stp>RCOM IN Equity</stp>
        <stp>ARDR_TRAVEL_EXPENSES</stp>
        <stp>FY 2018</stp>
        <stp>FY 2018</stp>
        <stp>[FA1_ymffleas.xlsx]Income - As Reported!R117C12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7" s="11"/>
      </tp>
      <tp>
        <v>6630</v>
        <stp/>
        <stp>##V3_BDHV12</stp>
        <stp>RCOM IN Equity</stp>
        <stp>CF_CASH_FROM_INV_ACT</stp>
        <stp>FY 2017</stp>
        <stp>FY 2017</stp>
        <stp>[FA1_ymffleas.xlsx]GAAP Highlights!R23C11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3" s="3"/>
      </tp>
      <tp>
        <v>-150650</v>
        <stp/>
        <stp>##V3_BDHV12</stp>
        <stp>RCOM IN Equity</stp>
        <stp>CF_CASH_FROM_INV_ACT</stp>
        <stp>FY 2016</stp>
        <stp>FY 2016</stp>
        <stp>[FA1_ymffleas.xlsx]GAAP Highlights!R23C10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3" s="3"/>
      </tp>
      <tp>
        <v>-3600</v>
        <stp/>
        <stp>##V3_BDHV12</stp>
        <stp>RCOM IN Equity</stp>
        <stp>CF_CASH_FROM_INV_ACT</stp>
        <stp>FY 2018</stp>
        <stp>FY 2018</stp>
        <stp>[FA1_ymffleas.xlsx]GAAP Highlights!R23C12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3" s="3"/>
      </tp>
      <tp>
        <v>700</v>
        <stp/>
        <stp>##V3_BDHV12</stp>
        <stp>RCOM IN Equity</stp>
        <stp>BS_DEFERRED_COMP_LT_LIABS</stp>
        <stp>FY 2016</stp>
        <stp>FY 2016</stp>
        <stp>[FA1_ymffleas.xlsx]Bal Sheet - Standardized!R119C10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9" s="16"/>
      </tp>
      <tp>
        <v>1060</v>
        <stp/>
        <stp>##V3_BDHV12</stp>
        <stp>RCOM IN Equity</stp>
        <stp>BS_DEFERRED_COMP_LT_LIABS</stp>
        <stp>FY 2017</stp>
        <stp>FY 2017</stp>
        <stp>[FA1_ymffleas.xlsx]Bal Sheet - Standardized!R119C11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9" s="16"/>
      </tp>
      <tp>
        <v>180</v>
        <stp/>
        <stp>##V3_BDHV12</stp>
        <stp>RCOM IN Equity</stp>
        <stp>BS_DEFERRED_COMP_LT_LIABS</stp>
        <stp>FY 2018</stp>
        <stp>FY 2018</stp>
        <stp>[FA1_ymffleas.xlsx]Bal Sheet - Standardized!R119C12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9" s="16"/>
      </tp>
      <tp>
        <v>30.3399</v>
        <stp/>
        <stp>##V3_BDHV12</stp>
        <stp>RCOM IN Equity</stp>
        <stp>EV_TO_T12M_EBIT</stp>
        <stp>FY 2011</stp>
        <stp>FY 2011</stp>
        <stp>[FA1_ymffleas.xlsx]Enterprise Value!R19C4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9" s="5"/>
      </tp>
      <tp>
        <v>20970</v>
        <stp/>
        <stp>##V3_BDHV12</stp>
        <stp>RCOM IN Equity</stp>
        <stp>IS_SG&amp;A_EXPENSE</stp>
        <stp>FY 2016</stp>
        <stp>FY 2016</stp>
        <stp>[FA1_ymffleas.xlsx]Income - GAAP!R21C9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21" s="10"/>
      </tp>
      <tp>
        <v>25910</v>
        <stp/>
        <stp>##V3_BDHV12</stp>
        <stp>RCOM IN Equity</stp>
        <stp>IS_SG&amp;A_EXPENSE</stp>
        <stp>FY 2015</stp>
        <stp>FY 2015</stp>
        <stp>[FA1_ymffleas.xlsx]Income - GAAP!R21C8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21" s="10"/>
      </tp>
      <tp>
        <v>26780</v>
        <stp/>
        <stp>##V3_BDHV12</stp>
        <stp>RCOM IN Equity</stp>
        <stp>CASH_AND_MARKETABLE_SECURITIES</stp>
        <stp>FY 2015</stp>
        <stp>FY 2015</stp>
        <stp>[FA1_ymffleas.xlsx]Enterprise Value!R7C8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" s="5"/>
      </tp>
      <tp>
        <v>15170</v>
        <stp/>
        <stp>##V3_BDHV12</stp>
        <stp>RCOM IN Equity</stp>
        <stp>CASH_AND_MARKETABLE_SECURITIES</stp>
        <stp>FY 2016</stp>
        <stp>FY 2016</stp>
        <stp>[FA1_ymffleas.xlsx]Enterprise Value!R7C9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" s="5"/>
      </tp>
      <tp>
        <v>53180</v>
        <stp/>
        <stp>##V3_BDHV12</stp>
        <stp>RCOM IN Equity</stp>
        <stp>CASH_AND_MARKETABLE_SECURITIES</stp>
        <stp>FY 2011</stp>
        <stp>FY 2011</stp>
        <stp>[FA1_ymffleas.xlsx]Enterprise Value!R7C4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" s="5"/>
      </tp>
      <tp>
        <v>10690</v>
        <stp/>
        <stp>##V3_BDHV12</stp>
        <stp>RCOM IN Equity</stp>
        <stp>CASH_AND_MARKETABLE_SECURITIES</stp>
        <stp>FY 2012</stp>
        <stp>FY 2012</stp>
        <stp>[FA1_ymffleas.xlsx]Enterprise Value!R7C5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" s="5"/>
      </tp>
      <tp>
        <v>12820</v>
        <stp/>
        <stp>##V3_BDHV12</stp>
        <stp>RCOM IN Equity</stp>
        <stp>CASH_AND_MARKETABLE_SECURITIES</stp>
        <stp>FY 2013</stp>
        <stp>FY 2013</stp>
        <stp>[FA1_ymffleas.xlsx]Enterprise Value!R7C6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" s="5"/>
      </tp>
      <tp>
        <v>11090</v>
        <stp/>
        <stp>##V3_BDHV12</stp>
        <stp>RCOM IN Equity</stp>
        <stp>CASH_AND_MARKETABLE_SECURITIES</stp>
        <stp>FY 2014</stp>
        <stp>FY 2014</stp>
        <stp>[FA1_ymffleas.xlsx]Enterprise Value!R7C7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" s="5"/>
      </tp>
      <tp>
        <v>48584.800000000003</v>
        <stp/>
        <stp>##V3_BDHV12</stp>
        <stp>RCOM IN Equity</stp>
        <stp>CASH_AND_MARKETABLE_SECURITIES</stp>
        <stp>FY 2010</stp>
        <stp>FY 2010</stp>
        <stp>[FA1_ymffleas.xlsx]Enterprise Value!R7C3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" s="5"/>
      </tp>
      <tp>
        <v>50</v>
        <stp/>
        <stp>##V3_BDHV12</stp>
        <stp>RCOM IN Equity</stp>
        <stp>PX_LAST</stp>
        <stp>FY 2016</stp>
        <stp>FY 2016</stp>
        <stp>[FA1_ymffleas.xlsx]Stock Value!R6C9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" s="8"/>
      </tp>
      <tp>
        <v>59.25</v>
        <stp/>
        <stp>##V3_BDHV12</stp>
        <stp>RCOM IN Equity</stp>
        <stp>PX_LAST</stp>
        <stp>FY 2015</stp>
        <stp>FY 2015</stp>
        <stp>[FA1_ymffleas.xlsx]Stock Value!R6C8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" s="8"/>
      </tp>
      <tp>
        <v>84.05</v>
        <stp/>
        <stp>##V3_BDHV12</stp>
        <stp>RCOM IN Equity</stp>
        <stp>PX_LAST</stp>
        <stp>FY 2012</stp>
        <stp>FY 2012</stp>
        <stp>[FA1_ymffleas.xlsx]Stock Value!R6C5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" s="8"/>
      </tp>
      <tp>
        <v>107.65</v>
        <stp/>
        <stp>##V3_BDHV12</stp>
        <stp>RCOM IN Equity</stp>
        <stp>PX_LAST</stp>
        <stp>FY 2011</stp>
        <stp>FY 2011</stp>
        <stp>[FA1_ymffleas.xlsx]Stock Value!R6C4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" s="8"/>
      </tp>
      <tp>
        <v>128.9</v>
        <stp/>
        <stp>##V3_BDHV12</stp>
        <stp>RCOM IN Equity</stp>
        <stp>PX_LAST</stp>
        <stp>FY 2014</stp>
        <stp>FY 2014</stp>
        <stp>[FA1_ymffleas.xlsx]Stock Value!R6C7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" s="8"/>
      </tp>
      <tp>
        <v>14.5207</v>
        <stp/>
        <stp>##V3_BDHV12</stp>
        <stp>RCOM IN Equity</stp>
        <stp>OPER_INC_PER_SH</stp>
        <stp>FY 2015</stp>
        <stp>FY 2015</stp>
        <stp>[FA1_ymffleas.xlsx]Per Share!R13C8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3" s="7"/>
      </tp>
      <tp>
        <v>55.3</v>
        <stp/>
        <stp>##V3_BDHV12</stp>
        <stp>RCOM IN Equity</stp>
        <stp>PX_LAST</stp>
        <stp>FY 2013</stp>
        <stp>FY 2013</stp>
        <stp>[FA1_ymffleas.xlsx]Stock Value!R6C6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" s="8"/>
      </tp>
      <tp>
        <v>169.95</v>
        <stp/>
        <stp>##V3_BDHV12</stp>
        <stp>RCOM IN Equity</stp>
        <stp>PX_LAST</stp>
        <stp>FY 2010</stp>
        <stp>FY 2010</stp>
        <stp>[FA1_ymffleas.xlsx]Stock Value!R6C3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" s="8"/>
      </tp>
      <tp>
        <v>33.4636</v>
        <stp/>
        <stp>##V3_BDHV12</stp>
        <stp>RCOM IN Equity</stp>
        <stp>EBITDA_MARGIN</stp>
        <stp>FY 2016</stp>
        <stp>FY 2016</stp>
        <stp>[FA1_ymffleas.xlsx]Income - Adjusted!R122C9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I122" s="9"/>
      </tp>
      <tp t="s">
        <v>—</v>
        <stp/>
        <stp>##V3_BDHV12</stp>
        <stp>RCOM IN Equity</stp>
        <stp>ARDR_SALARIES_WAGE_EMPLOYEE_BEN</stp>
        <stp>FY 2014</stp>
        <stp>FY 2014</stp>
        <stp>[FA1_ymffleas.xlsx]Income - As Reported!R65C8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5" s="11"/>
      </tp>
      <tp t="s">
        <v>—</v>
        <stp/>
        <stp>##V3_BDHV12</stp>
        <stp>RCOM IN Equity</stp>
        <stp>ARDR_SALARIES_WAGE_EMPLOYEE_BEN</stp>
        <stp>FY 2015</stp>
        <stp>FY 2015</stp>
        <stp>[FA1_ymffleas.xlsx]Income - As Reported!R65C9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5" s="11"/>
      </tp>
      <tp t="s">
        <v>—</v>
        <stp/>
        <stp>##V3_BDHV12</stp>
        <stp>RCOM IN Equity</stp>
        <stp>ARDR_SALARIES_WAGE_EMPLOYEE_BEN</stp>
        <stp>FY 2009</stp>
        <stp>FY 2009</stp>
        <stp>[FA1_ymffleas.xlsx]Income - As Reported!R65C3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5" s="11"/>
      </tp>
      <tp>
        <v>12830</v>
        <stp/>
        <stp>##V3_BDHV12</stp>
        <stp>RCOM IN Equity</stp>
        <stp>ARDR_SALARIES_WAGE_EMPLOYEE_BEN</stp>
        <stp>FY 2012</stp>
        <stp>FY 2012</stp>
        <stp>[FA1_ymffleas.xlsx]Income - As Reported!R65C6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5" s="11"/>
      </tp>
      <tp t="s">
        <v>—</v>
        <stp/>
        <stp>##V3_BDHV12</stp>
        <stp>RCOM IN Equity</stp>
        <stp>ARDR_SALARIES_WAGE_EMPLOYEE_BEN</stp>
        <stp>FY 2013</stp>
        <stp>FY 2013</stp>
        <stp>[FA1_ymffleas.xlsx]Income - As Reported!R65C7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5" s="11"/>
      </tp>
      <tp t="s">
        <v>—</v>
        <stp/>
        <stp>##V3_BDHV12</stp>
        <stp>RCOM IN Equity</stp>
        <stp>ARDR_SALARIES_WAGE_EMPLOYEE_BEN</stp>
        <stp>FY 2010</stp>
        <stp>FY 2010</stp>
        <stp>[FA1_ymffleas.xlsx]Income - As Reported!R65C4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5" s="11"/>
      </tp>
      <tp t="s">
        <v>—</v>
        <stp/>
        <stp>##V3_BDHV12</stp>
        <stp>RCOM IN Equity</stp>
        <stp>ARDR_SALARIES_WAGE_EMPLOYEE_BEN</stp>
        <stp>FY 2011</stp>
        <stp>FY 2011</stp>
        <stp>[FA1_ymffleas.xlsx]Income - As Reported!R65C5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5" s="11"/>
      </tp>
      <tp>
        <v>1050</v>
        <stp/>
        <stp>##V3_BDHV12</stp>
        <stp>RCOM IN Equity</stp>
        <stp>ARD_CAPITAL_LEASE_INTEREST</stp>
        <stp>FY 2014</stp>
        <stp>FY 2014</stp>
        <stp>[FA1_ymffleas.xlsx]Bal Sheet - As Reported!R211C8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11" s="17"/>
      </tp>
      <tp>
        <v>560</v>
        <stp/>
        <stp>##V3_BDHV12</stp>
        <stp>RCOM IN Equity</stp>
        <stp>ARD_CAPITAL_LEASE_INTEREST</stp>
        <stp>FY 2015</stp>
        <stp>FY 2015</stp>
        <stp>[FA1_ymffleas.xlsx]Bal Sheet - As Reported!R211C9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11" s="17"/>
      </tp>
      <tp t="s">
        <v>—</v>
        <stp/>
        <stp>##V3_BDHV12</stp>
        <stp>RCOM IN Equity</stp>
        <stp>ARD_CAPITAL_LEASE_INTEREST</stp>
        <stp>FY 2012</stp>
        <stp>FY 2012</stp>
        <stp>[FA1_ymffleas.xlsx]Bal Sheet - As Reported!R211C6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11" s="17"/>
      </tp>
      <tp t="s">
        <v>—</v>
        <stp/>
        <stp>##V3_BDHV12</stp>
        <stp>RCOM IN Equity</stp>
        <stp>ARD_CAPITAL_LEASE_INTEREST</stp>
        <stp>FY 2013</stp>
        <stp>FY 2013</stp>
        <stp>[FA1_ymffleas.xlsx]Bal Sheet - As Reported!R211C7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11" s="17"/>
      </tp>
      <tp t="s">
        <v>—</v>
        <stp/>
        <stp>##V3_BDHV12</stp>
        <stp>RCOM IN Equity</stp>
        <stp>ARD_CAPITAL_LEASE_INTEREST</stp>
        <stp>FY 2010</stp>
        <stp>FY 2010</stp>
        <stp>[FA1_ymffleas.xlsx]Bal Sheet - As Reported!R211C4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11" s="17"/>
      </tp>
      <tp t="s">
        <v>—</v>
        <stp/>
        <stp>##V3_BDHV12</stp>
        <stp>RCOM IN Equity</stp>
        <stp>ARD_CAPITAL_LEASE_INTEREST</stp>
        <stp>FY 2011</stp>
        <stp>FY 2011</stp>
        <stp>[FA1_ymffleas.xlsx]Bal Sheet - As Reported!R211C5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11" s="17"/>
      </tp>
      <tp t="s">
        <v>—</v>
        <stp/>
        <stp>##V3_BDHV12</stp>
        <stp>RCOM IN Equity</stp>
        <stp>ARD_CAPITAL_LEASE_INTEREST</stp>
        <stp>FY 2009</stp>
        <stp>FY 2009</stp>
        <stp>[FA1_ymffleas.xlsx]Bal Sheet - As Reported!R211C3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11" s="17"/>
      </tp>
      <tp t="s">
        <v>—</v>
        <stp/>
        <stp>##V3_BDHV12</stp>
        <stp>RCOM IN Equity</stp>
        <stp>PX_TO_FREE_CASH_FLOW</stp>
        <stp>FY 2016</stp>
        <stp>FY 2016</stp>
        <stp>[FA1_ymffleas.xlsx]Cash Flow - Standardized!R65C9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5" s="19"/>
      </tp>
      <tp t="s">
        <v>—</v>
        <stp/>
        <stp>##V3_BDHV12</stp>
        <stp>RCOM IN Equity</stp>
        <stp>PX_TO_FREE_CASH_FLOW</stp>
        <stp>FY 2015</stp>
        <stp>FY 2015</stp>
        <stp>[FA1_ymffleas.xlsx]Cash Flow - Standardized!R65C8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5" s="19"/>
      </tp>
      <tp>
        <v>15.6043</v>
        <stp/>
        <stp>##V3_BDHV12</stp>
        <stp>RCOM IN Equity</stp>
        <stp>PX_TO_FREE_CASH_FLOW</stp>
        <stp>FY 2014</stp>
        <stp>FY 2014</stp>
        <stp>[FA1_ymffleas.xlsx]Cash Flow - Standardized!R65C7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5" s="19"/>
      </tp>
      <tp>
        <v>33.390099999999997</v>
        <stp/>
        <stp>##V3_BDHV12</stp>
        <stp>RCOM IN Equity</stp>
        <stp>EBITDA_MARGIN</stp>
        <stp>FY 2016</stp>
        <stp>FY 2016</stp>
        <stp>[FA1_ymffleas.xlsx]Income - GAAP!R100C9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00" s="10"/>
      </tp>
      <tp t="s">
        <v>—</v>
        <stp/>
        <stp>##V3_BDHV12</stp>
        <stp>RCOM IN Equity</stp>
        <stp>PX_TO_FREE_CASH_FLOW</stp>
        <stp>FY 2013</stp>
        <stp>FY 2013</stp>
        <stp>[FA1_ymffleas.xlsx]Cash Flow - Standardized!R65C6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5" s="19"/>
      </tp>
      <tp>
        <v>997310</v>
        <stp/>
        <stp>##V3_BDHV12</stp>
        <stp>RCOM IN Equity</stp>
        <stp>BS_TOT_ASSET</stp>
        <stp>FY 2017</stp>
        <stp>FY 2017</stp>
        <stp>[FA1_ymffleas.xlsx]Bal Sheet - Standardized!R71C11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1" s="16"/>
      </tp>
      <tp>
        <v>1034540</v>
        <stp/>
        <stp>##V3_BDHV12</stp>
        <stp>RCOM IN Equity</stp>
        <stp>BS_TOT_ASSET</stp>
        <stp>FY 2016</stp>
        <stp>FY 2016</stp>
        <stp>[FA1_ymffleas.xlsx]Bal Sheet - Standardized!R71C10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1" s="16"/>
      </tp>
      <tp>
        <v>745780</v>
        <stp/>
        <stp>##V3_BDHV12</stp>
        <stp>RCOM IN Equity</stp>
        <stp>BS_TOT_ASSET</stp>
        <stp>FY 2018</stp>
        <stp>FY 2018</stp>
        <stp>[FA1_ymffleas.xlsx]Bal Sheet - Standardized!R71C12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1" s="16"/>
      </tp>
      <tp t="s">
        <v>—</v>
        <stp/>
        <stp>##V3_BDHV12</stp>
        <stp>RCOM IN Equity</stp>
        <stp>PX_TO_FREE_CASH_FLOW</stp>
        <stp>FY 2012</stp>
        <stp>FY 2012</stp>
        <stp>[FA1_ymffleas.xlsx]Cash Flow - Standardized!R65C5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5" s="19"/>
      </tp>
      <tp t="s">
        <v>—</v>
        <stp/>
        <stp>##V3_BDHV12</stp>
        <stp>RCOM IN Equity</stp>
        <stp>PX_TO_FREE_CASH_FLOW</stp>
        <stp>FY 2011</stp>
        <stp>FY 2011</stp>
        <stp>[FA1_ymffleas.xlsx]Cash Flow - Standardized!R65C4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5" s="19"/>
      </tp>
      <tp>
        <v>51.615099999999998</v>
        <stp/>
        <stp>##V3_BDHV12</stp>
        <stp>RCOM IN Equity</stp>
        <stp>PX_TO_FREE_CASH_FLOW</stp>
        <stp>FY 2010</stp>
        <stp>FY 2010</stp>
        <stp>[FA1_ymffleas.xlsx]Cash Flow - Standardized!R65C3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5" s="19"/>
      </tp>
      <tp>
        <v>-71.106300000000005</v>
        <stp/>
        <stp>##V3_BDHV12</stp>
        <stp>RCOM IN Equity</stp>
        <stp>EARN_FOR_COM_GROWTH</stp>
        <stp>FY 2011</stp>
        <stp>FY 2011</stp>
        <stp>[FA1_ymffleas.xlsx]Growth!R10C5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0" s="22"/>
      </tp>
      <tp>
        <v>13770</v>
        <stp/>
        <stp>##V3_BDHV12</stp>
        <stp>RCOM IN Equity</stp>
        <stp>ARD_DEFERRED_UNEARNED_REV_ST</stp>
        <stp>FY 2017</stp>
        <stp>FY 2017</stp>
        <stp>[FA1_ymffleas.xlsx]Bal Sheet - As Reported!R53C11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3" s="17"/>
      </tp>
      <tp>
        <v>14860</v>
        <stp/>
        <stp>##V3_BDHV12</stp>
        <stp>RCOM IN Equity</stp>
        <stp>ARD_DEFERRED_UNEARNED_REV_ST</stp>
        <stp>FY 2016</stp>
        <stp>FY 2016</stp>
        <stp>[FA1_ymffleas.xlsx]Bal Sheet - As Reported!R53C10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3" s="17"/>
      </tp>
      <tp>
        <v>23530</v>
        <stp/>
        <stp>##V3_BDHV12</stp>
        <stp>RCOM IN Equity</stp>
        <stp>ARD_DEFERRED_UNEARNED_REV_ST</stp>
        <stp>FY 2018</stp>
        <stp>FY 2018</stp>
        <stp>[FA1_ymffleas.xlsx]Bal Sheet - As Reported!R53C12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3" s="17"/>
      </tp>
      <tp>
        <v>33030</v>
        <stp/>
        <stp>##V3_BDHV12</stp>
        <stp>RCOM IN Equity</stp>
        <stp>ARD_DEFERRED_UNEARNED_REV_LT</stp>
        <stp>FY 2017</stp>
        <stp>FY 2017</stp>
        <stp>[FA1_ymffleas.xlsx]Bal Sheet - As Reported!R19C11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" s="17"/>
      </tp>
      <tp>
        <v>38420</v>
        <stp/>
        <stp>##V3_BDHV12</stp>
        <stp>RCOM IN Equity</stp>
        <stp>ARD_DEFERRED_UNEARNED_REV_LT</stp>
        <stp>FY 2016</stp>
        <stp>FY 2016</stp>
        <stp>[FA1_ymffleas.xlsx]Bal Sheet - As Reported!R19C10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" s="17"/>
      </tp>
      <tp>
        <v>29260</v>
        <stp/>
        <stp>##V3_BDHV12</stp>
        <stp>RCOM IN Equity</stp>
        <stp>ARD_DEFERRED_UNEARNED_REV_LT</stp>
        <stp>FY 2018</stp>
        <stp>FY 2018</stp>
        <stp>[FA1_ymffleas.xlsx]Bal Sheet - As Reported!R19C12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" s="17"/>
      </tp>
      <tp>
        <v>41705.699999999997</v>
        <stp/>
        <stp>##V3_BDHV12</stp>
        <stp>RCOM IN Equity</stp>
        <stp>ARDR_OTHER_CREDITORS_ST</stp>
        <stp>FY 2009</stp>
        <stp>FY 2009</stp>
        <stp>[FA1_ymffleas.xlsx]Bal Sheet - As Reported!R147C3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7" s="17"/>
      </tp>
      <tp t="s">
        <v>—</v>
        <stp/>
        <stp>##V3_BDHV12</stp>
        <stp>RCOM IN Equity</stp>
        <stp>ARDR_OTHER_CREDITORS_ST</stp>
        <stp>FY 2012</stp>
        <stp>FY 2012</stp>
        <stp>[FA1_ymffleas.xlsx]Bal Sheet - As Reported!R147C6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7" s="17"/>
      </tp>
      <tp t="s">
        <v>—</v>
        <stp/>
        <stp>##V3_BDHV12</stp>
        <stp>RCOM IN Equity</stp>
        <stp>ARDR_OTHER_CREDITORS_ST</stp>
        <stp>FY 2013</stp>
        <stp>FY 2013</stp>
        <stp>[FA1_ymffleas.xlsx]Bal Sheet - As Reported!R147C7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7" s="17"/>
      </tp>
      <tp>
        <v>21608.400000000001</v>
        <stp/>
        <stp>##V3_BDHV12</stp>
        <stp>RCOM IN Equity</stp>
        <stp>ARDR_OTHER_CREDITORS_ST</stp>
        <stp>FY 2010</stp>
        <stp>FY 2010</stp>
        <stp>[FA1_ymffleas.xlsx]Bal Sheet - As Reported!R147C4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7" s="17"/>
      </tp>
      <tp t="s">
        <v>—</v>
        <stp/>
        <stp>##V3_BDHV12</stp>
        <stp>RCOM IN Equity</stp>
        <stp>ARDR_OTHER_CREDITORS_ST</stp>
        <stp>FY 2011</stp>
        <stp>FY 2011</stp>
        <stp>[FA1_ymffleas.xlsx]Bal Sheet - As Reported!R147C5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7" s="17"/>
      </tp>
      <tp t="s">
        <v>—</v>
        <stp/>
        <stp>##V3_BDHV12</stp>
        <stp>RCOM IN Equity</stp>
        <stp>ARDR_OTHER_CREDITORS_ST</stp>
        <stp>FY 2014</stp>
        <stp>FY 2014</stp>
        <stp>[FA1_ymffleas.xlsx]Bal Sheet - As Reported!R147C8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7" s="17"/>
      </tp>
      <tp t="s">
        <v>—</v>
        <stp/>
        <stp>##V3_BDHV12</stp>
        <stp>RCOM IN Equity</stp>
        <stp>ARDR_OTHER_CREDITORS_ST</stp>
        <stp>FY 2015</stp>
        <stp>FY 2015</stp>
        <stp>[FA1_ymffleas.xlsx]Bal Sheet - As Reported!R147C9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7" s="17"/>
      </tp>
      <tp t="s">
        <v>—</v>
        <stp/>
        <stp>##V3_BDHV12</stp>
        <stp>RCOM IN Equity</stp>
        <stp>CAPEX_TO_DEPR_EXPN_RATIO</stp>
        <stp>FY 2018</stp>
        <stp>FY 2018</stp>
        <stp>[FA1_ymffleas.xlsx]CAPEX &amp; Depreciation!R14C12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4" s="28"/>
      </tp>
      <tp t="s">
        <v>—</v>
        <stp/>
        <stp>##V3_BDHV12</stp>
        <stp>RCOM IN Equity</stp>
        <stp>CAPEX_TO_DEPR_EXPN_RATIO</stp>
        <stp>FY 2017</stp>
        <stp>FY 2017</stp>
        <stp>[FA1_ymffleas.xlsx]CAPEX &amp; Depreciation!R14C11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4" s="28"/>
      </tp>
      <tp t="s">
        <v>—</v>
        <stp/>
        <stp>##V3_BDHV12</stp>
        <stp>RCOM IN Equity</stp>
        <stp>CAPEX_TO_DEPR_EXPN_RATIO</stp>
        <stp>FY 2016</stp>
        <stp>FY 2016</stp>
        <stp>[FA1_ymffleas.xlsx]CAPEX &amp; Depreciation!R14C10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4" s="28"/>
      </tp>
      <tp t="s">
        <v>—</v>
        <stp/>
        <stp>##V3_BDHV12</stp>
        <stp>RCOM IN Equity</stp>
        <stp>ARDR_SHARES_ISSUED</stp>
        <stp>FY 2010</stp>
        <stp>FY 2010</stp>
        <stp>[FA1_ymffleas.xlsx]Bal Sheet - As Reported!R102C4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02" s="17"/>
      </tp>
      <tp t="s">
        <v>—</v>
        <stp/>
        <stp>##V3_BDHV12</stp>
        <stp>RCOM IN Equity</stp>
        <stp>ARDR_SHARES_ISSUED</stp>
        <stp>FY 2011</stp>
        <stp>FY 2011</stp>
        <stp>[FA1_ymffleas.xlsx]Bal Sheet - As Reported!R102C5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02" s="17"/>
      </tp>
      <tp t="s">
        <v>—</v>
        <stp/>
        <stp>##V3_BDHV12</stp>
        <stp>RCOM IN Equity</stp>
        <stp>ARDR_SHARES_ISSUED</stp>
        <stp>FY 2012</stp>
        <stp>FY 2012</stp>
        <stp>[FA1_ymffleas.xlsx]Bal Sheet - As Reported!R102C6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02" s="17"/>
      </tp>
      <tp t="s">
        <v>—</v>
        <stp/>
        <stp>##V3_BDHV12</stp>
        <stp>RCOM IN Equity</stp>
        <stp>ARDR_SHARES_ISSUED</stp>
        <stp>FY 2013</stp>
        <stp>FY 2013</stp>
        <stp>[FA1_ymffleas.xlsx]Bal Sheet - As Reported!R102C7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02" s="17"/>
      </tp>
      <tp>
        <v>490</v>
        <stp/>
        <stp>##V3_BDHV12</stp>
        <stp>RCOM IN Equity</stp>
        <stp>EARN_FOR_COMMON</stp>
        <stp>FY 2018</stp>
        <stp>FY 2018</stp>
        <stp>[FA1_ymffleas.xlsx]Earnings!R45C12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L45" s="4"/>
      </tp>
      <tp>
        <v>4984.1149999999998</v>
        <stp/>
        <stp>##V3_BDHV12</stp>
        <stp>RCOM IN Equity</stp>
        <stp>EARN_FOR_COMMON</stp>
        <stp>FY 2016</stp>
        <stp>FY 2016</stp>
        <stp>[FA1_ymffleas.xlsx]Earnings!R45C10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45" s="4"/>
      </tp>
      <tp t="s">
        <v>—</v>
        <stp/>
        <stp>##V3_BDHV12</stp>
        <stp>RCOM IN Equity</stp>
        <stp>ARDR_SHARES_ISSUED</stp>
        <stp>FY 2009</stp>
        <stp>FY 2009</stp>
        <stp>[FA1_ymffleas.xlsx]Bal Sheet - As Reported!R102C3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02" s="17"/>
      </tp>
      <tp>
        <v>1250</v>
        <stp/>
        <stp>##V3_BDHV12</stp>
        <stp>RCOM IN Equity</stp>
        <stp>EARN_FOR_COMMON</stp>
        <stp>FY 2017</stp>
        <stp>FY 2017</stp>
        <stp>[FA1_ymffleas.xlsx]Earnings!R45C11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45" s="4"/>
      </tp>
      <tp>
        <v>153.3329</v>
        <stp/>
        <stp>##V3_BDHV12</stp>
        <stp>RCOM IN Equity</stp>
        <stp>NET_DEBT_TO_SHRHLDR_EQTY</stp>
        <stp>FY 2017</stp>
        <stp>FY 2017</stp>
        <stp>[FA1_ymffleas.xlsx]Credit!R36C11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6" s="23"/>
      </tp>
      <tp>
        <v>132.1199</v>
        <stp/>
        <stp>##V3_BDHV12</stp>
        <stp>RCOM IN Equity</stp>
        <stp>NET_DEBT_TO_SHRHLDR_EQTY</stp>
        <stp>FY 2016</stp>
        <stp>FY 2016</stp>
        <stp>[FA1_ymffleas.xlsx]Credit!R36C10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6" s="23"/>
      </tp>
      <tp>
        <v>1494.2856999999999</v>
        <stp/>
        <stp>##V3_BDHV12</stp>
        <stp>RCOM IN Equity</stp>
        <stp>NET_DEBT_TO_SHRHLDR_EQTY</stp>
        <stp>FY 2018</stp>
        <stp>FY 2018</stp>
        <stp>[FA1_ymffleas.xlsx]Credit!R36C12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36" s="23"/>
      </tp>
      <tp t="s">
        <v>—</v>
        <stp/>
        <stp>##V3_BDHV12</stp>
        <stp>RCOM IN Equity</stp>
        <stp>ARDR_SHARES_ISSUED</stp>
        <stp>FY 2014</stp>
        <stp>FY 2014</stp>
        <stp>[FA1_ymffleas.xlsx]Bal Sheet - As Reported!R102C8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02" s="17"/>
      </tp>
      <tp t="s">
        <v>—</v>
        <stp/>
        <stp>##V3_BDHV12</stp>
        <stp>RCOM IN Equity</stp>
        <stp>ARDR_SHARES_ISSUED</stp>
        <stp>FY 2015</stp>
        <stp>FY 2015</stp>
        <stp>[FA1_ymffleas.xlsx]Bal Sheet - As Reported!R102C9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02" s="17"/>
      </tp>
      <tp>
        <v>100.217</v>
        <stp/>
        <stp>##V3_BDHV12</stp>
        <stp>RCOM IN Equity</stp>
        <stp>REVENUE_PER_SH</stp>
        <stp>FY 2010</stp>
        <stp>FY 2010</stp>
        <stp>[FA1_ymffleas.xlsx]Per Share!R11C3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1" s="7"/>
      </tp>
      <tp>
        <v>-39.842199999999998</v>
        <stp/>
        <stp>##V3_BDHV12</stp>
        <stp>RCOM IN Equity</stp>
        <stp>EPS_DILUTED_SEQUENTIAL_GROWTH</stp>
        <stp>FY 2015</stp>
        <stp>FY 2015</stp>
        <stp>[FA1_ymffleas.xlsx]Growth!R64C9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64" s="22"/>
      </tp>
      <tp t="s">
        <v>—</v>
        <stp/>
        <stp>##V3_BDHV12</stp>
        <stp>RCOM IN Equity</stp>
        <stp>FCF_TO_FIRM_SEQUENTIAL_GROWTH</stp>
        <stp>FY 2013</stp>
        <stp>FY 2013</stp>
        <stp>[FA1_ymffleas.xlsx]Growth!R87C7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87" s="22"/>
      </tp>
      <tp>
        <v>-28250</v>
        <stp/>
        <stp>##V3_BDHV12</stp>
        <stp>RCOM IN Equity</stp>
        <stp>NET_CHNG_SRC_OF_CAP_OTHER_LIAB</stp>
        <stp>FY 2017</stp>
        <stp>FY 2017</stp>
        <stp>[FA1_ymffleas.xlsx]Sources of Capital!R8C11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" s="32"/>
      </tp>
      <tp>
        <v>148700</v>
        <stp/>
        <stp>##V3_BDHV12</stp>
        <stp>RCOM IN Equity</stp>
        <stp>NET_CHNG_SRC_OF_CAP_OTHER_LIAB</stp>
        <stp>FY 2016</stp>
        <stp>FY 2016</stp>
        <stp>[FA1_ymffleas.xlsx]Sources of Capital!R8C10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" s="32"/>
      </tp>
      <tp>
        <v>-9170</v>
        <stp/>
        <stp>##V3_BDHV12</stp>
        <stp>RCOM IN Equity</stp>
        <stp>NET_CHNG_SRC_OF_CAP_OTHER_LIAB</stp>
        <stp>FY 2018</stp>
        <stp>FY 2018</stp>
        <stp>[FA1_ymffleas.xlsx]Sources of Capital!R8C12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" s="32"/>
      </tp>
      <tp>
        <v>-5.6855000000000002</v>
        <stp/>
        <stp>##V3_BDHV12</stp>
        <stp>RCOM IN Equity</stp>
        <stp>IS_EPS</stp>
        <stp>FY 2017</stp>
        <stp>FY 2017</stp>
        <stp>[FA1_ymffleas.xlsx]Income - GAAP!R88C10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88" s="10"/>
      </tp>
      <tp t="s">
        <v>—</v>
        <stp/>
        <stp>##V3_BDHV12</stp>
        <stp>RCOM IN Equity</stp>
        <stp>IS_COMPARABLE_EBITDA</stp>
        <stp>FY 2018</stp>
        <stp>FY 2018</stp>
        <stp>[FA1_ymffleas.xlsx]Earnings!R27C12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7" s="4"/>
      </tp>
      <tp t="s">
        <v>—</v>
        <stp/>
        <stp>##V3_BDHV12</stp>
        <stp>RCOM IN Equity</stp>
        <stp>IS_COMPARABLE_EBITDA</stp>
        <stp>FY 2016</stp>
        <stp>FY 2016</stp>
        <stp>[FA1_ymffleas.xlsx]Earnings!R27C10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7" s="4"/>
      </tp>
      <tp t="s">
        <v>—</v>
        <stp/>
        <stp>##V3_BDHV12</stp>
        <stp>RCOM IN Equity</stp>
        <stp>IS_COMPARABLE_EBITDA</stp>
        <stp>FY 2017</stp>
        <stp>FY 2017</stp>
        <stp>[FA1_ymffleas.xlsx]Earnings!R27C11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7" s="4"/>
      </tp>
      <tp>
        <v>0</v>
        <stp/>
        <stp>##V3_BDHV12</stp>
        <stp>RCOM IN Equity</stp>
        <stp>ARDR_CAPITAL_RSRV</stp>
        <stp>FY 2015</stp>
        <stp>FY 2015</stp>
        <stp>[FA1_ymffleas.xlsx]Bal Sheet - As Reported!R138C9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8" s="17"/>
      </tp>
      <tp>
        <v>0</v>
        <stp/>
        <stp>##V3_BDHV12</stp>
        <stp>RCOM IN Equity</stp>
        <stp>ARDR_CAPITAL_RSRV</stp>
        <stp>FY 2014</stp>
        <stp>FY 2014</stp>
        <stp>[FA1_ymffleas.xlsx]Bal Sheet - As Reported!R138C8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8" s="17"/>
      </tp>
      <tp>
        <v>0.5</v>
        <stp/>
        <stp>##V3_BDHV12</stp>
        <stp>RCOM IN Equity</stp>
        <stp>ARDR_CAPITAL_RSRV</stp>
        <stp>FY 2009</stp>
        <stp>FY 2009</stp>
        <stp>[FA1_ymffleas.xlsx]Bal Sheet - As Reported!R138C3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8" s="17"/>
      </tp>
      <tp>
        <v>0</v>
        <stp/>
        <stp>##V3_BDHV12</stp>
        <stp>RCOM IN Equity</stp>
        <stp>ARDR_CAPITAL_RSRV</stp>
        <stp>FY 2013</stp>
        <stp>FY 2013</stp>
        <stp>[FA1_ymffleas.xlsx]Bal Sheet - As Reported!R138C7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8" s="17"/>
      </tp>
      <tp>
        <v>0</v>
        <stp/>
        <stp>##V3_BDHV12</stp>
        <stp>RCOM IN Equity</stp>
        <stp>ARDR_CAPITAL_RSRV</stp>
        <stp>FY 2012</stp>
        <stp>FY 2012</stp>
        <stp>[FA1_ymffleas.xlsx]Bal Sheet - As Reported!R138C6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8" s="17"/>
      </tp>
      <tp>
        <v>0</v>
        <stp/>
        <stp>##V3_BDHV12</stp>
        <stp>RCOM IN Equity</stp>
        <stp>ARDR_CAPITAL_RSRV</stp>
        <stp>FY 2011</stp>
        <stp>FY 2011</stp>
        <stp>[FA1_ymffleas.xlsx]Bal Sheet - As Reported!R138C5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8" s="17"/>
      </tp>
      <tp>
        <v>0.5</v>
        <stp/>
        <stp>##V3_BDHV12</stp>
        <stp>RCOM IN Equity</stp>
        <stp>ARDR_CAPITAL_RSRV</stp>
        <stp>FY 2010</stp>
        <stp>FY 2010</stp>
        <stp>[FA1_ymffleas.xlsx]Bal Sheet - As Reported!R138C4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8" s="17"/>
      </tp>
      <tp>
        <v>2.59</v>
        <stp/>
        <stp>##V3_BDHV12</stp>
        <stp>RCOM IN Equity</stp>
        <stp>IS_DILUTED_EPS</stp>
        <stp>FY 2016</stp>
        <stp>FY 2016</stp>
        <stp>[FA1_ymffleas.xlsx]Per Share!R17C9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7" s="7"/>
      </tp>
      <tp>
        <v>11270</v>
        <stp/>
        <stp>##V3_BDHV12</stp>
        <stp>RCOM IN Equity</stp>
        <stp>ARDR_ACCTS_RECEIVABLE_TRADE</stp>
        <stp>FY 2014</stp>
        <stp>FY 2014</stp>
        <stp>[FA1_ymffleas.xlsx]Bal Sheet - As Reported!R62C8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2" s="17"/>
      </tp>
      <tp>
        <v>11940</v>
        <stp/>
        <stp>##V3_BDHV12</stp>
        <stp>RCOM IN Equity</stp>
        <stp>ARDR_ACCTS_RECEIVABLE_TRADE</stp>
        <stp>FY 2015</stp>
        <stp>FY 2015</stp>
        <stp>[FA1_ymffleas.xlsx]Bal Sheet - As Reported!R62C9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2" s="17"/>
      </tp>
      <tp>
        <v>8512.7999999999993</v>
        <stp/>
        <stp>##V3_BDHV12</stp>
        <stp>RCOM IN Equity</stp>
        <stp>ARDR_ACCTS_RECEIVABLE_TRADE</stp>
        <stp>FY 2009</stp>
        <stp>FY 2009</stp>
        <stp>[FA1_ymffleas.xlsx]Bal Sheet - As Reported!R62C3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2" s="17"/>
      </tp>
      <tp>
        <v>9904.4</v>
        <stp/>
        <stp>##V3_BDHV12</stp>
        <stp>RCOM IN Equity</stp>
        <stp>ARDR_ACCTS_RECEIVABLE_TRADE</stp>
        <stp>FY 2010</stp>
        <stp>FY 2010</stp>
        <stp>[FA1_ymffleas.xlsx]Bal Sheet - As Reported!R62C4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2" s="17"/>
      </tp>
      <tp>
        <v>13380</v>
        <stp/>
        <stp>##V3_BDHV12</stp>
        <stp>RCOM IN Equity</stp>
        <stp>ARDR_ACCTS_RECEIVABLE_TRADE</stp>
        <stp>FY 2011</stp>
        <stp>FY 2011</stp>
        <stp>[FA1_ymffleas.xlsx]Bal Sheet - As Reported!R62C5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2" s="17"/>
      </tp>
      <tp>
        <v>18420</v>
        <stp/>
        <stp>##V3_BDHV12</stp>
        <stp>RCOM IN Equity</stp>
        <stp>ARDR_ACCTS_RECEIVABLE_TRADE</stp>
        <stp>FY 2012</stp>
        <stp>FY 2012</stp>
        <stp>[FA1_ymffleas.xlsx]Bal Sheet - As Reported!R62C6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2" s="17"/>
      </tp>
      <tp>
        <v>15740</v>
        <stp/>
        <stp>##V3_BDHV12</stp>
        <stp>RCOM IN Equity</stp>
        <stp>ARDR_ACCTS_RECEIVABLE_TRADE</stp>
        <stp>FY 2013</stp>
        <stp>FY 2013</stp>
        <stp>[FA1_ymffleas.xlsx]Bal Sheet - As Reported!R62C7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2" s="17"/>
      </tp>
      <tp>
        <v>7.7381000000000002</v>
        <stp/>
        <stp>##V3_BDHV12</stp>
        <stp>RCOM IN Equity</stp>
        <stp>DVD_PAYOUT_RATIO</stp>
        <stp>FY 2013</stp>
        <stp>FY 2013</stp>
        <stp>[FA1_ymffleas.xlsx]Addl - Overview!R21C6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1" s="29"/>
      </tp>
      <tp>
        <v>4.5</v>
        <stp/>
        <stp>##V3_BDHV12</stp>
        <stp>RCOM IN Equity</stp>
        <stp>IS_EPS</stp>
        <stp>FY 2012</stp>
        <stp>FY 2012</stp>
        <stp>[FA1_ymffleas.xlsx]Per Share!R14C5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4" s="7"/>
      </tp>
      <tp>
        <v>289690</v>
        <stp/>
        <stp>##V3_BDHV12</stp>
        <stp>RCOM IN Equity</stp>
        <stp>ARD_TOTAL_SHAREHOLDERS_EQUITY</stp>
        <stp>FY 2017</stp>
        <stp>FY 2017</stp>
        <stp>[FA1_ymffleas.xlsx]As Reported Summary!R21C11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1" s="30"/>
      </tp>
      <tp>
        <v>318650</v>
        <stp/>
        <stp>##V3_BDHV12</stp>
        <stp>RCOM IN Equity</stp>
        <stp>ARD_TOTAL_SHAREHOLDERS_EQUITY</stp>
        <stp>FY 2016</stp>
        <stp>FY 2016</stp>
        <stp>[FA1_ymffleas.xlsx]As Reported Summary!R21C10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1" s="30"/>
      </tp>
      <tp>
        <v>31150</v>
        <stp/>
        <stp>##V3_BDHV12</stp>
        <stp>RCOM IN Equity</stp>
        <stp>ARD_TOTAL_SHAREHOLDERS_EQUITY</stp>
        <stp>FY 2018</stp>
        <stp>FY 2018</stp>
        <stp>[FA1_ymffleas.xlsx]As Reported Summary!R21C12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1" s="30"/>
      </tp>
      <tp t="s">
        <v>—</v>
        <stp/>
        <stp>##V3_BDHV12</stp>
        <stp>RCOM IN Equity</stp>
        <stp>ARDR_OTHER_CREDITORS_ST</stp>
        <stp>FY 2018</stp>
        <stp>FY 2018</stp>
        <stp>[FA1_ymffleas.xlsx]Bal Sheet - As Reported!R147C12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7" s="17"/>
      </tp>
      <tp t="s">
        <v>—</v>
        <stp/>
        <stp>##V3_BDHV12</stp>
        <stp>RCOM IN Equity</stp>
        <stp>ARDR_OTHER_CREDITORS_ST</stp>
        <stp>FY 2017</stp>
        <stp>FY 2017</stp>
        <stp>[FA1_ymffleas.xlsx]Bal Sheet - As Reported!R147C11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7" s="17"/>
      </tp>
      <tp t="s">
        <v>—</v>
        <stp/>
        <stp>##V3_BDHV12</stp>
        <stp>RCOM IN Equity</stp>
        <stp>ARDR_OTHER_CREDITORS_ST</stp>
        <stp>FY 2016</stp>
        <stp>FY 2016</stp>
        <stp>[FA1_ymffleas.xlsx]Bal Sheet - As Reported!R147C10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7" s="17"/>
      </tp>
      <tp>
        <v>28.090199999999999</v>
        <stp/>
        <stp>##V3_BDHV12</stp>
        <stp>RCOM IN Equity</stp>
        <stp>ADJ_EPS_EX_SBC_AMORT_TOT_INT_DIL</stp>
        <stp>FY 2009</stp>
        <stp>FY 2009</stp>
        <stp>[FA1_ymffleas.xlsx]SBC &amp; Amort!R12C3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2" s="13"/>
      </tp>
      <tp>
        <v>11.8134</v>
        <stp/>
        <stp>##V3_BDHV12</stp>
        <stp>RCOM IN Equity</stp>
        <stp>ADJ_EPS_EX_SBC_AMORT_TOT_INT_DIL</stp>
        <stp>FY 2012</stp>
        <stp>FY 2012</stp>
        <stp>[FA1_ymffleas.xlsx]SBC &amp; Amort!R12C6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2" s="13"/>
      </tp>
      <tp>
        <v>9.4344999999999999</v>
        <stp/>
        <stp>##V3_BDHV12</stp>
        <stp>RCOM IN Equity</stp>
        <stp>ADJ_EPS_EX_SBC_AMORT_TOT_INT_DIL</stp>
        <stp>FY 2013</stp>
        <stp>FY 2013</stp>
        <stp>[FA1_ymffleas.xlsx]SBC &amp; Amort!R12C7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2" s="13"/>
      </tp>
      <tp>
        <v>23.664999999999999</v>
        <stp/>
        <stp>##V3_BDHV12</stp>
        <stp>RCOM IN Equity</stp>
        <stp>ADJ_EPS_EX_SBC_AMORT_TOT_INT_DIL</stp>
        <stp>FY 2010</stp>
        <stp>FY 2010</stp>
        <stp>[FA1_ymffleas.xlsx]SBC &amp; Amort!R12C4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2" s="13"/>
      </tp>
      <tp>
        <v>13.6675</v>
        <stp/>
        <stp>##V3_BDHV12</stp>
        <stp>RCOM IN Equity</stp>
        <stp>ADJ_EPS_EX_SBC_AMORT_TOT_INT_DIL</stp>
        <stp>FY 2011</stp>
        <stp>FY 2011</stp>
        <stp>[FA1_ymffleas.xlsx]SBC &amp; Amort!R12C5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2" s="13"/>
      </tp>
      <tp t="s">
        <v>—</v>
        <stp/>
        <stp>##V3_BDHV12</stp>
        <stp>RCOM IN Equity</stp>
        <stp>ADJ_EPS_EX_SBC_AMORT_TOT_INT_DIL</stp>
        <stp>FY 2014</stp>
        <stp>FY 2014</stp>
        <stp>[FA1_ymffleas.xlsx]SBC &amp; Amort!R12C8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2" s="13"/>
      </tp>
      <tp>
        <v>30.513000000000002</v>
        <stp/>
        <stp>##V3_BDHV12</stp>
        <stp>RCOM IN Equity</stp>
        <stp>EV_TO_T12M_EBIT</stp>
        <stp>FY 2012</stp>
        <stp>FY 2012</stp>
        <stp>[FA1_ymffleas.xlsx]Enterprise Value!R19C5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9" s="5"/>
      </tp>
      <tp t="s">
        <v>—</v>
        <stp/>
        <stp>##V3_BDHV12</stp>
        <stp>RCOM IN Equity</stp>
        <stp>ADJ_EPS_EX_SBC_AMORT_TOT_INT_DIL</stp>
        <stp>FY 2015</stp>
        <stp>FY 2015</stp>
        <stp>[FA1_ymffleas.xlsx]SBC &amp; Amort!R12C9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2" s="13"/>
      </tp>
      <tp t="s">
        <v>—</v>
        <stp/>
        <stp>##V3_BDHV12</stp>
        <stp>RCOM IN Equity</stp>
        <stp>ARD_SHARE_PROFITS_FROM_ASSOC_COS</stp>
        <stp>FY 2015</stp>
        <stp>FY 2015</stp>
        <stp>[FA1_ymffleas.xlsx]Income - As Reported!R35C9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5" s="11"/>
      </tp>
      <tp t="s">
        <v>—</v>
        <stp/>
        <stp>##V3_BDHV12</stp>
        <stp>RCOM IN Equity</stp>
        <stp>ARD_SHARE_PROFITS_FROM_ASSOC_COS</stp>
        <stp>FY 2014</stp>
        <stp>FY 2014</stp>
        <stp>[FA1_ymffleas.xlsx]Income - As Reported!R35C8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5" s="11"/>
      </tp>
      <tp t="s">
        <v>—</v>
        <stp/>
        <stp>##V3_BDHV12</stp>
        <stp>RCOM IN Equity</stp>
        <stp>ARD_SHARE_PROFITS_FROM_ASSOC_COS</stp>
        <stp>FY 2009</stp>
        <stp>FY 2009</stp>
        <stp>[FA1_ymffleas.xlsx]Income - As Reported!R35C3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5" s="11"/>
      </tp>
      <tp t="s">
        <v>—</v>
        <stp/>
        <stp>##V3_BDHV12</stp>
        <stp>RCOM IN Equity</stp>
        <stp>ARD_SHARE_PROFITS_FROM_ASSOC_COS</stp>
        <stp>FY 2011</stp>
        <stp>FY 2011</stp>
        <stp>[FA1_ymffleas.xlsx]Income - As Reported!R35C5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5" s="11"/>
      </tp>
      <tp t="s">
        <v>—</v>
        <stp/>
        <stp>##V3_BDHV12</stp>
        <stp>RCOM IN Equity</stp>
        <stp>ARD_SHARE_PROFITS_FROM_ASSOC_COS</stp>
        <stp>FY 2010</stp>
        <stp>FY 2010</stp>
        <stp>[FA1_ymffleas.xlsx]Income - As Reported!R35C4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5" s="11"/>
      </tp>
      <tp t="s">
        <v>—</v>
        <stp/>
        <stp>##V3_BDHV12</stp>
        <stp>RCOM IN Equity</stp>
        <stp>ARD_SHARE_PROFITS_FROM_ASSOC_COS</stp>
        <stp>FY 2013</stp>
        <stp>FY 2013</stp>
        <stp>[FA1_ymffleas.xlsx]Income - As Reported!R35C7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5" s="11"/>
      </tp>
      <tp t="s">
        <v>—</v>
        <stp/>
        <stp>##V3_BDHV12</stp>
        <stp>RCOM IN Equity</stp>
        <stp>ARD_SHARE_PROFITS_FROM_ASSOC_COS</stp>
        <stp>FY 2012</stp>
        <stp>FY 2012</stp>
        <stp>[FA1_ymffleas.xlsx]Income - As Reported!R35C6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5" s="11"/>
      </tp>
      <tp>
        <v>91.604500000000002</v>
        <stp/>
        <stp>##V3_BDHV12</stp>
        <stp>RCOM IN Equity</stp>
        <stp>FREE_CASH_FLOW_1_YEAR_GROWTH</stp>
        <stp>FY 2012</stp>
        <stp>FY 2012</stp>
        <stp>[FA1_ymffleas.xlsx]Growth!R32C6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2" s="22"/>
      </tp>
      <tp>
        <v>4.2470999999999997</v>
        <stp/>
        <stp>##V3_BDHV12</stp>
        <stp>RCOM IN Equity</stp>
        <stp>FREE_CASH_FLOW_1_YEAR_GROWTH</stp>
        <stp>FY 2013</stp>
        <stp>FY 2013</stp>
        <stp>[FA1_ymffleas.xlsx]Growth!R32C7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2" s="22"/>
      </tp>
      <tp t="s">
        <v>—</v>
        <stp/>
        <stp>##V3_BDHV12</stp>
        <stp>RCOM IN Equity</stp>
        <stp>FREE_CASH_FLOW_1_YEAR_GROWTH</stp>
        <stp>FY 2010</stp>
        <stp>FY 2010</stp>
        <stp>[FA1_ymffleas.xlsx]Growth!R32C4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2" s="22"/>
      </tp>
      <tp t="s">
        <v>—</v>
        <stp/>
        <stp>##V3_BDHV12</stp>
        <stp>RCOM IN Equity</stp>
        <stp>FREE_CASH_FLOW_1_YEAR_GROWTH</stp>
        <stp>FY 2011</stp>
        <stp>FY 2011</stp>
        <stp>[FA1_ymffleas.xlsx]Growth!R32C5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2" s="22"/>
      </tp>
      <tp>
        <v>45.968400000000003</v>
        <stp/>
        <stp>##V3_BDHV12</stp>
        <stp>RCOM IN Equity</stp>
        <stp>FREE_CASH_FLOW_1_YEAR_GROWTH</stp>
        <stp>FY 2009</stp>
        <stp>FY 2009</stp>
        <stp>[FA1_ymffleas.xlsx]Growth!R32C3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2" s="22"/>
      </tp>
      <tp>
        <v>11.2493</v>
        <stp/>
        <stp>##V3_BDHV12</stp>
        <stp>RCOM IN Equity</stp>
        <stp>OPER_INC_PER_SH</stp>
        <stp>FY 2016</stp>
        <stp>FY 2016</stp>
        <stp>[FA1_ymffleas.xlsx]Per Share!R13C9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3" s="7"/>
      </tp>
      <tp>
        <v>1.4E-2</v>
        <stp/>
        <stp>##V3_BDHV12</stp>
        <stp>RCOM IN Equity</stp>
        <stp>CASH_RATIO</stp>
        <stp>FY 2018</stp>
        <stp>FY 2018</stp>
        <stp>[FA1_ymffleas.xlsx]Liquidity!R6C12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6" s="24"/>
      </tp>
      <tp t="s">
        <v>—</v>
        <stp/>
        <stp>##V3_BDHV12</stp>
        <stp>RCOM IN Equity</stp>
        <stp>FREE_CASH_FLOW_1_YEAR_GROWTH</stp>
        <stp>FY 2014</stp>
        <stp>FY 2014</stp>
        <stp>[FA1_ymffleas.xlsx]Growth!R32C8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2" s="22"/>
      </tp>
      <tp>
        <v>3.6499999999999998E-2</v>
        <stp/>
        <stp>##V3_BDHV12</stp>
        <stp>RCOM IN Equity</stp>
        <stp>CASH_RATIO</stp>
        <stp>FY 2017</stp>
        <stp>FY 2017</stp>
        <stp>[FA1_ymffleas.xlsx]Liquidity!R6C11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" s="24"/>
      </tp>
      <tp t="s">
        <v>—</v>
        <stp/>
        <stp>##V3_BDHV12</stp>
        <stp>RCOM IN Equity</stp>
        <stp>FREE_CASH_FLOW_1_YEAR_GROWTH</stp>
        <stp>FY 2015</stp>
        <stp>FY 2015</stp>
        <stp>[FA1_ymffleas.xlsx]Growth!R32C9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2" s="22"/>
      </tp>
      <tp>
        <v>5.4800000000000001E-2</v>
        <stp/>
        <stp>##V3_BDHV12</stp>
        <stp>RCOM IN Equity</stp>
        <stp>CASH_RATIO</stp>
        <stp>FY 2016</stp>
        <stp>FY 2016</stp>
        <stp>[FA1_ymffleas.xlsx]Liquidity!R6C10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" s="24"/>
      </tp>
      <tp>
        <v>33.6554</v>
        <stp/>
        <stp>##V3_BDHV12</stp>
        <stp>RCOM IN Equity</stp>
        <stp>EBITDA_MARGIN</stp>
        <stp>FY 2015</stp>
        <stp>FY 2015</stp>
        <stp>[FA1_ymffleas.xlsx]Income - Adjusted!R122C8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H122" s="9"/>
      </tp>
      <tp>
        <v>33.636699999999998</v>
        <stp/>
        <stp>##V3_BDHV12</stp>
        <stp>RCOM IN Equity</stp>
        <stp>EBITDA_MARGIN</stp>
        <stp>FY 2015</stp>
        <stp>FY 2015</stp>
        <stp>[FA1_ymffleas.xlsx]Income - GAAP!R100C8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00" s="10"/>
      </tp>
      <tp>
        <v>-10</v>
        <stp/>
        <stp>##V3_BDHV12</stp>
        <stp>RCOM IN Equity</stp>
        <stp>ARDR_STK_BASED_COMPENSATION_EXP</stp>
        <stp>FY 2014</stp>
        <stp>FY 2014</stp>
        <stp>[FA1_ymffleas.xlsx]Income - As Reported!R86C8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6" s="11"/>
      </tp>
      <tp>
        <v>-20</v>
        <stp/>
        <stp>##V3_BDHV12</stp>
        <stp>RCOM IN Equity</stp>
        <stp>ARDR_STK_BASED_COMPENSATION_EXP</stp>
        <stp>FY 2015</stp>
        <stp>FY 2015</stp>
        <stp>[FA1_ymffleas.xlsx]Income - As Reported!R86C9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6" s="11"/>
      </tp>
      <tp>
        <v>-50</v>
        <stp/>
        <stp>##V3_BDHV12</stp>
        <stp>RCOM IN Equity</stp>
        <stp>ARDR_STK_BASED_COMPENSATION_EXP</stp>
        <stp>FY 2012</stp>
        <stp>FY 2012</stp>
        <stp>[FA1_ymffleas.xlsx]Income - As Reported!R86C6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6" s="11"/>
      </tp>
      <tp t="s">
        <v>—</v>
        <stp/>
        <stp>##V3_BDHV12</stp>
        <stp>RCOM IN Equity</stp>
        <stp>ARDR_STK_BASED_COMPENSATION_EXP</stp>
        <stp>FY 2013</stp>
        <stp>FY 2013</stp>
        <stp>[FA1_ymffleas.xlsx]Income - As Reported!R86C7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6" s="11"/>
      </tp>
      <tp>
        <v>-66.5</v>
        <stp/>
        <stp>##V3_BDHV12</stp>
        <stp>RCOM IN Equity</stp>
        <stp>ARDR_STK_BASED_COMPENSATION_EXP</stp>
        <stp>FY 2010</stp>
        <stp>FY 2010</stp>
        <stp>[FA1_ymffleas.xlsx]Income - As Reported!R86C4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6" s="11"/>
      </tp>
      <tp>
        <v>-70</v>
        <stp/>
        <stp>##V3_BDHV12</stp>
        <stp>RCOM IN Equity</stp>
        <stp>ARDR_STK_BASED_COMPENSATION_EXP</stp>
        <stp>FY 2011</stp>
        <stp>FY 2011</stp>
        <stp>[FA1_ymffleas.xlsx]Income - As Reported!R86C5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6" s="11"/>
      </tp>
      <tp>
        <v>74.7</v>
        <stp/>
        <stp>##V3_BDHV12</stp>
        <stp>RCOM IN Equity</stp>
        <stp>ARDR_STK_BASED_COMPENSATION_EXP</stp>
        <stp>FY 2009</stp>
        <stp>FY 2009</stp>
        <stp>[FA1_ymffleas.xlsx]Income - As Reported!R86C3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6" s="11"/>
      </tp>
      <tp>
        <v>19070</v>
        <stp/>
        <stp>##V3_BDHV12</stp>
        <stp>RCOM IN Equity</stp>
        <stp>ARDR_OTHER_RESERVE</stp>
        <stp>FY 2014</stp>
        <stp>FY 2014</stp>
        <stp>[FA1_ymffleas.xlsx]Bal Sheet - As Reported!R150C8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0" s="17"/>
      </tp>
      <tp>
        <v>18770</v>
        <stp/>
        <stp>##V3_BDHV12</stp>
        <stp>RCOM IN Equity</stp>
        <stp>ARDR_OTHER_RESERVE</stp>
        <stp>FY 2015</stp>
        <stp>FY 2015</stp>
        <stp>[FA1_ymffleas.xlsx]Bal Sheet - As Reported!R150C9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0" s="17"/>
      </tp>
      <tp>
        <v>14600</v>
        <stp/>
        <stp>##V3_BDHV12</stp>
        <stp>RCOM IN Equity</stp>
        <stp>ARDR_OTHER_RESERVE</stp>
        <stp>FY 2012</stp>
        <stp>FY 2012</stp>
        <stp>[FA1_ymffleas.xlsx]Bal Sheet - As Reported!R150C6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0" s="17"/>
      </tp>
      <tp>
        <v>17280</v>
        <stp/>
        <stp>##V3_BDHV12</stp>
        <stp>RCOM IN Equity</stp>
        <stp>ARDR_OTHER_RESERVE</stp>
        <stp>FY 2013</stp>
        <stp>FY 2013</stp>
        <stp>[FA1_ymffleas.xlsx]Bal Sheet - As Reported!R150C7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0" s="17"/>
      </tp>
      <tp>
        <v>13690.4</v>
        <stp/>
        <stp>##V3_BDHV12</stp>
        <stp>RCOM IN Equity</stp>
        <stp>ARDR_OTHER_RESERVE</stp>
        <stp>FY 2010</stp>
        <stp>FY 2010</stp>
        <stp>[FA1_ymffleas.xlsx]Bal Sheet - As Reported!R150C4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0" s="17"/>
      </tp>
      <tp>
        <v>13690</v>
        <stp/>
        <stp>##V3_BDHV12</stp>
        <stp>RCOM IN Equity</stp>
        <stp>ARDR_OTHER_RESERVE</stp>
        <stp>FY 2011</stp>
        <stp>FY 2011</stp>
        <stp>[FA1_ymffleas.xlsx]Bal Sheet - As Reported!R150C5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0" s="17"/>
      </tp>
      <tp>
        <v>12940.8</v>
        <stp/>
        <stp>##V3_BDHV12</stp>
        <stp>RCOM IN Equity</stp>
        <stp>ARDR_OTHER_RESERVE</stp>
        <stp>FY 2009</stp>
        <stp>FY 2009</stp>
        <stp>[FA1_ymffleas.xlsx]Bal Sheet - As Reported!R150C3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0" s="17"/>
      </tp>
      <tp t="s">
        <v>—</v>
        <stp/>
        <stp>##V3_BDHV12</stp>
        <stp>RCOM IN Equity</stp>
        <stp>ARD_INVESTMENTS_WRITTEN_OFF</stp>
        <stp>FY 2012</stp>
        <stp>FY 2012</stp>
        <stp>[FA1_ymffleas.xlsx]Cash Flow - As Reported!R40C6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0" s="20"/>
      </tp>
      <tp t="s">
        <v>—</v>
        <stp/>
        <stp>##V3_BDHV12</stp>
        <stp>RCOM IN Equity</stp>
        <stp>ARD_INVESTMENTS_WRITTEN_OFF</stp>
        <stp>FY 2013</stp>
        <stp>FY 2013</stp>
        <stp>[FA1_ymffleas.xlsx]Cash Flow - As Reported!R40C7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0" s="20"/>
      </tp>
      <tp t="s">
        <v>—</v>
        <stp/>
        <stp>##V3_BDHV12</stp>
        <stp>RCOM IN Equity</stp>
        <stp>ARD_INVESTMENTS_WRITTEN_OFF</stp>
        <stp>FY 2010</stp>
        <stp>FY 2010</stp>
        <stp>[FA1_ymffleas.xlsx]Cash Flow - As Reported!R40C4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0" s="20"/>
      </tp>
      <tp t="s">
        <v>—</v>
        <stp/>
        <stp>##V3_BDHV12</stp>
        <stp>RCOM IN Equity</stp>
        <stp>ARD_INVESTMENTS_WRITTEN_OFF</stp>
        <stp>FY 2011</stp>
        <stp>FY 2011</stp>
        <stp>[FA1_ymffleas.xlsx]Cash Flow - As Reported!R40C5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0" s="20"/>
      </tp>
      <tp t="s">
        <v>—</v>
        <stp/>
        <stp>##V3_BDHV12</stp>
        <stp>RCOM IN Equity</stp>
        <stp>ARD_INVESTMENTS_WRITTEN_OFF</stp>
        <stp>FY 2009</stp>
        <stp>FY 2009</stp>
        <stp>[FA1_ymffleas.xlsx]Cash Flow - As Reported!R40C3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0" s="20"/>
      </tp>
      <tp t="s">
        <v>—</v>
        <stp/>
        <stp>##V3_BDHV12</stp>
        <stp>RCOM IN Equity</stp>
        <stp>ARD_INVESTMENTS_WRITTEN_OFF</stp>
        <stp>FY 2014</stp>
        <stp>FY 2014</stp>
        <stp>[FA1_ymffleas.xlsx]Cash Flow - As Reported!R40C8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0" s="20"/>
      </tp>
      <tp t="s">
        <v>—</v>
        <stp/>
        <stp>##V3_BDHV12</stp>
        <stp>RCOM IN Equity</stp>
        <stp>ARD_INVESTMENTS_WRITTEN_OFF</stp>
        <stp>FY 2015</stp>
        <stp>FY 2015</stp>
        <stp>[FA1_ymffleas.xlsx]Cash Flow - As Reported!R40C9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0" s="20"/>
      </tp>
      <tp>
        <v>10.23</v>
        <stp/>
        <stp>##V3_BDHV12</stp>
        <stp>RCOM IN Equity</stp>
        <stp>BS_PERCENT_OF_FOREIGN_OWNERSHIP</stp>
        <stp>FY 2009</stp>
        <stp>FY 2009</stp>
        <stp>[FA1_ymffleas.xlsx]Bal Sheet - Standardized!R163C3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3" s="16"/>
      </tp>
      <tp>
        <v>8.2899999999999991</v>
        <stp/>
        <stp>##V3_BDHV12</stp>
        <stp>RCOM IN Equity</stp>
        <stp>BS_PERCENT_OF_FOREIGN_OWNERSHIP</stp>
        <stp>FY 2010</stp>
        <stp>FY 2010</stp>
        <stp>[FA1_ymffleas.xlsx]Bal Sheet - Standardized!R163C4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3" s="16"/>
      </tp>
      <tp t="s">
        <v>—</v>
        <stp/>
        <stp>##V3_BDHV12</stp>
        <stp>RCOM IN Equity</stp>
        <stp>BS_PERCENT_OF_FOREIGN_OWNERSHIP</stp>
        <stp>FY 2011</stp>
        <stp>FY 2011</stp>
        <stp>[FA1_ymffleas.xlsx]Bal Sheet - Standardized!R163C5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3" s="16"/>
      </tp>
      <tp t="s">
        <v>—</v>
        <stp/>
        <stp>##V3_BDHV12</stp>
        <stp>RCOM IN Equity</stp>
        <stp>BS_PERCENT_OF_FOREIGN_OWNERSHIP</stp>
        <stp>FY 2012</stp>
        <stp>FY 2012</stp>
        <stp>[FA1_ymffleas.xlsx]Bal Sheet - Standardized!R163C6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3" s="16"/>
      </tp>
      <tp t="s">
        <v>—</v>
        <stp/>
        <stp>##V3_BDHV12</stp>
        <stp>RCOM IN Equity</stp>
        <stp>BS_PERCENT_OF_FOREIGN_OWNERSHIP</stp>
        <stp>FY 2013</stp>
        <stp>FY 2013</stp>
        <stp>[FA1_ymffleas.xlsx]Bal Sheet - Standardized!R163C7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3" s="16"/>
      </tp>
      <tp t="s">
        <v>—</v>
        <stp/>
        <stp>##V3_BDHV12</stp>
        <stp>RCOM IN Equity</stp>
        <stp>BS_PERCENT_OF_FOREIGN_OWNERSHIP</stp>
        <stp>FY 2014</stp>
        <stp>FY 2014</stp>
        <stp>[FA1_ymffleas.xlsx]Bal Sheet - Standardized!R163C8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3" s="16"/>
      </tp>
      <tp t="s">
        <v>—</v>
        <stp/>
        <stp>##V3_BDHV12</stp>
        <stp>RCOM IN Equity</stp>
        <stp>IS_EXPORT_SALES</stp>
        <stp>FY 2018</stp>
        <stp>FY 2018</stp>
        <stp>[FA1_ymffleas.xlsx]Income - Adjusted!R131C11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1" s="9"/>
      </tp>
      <tp t="s">
        <v>—</v>
        <stp/>
        <stp>##V3_BDHV12</stp>
        <stp>RCOM IN Equity</stp>
        <stp>IS_EXPORT_SALES</stp>
        <stp>FY 2017</stp>
        <stp>FY 2017</stp>
        <stp>[FA1_ymffleas.xlsx]Income - Adjusted!R131C10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1" s="9"/>
      </tp>
      <tp t="s">
        <v>—</v>
        <stp/>
        <stp>##V3_BDHV12</stp>
        <stp>RCOM IN Equity</stp>
        <stp>BS_PERCENT_OF_FOREIGN_OWNERSHIP</stp>
        <stp>FY 2015</stp>
        <stp>FY 2015</stp>
        <stp>[FA1_ymffleas.xlsx]Bal Sheet - Standardized!R163C9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3" s="16"/>
      </tp>
      <tp>
        <v>-8.3483000000000001</v>
        <stp/>
        <stp>##V3_BDHV12</stp>
        <stp>RCOM IN Equity</stp>
        <stp>GEO_GROW_BOOK_VAL</stp>
        <stp>FY 2016</stp>
        <stp>FY 2016</stp>
        <stp>[FA1_ymffleas.xlsx]Growth!R55C10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55" s="22"/>
      </tp>
      <tp>
        <v>-8.1781000000000006</v>
        <stp/>
        <stp>##V3_BDHV12</stp>
        <stp>RCOM IN Equity</stp>
        <stp>GEO_GROW_BOOK_VAL</stp>
        <stp>FY 2017</stp>
        <stp>FY 2017</stp>
        <stp>[FA1_ymffleas.xlsx]Growth!R55C11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55" s="22"/>
      </tp>
      <tp>
        <v>1730</v>
        <stp/>
        <stp>##V3_BDHV12</stp>
        <stp>RCOM IN Equity</stp>
        <stp>ARD_OTHER_FINANCIAL_ASSETS_LT</stp>
        <stp>FY 2018</stp>
        <stp>FY 2018</stp>
        <stp>[FA1_ymffleas.xlsx]Bal Sheet - As Reported!R36C12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6" s="17"/>
      </tp>
      <tp>
        <v>1770</v>
        <stp/>
        <stp>##V3_BDHV12</stp>
        <stp>RCOM IN Equity</stp>
        <stp>ARD_OTHER_FINANCIAL_ASSETS_LT</stp>
        <stp>FY 2016</stp>
        <stp>FY 2016</stp>
        <stp>[FA1_ymffleas.xlsx]Bal Sheet - As Reported!R36C10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6" s="17"/>
      </tp>
      <tp>
        <v>2460</v>
        <stp/>
        <stp>##V3_BDHV12</stp>
        <stp>RCOM IN Equity</stp>
        <stp>ARD_OTHER_FINANCIAL_ASSETS_LT</stp>
        <stp>FY 2017</stp>
        <stp>FY 2017</stp>
        <stp>[FA1_ymffleas.xlsx]Bal Sheet - As Reported!R36C11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6" s="17"/>
      </tp>
      <tp>
        <v>-42.776000000000003</v>
        <stp/>
        <stp>##V3_BDHV12</stp>
        <stp>RCOM IN Equity</stp>
        <stp>GEO_GROW_BOOK_VAL</stp>
        <stp>FY 2018</stp>
        <stp>FY 2018</stp>
        <stp>[FA1_ymffleas.xlsx]Growth!R55C12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55" s="22"/>
      </tp>
      <tp>
        <v>0</v>
        <stp/>
        <stp>##V3_BDHV12</stp>
        <stp>RCOM IN Equity</stp>
        <stp>CF_NT_CSH_RCVD_PD_FOR_ACQUIS_DIV</stp>
        <stp>FY 2018</stp>
        <stp>FY 2018</stp>
        <stp>[FA1_ymffleas.xlsx]Cash Flow - Standardized!R29C11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9" s="19"/>
      </tp>
      <tp>
        <v>0</v>
        <stp/>
        <stp>##V3_BDHV12</stp>
        <stp>RCOM IN Equity</stp>
        <stp>CF_NT_CSH_RCVD_PD_FOR_ACQUIS_DIV</stp>
        <stp>FY 2017</stp>
        <stp>FY 2017</stp>
        <stp>[FA1_ymffleas.xlsx]Cash Flow - Standardized!R29C10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9" s="19"/>
      </tp>
      <tp>
        <v>730</v>
        <stp/>
        <stp>##V3_BDHV12</stp>
        <stp>RCOM IN Equity</stp>
        <stp>ARDR_MOTOR_VEHICLES_GROSS</stp>
        <stp>FY 2018</stp>
        <stp>FY 2018</stp>
        <stp>[FA1_ymffleas.xlsx]Bal Sheet - As Reported!R191C12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1" s="17"/>
      </tp>
      <tp>
        <v>740</v>
        <stp/>
        <stp>##V3_BDHV12</stp>
        <stp>RCOM IN Equity</stp>
        <stp>ARDR_MOTOR_VEHICLES_GROSS</stp>
        <stp>FY 2017</stp>
        <stp>FY 2017</stp>
        <stp>[FA1_ymffleas.xlsx]Bal Sheet - As Reported!R191C11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1" s="17"/>
      </tp>
      <tp>
        <v>750</v>
        <stp/>
        <stp>##V3_BDHV12</stp>
        <stp>RCOM IN Equity</stp>
        <stp>ARDR_MOTOR_VEHICLES_GROSS</stp>
        <stp>FY 2016</stp>
        <stp>FY 2016</stp>
        <stp>[FA1_ymffleas.xlsx]Bal Sheet - As Reported!R191C10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1" s="17"/>
      </tp>
      <tp>
        <v>-2723.8</v>
        <stp/>
        <stp>##V3_BDHV12</stp>
        <stp>RCOM IN Equity</stp>
        <stp>IS_OTHER_NON_OPERATING_INC_LOSS</stp>
        <stp>FY 2010</stp>
        <stp>FY 2010</stp>
        <stp>[FA1_ymffleas.xlsx]Income - Adjusted!R51C3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51" s="9"/>
      </tp>
      <tp>
        <v>-20550</v>
        <stp/>
        <stp>##V3_BDHV12</stp>
        <stp>RCOM IN Equity</stp>
        <stp>IS_OTHER_NON_OPERATING_INC_LOSS</stp>
        <stp>FY 2012</stp>
        <stp>FY 2012</stp>
        <stp>[FA1_ymffleas.xlsx]Income - Adjusted!R51C5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51" s="9"/>
      </tp>
      <tp>
        <v>-630</v>
        <stp/>
        <stp>##V3_BDHV12</stp>
        <stp>RCOM IN Equity</stp>
        <stp>IS_OTHER_NON_OPERATING_INC_LOSS</stp>
        <stp>FY 2011</stp>
        <stp>FY 2011</stp>
        <stp>[FA1_ymffleas.xlsx]Income - Adjusted!R51C4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51" s="9"/>
      </tp>
      <tp>
        <v>-13370</v>
        <stp/>
        <stp>##V3_BDHV12</stp>
        <stp>RCOM IN Equity</stp>
        <stp>IS_OTHER_NON_OPERATING_INC_LOSS</stp>
        <stp>FY 2014</stp>
        <stp>FY 2014</stp>
        <stp>[FA1_ymffleas.xlsx]Income - Adjusted!R51C7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51" s="9"/>
      </tp>
      <tp>
        <v>31.7226</v>
        <stp/>
        <stp>##V3_BDHV12</stp>
        <stp>RCOM IN Equity</stp>
        <stp>T12_EBIT_TO_REVENUE</stp>
        <stp>FY 2010</stp>
        <stp>FY 2010</stp>
        <stp>[FA1_ymffleas.xlsx]DuPont Analysis!R13C4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3" s="27"/>
      </tp>
      <tp>
        <v>-16240</v>
        <stp/>
        <stp>##V3_BDHV12</stp>
        <stp>RCOM IN Equity</stp>
        <stp>IS_OTHER_NON_OPERATING_INC_LOSS</stp>
        <stp>FY 2013</stp>
        <stp>FY 2013</stp>
        <stp>[FA1_ymffleas.xlsx]Income - Adjusted!R51C6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51" s="9"/>
      </tp>
      <tp t="s">
        <v>—</v>
        <stp/>
        <stp>##V3_BDHV12</stp>
        <stp>RCOM IN Equity</stp>
        <stp>IS_WRTOFF_IMPAIR_ASSET_AFTER_TAX</stp>
        <stp>FY 2015</stp>
        <stp>FY 2015</stp>
        <stp>[FA1_ymffleas.xlsx]Reconciliation!R39C8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9" s="12"/>
      </tp>
      <tp t="s">
        <v>—</v>
        <stp/>
        <stp>##V3_BDHV12</stp>
        <stp>RCOM IN Equity</stp>
        <stp>IS_WRTOFF_IMPAIR_ASSET_AFTER_TAX</stp>
        <stp>FY 2016</stp>
        <stp>FY 2016</stp>
        <stp>[FA1_ymffleas.xlsx]Reconciliation!R39C9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9" s="12"/>
      </tp>
      <tp>
        <v>2013.107</v>
        <stp/>
        <stp>##V3_BDHV12</stp>
        <stp>RCOM IN Equity</stp>
        <stp>IS_WRTOFF_IMPAIR_ASSET_AFTER_TAX</stp>
        <stp>FY 2010</stp>
        <stp>FY 2010</stp>
        <stp>[FA1_ymffleas.xlsx]Reconciliation!R39C3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9" s="12"/>
      </tp>
      <tp t="s">
        <v>—</v>
        <stp/>
        <stp>##V3_BDHV12</stp>
        <stp>RCOM IN Equity</stp>
        <stp>IS_WRTOFF_IMPAIR_ASSET_AFTER_TAX</stp>
        <stp>FY 2011</stp>
        <stp>FY 2011</stp>
        <stp>[FA1_ymffleas.xlsx]Reconciliation!R39C4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9" s="12"/>
      </tp>
      <tp>
        <v>2499.35</v>
        <stp/>
        <stp>##V3_BDHV12</stp>
        <stp>RCOM IN Equity</stp>
        <stp>IS_WRTOFF_IMPAIR_ASSET_AFTER_TAX</stp>
        <stp>FY 2012</stp>
        <stp>FY 2012</stp>
        <stp>[FA1_ymffleas.xlsx]Reconciliation!R39C5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9" s="12"/>
      </tp>
      <tp t="s">
        <v>—</v>
        <stp/>
        <stp>##V3_BDHV12</stp>
        <stp>RCOM IN Equity</stp>
        <stp>IS_WRTOFF_IMPAIR_ASSET_AFTER_TAX</stp>
        <stp>FY 2013</stp>
        <stp>FY 2013</stp>
        <stp>[FA1_ymffleas.xlsx]Reconciliation!R39C6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9" s="12"/>
      </tp>
      <tp t="s">
        <v>—</v>
        <stp/>
        <stp>##V3_BDHV12</stp>
        <stp>RCOM IN Equity</stp>
        <stp>IS_WRTOFF_IMPAIR_ASSET_AFTER_TAX</stp>
        <stp>FY 2014</stp>
        <stp>FY 2014</stp>
        <stp>[FA1_ymffleas.xlsx]Reconciliation!R39C7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9" s="12"/>
      </tp>
      <tp>
        <v>5430</v>
        <stp/>
        <stp>##V3_BDHV12</stp>
        <stp>RCOM IN Equity</stp>
        <stp>IS_OTHER_NON_OPERATING_INC_LOSS</stp>
        <stp>FY 2016</stp>
        <stp>FY 2016</stp>
        <stp>[FA1_ymffleas.xlsx]Income - Adjusted!R51C9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51" s="9"/>
      </tp>
      <tp>
        <v>-4860</v>
        <stp/>
        <stp>##V3_BDHV12</stp>
        <stp>RCOM IN Equity</stp>
        <stp>IS_OTHER_NON_OPERATING_INC_LOSS</stp>
        <stp>FY 2015</stp>
        <stp>FY 2015</stp>
        <stp>[FA1_ymffleas.xlsx]Income - Adjusted!R51C8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51" s="9"/>
      </tp>
      <tp>
        <v>2240</v>
        <stp/>
        <stp>##V3_BDHV12</stp>
        <stp>RCOM IN Equity</stp>
        <stp>IS_INT_EXPENSE</stp>
        <stp>FY 2017</stp>
        <stp>FY 2017</stp>
        <stp>[FA1_ymffleas.xlsx]Income - Adjusted!R41C10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41" s="9"/>
      </tp>
      <tp>
        <v>1680</v>
        <stp/>
        <stp>##V3_BDHV12</stp>
        <stp>RCOM IN Equity</stp>
        <stp>IS_INT_EXPENSE</stp>
        <stp>FY 2018</stp>
        <stp>FY 2018</stp>
        <stp>[FA1_ymffleas.xlsx]Income - Adjusted!R41C11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41" s="9"/>
      </tp>
      <tp>
        <v>15.244</v>
        <stp/>
        <stp>##V3_BDHV12</stp>
        <stp>RCOM IN Equity</stp>
        <stp>EV_TO_T12M_CASH_FLOW_FIRM</stp>
        <stp>FY 2013</stp>
        <stp>FY 2013</stp>
        <stp>[FA1_ymffleas.xlsx]Enterprise Value!R20C6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0" s="5"/>
      </tp>
      <tp>
        <v>5</v>
        <stp/>
        <stp>##V3_BDHV12</stp>
        <stp>RCOM IN Equity</stp>
        <stp>BOARD_DURATION</stp>
        <stp>FY 2016</stp>
        <stp>FY 2016</stp>
        <stp>[FA1_ymffleas.xlsx]ESG - Overview!R25C10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5" s="34"/>
      </tp>
      <tp>
        <v>5</v>
        <stp/>
        <stp>##V3_BDHV12</stp>
        <stp>RCOM IN Equity</stp>
        <stp>BOARD_DURATION</stp>
        <stp>FY 2017</stp>
        <stp>FY 2017</stp>
        <stp>[FA1_ymffleas.xlsx]ESG - Overview!R25C11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5" s="34"/>
      </tp>
      <tp>
        <v>5</v>
        <stp/>
        <stp>##V3_BDHV12</stp>
        <stp>RCOM IN Equity</stp>
        <stp>BOARD_DURATION</stp>
        <stp>FY 2018</stp>
        <stp>FY 2018</stp>
        <stp>[FA1_ymffleas.xlsx]ESG - Overview!R25C12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5" s="34"/>
      </tp>
      <tp>
        <v>11.2963</v>
        <stp/>
        <stp>##V3_BDHV12</stp>
        <stp>RCOM IN Equity</stp>
        <stp>ACCT_RCV_TURN</stp>
        <stp>FY 2013</stp>
        <stp>FY 2013</stp>
        <stp>[FA1_ymffleas.xlsx]Working Capital!R6C7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6" s="25"/>
      </tp>
      <tp t="s">
        <v>—</v>
        <stp/>
        <stp>##V3_BDHV12</stp>
        <stp>RCOM IN Equity</stp>
        <stp>DIVIDEND_12_MONTH_YIELD</stp>
        <stp>FY 2016</stp>
        <stp>FY 2016</stp>
        <stp>[FA1_ymffleas.xlsx]Dividend Summary!R8C10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" s="31"/>
      </tp>
      <tp>
        <v>4400</v>
        <stp/>
        <stp>##V3_BDHV12</stp>
        <stp>RCOM IN Equity</stp>
        <stp>IS_OPER_INC</stp>
        <stp>FY 2017</stp>
        <stp>FY 2017</stp>
        <stp>[FA1_ymffleas.xlsx]Reconciliation!R21C10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21" s="12"/>
      </tp>
      <tp t="s">
        <v>—</v>
        <stp/>
        <stp>##V3_BDHV12</stp>
        <stp>RCOM IN Equity</stp>
        <stp>DIVIDEND_12_MONTH_YIELD</stp>
        <stp>FY 2017</stp>
        <stp>FY 2017</stp>
        <stp>[FA1_ymffleas.xlsx]Dividend Summary!R8C11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" s="31"/>
      </tp>
      <tp>
        <v>2430</v>
        <stp/>
        <stp>##V3_BDHV12</stp>
        <stp>RCOM IN Equity</stp>
        <stp>IS_OPER_INC</stp>
        <stp>FY 2018</stp>
        <stp>FY 2018</stp>
        <stp>[FA1_ymffleas.xlsx]Reconciliation!R21C11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21" s="12"/>
      </tp>
      <tp t="s">
        <v>—</v>
        <stp/>
        <stp>##V3_BDHV12</stp>
        <stp>RCOM IN Equity</stp>
        <stp>DIVIDEND_12_MONTH_YIELD</stp>
        <stp>FY 2018</stp>
        <stp>FY 2018</stp>
        <stp>[FA1_ymffleas.xlsx]Dividend Summary!R8C12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" s="31"/>
      </tp>
      <tp t="s">
        <v>—</v>
        <stp/>
        <stp>##V3_BDHV12</stp>
        <stp>RCOM IN Equity</stp>
        <stp>ARD_OTHER_NON_OPERATING_INC</stp>
        <stp>FY 2017</stp>
        <stp>FY 2017</stp>
        <stp>[FA1_ymffleas.xlsx]Income - As Reported!R25C11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5" s="11"/>
      </tp>
      <tp>
        <v>-4020</v>
        <stp/>
        <stp>##V3_BDHV12</stp>
        <stp>RCOM IN Equity</stp>
        <stp>ARD_OTHER_NON_OPERATING_INC</stp>
        <stp>FY 2016</stp>
        <stp>FY 2016</stp>
        <stp>[FA1_ymffleas.xlsx]Income - As Reported!R25C10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5" s="11"/>
      </tp>
      <tp t="s">
        <v>—</v>
        <stp/>
        <stp>##V3_BDHV12</stp>
        <stp>RCOM IN Equity</stp>
        <stp>ARD_OTHER_NON_OPERATING_INC</stp>
        <stp>FY 2018</stp>
        <stp>FY 2018</stp>
        <stp>[FA1_ymffleas.xlsx]Income - As Reported!R25C12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5" s="11"/>
      </tp>
      <tp>
        <v>1.4339</v>
        <stp/>
        <stp>##V3_BDHV12</stp>
        <stp>RCOM IN Equity</stp>
        <stp>NORMALIZED_ROE</stp>
        <stp>FY 2016</stp>
        <stp>FY 2016</stp>
        <stp>[FA1_ymffleas.xlsx]DuPont Analysis!R19C10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9" s="27"/>
      </tp>
      <tp>
        <v>900</v>
        <stp/>
        <stp>##V3_BDHV12</stp>
        <stp>RCOM IN Equity</stp>
        <stp>OTHER_NONOP_INCOME_LOSS</stp>
        <stp>FY 2017</stp>
        <stp>FY 2017</stp>
        <stp>[FA1_ymffleas.xlsx]Income - GAAP!R51C10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51" s="10"/>
      </tp>
      <tp>
        <v>970</v>
        <stp/>
        <stp>##V3_BDHV12</stp>
        <stp>RCOM IN Equity</stp>
        <stp>OTHER_NONOP_INCOME_LOSS</stp>
        <stp>FY 2018</stp>
        <stp>FY 2018</stp>
        <stp>[FA1_ymffleas.xlsx]Income - GAAP!R51C11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51" s="10"/>
      </tp>
      <tp>
        <v>0</v>
        <stp/>
        <stp>##V3_BDHV12</stp>
        <stp>RCOM IN Equity</stp>
        <stp>EQY_DPS</stp>
        <stp>FY 2018</stp>
        <stp>FY 2018</stp>
        <stp>[FA1_ymffleas.xlsx]Dividend Summary!R6C12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6" s="31"/>
      </tp>
      <tp>
        <v>0</v>
        <stp/>
        <stp>##V3_BDHV12</stp>
        <stp>RCOM IN Equity</stp>
        <stp>EQY_DPS</stp>
        <stp>FY 2016</stp>
        <stp>FY 2016</stp>
        <stp>[FA1_ymffleas.xlsx]Dividend Summary!R6C10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" s="31"/>
      </tp>
      <tp>
        <v>0</v>
        <stp/>
        <stp>##V3_BDHV12</stp>
        <stp>RCOM IN Equity</stp>
        <stp>EQY_DPS</stp>
        <stp>FY 2017</stp>
        <stp>FY 2017</stp>
        <stp>[FA1_ymffleas.xlsx]Dividend Summary!R6C11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" s="31"/>
      </tp>
      <tp>
        <v>23160</v>
        <stp/>
        <stp>##V3_BDHV12</stp>
        <stp>RCOM IN Equity</stp>
        <stp>IS_INT_EXPENSE</stp>
        <stp>FY 2016</stp>
        <stp>FY 2016</stp>
        <stp>[FA1_ymffleas.xlsx]Credit!R25C10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25" s="23"/>
      </tp>
      <tp>
        <v>2240</v>
        <stp/>
        <stp>##V3_BDHV12</stp>
        <stp>RCOM IN Equity</stp>
        <stp>IS_INT_EXPENSE</stp>
        <stp>FY 2017</stp>
        <stp>FY 2017</stp>
        <stp>[FA1_ymffleas.xlsx]Credit!R25C11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25" s="23"/>
      </tp>
      <tp>
        <v>1680</v>
        <stp/>
        <stp>##V3_BDHV12</stp>
        <stp>RCOM IN Equity</stp>
        <stp>IS_INT_EXPENSE</stp>
        <stp>FY 2018</stp>
        <stp>FY 2018</stp>
        <stp>[FA1_ymffleas.xlsx]Credit!R25C12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25" s="23"/>
      </tp>
      <tp>
        <v>1120</v>
        <stp/>
        <stp>##V3_BDHV12</stp>
        <stp>RCOM IN Equity</stp>
        <stp>BS_PREPAID_EXPENSE_LT</stp>
        <stp>FY 2014</stp>
        <stp>FY 2014</stp>
        <stp>[FA1_ymffleas.xlsx]Bal Sheet - Standardized!R61C8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1" s="16"/>
      </tp>
      <tp>
        <v>1460</v>
        <stp/>
        <stp>##V3_BDHV12</stp>
        <stp>RCOM IN Equity</stp>
        <stp>BS_PREPAID_EXPENSE_LT</stp>
        <stp>FY 2015</stp>
        <stp>FY 2015</stp>
        <stp>[FA1_ymffleas.xlsx]Bal Sheet - Standardized!R61C9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1" s="16"/>
      </tp>
      <tp t="s">
        <v>—</v>
        <stp/>
        <stp>##V3_BDHV12</stp>
        <stp>RCOM IN Equity</stp>
        <stp>BS_PREPAID_EXPENSE_LT</stp>
        <stp>FY 2010</stp>
        <stp>FY 2010</stp>
        <stp>[FA1_ymffleas.xlsx]Bal Sheet - Standardized!R61C4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1" s="16"/>
      </tp>
      <tp>
        <v>340</v>
        <stp/>
        <stp>##V3_BDHV12</stp>
        <stp>RCOM IN Equity</stp>
        <stp>BS_PREPAID_EXPENSE_LT</stp>
        <stp>FY 2011</stp>
        <stp>FY 2011</stp>
        <stp>[FA1_ymffleas.xlsx]Bal Sheet - Standardized!R61C5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1" s="16"/>
      </tp>
      <tp>
        <v>1130</v>
        <stp/>
        <stp>##V3_BDHV12</stp>
        <stp>RCOM IN Equity</stp>
        <stp>BS_PREPAID_EXPENSE_LT</stp>
        <stp>FY 2012</stp>
        <stp>FY 2012</stp>
        <stp>[FA1_ymffleas.xlsx]Bal Sheet - Standardized!R61C6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1" s="16"/>
      </tp>
      <tp>
        <v>1230</v>
        <stp/>
        <stp>##V3_BDHV12</stp>
        <stp>RCOM IN Equity</stp>
        <stp>BS_PREPAID_EXPENSE_LT</stp>
        <stp>FY 2013</stp>
        <stp>FY 2013</stp>
        <stp>[FA1_ymffleas.xlsx]Bal Sheet - Standardized!R61C7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1" s="16"/>
      </tp>
      <tp t="s">
        <v>—</v>
        <stp/>
        <stp>##V3_BDHV12</stp>
        <stp>RCOM IN Equity</stp>
        <stp>BS_PREPAID_EXPENSE_LT</stp>
        <stp>FY 2009</stp>
        <stp>FY 2009</stp>
        <stp>[FA1_ymffleas.xlsx]Bal Sheet - Standardized!R61C3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1" s="16"/>
      </tp>
      <tp>
        <v>24620</v>
        <stp/>
        <stp>##V3_BDHV12</stp>
        <stp>RCOM IN Equity</stp>
        <stp>IS_INT_EXPENSE</stp>
        <stp>FY 2015</stp>
        <stp>FY 2015</stp>
        <stp>[FA1_ymffleas.xlsx]Income - GAAP!R41C8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41" s="10"/>
      </tp>
      <tp>
        <v>23160</v>
        <stp/>
        <stp>##V3_BDHV12</stp>
        <stp>RCOM IN Equity</stp>
        <stp>IS_INT_EXPENSE</stp>
        <stp>FY 2016</stp>
        <stp>FY 2016</stp>
        <stp>[FA1_ymffleas.xlsx]Income - GAAP!R41C9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41" s="10"/>
      </tp>
      <tp>
        <v>2582.8681000000001</v>
        <stp/>
        <stp>##V3_BDHV12</stp>
        <stp>RCOM IN Equity</stp>
        <stp>IS_SH_FOR_DILUTED_EPS</stp>
        <stp>FY 2018</stp>
        <stp>FY 2018</stp>
        <stp>[FA1_ymffleas.xlsx]GAAP Highlights!R12C12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2" s="3"/>
      </tp>
      <tp>
        <v>2467.7006999999999</v>
        <stp/>
        <stp>##V3_BDHV12</stp>
        <stp>RCOM IN Equity</stp>
        <stp>IS_SH_FOR_DILUTED_EPS</stp>
        <stp>FY 2017</stp>
        <stp>FY 2017</stp>
        <stp>[FA1_ymffleas.xlsx]GAAP Highlights!R12C11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2" s="3"/>
      </tp>
      <tp>
        <v>2467.7006999999999</v>
        <stp/>
        <stp>##V3_BDHV12</stp>
        <stp>RCOM IN Equity</stp>
        <stp>IS_SH_FOR_DILUTED_EPS</stp>
        <stp>FY 2016</stp>
        <stp>FY 2016</stp>
        <stp>[FA1_ymffleas.xlsx]GAAP Highlights!R12C10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2" s="3"/>
      </tp>
      <tp>
        <v>57.784599999999998</v>
        <stp/>
        <stp>##V3_BDHV12</stp>
        <stp>RCOM IN Equity</stp>
        <stp>TOT_DEBT_TO_TOT_CAP</stp>
        <stp>FY 2016</stp>
        <stp>FY 2016</stp>
        <stp>[FA1_ymffleas.xlsx]Liquidity!R17C10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7" s="24"/>
      </tp>
      <tp>
        <v>13422</v>
        <stp/>
        <stp>##V3_BDHV12</stp>
        <stp>RCOM IN Equity</stp>
        <stp>IS_INT_EXPENSE</stp>
        <stp>FY 2010</stp>
        <stp>FY 2010</stp>
        <stp>[FA1_ymffleas.xlsx]Income - GAAP!R41C3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41" s="10"/>
      </tp>
      <tp>
        <v>61.220599999999997</v>
        <stp/>
        <stp>##V3_BDHV12</stp>
        <stp>RCOM IN Equity</stp>
        <stp>TOT_DEBT_TO_TOT_CAP</stp>
        <stp>FY 2017</stp>
        <stp>FY 2017</stp>
        <stp>[FA1_ymffleas.xlsx]Liquidity!R17C11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7" s="24"/>
      </tp>
      <tp>
        <v>93.819199999999995</v>
        <stp/>
        <stp>##V3_BDHV12</stp>
        <stp>RCOM IN Equity</stp>
        <stp>TOT_DEBT_TO_TOT_CAP</stp>
        <stp>FY 2018</stp>
        <stp>FY 2018</stp>
        <stp>[FA1_ymffleas.xlsx]Liquidity!R17C12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7" s="24"/>
      </tp>
      <tp>
        <v>0.34899999999999998</v>
        <stp/>
        <stp>##V3_BDHV12</stp>
        <stp>RCOM IN Equity</stp>
        <stp>AVERAGE_PRICE_TO_BOOK_RATIO</stp>
        <stp>FY 2017</stp>
        <stp>FY 2017</stp>
        <stp>[FA1_ymffleas.xlsx]Multiples!R12C10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2" s="6"/>
      </tp>
      <tp>
        <v>0.21249999999999999</v>
        <stp/>
        <stp>##V3_BDHV12</stp>
        <stp>RCOM IN Equity</stp>
        <stp>AVERAGE_PRICE_TO_BOOK_RATIO</stp>
        <stp>FY 2018</stp>
        <stp>FY 2018</stp>
        <stp>[FA1_ymffleas.xlsx]Multiples!R12C11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2" s="6"/>
      </tp>
      <tp>
        <v>33140</v>
        <stp/>
        <stp>##V3_BDHV12</stp>
        <stp>RCOM IN Equity</stp>
        <stp>PROC_FR_REPAYMNTS_BOR_DETAILED</stp>
        <stp>FY 2017</stp>
        <stp>FY 2017</stp>
        <stp>[FA1_ymffleas.xlsx]Cash Flow - Standardized!R39C10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9" s="19"/>
      </tp>
      <tp>
        <v>6310</v>
        <stp/>
        <stp>##V3_BDHV12</stp>
        <stp>RCOM IN Equity</stp>
        <stp>PROC_FR_REPAYMNTS_BOR_DETAILED</stp>
        <stp>FY 2018</stp>
        <stp>FY 2018</stp>
        <stp>[FA1_ymffleas.xlsx]Cash Flow - Standardized!R39C11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9" s="19"/>
      </tp>
      <tp>
        <v>22650</v>
        <stp/>
        <stp>##V3_BDHV12</stp>
        <stp>RCOM IN Equity</stp>
        <stp>IS_INT_EXPENSE</stp>
        <stp>FY 2013</stp>
        <stp>FY 2013</stp>
        <stp>[FA1_ymffleas.xlsx]Income - GAAP!R41C6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41" s="10"/>
      </tp>
      <tp>
        <v>27900</v>
        <stp/>
        <stp>##V3_BDHV12</stp>
        <stp>RCOM IN Equity</stp>
        <stp>IS_INT_EXPENSE</stp>
        <stp>FY 2014</stp>
        <stp>FY 2014</stp>
        <stp>[FA1_ymffleas.xlsx]Income - GAAP!R41C7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41" s="10"/>
      </tp>
      <tp>
        <v>9020</v>
        <stp/>
        <stp>##V3_BDHV12</stp>
        <stp>RCOM IN Equity</stp>
        <stp>IS_INT_EXPENSE</stp>
        <stp>FY 2011</stp>
        <stp>FY 2011</stp>
        <stp>[FA1_ymffleas.xlsx]Income - GAAP!R41C4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41" s="10"/>
      </tp>
      <tp>
        <v>14770</v>
        <stp/>
        <stp>##V3_BDHV12</stp>
        <stp>RCOM IN Equity</stp>
        <stp>IS_INT_EXPENSE</stp>
        <stp>FY 2012</stp>
        <stp>FY 2012</stp>
        <stp>[FA1_ymffleas.xlsx]Income - GAAP!R41C5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41" s="10"/>
      </tp>
      <tp>
        <v>29240</v>
        <stp/>
        <stp>##V3_BDHV12</stp>
        <stp>RCOM IN Equity</stp>
        <stp>ARD_FINANCE_COSTS</stp>
        <stp>FY 2016</stp>
        <stp>FY 2016</stp>
        <stp>[FA1_ymffleas.xlsx]Cash Flow - As Reported!R37C10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7" s="20"/>
      </tp>
      <tp>
        <v>35610</v>
        <stp/>
        <stp>##V3_BDHV12</stp>
        <stp>RCOM IN Equity</stp>
        <stp>ARD_FINANCE_COSTS</stp>
        <stp>FY 2017</stp>
        <stp>FY 2017</stp>
        <stp>[FA1_ymffleas.xlsx]Cash Flow - As Reported!R37C11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7" s="20"/>
      </tp>
      <tp>
        <v>13390</v>
        <stp/>
        <stp>##V3_BDHV12</stp>
        <stp>RCOM IN Equity</stp>
        <stp>ARD_FINANCE_COSTS</stp>
        <stp>FY 2018</stp>
        <stp>FY 2018</stp>
        <stp>[FA1_ymffleas.xlsx]Cash Flow - As Reported!R37C12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7" s="20"/>
      </tp>
      <tp>
        <v>2582.8681000000001</v>
        <stp/>
        <stp>##V3_BDHV12</stp>
        <stp>RCOM IN Equity</stp>
        <stp>IS_AVG_NUM_SH_FOR_EPS</stp>
        <stp>FY 2018</stp>
        <stp>FY 2018</stp>
        <stp>[FA1_ymffleas.xlsx]GAAP Highlights!R11C12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1" s="3"/>
      </tp>
      <tp>
        <v>2467.7006999999999</v>
        <stp/>
        <stp>##V3_BDHV12</stp>
        <stp>RCOM IN Equity</stp>
        <stp>IS_AVG_NUM_SH_FOR_EPS</stp>
        <stp>FY 2017</stp>
        <stp>FY 2017</stp>
        <stp>[FA1_ymffleas.xlsx]GAAP Highlights!R11C11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1" s="3"/>
      </tp>
      <tp t="s">
        <v>—</v>
        <stp/>
        <stp>##V3_BDHV12</stp>
        <stp>RCOM IN Equity</stp>
        <stp>ARD_UNUSUAL_ITEMS</stp>
        <stp>FY 2012</stp>
        <stp>FY 2012</stp>
        <stp>[FA1_ymffleas.xlsx]Cash Flow - As Reported!R25C6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5" s="20"/>
      </tp>
      <tp t="s">
        <v>—</v>
        <stp/>
        <stp>##V3_BDHV12</stp>
        <stp>RCOM IN Equity</stp>
        <stp>ARD_UNUSUAL_ITEMS</stp>
        <stp>FY 2013</stp>
        <stp>FY 2013</stp>
        <stp>[FA1_ymffleas.xlsx]Cash Flow - As Reported!R25C7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5" s="20"/>
      </tp>
      <tp>
        <v>124.7</v>
        <stp/>
        <stp>##V3_BDHV12</stp>
        <stp>RCOM IN Equity</stp>
        <stp>ARD_UNUSUAL_ITEMS</stp>
        <stp>FY 2010</stp>
        <stp>FY 2010</stp>
        <stp>[FA1_ymffleas.xlsx]Cash Flow - As Reported!R25C4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5" s="20"/>
      </tp>
      <tp>
        <v>-70</v>
        <stp/>
        <stp>##V3_BDHV12</stp>
        <stp>RCOM IN Equity</stp>
        <stp>ARD_UNUSUAL_ITEMS</stp>
        <stp>FY 2011</stp>
        <stp>FY 2011</stp>
        <stp>[FA1_ymffleas.xlsx]Cash Flow - As Reported!R25C5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5" s="20"/>
      </tp>
      <tp>
        <v>74.7</v>
        <stp/>
        <stp>##V3_BDHV12</stp>
        <stp>RCOM IN Equity</stp>
        <stp>ARD_UNUSUAL_ITEMS</stp>
        <stp>FY 2009</stp>
        <stp>FY 2009</stp>
        <stp>[FA1_ymffleas.xlsx]Cash Flow - As Reported!R25C3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5" s="20"/>
      </tp>
      <tp>
        <v>10.905900000000001</v>
        <stp/>
        <stp>##V3_BDHV12</stp>
        <stp>RCOM IN Equity</stp>
        <stp>T12_EBIT_TO_REVENUE</stp>
        <stp>FY 2011</stp>
        <stp>FY 2011</stp>
        <stp>[FA1_ymffleas.xlsx]DuPont Analysis!R13C5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3" s="27"/>
      </tp>
      <tp t="s">
        <v>—</v>
        <stp/>
        <stp>##V3_BDHV12</stp>
        <stp>RCOM IN Equity</stp>
        <stp>ARD_UNUSUAL_ITEMS</stp>
        <stp>FY 2014</stp>
        <stp>FY 2014</stp>
        <stp>[FA1_ymffleas.xlsx]Cash Flow - As Reported!R25C8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5" s="20"/>
      </tp>
      <tp t="s">
        <v>—</v>
        <stp/>
        <stp>##V3_BDHV12</stp>
        <stp>RCOM IN Equity</stp>
        <stp>ARD_UNUSUAL_ITEMS</stp>
        <stp>FY 2015</stp>
        <stp>FY 2015</stp>
        <stp>[FA1_ymffleas.xlsx]Cash Flow - As Reported!R25C9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5" s="20"/>
      </tp>
      <tp>
        <v>2467.7006999999999</v>
        <stp/>
        <stp>##V3_BDHV12</stp>
        <stp>RCOM IN Equity</stp>
        <stp>IS_AVG_NUM_SH_FOR_EPS</stp>
        <stp>FY 2016</stp>
        <stp>FY 2016</stp>
        <stp>[FA1_ymffleas.xlsx]GAAP Highlights!R11C10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1" s="3"/>
      </tp>
      <tp>
        <v>3049.7</v>
        <stp/>
        <stp>##V3_BDHV12</stp>
        <stp>RCOM IN Equity</stp>
        <stp>IS_WRTDWN_IOA_OP</stp>
        <stp>FY 2010</stp>
        <stp>FY 2010</stp>
        <stp>[FA1_ymffleas.xlsx]Reconciliation!R23C3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3" s="12"/>
      </tp>
      <tp>
        <v>3700</v>
        <stp/>
        <stp>##V3_BDHV12</stp>
        <stp>RCOM IN Equity</stp>
        <stp>IS_WRTDWN_IOA_OP</stp>
        <stp>FY 2012</stp>
        <stp>FY 2012</stp>
        <stp>[FA1_ymffleas.xlsx]Reconciliation!R23C5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3" s="12"/>
      </tp>
      <tp t="s">
        <v>—</v>
        <stp/>
        <stp>##V3_BDHV12</stp>
        <stp>RCOM IN Equity</stp>
        <stp>IS_WRTDWN_IOA_OP</stp>
        <stp>FY 2011</stp>
        <stp>FY 2011</stp>
        <stp>[FA1_ymffleas.xlsx]Reconciliation!R23C4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3" s="12"/>
      </tp>
      <tp t="s">
        <v>—</v>
        <stp/>
        <stp>##V3_BDHV12</stp>
        <stp>RCOM IN Equity</stp>
        <stp>IS_WRTDWN_IOA_OP</stp>
        <stp>FY 2014</stp>
        <stp>FY 2014</stp>
        <stp>[FA1_ymffleas.xlsx]Reconciliation!R23C7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3" s="12"/>
      </tp>
      <tp t="s">
        <v>—</v>
        <stp/>
        <stp>##V3_BDHV12</stp>
        <stp>RCOM IN Equity</stp>
        <stp>IS_WRTDWN_IOA_OP</stp>
        <stp>FY 2013</stp>
        <stp>FY 2013</stp>
        <stp>[FA1_ymffleas.xlsx]Reconciliation!R23C6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3" s="12"/>
      </tp>
      <tp t="s">
        <v>—</v>
        <stp/>
        <stp>##V3_BDHV12</stp>
        <stp>RCOM IN Equity</stp>
        <stp>IS_WRTDWN_IOA_OP</stp>
        <stp>FY 2016</stp>
        <stp>FY 2016</stp>
        <stp>[FA1_ymffleas.xlsx]Reconciliation!R23C9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3" s="12"/>
      </tp>
      <tp t="s">
        <v>—</v>
        <stp/>
        <stp>##V3_BDHV12</stp>
        <stp>RCOM IN Equity</stp>
        <stp>IS_WRTDWN_IOA_OP</stp>
        <stp>FY 2015</stp>
        <stp>FY 2015</stp>
        <stp>[FA1_ymffleas.xlsx]Reconciliation!R23C8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3" s="12"/>
      </tp>
      <tp>
        <v>35490</v>
        <stp/>
        <stp>##V3_BDHV12</stp>
        <stp>RCOM IN Equity</stp>
        <stp>ARD_GOODWLL</stp>
        <stp>FY 2018</stp>
        <stp>FY 2018</stp>
        <stp>[FA1_ymffleas.xlsx]Bal Sheet - As Reported!R30C12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0" s="17"/>
      </tp>
      <tp>
        <v>35480</v>
        <stp/>
        <stp>##V3_BDHV12</stp>
        <stp>RCOM IN Equity</stp>
        <stp>ARD_GOODWLL</stp>
        <stp>FY 2017</stp>
        <stp>FY 2017</stp>
        <stp>[FA1_ymffleas.xlsx]Bal Sheet - As Reported!R30C11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0" s="17"/>
      </tp>
      <tp>
        <v>35510</v>
        <stp/>
        <stp>##V3_BDHV12</stp>
        <stp>RCOM IN Equity</stp>
        <stp>ARD_GOODWLL</stp>
        <stp>FY 2016</stp>
        <stp>FY 2016</stp>
        <stp>[FA1_ymffleas.xlsx]Bal Sheet - As Reported!R30C10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0" s="17"/>
      </tp>
      <tp>
        <v>0.79279999999999995</v>
        <stp/>
        <stp>##V3_BDHV12</stp>
        <stp>RCOM IN Equity</stp>
        <stp>TOTAL_DEBT_TO_EV</stp>
        <stp>FY 2013</stp>
        <stp>FY 2013</stp>
        <stp>[FA1_ymffleas.xlsx]Enterprise Value!R15C6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5" s="5"/>
      </tp>
      <tp>
        <v>0.61699999999999999</v>
        <stp/>
        <stp>##V3_BDHV12</stp>
        <stp>RCOM IN Equity</stp>
        <stp>TOTAL_DEBT_TO_EV</stp>
        <stp>FY 2014</stp>
        <stp>FY 2014</stp>
        <stp>[FA1_ymffleas.xlsx]Enterprise Value!R15C7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5" s="5"/>
      </tp>
      <tp>
        <v>0</v>
        <stp/>
        <stp>##V3_BDHV12</stp>
        <stp>RCOM IN Equity</stp>
        <stp>IS_DISCONTINUED_OPERATIONS</stp>
        <stp>FY 2010</stp>
        <stp>FY 2010</stp>
        <stp>[FA1_ymffleas.xlsx]Income - GAAP!R69C3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9" s="10"/>
      </tp>
      <tp>
        <v>0</v>
        <stp/>
        <stp>##V3_BDHV12</stp>
        <stp>RCOM IN Equity</stp>
        <stp>IS_DISCONTINUED_OPERATIONS</stp>
        <stp>FY 2013</stp>
        <stp>FY 2013</stp>
        <stp>[FA1_ymffleas.xlsx]Income - GAAP!R69C6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9" s="10"/>
      </tp>
      <tp>
        <v>0</v>
        <stp/>
        <stp>##V3_BDHV12</stp>
        <stp>RCOM IN Equity</stp>
        <stp>IS_DISCONTINUED_OPERATIONS</stp>
        <stp>FY 2014</stp>
        <stp>FY 2014</stp>
        <stp>[FA1_ymffleas.xlsx]Income - GAAP!R69C7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9" s="10"/>
      </tp>
      <tp>
        <v>0</v>
        <stp/>
        <stp>##V3_BDHV12</stp>
        <stp>RCOM IN Equity</stp>
        <stp>IS_DISCONTINUED_OPERATIONS</stp>
        <stp>FY 2011</stp>
        <stp>FY 2011</stp>
        <stp>[FA1_ymffleas.xlsx]Income - GAAP!R69C4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9" s="10"/>
      </tp>
      <tp>
        <v>0</v>
        <stp/>
        <stp>##V3_BDHV12</stp>
        <stp>RCOM IN Equity</stp>
        <stp>IS_DISCONTINUED_OPERATIONS</stp>
        <stp>FY 2012</stp>
        <stp>FY 2012</stp>
        <stp>[FA1_ymffleas.xlsx]Income - GAAP!R69C5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9" s="10"/>
      </tp>
      <tp>
        <v>0</v>
        <stp/>
        <stp>##V3_BDHV12</stp>
        <stp>RCOM IN Equity</stp>
        <stp>IS_DISCONTINUED_OPERATIONS</stp>
        <stp>FY 2015</stp>
        <stp>FY 2015</stp>
        <stp>[FA1_ymffleas.xlsx]Income - GAAP!R69C8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9" s="10"/>
      </tp>
      <tp>
        <v>0</v>
        <stp/>
        <stp>##V3_BDHV12</stp>
        <stp>RCOM IN Equity</stp>
        <stp>IS_DISCONTINUED_OPERATIONS</stp>
        <stp>FY 2016</stp>
        <stp>FY 2016</stp>
        <stp>[FA1_ymffleas.xlsx]Income - GAAP!R69C9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9" s="10"/>
      </tp>
      <tp>
        <v>0.68789999999999996</v>
        <stp/>
        <stp>##V3_BDHV12</stp>
        <stp>RCOM IN Equity</stp>
        <stp>TOTAL_DEBT_TO_EV</stp>
        <stp>FY 2011</stp>
        <stp>FY 2011</stp>
        <stp>[FA1_ymffleas.xlsx]Enterprise Value!R15C4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5" s="5"/>
      </tp>
      <tp>
        <v>0.69089999999999996</v>
        <stp/>
        <stp>##V3_BDHV12</stp>
        <stp>RCOM IN Equity</stp>
        <stp>TOTAL_DEBT_TO_EV</stp>
        <stp>FY 2012</stp>
        <stp>FY 2012</stp>
        <stp>[FA1_ymffleas.xlsx]Enterprise Value!R15C5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5" s="5"/>
      </tp>
      <tp>
        <v>0.4904</v>
        <stp/>
        <stp>##V3_BDHV12</stp>
        <stp>RCOM IN Equity</stp>
        <stp>TOTAL_DEBT_TO_EV</stp>
        <stp>FY 2010</stp>
        <stp>FY 2010</stp>
        <stp>[FA1_ymffleas.xlsx]Enterprise Value!R15C3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5" s="5"/>
      </tp>
      <tp t="s">
        <v>—</v>
        <stp/>
        <stp>##V3_BDHV12</stp>
        <stp>RCOM IN Equity</stp>
        <stp>EV_TO_T12M_CASH_FLOW_FIRM</stp>
        <stp>FY 2014</stp>
        <stp>FY 2014</stp>
        <stp>[FA1_ymffleas.xlsx]Enterprise Value!R20C7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0" s="5"/>
      </tp>
      <tp>
        <v>1.7789999999999999</v>
        <stp/>
        <stp>##V3_BDHV12</stp>
        <stp>RCOM IN Equity</stp>
        <stp>GEO_GROW_TOT_ASSET</stp>
        <stp>FY 2016</stp>
        <stp>FY 2016</stp>
        <stp>[FA1_ymffleas.xlsx]Growth!R48C10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8" s="22"/>
      </tp>
      <tp>
        <v>1.5684</v>
        <stp/>
        <stp>##V3_BDHV12</stp>
        <stp>RCOM IN Equity</stp>
        <stp>GEO_GROW_TOT_ASSET</stp>
        <stp>FY 2017</stp>
        <stp>FY 2017</stp>
        <stp>[FA1_ymffleas.xlsx]Growth!R48C11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8" s="22"/>
      </tp>
      <tp>
        <v>-3.7284000000000002</v>
        <stp/>
        <stp>##V3_BDHV12</stp>
        <stp>RCOM IN Equity</stp>
        <stp>GEO_GROW_TOT_ASSET</stp>
        <stp>FY 2018</stp>
        <stp>FY 2018</stp>
        <stp>[FA1_ymffleas.xlsx]Growth!R48C12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8" s="22"/>
      </tp>
      <tp>
        <v>0.76060000000000005</v>
        <stp/>
        <stp>##V3_BDHV12</stp>
        <stp>RCOM IN Equity</stp>
        <stp>TOTAL_DEBT_TO_EV</stp>
        <stp>FY 2015</stp>
        <stp>FY 2015</stp>
        <stp>[FA1_ymffleas.xlsx]Enterprise Value!R15C8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5" s="5"/>
      </tp>
      <tp>
        <v>0.79549999999999998</v>
        <stp/>
        <stp>##V3_BDHV12</stp>
        <stp>RCOM IN Equity</stp>
        <stp>TOTAL_DEBT_TO_EV</stp>
        <stp>FY 2016</stp>
        <stp>FY 2016</stp>
        <stp>[FA1_ymffleas.xlsx]Enterprise Value!R15C9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5" s="5"/>
      </tp>
      <tp>
        <v>11.771100000000001</v>
        <stp/>
        <stp>##V3_BDHV12</stp>
        <stp>RCOM IN Equity</stp>
        <stp>ACCT_RCV_TURN</stp>
        <stp>FY 2012</stp>
        <stp>FY 2012</stp>
        <stp>[FA1_ymffleas.xlsx]Working Capital!R6C6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6" s="25"/>
      </tp>
      <tp t="s">
        <v>—</v>
        <stp/>
        <stp>##V3_BDHV12</stp>
        <stp>RCOM IN Equity</stp>
        <stp>ARDR_ACTUAL_RET_PLAN_ASSETS_OPRB</stp>
        <stp>FY 2018</stp>
        <stp>FY 2018</stp>
        <stp>[FA1_ymffleas.xlsx]Bal Sheet - As Reported!R209C12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9" s="17"/>
      </tp>
      <tp t="s">
        <v>—</v>
        <stp/>
        <stp>##V3_BDHV12</stp>
        <stp>RCOM IN Equity</stp>
        <stp>ARDR_ACTUAL_RET_PLAN_ASSETS_OPRB</stp>
        <stp>FY 2016</stp>
        <stp>FY 2016</stp>
        <stp>[FA1_ymffleas.xlsx]Bal Sheet - As Reported!R209C10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9" s="17"/>
      </tp>
      <tp t="s">
        <v>—</v>
        <stp/>
        <stp>##V3_BDHV12</stp>
        <stp>RCOM IN Equity</stp>
        <stp>ARDR_ACTUAL_RET_PLAN_ASSETS_OPRB</stp>
        <stp>FY 2017</stp>
        <stp>FY 2017</stp>
        <stp>[FA1_ymffleas.xlsx]Bal Sheet - As Reported!R209C11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9" s="17"/>
      </tp>
      <tp>
        <v>-30</v>
        <stp/>
        <stp>##V3_BDHV12</stp>
        <stp>RCOM IN Equity</stp>
        <stp>ARDR_EXP_RETURN_PLAN_ASSETS_OPRB</stp>
        <stp>FY 2011</stp>
        <stp>FY 2011</stp>
        <stp>[FA1_ymffleas.xlsx]Income - As Reported!R130C5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0" s="11"/>
      </tp>
      <tp>
        <v>-17.899999999999999</v>
        <stp/>
        <stp>##V3_BDHV12</stp>
        <stp>RCOM IN Equity</stp>
        <stp>ARDR_EXP_RETURN_PLAN_ASSETS_OPRB</stp>
        <stp>FY 2010</stp>
        <stp>FY 2010</stp>
        <stp>[FA1_ymffleas.xlsx]Income - As Reported!R130C4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0" s="11"/>
      </tp>
      <tp>
        <v>-30</v>
        <stp/>
        <stp>##V3_BDHV12</stp>
        <stp>RCOM IN Equity</stp>
        <stp>ARDR_EXP_RETURN_PLAN_ASSETS_OPRB</stp>
        <stp>FY 2013</stp>
        <stp>FY 2013</stp>
        <stp>[FA1_ymffleas.xlsx]Income - As Reported!R130C7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0" s="11"/>
      </tp>
      <tp>
        <v>-30</v>
        <stp/>
        <stp>##V3_BDHV12</stp>
        <stp>RCOM IN Equity</stp>
        <stp>ARDR_EXP_RETURN_PLAN_ASSETS_OPRB</stp>
        <stp>FY 2012</stp>
        <stp>FY 2012</stp>
        <stp>[FA1_ymffleas.xlsx]Income - As Reported!R130C6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0" s="11"/>
      </tp>
      <tp>
        <v>-26</v>
        <stp/>
        <stp>##V3_BDHV12</stp>
        <stp>RCOM IN Equity</stp>
        <stp>ARDR_EXP_RETURN_PLAN_ASSETS_OPRB</stp>
        <stp>FY 2009</stp>
        <stp>FY 2009</stp>
        <stp>[FA1_ymffleas.xlsx]Income - As Reported!R130C3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0" s="11"/>
      </tp>
      <tp>
        <v>-10</v>
        <stp/>
        <stp>##V3_BDHV12</stp>
        <stp>RCOM IN Equity</stp>
        <stp>ARDR_EXP_RETURN_PLAN_ASSETS_OPRB</stp>
        <stp>FY 2015</stp>
        <stp>FY 2015</stp>
        <stp>[FA1_ymffleas.xlsx]Income - As Reported!R130C9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0" s="11"/>
      </tp>
      <tp>
        <v>-20</v>
        <stp/>
        <stp>##V3_BDHV12</stp>
        <stp>RCOM IN Equity</stp>
        <stp>ARDR_EXP_RETURN_PLAN_ASSETS_OPRB</stp>
        <stp>FY 2014</stp>
        <stp>FY 2014</stp>
        <stp>[FA1_ymffleas.xlsx]Income - As Reported!R130C8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0" s="11"/>
      </tp>
      <tp>
        <v>870</v>
        <stp/>
        <stp>##V3_BDHV12</stp>
        <stp>RCOM IN Equity</stp>
        <stp>ARD_OTH_NONCURRENT_LIABILITIES</stp>
        <stp>FY 2017</stp>
        <stp>FY 2017</stp>
        <stp>[FA1_ymffleas.xlsx]Bal Sheet - As Reported!R20C11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" s="17"/>
      </tp>
      <tp>
        <v>28600</v>
        <stp/>
        <stp>##V3_BDHV12</stp>
        <stp>RCOM IN Equity</stp>
        <stp>ARD_OTH_NONCURRENT_LIABILITIES</stp>
        <stp>FY 2016</stp>
        <stp>FY 2016</stp>
        <stp>[FA1_ymffleas.xlsx]Bal Sheet - As Reported!R20C10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" s="17"/>
      </tp>
      <tp>
        <v>830</v>
        <stp/>
        <stp>##V3_BDHV12</stp>
        <stp>RCOM IN Equity</stp>
        <stp>ARD_OTH_NONCURRENT_LIABILITIES</stp>
        <stp>FY 2018</stp>
        <stp>FY 2018</stp>
        <stp>[FA1_ymffleas.xlsx]Bal Sheet - As Reported!R20C12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" s="17"/>
      </tp>
      <tp>
        <v>366920</v>
        <stp/>
        <stp>##V3_BDHV12</stp>
        <stp>RCOM IN Equity</stp>
        <stp>ARD_TOTAL_RESERVE</stp>
        <stp>FY 2015</stp>
        <stp>FY 2015</stp>
        <stp>[FA1_ymffleas.xlsx]Bal Sheet - As Reported!R10C9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" s="17"/>
      </tp>
      <tp>
        <v>317640</v>
        <stp/>
        <stp>##V3_BDHV12</stp>
        <stp>RCOM IN Equity</stp>
        <stp>ARD_TOTAL_RESERVE</stp>
        <stp>FY 2014</stp>
        <stp>FY 2014</stp>
        <stp>[FA1_ymffleas.xlsx]Bal Sheet - As Reported!R10C8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" s="17"/>
      </tp>
      <tp>
        <v>412483.1</v>
        <stp/>
        <stp>##V3_BDHV12</stp>
        <stp>RCOM IN Equity</stp>
        <stp>ARD_TOTAL_RESERVE</stp>
        <stp>FY 2009</stp>
        <stp>FY 2009</stp>
        <stp>[FA1_ymffleas.xlsx]Bal Sheet - As Reported!R10C3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" s="17"/>
      </tp>
      <tp>
        <v>394670</v>
        <stp/>
        <stp>##V3_BDHV12</stp>
        <stp>RCOM IN Equity</stp>
        <stp>ARD_TOTAL_RESERVE</stp>
        <stp>FY 2011</stp>
        <stp>FY 2011</stp>
        <stp>[FA1_ymffleas.xlsx]Bal Sheet - As Reported!R10C5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" s="17"/>
      </tp>
      <tp>
        <v>423286.3</v>
        <stp/>
        <stp>##V3_BDHV12</stp>
        <stp>RCOM IN Equity</stp>
        <stp>ARD_TOTAL_RESERVE</stp>
        <stp>FY 2010</stp>
        <stp>FY 2010</stp>
        <stp>[FA1_ymffleas.xlsx]Bal Sheet - As Reported!R10C4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" s="17"/>
      </tp>
      <tp>
        <v>328180</v>
        <stp/>
        <stp>##V3_BDHV12</stp>
        <stp>RCOM IN Equity</stp>
        <stp>ARD_TOTAL_RESERVE</stp>
        <stp>FY 2013</stp>
        <stp>FY 2013</stp>
        <stp>[FA1_ymffleas.xlsx]Bal Sheet - As Reported!R10C7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" s="17"/>
      </tp>
      <tp>
        <v>352640</v>
        <stp/>
        <stp>##V3_BDHV12</stp>
        <stp>RCOM IN Equity</stp>
        <stp>ARD_TOTAL_RESERVE</stp>
        <stp>FY 2012</stp>
        <stp>FY 2012</stp>
        <stp>[FA1_ymffleas.xlsx]Bal Sheet - As Reported!R10C6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" s="17"/>
      </tp>
      <tp>
        <v>-4420</v>
        <stp/>
        <stp>##V3_BDHV12</stp>
        <stp>RCOM IN Equity</stp>
        <stp>IS_DEFERRED_INCOME_TAX_BENEFIT</stp>
        <stp>FY 2016</stp>
        <stp>FY 2016</stp>
        <stp>[FA1_ymffleas.xlsx]Income - Adjusted!R81C9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1" s="9"/>
      </tp>
      <tp>
        <v>2120</v>
        <stp/>
        <stp>##V3_BDHV12</stp>
        <stp>RCOM IN Equity</stp>
        <stp>IS_DEFERRED_INCOME_TAX_BENEFIT</stp>
        <stp>FY 2015</stp>
        <stp>FY 2015</stp>
        <stp>[FA1_ymffleas.xlsx]Income - Adjusted!R81C8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1" s="9"/>
      </tp>
      <tp>
        <v>-10570</v>
        <stp/>
        <stp>##V3_BDHV12</stp>
        <stp>RCOM IN Equity</stp>
        <stp>IS_DEFERRED_INCOME_TAX_BENEFIT</stp>
        <stp>FY 2014</stp>
        <stp>FY 2014</stp>
        <stp>[FA1_ymffleas.xlsx]Income - Adjusted!R81C7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1" s="9"/>
      </tp>
      <tp>
        <v>0</v>
        <stp/>
        <stp>##V3_BDHV12</stp>
        <stp>RCOM IN Equity</stp>
        <stp>IS_DEFERRED_INCOME_TAX_BENEFIT</stp>
        <stp>FY 2013</stp>
        <stp>FY 2013</stp>
        <stp>[FA1_ymffleas.xlsx]Income - Adjusted!R81C6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1" s="9"/>
      </tp>
      <tp>
        <v>0</v>
        <stp/>
        <stp>##V3_BDHV12</stp>
        <stp>RCOM IN Equity</stp>
        <stp>IS_DEFERRED_INCOME_TAX_BENEFIT</stp>
        <stp>FY 2012</stp>
        <stp>FY 2012</stp>
        <stp>[FA1_ymffleas.xlsx]Income - Adjusted!R81C5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1" s="9"/>
      </tp>
      <tp>
        <v>2920</v>
        <stp/>
        <stp>##V3_BDHV12</stp>
        <stp>RCOM IN Equity</stp>
        <stp>IS_DEFERRED_INCOME_TAX_BENEFIT</stp>
        <stp>FY 2011</stp>
        <stp>FY 2011</stp>
        <stp>[FA1_ymffleas.xlsx]Income - Adjusted!R81C4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1" s="9"/>
      </tp>
      <tp>
        <v>728.9</v>
        <stp/>
        <stp>##V3_BDHV12</stp>
        <stp>RCOM IN Equity</stp>
        <stp>IS_DEFERRED_INCOME_TAX_BENEFIT</stp>
        <stp>FY 2010</stp>
        <stp>FY 2010</stp>
        <stp>[FA1_ymffleas.xlsx]Income - Adjusted!R81C3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1" s="9"/>
      </tp>
      <tp>
        <v>5.2699999999999997E-2</v>
        <stp/>
        <stp>##V3_BDHV12</stp>
        <stp>RCOM IN Equity</stp>
        <stp>ASSET_TURNOVER</stp>
        <stp>FY 2018</stp>
        <stp>FY 2018</stp>
        <stp>[FA1_ymffleas.xlsx]DuPont Analysis!R15C12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5" s="27"/>
      </tp>
      <tp>
        <v>0.41560000000000002</v>
        <stp/>
        <stp>##V3_BDHV12</stp>
        <stp>RCOM IN Equity</stp>
        <stp>NORMALIZED_ROE</stp>
        <stp>FY 2017</stp>
        <stp>FY 2017</stp>
        <stp>[FA1_ymffleas.xlsx]DuPont Analysis!R19C11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9" s="27"/>
      </tp>
      <tp>
        <v>700</v>
        <stp/>
        <stp>##V3_BDHV12</stp>
        <stp>RCOM IN Equity</stp>
        <stp>ARDR_CAPITAL_LEASE_YR_2_5</stp>
        <stp>FY 2016</stp>
        <stp>FY 2016</stp>
        <stp>[FA1_ymffleas.xlsx]Bal Sheet - As Reported!R204C10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4" s="17"/>
      </tp>
      <tp>
        <v>580</v>
        <stp/>
        <stp>##V3_BDHV12</stp>
        <stp>RCOM IN Equity</stp>
        <stp>ARDR_CAPITAL_LEASE_YR_2_5</stp>
        <stp>FY 2017</stp>
        <stp>FY 2017</stp>
        <stp>[FA1_ymffleas.xlsx]Bal Sheet - As Reported!R204C11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4" s="17"/>
      </tp>
      <tp>
        <v>0</v>
        <stp/>
        <stp>##V3_BDHV12</stp>
        <stp>RCOM IN Equity</stp>
        <stp>ARDR_CAPITAL_LEASE_YR_2_5</stp>
        <stp>FY 2018</stp>
        <stp>FY 2018</stp>
        <stp>[FA1_ymffleas.xlsx]Bal Sheet - As Reported!R204C12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4" s="17"/>
      </tp>
      <tp>
        <v>-5.6855000000000002</v>
        <stp/>
        <stp>##V3_BDHV12</stp>
        <stp>RCOM IN Equity</stp>
        <stp>IS_EPS</stp>
        <stp>FY 2017</stp>
        <stp>FY 2017</stp>
        <stp>[FA1_ymffleas.xlsx]Comprehensive Income!R15C10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5" s="33"/>
      </tp>
      <tp>
        <v>3.6892</v>
        <stp/>
        <stp>##V3_BDHV12</stp>
        <stp>RCOM IN Equity</stp>
        <stp>HIGH_EV_TO_T12M_SALES</stp>
        <stp>FY 2015</stp>
        <stp>FY 2015</stp>
        <stp>[FA1_ymffleas.xlsx]Multiples!R38C8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38" s="6"/>
      </tp>
      <tp>
        <v>123.52679999999999</v>
        <stp/>
        <stp>##V3_BDHV12</stp>
        <stp>RCOM IN Equity</stp>
        <stp>EV_TO_T12M_EBIT</stp>
        <stp>FY 2017</stp>
        <stp>FY 2017</stp>
        <stp>[FA1_ymffleas.xlsx]Enterprise Value!R19C10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9" s="5"/>
      </tp>
      <tp>
        <v>2.4390000000000001</v>
        <stp/>
        <stp>##V3_BDHV12</stp>
        <stp>RCOM IN Equity</stp>
        <stp>ENVIRON_DISCLOSURE_SCORE</stp>
        <stp>FY 2016</stp>
        <stp>FY 2016</stp>
        <stp>[FA1_ymffleas.xlsx]ESG - Overview!R9C10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" s="34"/>
      </tp>
      <tp>
        <v>9.7561</v>
        <stp/>
        <stp>##V3_BDHV12</stp>
        <stp>RCOM IN Equity</stp>
        <stp>ENVIRON_DISCLOSURE_SCORE</stp>
        <stp>FY 2017</stp>
        <stp>FY 2017</stp>
        <stp>[FA1_ymffleas.xlsx]ESG - Overview!R9C11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" s="34"/>
      </tp>
      <tp>
        <v>45930</v>
        <stp/>
        <stp>##V3_BDHV12</stp>
        <stp>RCOM IN Equity</stp>
        <stp>SALES_REV_TURN</stp>
        <stp>FY 2018</stp>
        <stp>FY 2018</stp>
        <stp>[FA1_ymffleas.xlsx]Adj %!R6C11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6" s="14"/>
      </tp>
      <tp>
        <v>9.7561</v>
        <stp/>
        <stp>##V3_BDHV12</stp>
        <stp>RCOM IN Equity</stp>
        <stp>ENVIRON_DISCLOSURE_SCORE</stp>
        <stp>FY 2018</stp>
        <stp>FY 2018</stp>
        <stp>[FA1_ymffleas.xlsx]ESG - Overview!R9C12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9" s="34"/>
      </tp>
      <tp>
        <v>65540</v>
        <stp/>
        <stp>##V3_BDHV12</stp>
        <stp>RCOM IN Equity</stp>
        <stp>SALES_REV_TURN</stp>
        <stp>FY 2017</stp>
        <stp>FY 2017</stp>
        <stp>[FA1_ymffleas.xlsx]Adj %!R6C10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6" s="14"/>
      </tp>
      <tp>
        <v>-238390</v>
        <stp/>
        <stp>##V3_BDHV12</stp>
        <stp>RCOM IN Equity</stp>
        <stp>NET_INCOME</stp>
        <stp>FY 2018</stp>
        <stp>FY 2018</stp>
        <stp>[FA1_ymffleas.xlsx]Comprehensive Income!R6C11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6" s="33"/>
      </tp>
      <tp>
        <v>-14030</v>
        <stp/>
        <stp>##V3_BDHV12</stp>
        <stp>RCOM IN Equity</stp>
        <stp>NET_INCOME</stp>
        <stp>FY 2017</stp>
        <stp>FY 2017</stp>
        <stp>[FA1_ymffleas.xlsx]Comprehensive Income!R6C10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6" s="33"/>
      </tp>
      <tp t="s">
        <v>—</v>
        <stp/>
        <stp>##V3_BDHV12</stp>
        <stp>RCOM IN Equity</stp>
        <stp>TRAIL_12M_FREE_CASH_FLOW_FIRM</stp>
        <stp>FY 2016</stp>
        <stp>FY 2016</stp>
        <stp>[FA1_ymffleas.xlsx]Enterprise Value!R33C9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3" s="5"/>
      </tp>
      <tp>
        <v>-3964.2705999999998</v>
        <stp/>
        <stp>##V3_BDHV12</stp>
        <stp>RCOM IN Equity</stp>
        <stp>TRAIL_12M_FREE_CASH_FLOW_FIRM</stp>
        <stp>FY 2015</stp>
        <stp>FY 2015</stp>
        <stp>[FA1_ymffleas.xlsx]Enterprise Value!R33C8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3" s="5"/>
      </tp>
      <tp t="s">
        <v>—</v>
        <stp/>
        <stp>##V3_BDHV12</stp>
        <stp>RCOM IN Equity</stp>
        <stp>TRAIL_12M_FREE_CASH_FLOW_FIRM</stp>
        <stp>FY 2014</stp>
        <stp>FY 2014</stp>
        <stp>[FA1_ymffleas.xlsx]Enterprise Value!R33C7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3" s="5"/>
      </tp>
      <tp>
        <v>13236.809800000001</v>
        <stp/>
        <stp>##V3_BDHV12</stp>
        <stp>RCOM IN Equity</stp>
        <stp>TRAIL_12M_FREE_CASH_FLOW_FIRM</stp>
        <stp>FY 2013</stp>
        <stp>FY 2013</stp>
        <stp>[FA1_ymffleas.xlsx]Enterprise Value!R33C6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3" s="5"/>
      </tp>
      <tp t="s">
        <v>—</v>
        <stp/>
        <stp>##V3_BDHV12</stp>
        <stp>RCOM IN Equity</stp>
        <stp>TRAIL_12M_FREE_CASH_FLOW_FIRM</stp>
        <stp>FY 2012</stp>
        <stp>FY 2012</stp>
        <stp>[FA1_ymffleas.xlsx]Enterprise Value!R33C5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3" s="5"/>
      </tp>
      <tp>
        <v>-83601.3514</v>
        <stp/>
        <stp>##V3_BDHV12</stp>
        <stp>RCOM IN Equity</stp>
        <stp>TRAIL_12M_FREE_CASH_FLOW_FIRM</stp>
        <stp>FY 2011</stp>
        <stp>FY 2011</stp>
        <stp>[FA1_ymffleas.xlsx]Enterprise Value!R33C4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3" s="5"/>
      </tp>
      <tp>
        <v>450</v>
        <stp/>
        <stp>##V3_BDHV12</stp>
        <stp>RCOM IN Equity</stp>
        <stp>IS_PROVISION_DOUBTFUL_ACCOUNTS</stp>
        <stp>FY 2018</stp>
        <stp>FY 2018</stp>
        <stp>[FA1_ymffleas.xlsx]Income - Adjusted!R31C11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31" s="9"/>
      </tp>
      <tp>
        <v>19073.505099999998</v>
        <stp/>
        <stp>##V3_BDHV12</stp>
        <stp>RCOM IN Equity</stp>
        <stp>TRAIL_12M_FREE_CASH_FLOW_FIRM</stp>
        <stp>FY 2010</stp>
        <stp>FY 2010</stp>
        <stp>[FA1_ymffleas.xlsx]Enterprise Value!R33C3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3" s="5"/>
      </tp>
      <tp>
        <v>880</v>
        <stp/>
        <stp>##V3_BDHV12</stp>
        <stp>RCOM IN Equity</stp>
        <stp>IS_PROVISION_DOUBTFUL_ACCOUNTS</stp>
        <stp>FY 2017</stp>
        <stp>FY 2017</stp>
        <stp>[FA1_ymffleas.xlsx]Income - Adjusted!R31C10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31" s="9"/>
      </tp>
      <tp>
        <v>12.609500000000001</v>
        <stp/>
        <stp>##V3_BDHV12</stp>
        <stp>RCOM IN Equity</stp>
        <stp>T12_EBIT_TO_REVENUE</stp>
        <stp>FY 2012</stp>
        <stp>FY 2012</stp>
        <stp>[FA1_ymffleas.xlsx]DuPont Analysis!R13C6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3" s="27"/>
      </tp>
      <tp>
        <v>28.8765</v>
        <stp/>
        <stp>##V3_BDHV12</stp>
        <stp>RCOM IN Equity</stp>
        <stp>EV_TO_T12M_CASH_FLOW_FIRM</stp>
        <stp>FY 2011</stp>
        <stp>FY 2011</stp>
        <stp>[FA1_ymffleas.xlsx]Enterprise Value!R20C4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0" s="5"/>
      </tp>
      <tp>
        <v>30</v>
        <stp/>
        <stp>##V3_BDHV12</stp>
        <stp>RCOM IN Equity</stp>
        <stp>ARDR_ACTUARIAL_LOSSES_GAINS_OPEB</stp>
        <stp>FY 2015</stp>
        <stp>FY 2015</stp>
        <stp>[FA1_ymffleas.xlsx]Income - As Reported!R132C9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2" s="11"/>
      </tp>
      <tp>
        <v>80</v>
        <stp/>
        <stp>##V3_BDHV12</stp>
        <stp>RCOM IN Equity</stp>
        <stp>ARDR_ACTUARIAL_LOSSES_GAINS_OPEB</stp>
        <stp>FY 2014</stp>
        <stp>FY 2014</stp>
        <stp>[FA1_ymffleas.xlsx]Income - As Reported!R132C8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2" s="11"/>
      </tp>
      <tp t="s">
        <v>—</v>
        <stp/>
        <stp>##V3_BDHV12</stp>
        <stp>RCOM IN Equity</stp>
        <stp>ARDR_ACTUARIAL_LOSSES_GAINS_OPEB</stp>
        <stp>FY 2009</stp>
        <stp>FY 2009</stp>
        <stp>[FA1_ymffleas.xlsx]Income - As Reported!R132C3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2" s="11"/>
      </tp>
      <tp t="s">
        <v>—</v>
        <stp/>
        <stp>##V3_BDHV12</stp>
        <stp>RCOM IN Equity</stp>
        <stp>ARDR_ACTUARIAL_LOSSES_GAINS_OPEB</stp>
        <stp>FY 2011</stp>
        <stp>FY 2011</stp>
        <stp>[FA1_ymffleas.xlsx]Income - As Reported!R132C5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2" s="11"/>
      </tp>
      <tp t="s">
        <v>—</v>
        <stp/>
        <stp>##V3_BDHV12</stp>
        <stp>RCOM IN Equity</stp>
        <stp>ARDR_ACTUARIAL_LOSSES_GAINS_OPEB</stp>
        <stp>FY 2010</stp>
        <stp>FY 2010</stp>
        <stp>[FA1_ymffleas.xlsx]Income - As Reported!R132C4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2" s="11"/>
      </tp>
      <tp>
        <v>10</v>
        <stp/>
        <stp>##V3_BDHV12</stp>
        <stp>RCOM IN Equity</stp>
        <stp>ARDR_ACTUARIAL_LOSSES_GAINS_OPEB</stp>
        <stp>FY 2013</stp>
        <stp>FY 2013</stp>
        <stp>[FA1_ymffleas.xlsx]Income - As Reported!R132C7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2" s="11"/>
      </tp>
      <tp>
        <v>-40</v>
        <stp/>
        <stp>##V3_BDHV12</stp>
        <stp>RCOM IN Equity</stp>
        <stp>ARDR_ACTUARIAL_LOSSES_GAINS_OPEB</stp>
        <stp>FY 2012</stp>
        <stp>FY 2012</stp>
        <stp>[FA1_ymffleas.xlsx]Income - As Reported!R132C6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2" s="11"/>
      </tp>
      <tp t="s">
        <v>—</v>
        <stp/>
        <stp>##V3_BDHV12</stp>
        <stp>RCOM IN Equity</stp>
        <stp>ARDR_COMMON_STOCK_SUBSCRIBED_STK</stp>
        <stp>FY 2017</stp>
        <stp>FY 2017</stp>
        <stp>[FA1_ymffleas.xlsx]Bal Sheet - As Reported!R181C11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1" s="17"/>
      </tp>
      <tp t="s">
        <v>—</v>
        <stp/>
        <stp>##V3_BDHV12</stp>
        <stp>RCOM IN Equity</stp>
        <stp>ARDR_COMMON_STOCK_SUBSCRIBED_STK</stp>
        <stp>FY 2016</stp>
        <stp>FY 2016</stp>
        <stp>[FA1_ymffleas.xlsx]Bal Sheet - As Reported!R181C10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1" s="17"/>
      </tp>
      <tp t="s">
        <v>—</v>
        <stp/>
        <stp>##V3_BDHV12</stp>
        <stp>RCOM IN Equity</stp>
        <stp>ARDR_COMMON_STOCK_SUBSCRIBED_STK</stp>
        <stp>FY 2018</stp>
        <stp>FY 2018</stp>
        <stp>[FA1_ymffleas.xlsx]Bal Sheet - As Reported!R181C12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1" s="17"/>
      </tp>
      <tp>
        <v>86.657799999999995</v>
        <stp/>
        <stp>##V3_BDHV12</stp>
        <stp>RCOM IN Equity</stp>
        <stp>FREE_CASH_FLOW_1_YEAR_GROWTH</stp>
        <stp>FY 2018</stp>
        <stp>FY 2018</stp>
        <stp>[FA1_ymffleas.xlsx]Growth!R32C12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32" s="22"/>
      </tp>
      <tp>
        <v>-574.48149999999998</v>
        <stp/>
        <stp>##V3_BDHV12</stp>
        <stp>RCOM IN Equity</stp>
        <stp>FREE_CASH_FLOW_1_YEAR_GROWTH</stp>
        <stp>FY 2017</stp>
        <stp>FY 2017</stp>
        <stp>[FA1_ymffleas.xlsx]Growth!R32C11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2" s="22"/>
      </tp>
      <tp>
        <v>18.973199999999999</v>
        <stp/>
        <stp>##V3_BDHV12</stp>
        <stp>RCOM IN Equity</stp>
        <stp>ACCT_RCV_TURN</stp>
        <stp>FY 2011</stp>
        <stp>FY 2011</stp>
        <stp>[FA1_ymffleas.xlsx]Working Capital!R6C5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6" s="25"/>
      </tp>
      <tp>
        <v>44.825899999999997</v>
        <stp/>
        <stp>##V3_BDHV12</stp>
        <stp>RCOM IN Equity</stp>
        <stp>FREE_CASH_FLOW_1_YEAR_GROWTH</stp>
        <stp>FY 2016</stp>
        <stp>FY 2016</stp>
        <stp>[FA1_ymffleas.xlsx]Growth!R32C10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2" s="22"/>
      </tp>
      <tp>
        <v>559490</v>
        <stp/>
        <stp>##V3_BDHV12</stp>
        <stp>RCOM IN Equity</stp>
        <stp>ARDR_TOT_LIAB_AND_SHHOLDER_EQY</stp>
        <stp>FY 2018</stp>
        <stp>FY 2018</stp>
        <stp>[FA1_ymffleas.xlsx]Bal Sheet - As Reported!R125C12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5" s="17"/>
      </tp>
      <tp>
        <v>997310</v>
        <stp/>
        <stp>##V3_BDHV12</stp>
        <stp>RCOM IN Equity</stp>
        <stp>ARDR_TOT_LIAB_AND_SHHOLDER_EQY</stp>
        <stp>FY 2017</stp>
        <stp>FY 2017</stp>
        <stp>[FA1_ymffleas.xlsx]Bal Sheet - As Reported!R125C11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5" s="17"/>
      </tp>
      <tp>
        <v>1034540</v>
        <stp/>
        <stp>##V3_BDHV12</stp>
        <stp>RCOM IN Equity</stp>
        <stp>ARDR_TOT_LIAB_AND_SHHOLDER_EQY</stp>
        <stp>FY 2016</stp>
        <stp>FY 2016</stp>
        <stp>[FA1_ymffleas.xlsx]Bal Sheet - As Reported!R125C10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5" s="17"/>
      </tp>
      <tp>
        <v>6.4500000000000002E-2</v>
        <stp/>
        <stp>##V3_BDHV12</stp>
        <stp>RCOM IN Equity</stp>
        <stp>ASSET_TURNOVER</stp>
        <stp>FY 2017</stp>
        <stp>FY 2017</stp>
        <stp>[FA1_ymffleas.xlsx]DuPont Analysis!R15C11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5" s="27"/>
      </tp>
      <tp>
        <v>0.31259999999999999</v>
        <stp/>
        <stp>##V3_BDHV12</stp>
        <stp>RCOM IN Equity</stp>
        <stp>NORMALIZED_ROE</stp>
        <stp>FY 2018</stp>
        <stp>FY 2018</stp>
        <stp>[FA1_ymffleas.xlsx]DuPont Analysis!R19C12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9" s="27"/>
      </tp>
      <tp>
        <v>0</v>
        <stp/>
        <stp>##V3_BDHV12</stp>
        <stp>RCOM IN Equity</stp>
        <stp>IS_TOT_CASH_PFD_DVD</stp>
        <stp>FY 2009</stp>
        <stp>FY 2009</stp>
        <stp>[FA1_ymffleas.xlsx]Dividend Summary!R12C3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" s="31"/>
      </tp>
      <tp>
        <v>0</v>
        <stp/>
        <stp>##V3_BDHV12</stp>
        <stp>RCOM IN Equity</stp>
        <stp>IS_TOT_CASH_PFD_DVD</stp>
        <stp>FY 2011</stp>
        <stp>FY 2011</stp>
        <stp>[FA1_ymffleas.xlsx]Dividend Summary!R12C5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" s="31"/>
      </tp>
      <tp>
        <v>0</v>
        <stp/>
        <stp>##V3_BDHV12</stp>
        <stp>RCOM IN Equity</stp>
        <stp>IS_TOT_CASH_PFD_DVD</stp>
        <stp>FY 2010</stp>
        <stp>FY 2010</stp>
        <stp>[FA1_ymffleas.xlsx]Dividend Summary!R12C4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" s="31"/>
      </tp>
      <tp>
        <v>0</v>
        <stp/>
        <stp>##V3_BDHV12</stp>
        <stp>RCOM IN Equity</stp>
        <stp>IS_TOT_CASH_PFD_DVD</stp>
        <stp>FY 2013</stp>
        <stp>FY 2013</stp>
        <stp>[FA1_ymffleas.xlsx]Dividend Summary!R12C7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" s="31"/>
      </tp>
      <tp>
        <v>0</v>
        <stp/>
        <stp>##V3_BDHV12</stp>
        <stp>RCOM IN Equity</stp>
        <stp>IS_TOT_CASH_PFD_DVD</stp>
        <stp>FY 2012</stp>
        <stp>FY 2012</stp>
        <stp>[FA1_ymffleas.xlsx]Dividend Summary!R12C6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" s="31"/>
      </tp>
      <tp>
        <v>0</v>
        <stp/>
        <stp>##V3_BDHV12</stp>
        <stp>RCOM IN Equity</stp>
        <stp>IS_TOT_CASH_PFD_DVD</stp>
        <stp>FY 2015</stp>
        <stp>FY 2015</stp>
        <stp>[FA1_ymffleas.xlsx]Dividend Summary!R12C9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" s="31"/>
      </tp>
      <tp>
        <v>0</v>
        <stp/>
        <stp>##V3_BDHV12</stp>
        <stp>RCOM IN Equity</stp>
        <stp>IS_TOT_CASH_PFD_DVD</stp>
        <stp>FY 2014</stp>
        <stp>FY 2014</stp>
        <stp>[FA1_ymffleas.xlsx]Dividend Summary!R12C8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" s="31"/>
      </tp>
      <tp>
        <v>17.0077</v>
        <stp/>
        <stp>##V3_BDHV12</stp>
        <stp>RCOM IN Equity</stp>
        <stp>EV_TO_T12M_EBITDA</stp>
        <stp>FY 2018</stp>
        <stp>FY 2018</stp>
        <stp>[FA1_ymffleas.xlsx]Enterprise Value!R18C11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8" s="5"/>
      </tp>
      <tp>
        <v>2467.7006999999999</v>
        <stp/>
        <stp>##V3_BDHV12</stp>
        <stp>RCOM IN Equity</stp>
        <stp>IS_AVG_NUM_SH_FOR_EPS</stp>
        <stp>FY 2017</stp>
        <stp>FY 2017</stp>
        <stp>[FA1_ymffleas.xlsx]Income - Adjusted!R109C10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09" s="9"/>
      </tp>
      <tp>
        <v>2582.8681000000001</v>
        <stp/>
        <stp>##V3_BDHV12</stp>
        <stp>RCOM IN Equity</stp>
        <stp>IS_AVG_NUM_SH_FOR_EPS</stp>
        <stp>FY 2018</stp>
        <stp>FY 2018</stp>
        <stp>[FA1_ymffleas.xlsx]Income - Adjusted!R109C11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09" s="9"/>
      </tp>
      <tp>
        <v>745780</v>
        <stp/>
        <stp>##V3_BDHV12</stp>
        <stp>RCOM IN Equity</stp>
        <stp>BS_TOT_ASSET</stp>
        <stp>FY 2018</stp>
        <stp>FY 2018</stp>
        <stp>[FA1_ymffleas.xlsx]Bal Sheet - Common Size!R6C12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" s="18"/>
      </tp>
      <tp>
        <v>1034540</v>
        <stp/>
        <stp>##V3_BDHV12</stp>
        <stp>RCOM IN Equity</stp>
        <stp>BS_TOT_ASSET</stp>
        <stp>FY 2016</stp>
        <stp>FY 2016</stp>
        <stp>[FA1_ymffleas.xlsx]Bal Sheet - Common Size!R6C10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" s="18"/>
      </tp>
      <tp>
        <v>997310</v>
        <stp/>
        <stp>##V3_BDHV12</stp>
        <stp>RCOM IN Equity</stp>
        <stp>BS_TOT_ASSET</stp>
        <stp>FY 2017</stp>
        <stp>FY 2017</stp>
        <stp>[FA1_ymffleas.xlsx]Bal Sheet - Common Size!R6C11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" s="18"/>
      </tp>
      <tp>
        <v>-92.296599999999998</v>
        <stp/>
        <stp>##V3_BDHV12</stp>
        <stp>RCOM IN Equity</stp>
        <stp>IS_EPS</stp>
        <stp>FY 2018</stp>
        <stp>FY 2018</stp>
        <stp>[FA1_ymffleas.xlsx]Comprehensive Income!R15C11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5" s="33"/>
      </tp>
      <tp>
        <v>2.8170000000000002</v>
        <stp/>
        <stp>##V3_BDHV12</stp>
        <stp>RCOM IN Equity</stp>
        <stp>HIGH_EV_TO_T12M_SALES</stp>
        <stp>FY 2016</stp>
        <stp>FY 2016</stp>
        <stp>[FA1_ymffleas.xlsx]Multiples!R38C9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38" s="6"/>
      </tp>
      <tp>
        <v>500605.02490000002</v>
        <stp/>
        <stp>##V3_BDHV12</stp>
        <stp>RCOM IN Equity</stp>
        <stp>LOW_ENTERPRISE_VALUE</stp>
        <stp>FY 2017</stp>
        <stp>FY 2017</stp>
        <stp>[FA1_ymffleas.xlsx]Multiples!R58C10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8" s="6"/>
      </tp>
      <tp>
        <v>473328.6948</v>
        <stp/>
        <stp>##V3_BDHV12</stp>
        <stp>RCOM IN Equity</stp>
        <stp>LOW_ENTERPRISE_VALUE</stp>
        <stp>FY 2018</stp>
        <stp>FY 2018</stp>
        <stp>[FA1_ymffleas.xlsx]Multiples!R58C11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8" s="6"/>
      </tp>
      <tp>
        <v>29.142199999999999</v>
        <stp/>
        <stp>##V3_BDHV12</stp>
        <stp>RCOM IN Equity</stp>
        <stp>NET_INCOME_TO_COMMON_MARGIN</stp>
        <stp>FY 2009</stp>
        <stp>FY 2009</stp>
        <stp>[FA1_ymffleas.xlsx]Profitability!R19C3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9" s="21"/>
      </tp>
      <tp>
        <v>217.67089999999999</v>
        <stp/>
        <stp>##V3_BDHV12</stp>
        <stp>RCOM IN Equity</stp>
        <stp>EV_TO_T12M_EBIT</stp>
        <stp>FY 2018</stp>
        <stp>FY 2018</stp>
        <stp>[FA1_ymffleas.xlsx]Enterprise Value!R19C11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9" s="5"/>
      </tp>
      <tp>
        <v>238880</v>
        <stp/>
        <stp>##V3_BDHV12</stp>
        <stp>RCOM IN Equity</stp>
        <stp>IS_DISCONTINUED_OPERATIONS</stp>
        <stp>FY 2018</stp>
        <stp>FY 2018</stp>
        <stp>[FA1_ymffleas.xlsx]Income - Adjusted!R91C11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1" s="9"/>
      </tp>
      <tp>
        <v>15280</v>
        <stp/>
        <stp>##V3_BDHV12</stp>
        <stp>RCOM IN Equity</stp>
        <stp>IS_DISCONTINUED_OPERATIONS</stp>
        <stp>FY 2017</stp>
        <stp>FY 2017</stp>
        <stp>[FA1_ymffleas.xlsx]Income - Adjusted!R91C10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1" s="9"/>
      </tp>
      <tp>
        <v>9</v>
        <stp/>
        <stp>##V3_BDHV12</stp>
        <stp>RCOM IN Equity</stp>
        <stp>BOARD_MEETINGS_PER_YR</stp>
        <stp>FY 2018</stp>
        <stp>FY 2018</stp>
        <stp>[FA1_ymffleas.xlsx]ESG - Overview!R26C12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6" s="34"/>
      </tp>
      <tp>
        <v>8</v>
        <stp/>
        <stp>##V3_BDHV12</stp>
        <stp>RCOM IN Equity</stp>
        <stp>BOARD_MEETINGS_PER_YR</stp>
        <stp>FY 2017</stp>
        <stp>FY 2017</stp>
        <stp>[FA1_ymffleas.xlsx]ESG - Overview!R26C11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6" s="34"/>
      </tp>
      <tp>
        <v>7</v>
        <stp/>
        <stp>##V3_BDHV12</stp>
        <stp>RCOM IN Equity</stp>
        <stp>BOARD_MEETINGS_PER_YR</stp>
        <stp>FY 2016</stp>
        <stp>FY 2016</stp>
        <stp>[FA1_ymffleas.xlsx]ESG - Overview!R26C10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6" s="34"/>
      </tp>
      <tp>
        <v>47.578000000000003</v>
        <stp/>
        <stp>##V3_BDHV12</stp>
        <stp>RCOM IN Equity</stp>
        <stp>ST_DEBT_SEQUENTIAL_GROWTH</stp>
        <stp>FY 2018</stp>
        <stp>FY 2018</stp>
        <stp>[FA1_ymffleas.xlsx]Growth!R76C12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6" s="22"/>
      </tp>
      <tp>
        <v>52.936799999999998</v>
        <stp/>
        <stp>##V3_BDHV12</stp>
        <stp>RCOM IN Equity</stp>
        <stp>ST_DEBT_SEQUENTIAL_GROWTH</stp>
        <stp>FY 2016</stp>
        <stp>FY 2016</stp>
        <stp>[FA1_ymffleas.xlsx]Growth!R76C10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6" s="22"/>
      </tp>
      <tp>
        <v>59.849699999999999</v>
        <stp/>
        <stp>##V3_BDHV12</stp>
        <stp>RCOM IN Equity</stp>
        <stp>ST_DEBT_SEQUENTIAL_GROWTH</stp>
        <stp>FY 2017</stp>
        <stp>FY 2017</stp>
        <stp>[FA1_ymffleas.xlsx]Growth!R76C11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6" s="22"/>
      </tp>
      <tp t="s">
        <v>—</v>
        <stp/>
        <stp>##V3_BDHV12</stp>
        <stp>RCOM IN Equity</stp>
        <stp>ARD_UNUSUAL_ITEMS</stp>
        <stp>FY 2017</stp>
        <stp>FY 2017</stp>
        <stp>[FA1_ymffleas.xlsx]Cash Flow - As Reported!R25C11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5" s="20"/>
      </tp>
      <tp t="s">
        <v>—</v>
        <stp/>
        <stp>##V3_BDHV12</stp>
        <stp>RCOM IN Equity</stp>
        <stp>ARD_UNUSUAL_ITEMS</stp>
        <stp>FY 2016</stp>
        <stp>FY 2016</stp>
        <stp>[FA1_ymffleas.xlsx]Cash Flow - As Reported!R25C10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5" s="20"/>
      </tp>
      <tp t="s">
        <v>—</v>
        <stp/>
        <stp>##V3_BDHV12</stp>
        <stp>RCOM IN Equity</stp>
        <stp>ARD_UNUSUAL_ITEMS</stp>
        <stp>FY 2018</stp>
        <stp>FY 2018</stp>
        <stp>[FA1_ymffleas.xlsx]Cash Flow - As Reported!R25C12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5" s="20"/>
      </tp>
      <tp>
        <v>291190</v>
        <stp/>
        <stp>##V3_BDHV12</stp>
        <stp>RCOM IN Equity</stp>
        <stp>ARD_TOTAL_NONCURRENT_ASSETS</stp>
        <stp>FY 2018</stp>
        <stp>FY 2018</stp>
        <stp>[FA1_ymffleas.xlsx]Bal Sheet - As Reported!R58C12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8" s="17"/>
      </tp>
      <tp>
        <v>867240</v>
        <stp/>
        <stp>##V3_BDHV12</stp>
        <stp>RCOM IN Equity</stp>
        <stp>ARD_TOTAL_NONCURRENT_ASSETS</stp>
        <stp>FY 2017</stp>
        <stp>FY 2017</stp>
        <stp>[FA1_ymffleas.xlsx]Bal Sheet - As Reported!R58C11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8" s="17"/>
      </tp>
      <tp>
        <v>916930</v>
        <stp/>
        <stp>##V3_BDHV12</stp>
        <stp>RCOM IN Equity</stp>
        <stp>ARD_TOTAL_NONCURRENT_ASSETS</stp>
        <stp>FY 2016</stp>
        <stp>FY 2016</stp>
        <stp>[FA1_ymffleas.xlsx]Bal Sheet - As Reported!R58C10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8" s="17"/>
      </tp>
      <tp>
        <v>15.9687</v>
        <stp/>
        <stp>##V3_BDHV12</stp>
        <stp>RCOM IN Equity</stp>
        <stp>T12_EBIT_TO_REVENUE</stp>
        <stp>FY 2013</stp>
        <stp>FY 2013</stp>
        <stp>[FA1_ymffleas.xlsx]DuPont Analysis!R13C7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3" s="27"/>
      </tp>
      <tp t="s">
        <v>—</v>
        <stp/>
        <stp>##V3_BDHV12</stp>
        <stp>RCOM IN Equity</stp>
        <stp>ARD_SERVICE_REVENUE</stp>
        <stp>FY 2015</stp>
        <stp>FY 2015</stp>
        <stp>[FA1_ymffleas.xlsx]Income - As Reported!R9C9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" s="11"/>
      </tp>
      <tp t="s">
        <v>—</v>
        <stp/>
        <stp>##V3_BDHV12</stp>
        <stp>RCOM IN Equity</stp>
        <stp>ARD_SERVICE_REVENUE</stp>
        <stp>FY 2014</stp>
        <stp>FY 2014</stp>
        <stp>[FA1_ymffleas.xlsx]Income - As Reported!R9C8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" s="11"/>
      </tp>
      <tp t="s">
        <v>—</v>
        <stp/>
        <stp>##V3_BDHV12</stp>
        <stp>RCOM IN Equity</stp>
        <stp>ARD_SERVICE_REVENUE</stp>
        <stp>FY 2009</stp>
        <stp>FY 2009</stp>
        <stp>[FA1_ymffleas.xlsx]Income - As Reported!R9C3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" s="11"/>
      </tp>
      <tp t="s">
        <v>—</v>
        <stp/>
        <stp>##V3_BDHV12</stp>
        <stp>RCOM IN Equity</stp>
        <stp>ARD_SERVICE_REVENUE</stp>
        <stp>FY 2011</stp>
        <stp>FY 2011</stp>
        <stp>[FA1_ymffleas.xlsx]Income - As Reported!R9C5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" s="11"/>
      </tp>
      <tp t="s">
        <v>—</v>
        <stp/>
        <stp>##V3_BDHV12</stp>
        <stp>RCOM IN Equity</stp>
        <stp>ARD_SERVICE_REVENUE</stp>
        <stp>FY 2010</stp>
        <stp>FY 2010</stp>
        <stp>[FA1_ymffleas.xlsx]Income - As Reported!R9C4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" s="11"/>
      </tp>
      <tp t="s">
        <v>—</v>
        <stp/>
        <stp>##V3_BDHV12</stp>
        <stp>RCOM IN Equity</stp>
        <stp>ARD_SERVICE_REVENUE</stp>
        <stp>FY 2013</stp>
        <stp>FY 2013</stp>
        <stp>[FA1_ymffleas.xlsx]Income - As Reported!R9C7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" s="11"/>
      </tp>
      <tp t="s">
        <v>—</v>
        <stp/>
        <stp>##V3_BDHV12</stp>
        <stp>RCOM IN Equity</stp>
        <stp>ARD_SERVICE_REVENUE</stp>
        <stp>FY 2012</stp>
        <stp>FY 2012</stp>
        <stp>[FA1_ymffleas.xlsx]Income - As Reported!R9C6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" s="11"/>
      </tp>
      <tp t="s">
        <v>—</v>
        <stp/>
        <stp>##V3_BDHV12</stp>
        <stp>RCOM IN Equity</stp>
        <stp>ARDR_PROV_LIAB_CHARGES_AND_OTHER</stp>
        <stp>FY 2017</stp>
        <stp>FY 2017</stp>
        <stp>[FA1_ymffleas.xlsx]Bal Sheet - As Reported!R154C11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4" s="17"/>
      </tp>
      <tp t="s">
        <v>—</v>
        <stp/>
        <stp>##V3_BDHV12</stp>
        <stp>RCOM IN Equity</stp>
        <stp>ARDR_PROV_LIAB_CHARGES_AND_OTHER</stp>
        <stp>FY 2016</stp>
        <stp>FY 2016</stp>
        <stp>[FA1_ymffleas.xlsx]Bal Sheet - As Reported!R154C10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4" s="17"/>
      </tp>
      <tp>
        <v>4380</v>
        <stp/>
        <stp>##V3_BDHV12</stp>
        <stp>RCOM IN Equity</stp>
        <stp>ARDR_PROV_LIAB_CHARGES_AND_OTHER</stp>
        <stp>FY 2018</stp>
        <stp>FY 2018</stp>
        <stp>[FA1_ymffleas.xlsx]Bal Sheet - As Reported!R154C12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4" s="17"/>
      </tp>
      <tp t="s">
        <v>—</v>
        <stp/>
        <stp>##V3_BDHV12</stp>
        <stp>RCOM IN Equity</stp>
        <stp>EV_TO_T12M_CASH_FLOW_FIRM</stp>
        <stp>FY 2012</stp>
        <stp>FY 2012</stp>
        <stp>[FA1_ymffleas.xlsx]Enterprise Value!R20C5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0" s="5"/>
      </tp>
      <tp t="s">
        <v>—</v>
        <stp/>
        <stp>##V3_BDHV12</stp>
        <stp>RCOM IN Equity</stp>
        <stp>BS_OPRB_LT_LIABS</stp>
        <stp>FY 2012</stp>
        <stp>FY 2012</stp>
        <stp>[FA1_ymffleas.xlsx]Bal Sheet - Standardized!R117C6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7" s="16"/>
      </tp>
      <tp t="s">
        <v>—</v>
        <stp/>
        <stp>##V3_BDHV12</stp>
        <stp>RCOM IN Equity</stp>
        <stp>BS_OPRB_LT_LIABS</stp>
        <stp>FY 2013</stp>
        <stp>FY 2013</stp>
        <stp>[FA1_ymffleas.xlsx]Bal Sheet - Standardized!R117C7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7" s="16"/>
      </tp>
      <tp t="s">
        <v>—</v>
        <stp/>
        <stp>##V3_BDHV12</stp>
        <stp>RCOM IN Equity</stp>
        <stp>BS_OPRB_LT_LIABS</stp>
        <stp>FY 2010</stp>
        <stp>FY 2010</stp>
        <stp>[FA1_ymffleas.xlsx]Bal Sheet - Standardized!R117C4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7" s="16"/>
      </tp>
      <tp t="s">
        <v>—</v>
        <stp/>
        <stp>##V3_BDHV12</stp>
        <stp>RCOM IN Equity</stp>
        <stp>BS_OPRB_LT_LIABS</stp>
        <stp>FY 2011</stp>
        <stp>FY 2011</stp>
        <stp>[FA1_ymffleas.xlsx]Bal Sheet - Standardized!R117C5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7" s="16"/>
      </tp>
      <tp t="s">
        <v>—</v>
        <stp/>
        <stp>##V3_BDHV12</stp>
        <stp>RCOM IN Equity</stp>
        <stp>BS_OPRB_LT_LIABS</stp>
        <stp>FY 2009</stp>
        <stp>FY 2009</stp>
        <stp>[FA1_ymffleas.xlsx]Bal Sheet - Standardized!R117C3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7" s="16"/>
      </tp>
      <tp t="s">
        <v>—</v>
        <stp/>
        <stp>##V3_BDHV12</stp>
        <stp>RCOM IN Equity</stp>
        <stp>BS_OPRB_LT_LIABS</stp>
        <stp>FY 2014</stp>
        <stp>FY 2014</stp>
        <stp>[FA1_ymffleas.xlsx]Bal Sheet - Standardized!R117C8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7" s="16"/>
      </tp>
      <tp t="s">
        <v>—</v>
        <stp/>
        <stp>##V3_BDHV12</stp>
        <stp>RCOM IN Equity</stp>
        <stp>BS_OPRB_LT_LIABS</stp>
        <stp>FY 2015</stp>
        <stp>FY 2015</stp>
        <stp>[FA1_ymffleas.xlsx]Bal Sheet - Standardized!R117C9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7" s="16"/>
      </tp>
      <tp>
        <v>0</v>
        <stp/>
        <stp>##V3_BDHV12</stp>
        <stp>RCOM IN Equity</stp>
        <stp>IS_R&amp;D_EXPENSE_NONGAAP_ADJUST</stp>
        <stp>FY 2010</stp>
        <stp>FY 2010</stp>
        <stp>[FA1_ymffleas.xlsx]Reconciliation!R12C3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" s="12"/>
      </tp>
      <tp>
        <v>0</v>
        <stp/>
        <stp>##V3_BDHV12</stp>
        <stp>RCOM IN Equity</stp>
        <stp>IS_R&amp;D_EXPENSE_NONGAAP_ADJUST</stp>
        <stp>FY 2013</stp>
        <stp>FY 2013</stp>
        <stp>[FA1_ymffleas.xlsx]Reconciliation!R12C6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" s="12"/>
      </tp>
      <tp>
        <v>0</v>
        <stp/>
        <stp>##V3_BDHV12</stp>
        <stp>RCOM IN Equity</stp>
        <stp>IS_R&amp;D_EXPENSE_NONGAAP_ADJUST</stp>
        <stp>FY 2014</stp>
        <stp>FY 2014</stp>
        <stp>[FA1_ymffleas.xlsx]Reconciliation!R12C7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" s="12"/>
      </tp>
      <tp>
        <v>0</v>
        <stp/>
        <stp>##V3_BDHV12</stp>
        <stp>RCOM IN Equity</stp>
        <stp>IS_R&amp;D_EXPENSE_NONGAAP_ADJUST</stp>
        <stp>FY 2011</stp>
        <stp>FY 2011</stp>
        <stp>[FA1_ymffleas.xlsx]Reconciliation!R12C4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" s="12"/>
      </tp>
      <tp>
        <v>0</v>
        <stp/>
        <stp>##V3_BDHV12</stp>
        <stp>RCOM IN Equity</stp>
        <stp>IS_R&amp;D_EXPENSE_NONGAAP_ADJUST</stp>
        <stp>FY 2012</stp>
        <stp>FY 2012</stp>
        <stp>[FA1_ymffleas.xlsx]Reconciliation!R12C5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" s="12"/>
      </tp>
      <tp>
        <v>0</v>
        <stp/>
        <stp>##V3_BDHV12</stp>
        <stp>RCOM IN Equity</stp>
        <stp>IS_R&amp;D_EXPENSE_NONGAAP_ADJUST</stp>
        <stp>FY 2015</stp>
        <stp>FY 2015</stp>
        <stp>[FA1_ymffleas.xlsx]Reconciliation!R12C8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" s="12"/>
      </tp>
      <tp>
        <v>0</v>
        <stp/>
        <stp>##V3_BDHV12</stp>
        <stp>RCOM IN Equity</stp>
        <stp>IS_R&amp;D_EXPENSE_NONGAAP_ADJUST</stp>
        <stp>FY 2016</stp>
        <stp>FY 2016</stp>
        <stp>[FA1_ymffleas.xlsx]Reconciliation!R12C9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" s="12"/>
      </tp>
      <tp>
        <v>22.462800000000001</v>
        <stp/>
        <stp>##V3_BDHV12</stp>
        <stp>RCOM IN Equity</stp>
        <stp>ACCT_RCV_TURN</stp>
        <stp>FY 2010</stp>
        <stp>FY 2010</stp>
        <stp>[FA1_ymffleas.xlsx]Working Capital!R6C4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6" s="25"/>
      </tp>
      <tp>
        <v>0.2213</v>
        <stp/>
        <stp>##V3_BDHV12</stp>
        <stp>RCOM IN Equity</stp>
        <stp>ASSET_TURNOVER</stp>
        <stp>FY 2016</stp>
        <stp>FY 2016</stp>
        <stp>[FA1_ymffleas.xlsx]DuPont Analysis!R15C10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5" s="27"/>
      </tp>
      <tp>
        <v>60</v>
        <stp/>
        <stp>##V3_BDHV12</stp>
        <stp>RCOM IN Equity</stp>
        <stp>ARDR_SERVICE_COST_OPRB</stp>
        <stp>FY 2018</stp>
        <stp>FY 2018</stp>
        <stp>[FA1_ymffleas.xlsx]Bal Sheet - As Reported!R205C12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5" s="17"/>
      </tp>
      <tp>
        <v>60</v>
        <stp/>
        <stp>##V3_BDHV12</stp>
        <stp>RCOM IN Equity</stp>
        <stp>ARDR_SERVICE_COST_OPRB</stp>
        <stp>FY 2017</stp>
        <stp>FY 2017</stp>
        <stp>[FA1_ymffleas.xlsx]Bal Sheet - As Reported!R205C11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5" s="17"/>
      </tp>
      <tp>
        <v>60</v>
        <stp/>
        <stp>##V3_BDHV12</stp>
        <stp>RCOM IN Equity</stp>
        <stp>ARDR_SERVICE_COST_OPRB</stp>
        <stp>FY 2016</stp>
        <stp>FY 2016</stp>
        <stp>[FA1_ymffleas.xlsx]Bal Sheet - As Reported!R205C10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5" s="17"/>
      </tp>
      <tp>
        <v>11.661</v>
        <stp/>
        <stp>##V3_BDHV12</stp>
        <stp>RCOM IN Equity</stp>
        <stp>EV_TO_T12M_EBITDA</stp>
        <stp>FY 2017</stp>
        <stp>FY 2017</stp>
        <stp>[FA1_ymffleas.xlsx]Enterprise Value!R18C10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8" s="5"/>
      </tp>
      <tp>
        <v>454590</v>
        <stp/>
        <stp>##V3_BDHV12</stp>
        <stp>RCOM IN Equity</stp>
        <stp>BS_CUR_ASSET_REPORT</stp>
        <stp>FY 2018</stp>
        <stp>FY 2018</stp>
        <stp>[FA1_ymffleas.xlsx]Bal Sheet - Standardized!R41C12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1" s="16"/>
      </tp>
      <tp>
        <v>117610</v>
        <stp/>
        <stp>##V3_BDHV12</stp>
        <stp>RCOM IN Equity</stp>
        <stp>BS_CUR_ASSET_REPORT</stp>
        <stp>FY 2016</stp>
        <stp>FY 2016</stp>
        <stp>[FA1_ymffleas.xlsx]Bal Sheet - Standardized!R41C10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1" s="16"/>
      </tp>
      <tp>
        <v>130070</v>
        <stp/>
        <stp>##V3_BDHV12</stp>
        <stp>RCOM IN Equity</stp>
        <stp>BS_CUR_ASSET_REPORT</stp>
        <stp>FY 2017</stp>
        <stp>FY 2017</stp>
        <stp>[FA1_ymffleas.xlsx]Bal Sheet - Standardized!R41C11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1" s="16"/>
      </tp>
      <tp>
        <v>500</v>
        <stp/>
        <stp>##V3_BDHV12</stp>
        <stp>RCOM IN Equity</stp>
        <stp>ARDR_SHARES_AUTHORIZED</stp>
        <stp>FY 2016</stp>
        <stp>FY 2016</stp>
        <stp>[FA1_ymffleas.xlsx]Bal Sheet - As Reported!R155C10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5" s="17"/>
      </tp>
      <tp>
        <v>5000</v>
        <stp/>
        <stp>##V3_BDHV12</stp>
        <stp>RCOM IN Equity</stp>
        <stp>ARDR_SHARES_AUTHORIZED</stp>
        <stp>FY 2017</stp>
        <stp>FY 2017</stp>
        <stp>[FA1_ymffleas.xlsx]Bal Sheet - As Reported!R155C11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5" s="17"/>
      </tp>
      <tp>
        <v>5000</v>
        <stp/>
        <stp>##V3_BDHV12</stp>
        <stp>RCOM IN Equity</stp>
        <stp>ARDR_SHARES_AUTHORIZED</stp>
        <stp>FY 2018</stp>
        <stp>FY 2018</stp>
        <stp>[FA1_ymffleas.xlsx]Bal Sheet - As Reported!R155C12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5" s="17"/>
      </tp>
      <tp>
        <v>2.7315</v>
        <stp/>
        <stp>##V3_BDHV12</stp>
        <stp>RCOM IN Equity</stp>
        <stp>DVD_PAYOUT_RATIO</stp>
        <stp>FY 2009</stp>
        <stp>FY 2009</stp>
        <stp>[FA1_ymffleas.xlsx]Profitability!R23C3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3" s="21"/>
      </tp>
      <tp>
        <v>0</v>
        <stp/>
        <stp>##V3_BDHV12</stp>
        <stp>RCOM IN Equity</stp>
        <stp>BS_INVEST_IN_ASSOC_CO</stp>
        <stp>FY 2015</stp>
        <stp>FY 2015</stp>
        <stp>[FA1_ymffleas.xlsx]Bal Sheet - Standardized!R65C9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5" s="16"/>
      </tp>
      <tp>
        <v>0</v>
        <stp/>
        <stp>##V3_BDHV12</stp>
        <stp>RCOM IN Equity</stp>
        <stp>BS_INVEST_IN_ASSOC_CO</stp>
        <stp>FY 2014</stp>
        <stp>FY 2014</stp>
        <stp>[FA1_ymffleas.xlsx]Bal Sheet - Standardized!R65C8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5" s="16"/>
      </tp>
      <tp>
        <v>52.4</v>
        <stp/>
        <stp>##V3_BDHV12</stp>
        <stp>RCOM IN Equity</stp>
        <stp>BS_INVEST_IN_ASSOC_CO</stp>
        <stp>FY 2009</stp>
        <stp>FY 2009</stp>
        <stp>[FA1_ymffleas.xlsx]Bal Sheet - Standardized!R65C3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5" s="16"/>
      </tp>
      <tp>
        <v>50</v>
        <stp/>
        <stp>##V3_BDHV12</stp>
        <stp>RCOM IN Equity</stp>
        <stp>BS_INVEST_IN_ASSOC_CO</stp>
        <stp>FY 2011</stp>
        <stp>FY 2011</stp>
        <stp>[FA1_ymffleas.xlsx]Bal Sheet - Standardized!R65C5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5" s="16"/>
      </tp>
      <tp>
        <v>52.2</v>
        <stp/>
        <stp>##V3_BDHV12</stp>
        <stp>RCOM IN Equity</stp>
        <stp>BS_INVEST_IN_ASSOC_CO</stp>
        <stp>FY 2010</stp>
        <stp>FY 2010</stp>
        <stp>[FA1_ymffleas.xlsx]Bal Sheet - Standardized!R65C4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5" s="16"/>
      </tp>
      <tp>
        <v>50</v>
        <stp/>
        <stp>##V3_BDHV12</stp>
        <stp>RCOM IN Equity</stp>
        <stp>BS_INVEST_IN_ASSOC_CO</stp>
        <stp>FY 2013</stp>
        <stp>FY 2013</stp>
        <stp>[FA1_ymffleas.xlsx]Bal Sheet - Standardized!R65C7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5" s="16"/>
      </tp>
      <tp>
        <v>50</v>
        <stp/>
        <stp>##V3_BDHV12</stp>
        <stp>RCOM IN Equity</stp>
        <stp>BS_INVEST_IN_ASSOC_CO</stp>
        <stp>FY 2012</stp>
        <stp>FY 2012</stp>
        <stp>[FA1_ymffleas.xlsx]Bal Sheet - Standardized!R65C6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5" s="16"/>
      </tp>
      <tp>
        <v>10.367699999999999</v>
        <stp/>
        <stp>##V3_BDHV12</stp>
        <stp>RCOM IN Equity</stp>
        <stp>OPER_MARGIN</stp>
        <stp>FY 2014</stp>
        <stp>FY 2014</stp>
        <stp>[FA1_ymffleas.xlsx]Profitability!R14C8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4" s="21"/>
      </tp>
      <tp>
        <v>22.504200000000001</v>
        <stp/>
        <stp>##V3_BDHV12</stp>
        <stp>RCOM IN Equity</stp>
        <stp>NET_INCOME_TO_COMMON_MARGIN</stp>
        <stp>FY 2010</stp>
        <stp>FY 2010</stp>
        <stp>[FA1_ymffleas.xlsx]Profitability!R19C4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9" s="21"/>
      </tp>
      <tp t="s">
        <v>—</v>
        <stp/>
        <stp>##V3_BDHV12</stp>
        <stp>RCOM IN Equity</stp>
        <stp>IS_DISPOSAL_ASSETS_DILUTED_SHARE</stp>
        <stp>FY 2018</stp>
        <stp>FY 2018</stp>
        <stp>[FA1_ymffleas.xlsx]Reconciliation!R48C11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8" s="12"/>
      </tp>
      <tp t="s">
        <v>—</v>
        <stp/>
        <stp>##V3_BDHV12</stp>
        <stp>RCOM IN Equity</stp>
        <stp>IS_DISPOSAL_ASSETS_DILUTED_SHARE</stp>
        <stp>FY 2017</stp>
        <stp>FY 2017</stp>
        <stp>[FA1_ymffleas.xlsx]Reconciliation!R48C10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8" s="12"/>
      </tp>
      <tp>
        <v>31580</v>
        <stp/>
        <stp>##V3_BDHV12</stp>
        <stp>RCOM IN Equity</stp>
        <stp>ARD_TOT_CASH_FLOWS_FROM_OPS</stp>
        <stp>FY 2015</stp>
        <stp>FY 2015</stp>
        <stp>[FA1_ymffleas.xlsx]As Reported Summary!R26C9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6" s="30"/>
      </tp>
      <tp>
        <v>68390</v>
        <stp/>
        <stp>##V3_BDHV12</stp>
        <stp>RCOM IN Equity</stp>
        <stp>ARD_TOT_CASH_FLOWS_FROM_OPS</stp>
        <stp>FY 2014</stp>
        <stp>FY 2014</stp>
        <stp>[FA1_ymffleas.xlsx]As Reported Summary!R26C8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6" s="30"/>
      </tp>
      <tp>
        <v>65075.3</v>
        <stp/>
        <stp>##V3_BDHV12</stp>
        <stp>RCOM IN Equity</stp>
        <stp>ARD_TOT_CASH_FLOWS_FROM_OPS</stp>
        <stp>FY 2009</stp>
        <stp>FY 2009</stp>
        <stp>[FA1_ymffleas.xlsx]As Reported Summary!R26C3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6" s="30"/>
      </tp>
      <tp>
        <v>24340</v>
        <stp/>
        <stp>##V3_BDHV12</stp>
        <stp>RCOM IN Equity</stp>
        <stp>ARD_TOT_CASH_FLOWS_FROM_OPS</stp>
        <stp>FY 2011</stp>
        <stp>FY 2011</stp>
        <stp>[FA1_ymffleas.xlsx]As Reported Summary!R26C5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6" s="30"/>
      </tp>
      <tp>
        <v>96164.800000000003</v>
        <stp/>
        <stp>##V3_BDHV12</stp>
        <stp>RCOM IN Equity</stp>
        <stp>ARD_TOT_CASH_FLOWS_FROM_OPS</stp>
        <stp>FY 2010</stp>
        <stp>FY 2010</stp>
        <stp>[FA1_ymffleas.xlsx]As Reported Summary!R26C4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6" s="30"/>
      </tp>
      <tp>
        <v>38250</v>
        <stp/>
        <stp>##V3_BDHV12</stp>
        <stp>RCOM IN Equity</stp>
        <stp>ARD_TOT_CASH_FLOWS_FROM_OPS</stp>
        <stp>FY 2013</stp>
        <stp>FY 2013</stp>
        <stp>[FA1_ymffleas.xlsx]As Reported Summary!R26C7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6" s="30"/>
      </tp>
      <tp>
        <v>57510</v>
        <stp/>
        <stp>##V3_BDHV12</stp>
        <stp>RCOM IN Equity</stp>
        <stp>ARD_TOT_CASH_FLOWS_FROM_OPS</stp>
        <stp>FY 2012</stp>
        <stp>FY 2012</stp>
        <stp>[FA1_ymffleas.xlsx]As Reported Summary!R26C6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6" s="30"/>
      </tp>
      <tp>
        <v>-53640</v>
        <stp/>
        <stp>##V3_BDHV12</stp>
        <stp>RCOM IN Equity</stp>
        <stp>CF_PYMT_LT_DEBT_&amp;_CAPITAL_LEASE</stp>
        <stp>FY 2015</stp>
        <stp>FY 2015</stp>
        <stp>[FA1_ymffleas.xlsx]Cash Flow - Standardized!R42C8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2" s="19"/>
      </tp>
      <tp>
        <v>-49170</v>
        <stp/>
        <stp>##V3_BDHV12</stp>
        <stp>RCOM IN Equity</stp>
        <stp>CF_PYMT_LT_DEBT_&amp;_CAPITAL_LEASE</stp>
        <stp>FY 2016</stp>
        <stp>FY 2016</stp>
        <stp>[FA1_ymffleas.xlsx]Cash Flow - Standardized!R42C9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2" s="19"/>
      </tp>
      <tp>
        <v>-21390</v>
        <stp/>
        <stp>##V3_BDHV12</stp>
        <stp>RCOM IN Equity</stp>
        <stp>CF_PYMT_LT_DEBT_&amp;_CAPITAL_LEASE</stp>
        <stp>FY 2011</stp>
        <stp>FY 2011</stp>
        <stp>[FA1_ymffleas.xlsx]Cash Flow - Standardized!R42C4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2" s="19"/>
      </tp>
      <tp>
        <v>-88610</v>
        <stp/>
        <stp>##V3_BDHV12</stp>
        <stp>RCOM IN Equity</stp>
        <stp>CF_PYMT_LT_DEBT_&amp;_CAPITAL_LEASE</stp>
        <stp>FY 2012</stp>
        <stp>FY 2012</stp>
        <stp>[FA1_ymffleas.xlsx]Cash Flow - Standardized!R42C5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2" s="19"/>
      </tp>
      <tp>
        <v>-25290</v>
        <stp/>
        <stp>##V3_BDHV12</stp>
        <stp>RCOM IN Equity</stp>
        <stp>CF_PYMT_LT_DEBT_&amp;_CAPITAL_LEASE</stp>
        <stp>FY 2013</stp>
        <stp>FY 2013</stp>
        <stp>[FA1_ymffleas.xlsx]Cash Flow - Standardized!R42C6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2" s="19"/>
      </tp>
      <tp>
        <v>-39950</v>
        <stp/>
        <stp>##V3_BDHV12</stp>
        <stp>RCOM IN Equity</stp>
        <stp>CF_PYMT_LT_DEBT_&amp;_CAPITAL_LEASE</stp>
        <stp>FY 2014</stp>
        <stp>FY 2014</stp>
        <stp>[FA1_ymffleas.xlsx]Cash Flow - Standardized!R42C7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2" s="19"/>
      </tp>
      <tp>
        <v>-63946.6</v>
        <stp/>
        <stp>##V3_BDHV12</stp>
        <stp>RCOM IN Equity</stp>
        <stp>CF_PYMT_LT_DEBT_&amp;_CAPITAL_LEASE</stp>
        <stp>FY 2010</stp>
        <stp>FY 2010</stp>
        <stp>[FA1_ymffleas.xlsx]Cash Flow - Standardized!R42C3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2" s="19"/>
      </tp>
      <tp>
        <v>123.52679999999999</v>
        <stp/>
        <stp>##V3_BDHV12</stp>
        <stp>RCOM IN Equity</stp>
        <stp>HIGH_EV_TO_T12M_EBIT</stp>
        <stp>FY 2017</stp>
        <stp>FY 2017</stp>
        <stp>[FA1_ymffleas.xlsx]Multiples!R48C10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48" s="6"/>
      </tp>
      <tp>
        <v>9460</v>
        <stp/>
        <stp>##V3_BDHV12</stp>
        <stp>RCOM IN Equity</stp>
        <stp>PRETAX_INC</stp>
        <stp>FY 2015</stp>
        <stp>FY 2015</stp>
        <stp>[FA1_ymffleas.xlsx]Earnings!R39C9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9" s="4"/>
      </tp>
      <tp>
        <v>1160</v>
        <stp/>
        <stp>##V3_BDHV12</stp>
        <stp>RCOM IN Equity</stp>
        <stp>PRETAX_INC</stp>
        <stp>FY 2014</stp>
        <stp>FY 2014</stp>
        <stp>[FA1_ymffleas.xlsx]Earnings!R39C8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9" s="4"/>
      </tp>
      <tp>
        <v>15170</v>
        <stp/>
        <stp>##V3_BDHV12</stp>
        <stp>RCOM IN Equity</stp>
        <stp>PRETAX_INC</stp>
        <stp>FY 2011</stp>
        <stp>FY 2011</stp>
        <stp>[FA1_ymffleas.xlsx]Earnings!R39C5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9" s="4"/>
      </tp>
      <tp>
        <v>820</v>
        <stp/>
        <stp>##V3_BDHV12</stp>
        <stp>RCOM IN Equity</stp>
        <stp>ARDR_CASH_EQUIVS</stp>
        <stp>FY 2014</stp>
        <stp>FY 2014</stp>
        <stp>[FA1_ymffleas.xlsx]Bal Sheet - As Reported!R188C8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8" s="17"/>
      </tp>
      <tp>
        <v>650</v>
        <stp/>
        <stp>##V3_BDHV12</stp>
        <stp>RCOM IN Equity</stp>
        <stp>ARDR_CASH_EQUIVS</stp>
        <stp>FY 2015</stp>
        <stp>FY 2015</stp>
        <stp>[FA1_ymffleas.xlsx]Bal Sheet - As Reported!R188C9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8" s="17"/>
      </tp>
      <tp>
        <v>537.29999999999995</v>
        <stp/>
        <stp>##V3_BDHV12</stp>
        <stp>RCOM IN Equity</stp>
        <stp>ARDR_CASH_EQUIVS</stp>
        <stp>FY 2009</stp>
        <stp>FY 2009</stp>
        <stp>[FA1_ymffleas.xlsx]Bal Sheet - As Reported!R188C3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8" s="17"/>
      </tp>
      <tp>
        <v>676.1</v>
        <stp/>
        <stp>##V3_BDHV12</stp>
        <stp>RCOM IN Equity</stp>
        <stp>ARDR_CASH_EQUIVS</stp>
        <stp>FY 2010</stp>
        <stp>FY 2010</stp>
        <stp>[FA1_ymffleas.xlsx]Bal Sheet - As Reported!R188C4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8" s="17"/>
      </tp>
      <tp>
        <v>820</v>
        <stp/>
        <stp>##V3_BDHV12</stp>
        <stp>RCOM IN Equity</stp>
        <stp>ARDR_CASH_EQUIVS</stp>
        <stp>FY 2011</stp>
        <stp>FY 2011</stp>
        <stp>[FA1_ymffleas.xlsx]Bal Sheet - As Reported!R188C5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8" s="17"/>
      </tp>
      <tp>
        <v>870</v>
        <stp/>
        <stp>##V3_BDHV12</stp>
        <stp>RCOM IN Equity</stp>
        <stp>ARDR_CASH_EQUIVS</stp>
        <stp>FY 2012</stp>
        <stp>FY 2012</stp>
        <stp>[FA1_ymffleas.xlsx]Bal Sheet - As Reported!R188C6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8" s="17"/>
      </tp>
      <tp>
        <v>790</v>
        <stp/>
        <stp>##V3_BDHV12</stp>
        <stp>RCOM IN Equity</stp>
        <stp>ARDR_CASH_EQUIVS</stp>
        <stp>FY 2013</stp>
        <stp>FY 2013</stp>
        <stp>[FA1_ymffleas.xlsx]Bal Sheet - As Reported!R188C7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8" s="17"/>
      </tp>
      <tp>
        <v>52228.3</v>
        <stp/>
        <stp>##V3_BDHV12</stp>
        <stp>RCOM IN Equity</stp>
        <stp>PRETAX_INC</stp>
        <stp>FY 2010</stp>
        <stp>FY 2010</stp>
        <stp>[FA1_ymffleas.xlsx]Earnings!R39C4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9" s="4"/>
      </tp>
      <tp>
        <v>8150</v>
        <stp/>
        <stp>##V3_BDHV12</stp>
        <stp>RCOM IN Equity</stp>
        <stp>PRETAX_INC</stp>
        <stp>FY 2013</stp>
        <stp>FY 2013</stp>
        <stp>[FA1_ymffleas.xlsx]Earnings!R39C7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9" s="4"/>
      </tp>
      <tp>
        <v>8820</v>
        <stp/>
        <stp>##V3_BDHV12</stp>
        <stp>RCOM IN Equity</stp>
        <stp>PRETAX_INC</stp>
        <stp>FY 2012</stp>
        <stp>FY 2012</stp>
        <stp>[FA1_ymffleas.xlsx]Earnings!R39C6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9" s="4"/>
      </tp>
      <tp>
        <v>61967.199999999997</v>
        <stp/>
        <stp>##V3_BDHV12</stp>
        <stp>RCOM IN Equity</stp>
        <stp>PRETAX_INC</stp>
        <stp>FY 2009</stp>
        <stp>FY 2009</stp>
        <stp>[FA1_ymffleas.xlsx]Earnings!R39C3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9" s="4"/>
      </tp>
      <tp>
        <v>2.0196999999999998</v>
        <stp/>
        <stp>##V3_BDHV12</stp>
        <stp>RCOM IN Equity</stp>
        <stp>BASIC_EPS_EX_STK_BASED_COMP</stp>
        <stp>FY 2016</stp>
        <stp>FY 2016</stp>
        <stp>[FA1_ymffleas.xlsx]SBC &amp; Amort!R7C10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" s="13"/>
      </tp>
      <tp>
        <v>0.50649999999999995</v>
        <stp/>
        <stp>##V3_BDHV12</stp>
        <stp>RCOM IN Equity</stp>
        <stp>BASIC_EPS_EX_STK_BASED_COMP</stp>
        <stp>FY 2017</stp>
        <stp>FY 2017</stp>
        <stp>[FA1_ymffleas.xlsx]SBC &amp; Amort!R7C11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" s="13"/>
      </tp>
      <tp>
        <v>0.19239999999999999</v>
        <stp/>
        <stp>##V3_BDHV12</stp>
        <stp>RCOM IN Equity</stp>
        <stp>BASIC_EPS_EX_STK_BASED_COMP</stp>
        <stp>FY 2018</stp>
        <stp>FY 2018</stp>
        <stp>[FA1_ymffleas.xlsx]SBC &amp; Amort!R7C12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" s="13"/>
      </tp>
      <tp>
        <v>0</v>
        <stp/>
        <stp>##V3_BDHV12</stp>
        <stp>RCOM IN Equity</stp>
        <stp>BS_NUM_OF_TSY_SH</stp>
        <stp>FY 2014</stp>
        <stp>FY 2014</stp>
        <stp>[FA1_ymffleas.xlsx]Bal Sheet - Standardized!R159C8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59" s="16"/>
      </tp>
      <tp>
        <v>0</v>
        <stp/>
        <stp>##V3_BDHV12</stp>
        <stp>RCOM IN Equity</stp>
        <stp>BS_NUM_OF_TSY_SH</stp>
        <stp>FY 2015</stp>
        <stp>FY 2015</stp>
        <stp>[FA1_ymffleas.xlsx]Bal Sheet - Standardized!R159C9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59" s="16"/>
      </tp>
      <tp t="s">
        <v>—</v>
        <stp/>
        <stp>##V3_BDHV12</stp>
        <stp>RCOM IN Equity</stp>
        <stp>ARDR_INT_EXP_NET</stp>
        <stp>FY 2014</stp>
        <stp>FY 2014</stp>
        <stp>[FA1_ymffleas.xlsx]Income - As Reported!R74C8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4" s="11"/>
      </tp>
      <tp t="s">
        <v>—</v>
        <stp/>
        <stp>##V3_BDHV12</stp>
        <stp>RCOM IN Equity</stp>
        <stp>ARDR_INT_EXP_NET</stp>
        <stp>FY 2015</stp>
        <stp>FY 2015</stp>
        <stp>[FA1_ymffleas.xlsx]Income - As Reported!R74C9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4" s="11"/>
      </tp>
      <tp t="s">
        <v>—</v>
        <stp/>
        <stp>##V3_BDHV12</stp>
        <stp>RCOM IN Equity</stp>
        <stp>ARDR_INT_EXP_NET</stp>
        <stp>FY 2009</stp>
        <stp>FY 2009</stp>
        <stp>[FA1_ymffleas.xlsx]Income - As Reported!R74C3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4" s="11"/>
      </tp>
      <tp t="s">
        <v>—</v>
        <stp/>
        <stp>##V3_BDHV12</stp>
        <stp>RCOM IN Equity</stp>
        <stp>ARDR_INT_EXP_NET</stp>
        <stp>FY 2010</stp>
        <stp>FY 2010</stp>
        <stp>[FA1_ymffleas.xlsx]Income - As Reported!R74C4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4" s="11"/>
      </tp>
      <tp t="s">
        <v>—</v>
        <stp/>
        <stp>##V3_BDHV12</stp>
        <stp>RCOM IN Equity</stp>
        <stp>ARDR_INT_EXP_NET</stp>
        <stp>FY 2011</stp>
        <stp>FY 2011</stp>
        <stp>[FA1_ymffleas.xlsx]Income - As Reported!R74C5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4" s="11"/>
      </tp>
      <tp>
        <v>16300</v>
        <stp/>
        <stp>##V3_BDHV12</stp>
        <stp>RCOM IN Equity</stp>
        <stp>ARDR_INT_EXP_NET</stp>
        <stp>FY 2012</stp>
        <stp>FY 2012</stp>
        <stp>[FA1_ymffleas.xlsx]Income - As Reported!R74C6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4" s="11"/>
      </tp>
      <tp t="s">
        <v>—</v>
        <stp/>
        <stp>##V3_BDHV12</stp>
        <stp>RCOM IN Equity</stp>
        <stp>ARDR_INT_EXP_NET</stp>
        <stp>FY 2013</stp>
        <stp>FY 2013</stp>
        <stp>[FA1_ymffleas.xlsx]Income - As Reported!R74C7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4" s="11"/>
      </tp>
      <tp>
        <v>0</v>
        <stp/>
        <stp>##V3_BDHV12</stp>
        <stp>RCOM IN Equity</stp>
        <stp>BS_NUM_OF_TSY_SH</stp>
        <stp>FY 2009</stp>
        <stp>FY 2009</stp>
        <stp>[FA1_ymffleas.xlsx]Bal Sheet - Standardized!R159C3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59" s="16"/>
      </tp>
      <tp>
        <v>0</v>
        <stp/>
        <stp>##V3_BDHV12</stp>
        <stp>RCOM IN Equity</stp>
        <stp>BS_NUM_OF_TSY_SH</stp>
        <stp>FY 2010</stp>
        <stp>FY 2010</stp>
        <stp>[FA1_ymffleas.xlsx]Bal Sheet - Standardized!R159C4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59" s="16"/>
      </tp>
      <tp>
        <v>0</v>
        <stp/>
        <stp>##V3_BDHV12</stp>
        <stp>RCOM IN Equity</stp>
        <stp>BS_NUM_OF_TSY_SH</stp>
        <stp>FY 2011</stp>
        <stp>FY 2011</stp>
        <stp>[FA1_ymffleas.xlsx]Bal Sheet - Standardized!R159C5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59" s="16"/>
      </tp>
      <tp>
        <v>0</v>
        <stp/>
        <stp>##V3_BDHV12</stp>
        <stp>RCOM IN Equity</stp>
        <stp>BS_NUM_OF_TSY_SH</stp>
        <stp>FY 2012</stp>
        <stp>FY 2012</stp>
        <stp>[FA1_ymffleas.xlsx]Bal Sheet - Standardized!R159C6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59" s="16"/>
      </tp>
      <tp>
        <v>0</v>
        <stp/>
        <stp>##V3_BDHV12</stp>
        <stp>RCOM IN Equity</stp>
        <stp>BS_NUM_OF_TSY_SH</stp>
        <stp>FY 2013</stp>
        <stp>FY 2013</stp>
        <stp>[FA1_ymffleas.xlsx]Bal Sheet - Standardized!R159C7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59" s="16"/>
      </tp>
      <tp>
        <v>11.6088</v>
        <stp/>
        <stp>##V3_BDHV12</stp>
        <stp>RCOM IN Equity</stp>
        <stp>ACCT_RCV_TURN</stp>
        <stp>FY 2009</stp>
        <stp>FY 2009</stp>
        <stp>[FA1_ymffleas.xlsx]Working Capital!R6C3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6" s="25"/>
      </tp>
      <tp>
        <v>5.2907000000000002</v>
        <stp/>
        <stp>##V3_BDHV12</stp>
        <stp>RCOM IN Equity</stp>
        <stp>OPER_MARGIN</stp>
        <stp>FY 2018</stp>
        <stp>FY 2018</stp>
        <stp>[FA1_ymffleas.xlsx]Income - Adjusted!R125C11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K125" s="9"/>
      </tp>
      <tp>
        <v>10.415800000000001</v>
        <stp/>
        <stp>##V3_BDHV12</stp>
        <stp>RCOM IN Equity</stp>
        <stp>ACCT_RCV_TURN</stp>
        <stp>FY 2016</stp>
        <stp>FY 2016</stp>
        <stp>[FA1_ymffleas.xlsx]Working Capital!R6C10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6" s="25"/>
      </tp>
      <tp>
        <v>1313518</v>
        <stp/>
        <stp>##V3_BDHV12</stp>
        <stp>RCOM IN Equity</stp>
        <stp>ARDR_TOTAL_NUMBER_OF_SHRHLDRS</stp>
        <stp>FY 2018</stp>
        <stp>FY 2018</stp>
        <stp>[FA1_ymffleas.xlsx]Bal Sheet - As Reported!R153C12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53" s="17"/>
      </tp>
      <tp>
        <v>1626555</v>
        <stp/>
        <stp>##V3_BDHV12</stp>
        <stp>RCOM IN Equity</stp>
        <stp>ARDR_TOTAL_NUMBER_OF_SHRHLDRS</stp>
        <stp>FY 2016</stp>
        <stp>FY 2016</stp>
        <stp>[FA1_ymffleas.xlsx]Bal Sheet - As Reported!R153C10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53" s="17"/>
      </tp>
      <tp>
        <v>1626664</v>
        <stp/>
        <stp>##V3_BDHV12</stp>
        <stp>RCOM IN Equity</stp>
        <stp>ARDR_TOTAL_NUMBER_OF_SHRHLDRS</stp>
        <stp>FY 2017</stp>
        <stp>FY 2017</stp>
        <stp>[FA1_ymffleas.xlsx]Bal Sheet - As Reported!R153C11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53" s="17"/>
      </tp>
      <tp t="s">
        <v>—</v>
        <stp/>
        <stp>##V3_BDHV12</stp>
        <stp>RCOM IN Equity</stp>
        <stp>IS_AMORT_OF_TOT_INTANG_AFT_TAX</stp>
        <stp>FY 2017</stp>
        <stp>FY 2017</stp>
        <stp>[FA1_ymffleas.xlsx]SBC &amp; Amort!R26C11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6" s="13"/>
      </tp>
      <tp t="s">
        <v>—</v>
        <stp/>
        <stp>##V3_BDHV12</stp>
        <stp>RCOM IN Equity</stp>
        <stp>IS_AMORT_OF_TOT_INTANG_AFT_TAX</stp>
        <stp>FY 2016</stp>
        <stp>FY 2016</stp>
        <stp>[FA1_ymffleas.xlsx]SBC &amp; Amort!R26C10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6" s="13"/>
      </tp>
      <tp t="s">
        <v>—</v>
        <stp/>
        <stp>##V3_BDHV12</stp>
        <stp>RCOM IN Equity</stp>
        <stp>IS_AMORT_OF_TOT_INTANG_AFT_TAX</stp>
        <stp>FY 2018</stp>
        <stp>FY 2018</stp>
        <stp>[FA1_ymffleas.xlsx]SBC &amp; Amort!R26C12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6" s="13"/>
      </tp>
      <tp>
        <v>3.7688999999999999</v>
        <stp/>
        <stp>##V3_BDHV12</stp>
        <stp>RCOM IN Equity</stp>
        <stp>DVD_PAYOUT_RATIO</stp>
        <stp>FY 2010</stp>
        <stp>FY 2010</stp>
        <stp>[FA1_ymffleas.xlsx]Profitability!R23C4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3" s="21"/>
      </tp>
      <tp>
        <v>27810</v>
        <stp/>
        <stp>##V3_BDHV12</stp>
        <stp>RCOM IN Equity</stp>
        <stp>ARDR_CAPITAL_RSRV</stp>
        <stp>FY 2018</stp>
        <stp>FY 2018</stp>
        <stp>[FA1_ymffleas.xlsx]Bal Sheet - As Reported!R138C12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8" s="17"/>
      </tp>
      <tp>
        <v>13840</v>
        <stp/>
        <stp>##V3_BDHV12</stp>
        <stp>RCOM IN Equity</stp>
        <stp>ARDR_CAPITAL_RSRV</stp>
        <stp>FY 2016</stp>
        <stp>FY 2016</stp>
        <stp>[FA1_ymffleas.xlsx]Bal Sheet - As Reported!R138C10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8" s="17"/>
      </tp>
      <tp>
        <v>13840</v>
        <stp/>
        <stp>##V3_BDHV12</stp>
        <stp>RCOM IN Equity</stp>
        <stp>ARDR_CAPITAL_RSRV</stp>
        <stp>FY 2017</stp>
        <stp>FY 2017</stp>
        <stp>[FA1_ymffleas.xlsx]Bal Sheet - As Reported!R138C11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8" s="17"/>
      </tp>
      <tp>
        <v>15.8194</v>
        <stp/>
        <stp>##V3_BDHV12</stp>
        <stp>RCOM IN Equity</stp>
        <stp>OPER_MARGIN</stp>
        <stp>FY 2015</stp>
        <stp>FY 2015</stp>
        <stp>[FA1_ymffleas.xlsx]Profitability!R14C9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4" s="21"/>
      </tp>
      <tp>
        <v>6.0890000000000004</v>
        <stp/>
        <stp>##V3_BDHV12</stp>
        <stp>RCOM IN Equity</stp>
        <stp>NET_INCOME_TO_COMMON_MARGIN</stp>
        <stp>FY 2011</stp>
        <stp>FY 2011</stp>
        <stp>[FA1_ymffleas.xlsx]Profitability!R19C5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9" s="21"/>
      </tp>
      <tp>
        <v>1110</v>
        <stp/>
        <stp>##V3_BDHV12</stp>
        <stp>RCOM IN Equity</stp>
        <stp>ARDR_TOTAL_CAPITAL_LEASES</stp>
        <stp>FY 2016</stp>
        <stp>FY 2016</stp>
        <stp>[FA1_ymffleas.xlsx]Bal Sheet - As Reported!R114C10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4" s="17"/>
      </tp>
      <tp>
        <v>900</v>
        <stp/>
        <stp>##V3_BDHV12</stp>
        <stp>RCOM IN Equity</stp>
        <stp>ARDR_TOTAL_CAPITAL_LEASES</stp>
        <stp>FY 2017</stp>
        <stp>FY 2017</stp>
        <stp>[FA1_ymffleas.xlsx]Bal Sheet - As Reported!R114C11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4" s="17"/>
      </tp>
      <tp>
        <v>0</v>
        <stp/>
        <stp>##V3_BDHV12</stp>
        <stp>RCOM IN Equity</stp>
        <stp>ARDR_TOTAL_CAPITAL_LEASES</stp>
        <stp>FY 2018</stp>
        <stp>FY 2018</stp>
        <stp>[FA1_ymffleas.xlsx]Bal Sheet - As Reported!R114C12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4" s="17"/>
      </tp>
      <tp>
        <v>0</v>
        <stp/>
        <stp>##V3_BDHV12</stp>
        <stp>RCOM IN Equity</stp>
        <stp>ARDR_ST_CAP_LEASE_OBLIGATIONS</stp>
        <stp>FY 2018</stp>
        <stp>FY 2018</stp>
        <stp>[FA1_ymffleas.xlsx]Bal Sheet - As Reported!R82C12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2" s="17"/>
      </tp>
      <tp>
        <v>20</v>
        <stp/>
        <stp>##V3_BDHV12</stp>
        <stp>RCOM IN Equity</stp>
        <stp>ARDR_ST_CAP_LEASE_OBLIGATIONS</stp>
        <stp>FY 2017</stp>
        <stp>FY 2017</stp>
        <stp>[FA1_ymffleas.xlsx]Bal Sheet - As Reported!R82C11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2" s="17"/>
      </tp>
      <tp>
        <v>100</v>
        <stp/>
        <stp>##V3_BDHV12</stp>
        <stp>RCOM IN Equity</stp>
        <stp>ARDR_ST_CAP_LEASE_OBLIGATIONS</stp>
        <stp>FY 2016</stp>
        <stp>FY 2016</stp>
        <stp>[FA1_ymffleas.xlsx]Bal Sheet - As Reported!R82C10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2" s="17"/>
      </tp>
      <tp>
        <v>4.41</v>
        <stp/>
        <stp>##V3_BDHV12</stp>
        <stp>RCOM IN Equity</stp>
        <stp>ARDR_DILUTED_EPS</stp>
        <stp>FY 2012</stp>
        <stp>FY 2012</stp>
        <stp>[FA1_ymffleas.xlsx]Income - As Reported!R83C6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3" s="11"/>
      </tp>
      <tp>
        <v>3.26</v>
        <stp/>
        <stp>##V3_BDHV12</stp>
        <stp>RCOM IN Equity</stp>
        <stp>ARDR_DILUTED_EPS</stp>
        <stp>FY 2013</stp>
        <stp>FY 2013</stp>
        <stp>[FA1_ymffleas.xlsx]Income - As Reported!R83C7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3" s="11"/>
      </tp>
      <tp t="s">
        <v>—</v>
        <stp/>
        <stp>##V3_BDHV12</stp>
        <stp>RCOM IN Equity</stp>
        <stp>ARDR_DILUTED_EPS</stp>
        <stp>FY 2010</stp>
        <stp>FY 2010</stp>
        <stp>[FA1_ymffleas.xlsx]Income - As Reported!R83C4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3" s="11"/>
      </tp>
      <tp>
        <v>0</v>
        <stp/>
        <stp>##V3_BDHV12</stp>
        <stp>RCOM IN Equity</stp>
        <stp>ARDR_LT_CAP_LEASE_OBLIGATIONS</stp>
        <stp>FY 2018</stp>
        <stp>FY 2018</stp>
        <stp>[FA1_ymffleas.xlsx]Bal Sheet - As Reported!R89C12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9" s="17"/>
      </tp>
      <tp>
        <v>880</v>
        <stp/>
        <stp>##V3_BDHV12</stp>
        <stp>RCOM IN Equity</stp>
        <stp>ARDR_LT_CAP_LEASE_OBLIGATIONS</stp>
        <stp>FY 2017</stp>
        <stp>FY 2017</stp>
        <stp>[FA1_ymffleas.xlsx]Bal Sheet - As Reported!R89C11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9" s="17"/>
      </tp>
      <tp>
        <v>1010</v>
        <stp/>
        <stp>##V3_BDHV12</stp>
        <stp>RCOM IN Equity</stp>
        <stp>ARDR_LT_CAP_LEASE_OBLIGATIONS</stp>
        <stp>FY 2016</stp>
        <stp>FY 2016</stp>
        <stp>[FA1_ymffleas.xlsx]Bal Sheet - As Reported!R89C10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9" s="17"/>
      </tp>
      <tp t="s">
        <v>—</v>
        <stp/>
        <stp>##V3_BDHV12</stp>
        <stp>RCOM IN Equity</stp>
        <stp>ARDR_DILUTED_EPS</stp>
        <stp>FY 2011</stp>
        <stp>FY 2011</stp>
        <stp>[FA1_ymffleas.xlsx]Income - As Reported!R83C5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3" s="11"/>
      </tp>
      <tp t="s">
        <v>—</v>
        <stp/>
        <stp>##V3_BDHV12</stp>
        <stp>RCOM IN Equity</stp>
        <stp>ARDR_DILUTED_EPS</stp>
        <stp>FY 2009</stp>
        <stp>FY 2009</stp>
        <stp>[FA1_ymffleas.xlsx]Income - As Reported!R83C3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3" s="11"/>
      </tp>
      <tp>
        <v>0</v>
        <stp/>
        <stp>##V3_BDHV12</stp>
        <stp>RCOM IN Equity</stp>
        <stp>IS_TOT_CASH_COM_DVD</stp>
        <stp>FY 2017</stp>
        <stp>FY 2017</stp>
        <stp>[FA1_ymffleas.xlsx]Income - GAAP!R107C10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7" s="10"/>
      </tp>
      <tp>
        <v>0</v>
        <stp/>
        <stp>##V3_BDHV12</stp>
        <stp>RCOM IN Equity</stp>
        <stp>IS_TOT_CASH_COM_DVD</stp>
        <stp>FY 2018</stp>
        <stp>FY 2018</stp>
        <stp>[FA1_ymffleas.xlsx]Income - GAAP!R107C11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7" s="10"/>
      </tp>
      <tp>
        <v>5.07</v>
        <stp/>
        <stp>##V3_BDHV12</stp>
        <stp>RCOM IN Equity</stp>
        <stp>ARDR_DILUTED_EPS</stp>
        <stp>FY 2014</stp>
        <stp>FY 2014</stp>
        <stp>[FA1_ymffleas.xlsx]Income - As Reported!R83C8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3" s="11"/>
      </tp>
      <tp>
        <v>217.67089999999999</v>
        <stp/>
        <stp>##V3_BDHV12</stp>
        <stp>RCOM IN Equity</stp>
        <stp>HIGH_EV_TO_T12M_EBIT</stp>
        <stp>FY 2018</stp>
        <stp>FY 2018</stp>
        <stp>[FA1_ymffleas.xlsx]Multiples!R48C11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48" s="6"/>
      </tp>
      <tp>
        <v>2080</v>
        <stp/>
        <stp>##V3_BDHV12</stp>
        <stp>RCOM IN Equity</stp>
        <stp>ARD_INVENTORY</stp>
        <stp>FY 2016</stp>
        <stp>FY 2016</stp>
        <stp>[FA1_ymffleas.xlsx]Bal Sheet - As Reported!R41C10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1" s="17"/>
      </tp>
      <tp>
        <v>2350</v>
        <stp/>
        <stp>##V3_BDHV12</stp>
        <stp>RCOM IN Equity</stp>
        <stp>ARD_INVENTORY</stp>
        <stp>FY 2017</stp>
        <stp>FY 2017</stp>
        <stp>[FA1_ymffleas.xlsx]Bal Sheet - As Reported!R41C11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1" s="17"/>
      </tp>
      <tp>
        <v>790</v>
        <stp/>
        <stp>##V3_BDHV12</stp>
        <stp>RCOM IN Equity</stp>
        <stp>ARD_INVENTORY</stp>
        <stp>FY 2018</stp>
        <stp>FY 2018</stp>
        <stp>[FA1_ymffleas.xlsx]Bal Sheet - As Reported!R41C12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1" s="17"/>
      </tp>
      <tp>
        <v>3.05</v>
        <stp/>
        <stp>##V3_BDHV12</stp>
        <stp>RCOM IN Equity</stp>
        <stp>ARDR_DILUTED_EPS</stp>
        <stp>FY 2015</stp>
        <stp>FY 2015</stp>
        <stp>[FA1_ymffleas.xlsx]Income - As Reported!R83C9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3" s="11"/>
      </tp>
      <tp t="s">
        <v>—</v>
        <stp/>
        <stp>##V3_BDHV12</stp>
        <stp>RCOM IN Equity</stp>
        <stp>ADJ_EPS_EX_AMORT_TOT_INTANG_DIL</stp>
        <stp>FY 2018</stp>
        <stp>FY 2018</stp>
        <stp>[FA1_ymffleas.xlsx]SBC &amp; Amort!R10C12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0" s="13"/>
      </tp>
      <tp t="s">
        <v>—</v>
        <stp/>
        <stp>##V3_BDHV12</stp>
        <stp>RCOM IN Equity</stp>
        <stp>ADJ_EPS_EX_AMORT_TOT_INTANG_DIL</stp>
        <stp>FY 2017</stp>
        <stp>FY 2017</stp>
        <stp>[FA1_ymffleas.xlsx]SBC &amp; Amort!R10C11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0" s="13"/>
      </tp>
      <tp t="s">
        <v>—</v>
        <stp/>
        <stp>##V3_BDHV12</stp>
        <stp>RCOM IN Equity</stp>
        <stp>ADJ_EPS_EX_AMORT_TOT_INTANG_DIL</stp>
        <stp>FY 2016</stp>
        <stp>FY 2016</stp>
        <stp>[FA1_ymffleas.xlsx]SBC &amp; Amort!R10C10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0" s="13"/>
      </tp>
      <tp>
        <v>33330.699999999997</v>
        <stp/>
        <stp>##V3_BDHV12</stp>
        <stp>RCOM IN Equity</stp>
        <stp>IS_SG&amp;A_EXPENSE</stp>
        <stp>FY 2010</stp>
        <stp>FY 2010</stp>
        <stp>[FA1_ymffleas.xlsx]Income - Adjusted!R21C3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21" s="9"/>
      </tp>
      <tp>
        <v>27110</v>
        <stp/>
        <stp>##V3_BDHV12</stp>
        <stp>RCOM IN Equity</stp>
        <stp>IS_SG&amp;A_EXPENSE</stp>
        <stp>FY 2014</stp>
        <stp>FY 2014</stp>
        <stp>[FA1_ymffleas.xlsx]Income - Adjusted!R21C7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21" s="9"/>
      </tp>
      <tp>
        <v>29240</v>
        <stp/>
        <stp>##V3_BDHV12</stp>
        <stp>RCOM IN Equity</stp>
        <stp>IS_SG&amp;A_EXPENSE</stp>
        <stp>FY 2013</stp>
        <stp>FY 2013</stp>
        <stp>[FA1_ymffleas.xlsx]Income - Adjusted!R21C6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21" s="9"/>
      </tp>
      <tp>
        <v>28960</v>
        <stp/>
        <stp>##V3_BDHV12</stp>
        <stp>RCOM IN Equity</stp>
        <stp>IS_SG&amp;A_EXPENSE</stp>
        <stp>FY 2012</stp>
        <stp>FY 2012</stp>
        <stp>[FA1_ymffleas.xlsx]Income - Adjusted!R21C5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21" s="9"/>
      </tp>
      <tp>
        <v>31059.200000000001</v>
        <stp/>
        <stp>##V3_BDHV12</stp>
        <stp>RCOM IN Equity</stp>
        <stp>IS_SG&amp;A_EXPENSE</stp>
        <stp>FY 2011</stp>
        <stp>FY 2011</stp>
        <stp>[FA1_ymffleas.xlsx]Income - Adjusted!R21C4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21" s="9"/>
      </tp>
      <tp>
        <v>6.4437999999999995</v>
        <stp/>
        <stp>##V3_BDHV12</stp>
        <stp>RCOM IN Equity</stp>
        <stp>EV_TO_T12M_CASH_FLOW_FIRM</stp>
        <stp>FY 2010</stp>
        <stp>FY 2010</stp>
        <stp>[FA1_ymffleas.xlsx]Enterprise Value!R20C3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0" s="5"/>
      </tp>
      <tp>
        <v>20810</v>
        <stp/>
        <stp>##V3_BDHV12</stp>
        <stp>RCOM IN Equity</stp>
        <stp>IS_SG&amp;A_EXPENSE</stp>
        <stp>FY 2016</stp>
        <stp>FY 2016</stp>
        <stp>[FA1_ymffleas.xlsx]Income - Adjusted!R21C9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21" s="9"/>
      </tp>
      <tp>
        <v>10550</v>
        <stp/>
        <stp>##V3_BDHV12</stp>
        <stp>RCOM IN Equity</stp>
        <stp>ARDR_CAP_COMMIT_CNT_NOT_PROVIDED</stp>
        <stp>FY 2016</stp>
        <stp>FY 2016</stp>
        <stp>[FA1_ymffleas.xlsx]Bal Sheet - As Reported!R163C10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3" s="17"/>
      </tp>
      <tp>
        <v>8920</v>
        <stp/>
        <stp>##V3_BDHV12</stp>
        <stp>RCOM IN Equity</stp>
        <stp>ARDR_CAP_COMMIT_CNT_NOT_PROVIDED</stp>
        <stp>FY 2017</stp>
        <stp>FY 2017</stp>
        <stp>[FA1_ymffleas.xlsx]Bal Sheet - As Reported!R163C11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3" s="17"/>
      </tp>
      <tp>
        <v>1730</v>
        <stp/>
        <stp>##V3_BDHV12</stp>
        <stp>RCOM IN Equity</stp>
        <stp>ARDR_CAP_COMMIT_CNT_NOT_PROVIDED</stp>
        <stp>FY 2018</stp>
        <stp>FY 2018</stp>
        <stp>[FA1_ymffleas.xlsx]Bal Sheet - As Reported!R163C12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3" s="17"/>
      </tp>
      <tp>
        <v>25870</v>
        <stp/>
        <stp>##V3_BDHV12</stp>
        <stp>RCOM IN Equity</stp>
        <stp>IS_SG&amp;A_EXPENSE</stp>
        <stp>FY 2015</stp>
        <stp>FY 2015</stp>
        <stp>[FA1_ymffleas.xlsx]Income - Adjusted!R21C8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21" s="9"/>
      </tp>
      <tp>
        <v>0.86619999999999997</v>
        <stp/>
        <stp>##V3_BDHV12</stp>
        <stp>RCOM IN Equity</stp>
        <stp>CUR_RATIO</stp>
        <stp>FY 2018</stp>
        <stp>FY 2018</stp>
        <stp>[FA1_ymffleas.xlsx]Liquidity!R7C12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" s="24"/>
      </tp>
      <tp>
        <v>0.36099999999999999</v>
        <stp/>
        <stp>##V3_BDHV12</stp>
        <stp>RCOM IN Equity</stp>
        <stp>CUR_RATIO</stp>
        <stp>FY 2017</stp>
        <stp>FY 2017</stp>
        <stp>[FA1_ymffleas.xlsx]Liquidity!R7C11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" s="24"/>
      </tp>
      <tp>
        <v>0.42499999999999999</v>
        <stp/>
        <stp>##V3_BDHV12</stp>
        <stp>RCOM IN Equity</stp>
        <stp>CUR_RATIO</stp>
        <stp>FY 2016</stp>
        <stp>FY 2016</stp>
        <stp>[FA1_ymffleas.xlsx]Liquidity!R7C10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" s="24"/>
      </tp>
      <tp>
        <v>5</v>
        <stp/>
        <stp>##V3_BDHV12</stp>
        <stp>RCOM IN Equity</stp>
        <stp>ARDR_PAR_VALUE</stp>
        <stp>FY 2017</stp>
        <stp>FY 2017</stp>
        <stp>[FA1_ymffleas.xlsx]Bal Sheet - As Reported!R99C11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9" s="17"/>
      </tp>
      <tp>
        <v>391622.5</v>
        <stp/>
        <stp>##V3_BDHV12</stp>
        <stp>RCOM IN Equity</stp>
        <stp>SHORT_AND_LONG_TERM_DEBT</stp>
        <stp>FY 2009</stp>
        <stp>FY 2009</stp>
        <stp>[FA1_ymffleas.xlsx]Credit!R6C3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" s="23"/>
      </tp>
      <tp>
        <v>415470</v>
        <stp/>
        <stp>##V3_BDHV12</stp>
        <stp>RCOM IN Equity</stp>
        <stp>SHORT_AND_LONG_TERM_DEBT</stp>
        <stp>FY 2013</stp>
        <stp>FY 2013</stp>
        <stp>[FA1_ymffleas.xlsx]Credit!R6C7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" s="23"/>
      </tp>
      <tp>
        <v>383030</v>
        <stp/>
        <stp>##V3_BDHV12</stp>
        <stp>RCOM IN Equity</stp>
        <stp>SHORT_AND_LONG_TERM_DEBT</stp>
        <stp>FY 2012</stp>
        <stp>FY 2012</stp>
        <stp>[FA1_ymffleas.xlsx]Credit!R6C6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" s="23"/>
      </tp>
      <tp>
        <v>390710</v>
        <stp/>
        <stp>##V3_BDHV12</stp>
        <stp>RCOM IN Equity</stp>
        <stp>SHORT_AND_LONG_TERM_DEBT</stp>
        <stp>FY 2011</stp>
        <stp>FY 2011</stp>
        <stp>[FA1_ymffleas.xlsx]Credit!R6C5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" s="23"/>
      </tp>
      <tp>
        <v>297154.2</v>
        <stp/>
        <stp>##V3_BDHV12</stp>
        <stp>RCOM IN Equity</stp>
        <stp>SHORT_AND_LONG_TERM_DEBT</stp>
        <stp>FY 2010</stp>
        <stp>FY 2010</stp>
        <stp>[FA1_ymffleas.xlsx]Credit!R6C4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" s="23"/>
      </tp>
      <tp>
        <v>399640</v>
        <stp/>
        <stp>##V3_BDHV12</stp>
        <stp>RCOM IN Equity</stp>
        <stp>SHORT_AND_LONG_TERM_DEBT</stp>
        <stp>FY 2015</stp>
        <stp>FY 2015</stp>
        <stp>[FA1_ymffleas.xlsx]Credit!R6C9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" s="23"/>
      </tp>
      <tp>
        <v>422680</v>
        <stp/>
        <stp>##V3_BDHV12</stp>
        <stp>RCOM IN Equity</stp>
        <stp>SHORT_AND_LONG_TERM_DEBT</stp>
        <stp>FY 2014</stp>
        <stp>FY 2014</stp>
        <stp>[FA1_ymffleas.xlsx]Credit!R6C8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" s="23"/>
      </tp>
      <tp>
        <v>5</v>
        <stp/>
        <stp>##V3_BDHV12</stp>
        <stp>RCOM IN Equity</stp>
        <stp>ARDR_PAR_VALUE</stp>
        <stp>FY 2016</stp>
        <stp>FY 2016</stp>
        <stp>[FA1_ymffleas.xlsx]Bal Sheet - As Reported!R99C10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9" s="17"/>
      </tp>
      <tp>
        <v>5</v>
        <stp/>
        <stp>##V3_BDHV12</stp>
        <stp>RCOM IN Equity</stp>
        <stp>ARDR_PAR_VALUE</stp>
        <stp>FY 2018</stp>
        <stp>FY 2018</stp>
        <stp>[FA1_ymffleas.xlsx]Bal Sheet - As Reported!R99C12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99" s="17"/>
      </tp>
      <tp>
        <v>0.18970000000000001</v>
        <stp/>
        <stp>##V3_BDHV12</stp>
        <stp>RCOM IN Equity</stp>
        <stp>IS_DIL_EPS_CONT_OPS</stp>
        <stp>FY 2018</stp>
        <stp>FY 2018</stp>
        <stp>[FA1_ymffleas.xlsx]Income - Adjusted!R117C11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17" s="9"/>
      </tp>
      <tp>
        <v>0.50649999999999995</v>
        <stp/>
        <stp>##V3_BDHV12</stp>
        <stp>RCOM IN Equity</stp>
        <stp>IS_DIL_EPS_CONT_OPS</stp>
        <stp>FY 2017</stp>
        <stp>FY 2017</stp>
        <stp>[FA1_ymffleas.xlsx]Income - Adjusted!R117C10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17" s="9"/>
      </tp>
      <tp>
        <v>6.7134999999999998</v>
        <stp/>
        <stp>##V3_BDHV12</stp>
        <stp>RCOM IN Equity</stp>
        <stp>OPER_MARGIN</stp>
        <stp>FY 2017</stp>
        <stp>FY 2017</stp>
        <stp>[FA1_ymffleas.xlsx]Income - Adjusted!R125C10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J125" s="9"/>
      </tp>
      <tp>
        <v>2.1032999999999999</v>
        <stp/>
        <stp>##V3_BDHV12</stp>
        <stp>RCOM IN Equity</stp>
        <stp>ACCT_RCV_TURN</stp>
        <stp>FY 2017</stp>
        <stp>FY 2017</stp>
        <stp>[FA1_ymffleas.xlsx]Working Capital!R6C11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6" s="25"/>
      </tp>
      <tp t="s">
        <v>—</v>
        <stp/>
        <stp>##V3_BDHV12</stp>
        <stp>RCOM IN Equity</stp>
        <stp>ARDR_SHORT_TERM_LOAN_UNSECURED</stp>
        <stp>FY 2017</stp>
        <stp>FY 2017</stp>
        <stp>[FA1_ymffleas.xlsx]Bal Sheet - As Reported!R194C11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4" s="17"/>
      </tp>
      <tp t="s">
        <v>—</v>
        <stp/>
        <stp>##V3_BDHV12</stp>
        <stp>RCOM IN Equity</stp>
        <stp>ARDR_SHORT_TERM_LOAN_UNSECURED</stp>
        <stp>FY 2016</stp>
        <stp>FY 2016</stp>
        <stp>[FA1_ymffleas.xlsx]Bal Sheet - As Reported!R194C10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4" s="17"/>
      </tp>
      <tp t="s">
        <v>—</v>
        <stp/>
        <stp>##V3_BDHV12</stp>
        <stp>RCOM IN Equity</stp>
        <stp>ARDR_SHORT_TERM_LOAN_UNSECURED</stp>
        <stp>FY 2018</stp>
        <stp>FY 2018</stp>
        <stp>[FA1_ymffleas.xlsx]Bal Sheet - As Reported!R194C12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4" s="17"/>
      </tp>
      <tp>
        <v>7.6580000000000004</v>
        <stp/>
        <stp>##V3_BDHV12</stp>
        <stp>RCOM IN Equity</stp>
        <stp>DVD_PAYOUT_RATIO</stp>
        <stp>FY 2011</stp>
        <stp>FY 2011</stp>
        <stp>[FA1_ymffleas.xlsx]Profitability!R23C5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3" s="21"/>
      </tp>
      <tp t="s">
        <v>—</v>
        <stp/>
        <stp>##V3_BDHV12</stp>
        <stp>RCOM IN Equity</stp>
        <stp>ARD_CASH_PAID_FOR_INTEREST</stp>
        <stp>FY 2018</stp>
        <stp>FY 2018</stp>
        <stp>[FA1_ymffleas.xlsx]Cash Flow - As Reported!R61C12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1" s="20"/>
      </tp>
      <tp t="s">
        <v>—</v>
        <stp/>
        <stp>##V3_BDHV12</stp>
        <stp>RCOM IN Equity</stp>
        <stp>ARD_CASH_PAID_FOR_INTEREST</stp>
        <stp>FY 2017</stp>
        <stp>FY 2017</stp>
        <stp>[FA1_ymffleas.xlsx]Cash Flow - As Reported!R61C11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1" s="20"/>
      </tp>
      <tp t="s">
        <v>—</v>
        <stp/>
        <stp>##V3_BDHV12</stp>
        <stp>RCOM IN Equity</stp>
        <stp>ARD_CASH_PAID_FOR_INTEREST</stp>
        <stp>FY 2016</stp>
        <stp>FY 2016</stp>
        <stp>[FA1_ymffleas.xlsx]Cash Flow - As Reported!R61C10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1" s="20"/>
      </tp>
      <tp>
        <v>0</v>
        <stp/>
        <stp>##V3_BDHV12</stp>
        <stp>RCOM IN Equity</stp>
        <stp>CF_DISPOSAL_OF_FIXED_PROD_ASSETS</stp>
        <stp>FY 2018</stp>
        <stp>FY 2018</stp>
        <stp>[FA1_ymffleas.xlsx]Cash Flow - Standardized!R21C11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1" s="19"/>
      </tp>
      <tp>
        <v>0</v>
        <stp/>
        <stp>##V3_BDHV12</stp>
        <stp>RCOM IN Equity</stp>
        <stp>CF_DISPOSAL_OF_FIXED_PROD_ASSETS</stp>
        <stp>FY 2017</stp>
        <stp>FY 2017</stp>
        <stp>[FA1_ymffleas.xlsx]Cash Flow - Standardized!R21C10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1" s="19"/>
      </tp>
      <tp>
        <v>4.9583000000000004</v>
        <stp/>
        <stp>##V3_BDHV12</stp>
        <stp>RCOM IN Equity</stp>
        <stp>NET_INCOME_TO_COMMON_MARGIN</stp>
        <stp>FY 2012</stp>
        <stp>FY 2012</stp>
        <stp>[FA1_ymffleas.xlsx]Profitability!R19C6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9" s="21"/>
      </tp>
      <tp>
        <v>0</v>
        <stp/>
        <stp>##V3_BDHV12</stp>
        <stp>RCOM IN Equity</stp>
        <stp>IS_EXPENSE_STOCK_BASED_COMP</stp>
        <stp>FY 2016</stp>
        <stp>FY 2016</stp>
        <stp>[FA1_ymffleas.xlsx]SBC &amp; Amort!R15C10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" s="13"/>
      </tp>
      <tp>
        <v>0</v>
        <stp/>
        <stp>##V3_BDHV12</stp>
        <stp>RCOM IN Equity</stp>
        <stp>IS_EXPENSE_STOCK_BASED_COMP</stp>
        <stp>FY 2017</stp>
        <stp>FY 2017</stp>
        <stp>[FA1_ymffleas.xlsx]SBC &amp; Amort!R15C11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" s="13"/>
      </tp>
      <tp>
        <v>10</v>
        <stp/>
        <stp>##V3_BDHV12</stp>
        <stp>RCOM IN Equity</stp>
        <stp>IS_EXPENSE_STOCK_BASED_COMP</stp>
        <stp>FY 2018</stp>
        <stp>FY 2018</stp>
        <stp>[FA1_ymffleas.xlsx]SBC &amp; Amort!R15C12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" s="13"/>
      </tp>
      <tp>
        <v>5</v>
        <stp/>
        <stp>##V3_BDHV12</stp>
        <stp>RCOM IN Equity</stp>
        <stp>PROF_MARGIN</stp>
        <stp>FY 2014</stp>
        <stp>FY 2014</stp>
        <stp>[FA1_ymffleas.xlsx]Profitability!R18C8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8" s="21"/>
      </tp>
      <tp>
        <v>0.50649999999999995</v>
        <stp/>
        <stp>##V3_BDHV12</stp>
        <stp>RCOM IN Equity</stp>
        <stp>IS_EARN_BEF_XO_ITEMS_PER_SH</stp>
        <stp>FY 2017</stp>
        <stp>FY 2017</stp>
        <stp>[FA1_ymffleas.xlsx]Income - GAAP!R89C10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9" s="10"/>
      </tp>
      <tp>
        <v>16.213100000000001</v>
        <stp/>
        <stp>##V3_BDHV12</stp>
        <stp>RCOM IN Equity</stp>
        <stp>PX_ERN_RATIO_WITH_LOW_CLOS_PX</stp>
        <stp>FY 2016</stp>
        <stp>FY 2016</stp>
        <stp>[FA1_ymffleas.xlsx]Multiples!R9C9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" s="6"/>
      </tp>
      <tp>
        <v>0.18970000000000001</v>
        <stp/>
        <stp>##V3_BDHV12</stp>
        <stp>RCOM IN Equity</stp>
        <stp>IS_EARN_BEF_XO_ITEMS_PER_SH</stp>
        <stp>FY 2018</stp>
        <stp>FY 2018</stp>
        <stp>[FA1_ymffleas.xlsx]Income - GAAP!R89C11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9" s="10"/>
      </tp>
      <tp>
        <v>11.508900000000001</v>
        <stp/>
        <stp>##V3_BDHV12</stp>
        <stp>RCOM IN Equity</stp>
        <stp>PX_ERN_RATIO_WITH_LOW_CLOS_PX</stp>
        <stp>FY 2015</stp>
        <stp>FY 2015</stp>
        <stp>[FA1_ymffleas.xlsx]Multiples!R9C8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" s="6"/>
      </tp>
      <tp>
        <v>17.5</v>
        <stp/>
        <stp>##V3_BDHV12</stp>
        <stp>RCOM IN Equity</stp>
        <stp>PX_ERN_RATIO_WITH_LOW_CLOS_PX</stp>
        <stp>FY 2014</stp>
        <stp>FY 2014</stp>
        <stp>[FA1_ymffleas.xlsx]Multiples!R9C7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" s="6"/>
      </tp>
      <tp>
        <v>10.644399999999999</v>
        <stp/>
        <stp>##V3_BDHV12</stp>
        <stp>RCOM IN Equity</stp>
        <stp>PX_ERN_RATIO_WITH_LOW_CLOS_PX</stp>
        <stp>FY 2013</stp>
        <stp>FY 2013</stp>
        <stp>[FA1_ymffleas.xlsx]Multiples!R9C6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" s="6"/>
      </tp>
      <tp>
        <v>9.5297999999999998</v>
        <stp/>
        <stp>##V3_BDHV12</stp>
        <stp>RCOM IN Equity</stp>
        <stp>PX_ERN_RATIO_WITH_LOW_CLOS_PX</stp>
        <stp>FY 2012</stp>
        <stp>FY 2012</stp>
        <stp>[FA1_ymffleas.xlsx]Multiples!R9C5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" s="6"/>
      </tp>
      <tp>
        <v>3.8022</v>
        <stp/>
        <stp>##V3_BDHV12</stp>
        <stp>RCOM IN Equity</stp>
        <stp>PX_ERN_RATIO_WITH_LOW_CLOS_PX</stp>
        <stp>FY 2011</stp>
        <stp>FY 2011</stp>
        <stp>[FA1_ymffleas.xlsx]Multiples!R9C4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" s="6"/>
      </tp>
      <tp>
        <v>5.2821999999999996</v>
        <stp/>
        <stp>##V3_BDHV12</stp>
        <stp>RCOM IN Equity</stp>
        <stp>PX_ERN_RATIO_WITH_LOW_CLOS_PX</stp>
        <stp>FY 2010</stp>
        <stp>FY 2010</stp>
        <stp>[FA1_ymffleas.xlsx]Multiples!R9C3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" s="6"/>
      </tp>
      <tp>
        <v>12.0329</v>
        <stp/>
        <stp>##V3_BDHV12</stp>
        <stp>RCOM IN Equity</stp>
        <stp>ACCOUNTS_RECEIVABLE_5_YR_GROWTH</stp>
        <stp>FY 2017</stp>
        <stp>FY 2017</stp>
        <stp>[FA1_ymffleas.xlsx]Growth!R45C11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5" s="22"/>
      </tp>
      <tp>
        <v>29.420100000000001</v>
        <stp/>
        <stp>##V3_BDHV12</stp>
        <stp>RCOM IN Equity</stp>
        <stp>EBITDA_PER_SH</stp>
        <stp>FY 2016</stp>
        <stp>FY 2016</stp>
        <stp>[FA1_ymffleas.xlsx]Per Share!R12C9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2" s="7"/>
      </tp>
      <tp>
        <v>17.3765</v>
        <stp/>
        <stp>##V3_BDHV12</stp>
        <stp>RCOM IN Equity</stp>
        <stp>ACCOUNTS_RECEIVABLE_5_YR_GROWTH</stp>
        <stp>FY 2016</stp>
        <stp>FY 2016</stp>
        <stp>[FA1_ymffleas.xlsx]Growth!R45C10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5" s="22"/>
      </tp>
      <tp>
        <v>6.2667000000000002</v>
        <stp/>
        <stp>##V3_BDHV12</stp>
        <stp>RCOM IN Equity</stp>
        <stp>ACCOUNTS_RECEIVABLE_5_YR_GROWTH</stp>
        <stp>FY 2018</stp>
        <stp>FY 2018</stp>
        <stp>[FA1_ymffleas.xlsx]Growth!R45C12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5" s="22"/>
      </tp>
      <tp>
        <v>47742.5</v>
        <stp/>
        <stp>##V3_BDHV12</stp>
        <stp>RCOM IN Equity</stp>
        <stp>IS_INC_BEF_XO_ITEM</stp>
        <stp>FY 2010</stp>
        <stp>FY 2010</stp>
        <stp>[FA1_ymffleas.xlsx]Income - GAAP!R65C3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5" s="10"/>
      </tp>
      <tp>
        <v>9890</v>
        <stp/>
        <stp>##V3_BDHV12</stp>
        <stp>RCOM IN Equity</stp>
        <stp>IS_INC_BEF_XO_ITEM</stp>
        <stp>FY 2012</stp>
        <stp>FY 2012</stp>
        <stp>[FA1_ymffleas.xlsx]Income - GAAP!R65C5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5" s="10"/>
      </tp>
      <tp>
        <v>14950</v>
        <stp/>
        <stp>##V3_BDHV12</stp>
        <stp>RCOM IN Equity</stp>
        <stp>IS_INC_BEF_XO_ITEM</stp>
        <stp>FY 2011</stp>
        <stp>FY 2011</stp>
        <stp>[FA1_ymffleas.xlsx]Income - GAAP!R65C4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5" s="10"/>
      </tp>
      <tp>
        <v>11390</v>
        <stp/>
        <stp>##V3_BDHV12</stp>
        <stp>RCOM IN Equity</stp>
        <stp>IS_INC_BEF_XO_ITEM</stp>
        <stp>FY 2014</stp>
        <stp>FY 2014</stp>
        <stp>[FA1_ymffleas.xlsx]Income - GAAP!R65C7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5" s="10"/>
      </tp>
      <tp>
        <v>7450</v>
        <stp/>
        <stp>##V3_BDHV12</stp>
        <stp>RCOM IN Equity</stp>
        <stp>IS_INC_BEF_XO_ITEM</stp>
        <stp>FY 2013</stp>
        <stp>FY 2013</stp>
        <stp>[FA1_ymffleas.xlsx]Income - GAAP!R65C6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5" s="10"/>
      </tp>
      <tp>
        <v>6600</v>
        <stp/>
        <stp>##V3_BDHV12</stp>
        <stp>RCOM IN Equity</stp>
        <stp>IS_INC_BEF_XO_ITEM</stp>
        <stp>FY 2016</stp>
        <stp>FY 2016</stp>
        <stp>[FA1_ymffleas.xlsx]Income - GAAP!R65C9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5" s="10"/>
      </tp>
      <tp>
        <v>6230</v>
        <stp/>
        <stp>##V3_BDHV12</stp>
        <stp>RCOM IN Equity</stp>
        <stp>IS_INC_BEF_XO_ITEM</stp>
        <stp>FY 2015</stp>
        <stp>FY 2015</stp>
        <stp>[FA1_ymffleas.xlsx]Income - GAAP!R65C8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5" s="10"/>
      </tp>
      <tp>
        <v>697280</v>
        <stp/>
        <stp>##V3_BDHV12</stp>
        <stp>RCOM IN Equity</stp>
        <stp>ARDR_PLANT_MACHINERY_EQUIP_GROSS</stp>
        <stp>FY 2017</stp>
        <stp>FY 2017</stp>
        <stp>[FA1_ymffleas.xlsx]Bal Sheet - As Reported!R174C11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4" s="17"/>
      </tp>
      <tp>
        <v>680160</v>
        <stp/>
        <stp>##V3_BDHV12</stp>
        <stp>RCOM IN Equity</stp>
        <stp>ARDR_PLANT_MACHINERY_EQUIP_GROSS</stp>
        <stp>FY 2016</stp>
        <stp>FY 2016</stp>
        <stp>[FA1_ymffleas.xlsx]Bal Sheet - As Reported!R174C10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4" s="17"/>
      </tp>
      <tp>
        <v>334910</v>
        <stp/>
        <stp>##V3_BDHV12</stp>
        <stp>RCOM IN Equity</stp>
        <stp>ARDR_PLANT_MACHINERY_EQUIP_GROSS</stp>
        <stp>FY 2018</stp>
        <stp>FY 2018</stp>
        <stp>[FA1_ymffleas.xlsx]Bal Sheet - As Reported!R174C12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4" s="17"/>
      </tp>
      <tp>
        <v>59.022399999999998</v>
        <stp/>
        <stp>##V3_BDHV12</stp>
        <stp>RCOM IN Equity</stp>
        <stp>ACCUM_DEPR_TO_GROSS_FA</stp>
        <stp>FY 2018</stp>
        <stp>FY 2018</stp>
        <stp>[FA1_ymffleas.xlsx]CAPEX &amp; Depreciation!R10C12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0" s="28"/>
      </tp>
      <tp>
        <v>35.720100000000002</v>
        <stp/>
        <stp>##V3_BDHV12</stp>
        <stp>RCOM IN Equity</stp>
        <stp>ACCUM_DEPR_TO_GROSS_FA</stp>
        <stp>FY 2017</stp>
        <stp>FY 2017</stp>
        <stp>[FA1_ymffleas.xlsx]CAPEX &amp; Depreciation!R10C11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0" s="28"/>
      </tp>
      <tp>
        <v>33.276600000000002</v>
        <stp/>
        <stp>##V3_BDHV12</stp>
        <stp>RCOM IN Equity</stp>
        <stp>ACCUM_DEPR_TO_GROSS_FA</stp>
        <stp>FY 2016</stp>
        <stp>FY 2016</stp>
        <stp>[FA1_ymffleas.xlsx]CAPEX &amp; Depreciation!R10C10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0" s="28"/>
      </tp>
      <tp>
        <v>480</v>
        <stp/>
        <stp>##V3_BDHV12</stp>
        <stp>RCOM IN Equity</stp>
        <stp>ARDR_CAPITAL_LEASE_BEYOND_YEAR_5</stp>
        <stp>FY 2017</stp>
        <stp>FY 2017</stp>
        <stp>[FA1_ymffleas.xlsx]Bal Sheet - As Reported!R200C11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0" s="17"/>
      </tp>
      <tp>
        <v>650</v>
        <stp/>
        <stp>##V3_BDHV12</stp>
        <stp>RCOM IN Equity</stp>
        <stp>ARDR_CAPITAL_LEASE_BEYOND_YEAR_5</stp>
        <stp>FY 2016</stp>
        <stp>FY 2016</stp>
        <stp>[FA1_ymffleas.xlsx]Bal Sheet - As Reported!R200C10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0" s="17"/>
      </tp>
      <tp>
        <v>0</v>
        <stp/>
        <stp>##V3_BDHV12</stp>
        <stp>RCOM IN Equity</stp>
        <stp>ARDR_CAPITAL_LEASE_BEYOND_YEAR_5</stp>
        <stp>FY 2018</stp>
        <stp>FY 2018</stp>
        <stp>[FA1_ymffleas.xlsx]Bal Sheet - As Reported!R200C12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0" s="17"/>
      </tp>
      <tp>
        <v>0.46810000000000002</v>
        <stp/>
        <stp>##V3_BDHV12</stp>
        <stp>RCOM IN Equity</stp>
        <stp>HIGH_CLOSING_PRICE_TO_BOOK_RATIO</stp>
        <stp>FY 2017</stp>
        <stp>FY 2017</stp>
        <stp>[FA1_ymffleas.xlsx]Multiples!R13C10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3" s="6"/>
      </tp>
      <tp>
        <v>2.1612999999999998</v>
        <stp/>
        <stp>##V3_BDHV12</stp>
        <stp>RCOM IN Equity</stp>
        <stp>HIGH_CLOSING_PRICE_TO_BOOK_RATIO</stp>
        <stp>FY 2018</stp>
        <stp>FY 2018</stp>
        <stp>[FA1_ymffleas.xlsx]Multiples!R13C11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3" s="6"/>
      </tp>
      <tp>
        <v>1.7061999999999999</v>
        <stp/>
        <stp>##V3_BDHV12</stp>
        <stp>RCOM IN Equity</stp>
        <stp>ACCT_RCV_TURN</stp>
        <stp>FY 2018</stp>
        <stp>FY 2018</stp>
        <stp>[FA1_ymffleas.xlsx]Working Capital!R6C12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6" s="25"/>
      </tp>
      <tp t="s">
        <v>—</v>
        <stp/>
        <stp>##V3_BDHV12</stp>
        <stp>RCOM IN Equity</stp>
        <stp>INVENT_DAYS</stp>
        <stp>FY 2014</stp>
        <stp>FY 2014</stp>
        <stp>[FA1_ymffleas.xlsx]Working Capital!R9C8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9" s="25"/>
      </tp>
      <tp>
        <v>60</v>
        <stp/>
        <stp>##V3_BDHV12</stp>
        <stp>RCOM IN Equity</stp>
        <stp>ARDR_SERVICE_COST_OPRB</stp>
        <stp>FY 2014</stp>
        <stp>FY 2014</stp>
        <stp>[FA1_ymffleas.xlsx]Income - As Reported!R128C8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8" s="11"/>
      </tp>
      <tp>
        <v>50</v>
        <stp/>
        <stp>##V3_BDHV12</stp>
        <stp>RCOM IN Equity</stp>
        <stp>ARDR_SERVICE_COST_OPRB</stp>
        <stp>FY 2015</stp>
        <stp>FY 2015</stp>
        <stp>[FA1_ymffleas.xlsx]Income - As Reported!R128C9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8" s="11"/>
      </tp>
      <tp>
        <v>91.1</v>
        <stp/>
        <stp>##V3_BDHV12</stp>
        <stp>RCOM IN Equity</stp>
        <stp>ARDR_SERVICE_COST_OPRB</stp>
        <stp>FY 2010</stp>
        <stp>FY 2010</stp>
        <stp>[FA1_ymffleas.xlsx]Income - As Reported!R128C4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8" s="11"/>
      </tp>
      <tp>
        <v>80</v>
        <stp/>
        <stp>##V3_BDHV12</stp>
        <stp>RCOM IN Equity</stp>
        <stp>ARDR_SERVICE_COST_OPRB</stp>
        <stp>FY 2011</stp>
        <stp>FY 2011</stp>
        <stp>[FA1_ymffleas.xlsx]Income - As Reported!R128C5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8" s="11"/>
      </tp>
      <tp>
        <v>70</v>
        <stp/>
        <stp>##V3_BDHV12</stp>
        <stp>RCOM IN Equity</stp>
        <stp>ARDR_SERVICE_COST_OPRB</stp>
        <stp>FY 2012</stp>
        <stp>FY 2012</stp>
        <stp>[FA1_ymffleas.xlsx]Income - As Reported!R128C6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8" s="11"/>
      </tp>
      <tp>
        <v>80</v>
        <stp/>
        <stp>##V3_BDHV12</stp>
        <stp>RCOM IN Equity</stp>
        <stp>ARDR_SERVICE_COST_OPRB</stp>
        <stp>FY 2013</stp>
        <stp>FY 2013</stp>
        <stp>[FA1_ymffleas.xlsx]Income - As Reported!R128C7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8" s="11"/>
      </tp>
      <tp>
        <v>96.9</v>
        <stp/>
        <stp>##V3_BDHV12</stp>
        <stp>RCOM IN Equity</stp>
        <stp>ARDR_SERVICE_COST_OPRB</stp>
        <stp>FY 2009</stp>
        <stp>FY 2009</stp>
        <stp>[FA1_ymffleas.xlsx]Income - As Reported!R128C3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8" s="11"/>
      </tp>
      <tp>
        <v>0</v>
        <stp/>
        <stp>##V3_BDHV12</stp>
        <stp>RCOM IN Equity</stp>
        <stp>IS_OPERATING_EXPENSES_R&amp;D</stp>
        <stp>FY 2017</stp>
        <stp>FY 2017</stp>
        <stp>[FA1_ymffleas.xlsx]Income - GAAP!R27C10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27" s="10"/>
      </tp>
      <tp>
        <v>0</v>
        <stp/>
        <stp>##V3_BDHV12</stp>
        <stp>RCOM IN Equity</stp>
        <stp>IS_OPERATING_EXPENSES_R&amp;D</stp>
        <stp>FY 2018</stp>
        <stp>FY 2018</stp>
        <stp>[FA1_ymffleas.xlsx]Income - GAAP!R27C11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27" s="10"/>
      </tp>
      <tp>
        <v>0.49569999999999997</v>
        <stp/>
        <stp>##V3_BDHV12</stp>
        <stp>RCOM IN Equity</stp>
        <stp>LOW_PX_TO_SALES_RATIO</stp>
        <stp>FY 2016</stp>
        <stp>FY 2016</stp>
        <stp>[FA1_ymffleas.xlsx]Multiples!R24C9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4" s="6"/>
      </tp>
      <tp>
        <v>5.6033999999999997</v>
        <stp/>
        <stp>##V3_BDHV12</stp>
        <stp>RCOM IN Equity</stp>
        <stp>DVD_PAYOUT_RATIO</stp>
        <stp>FY 2012</stp>
        <stp>FY 2012</stp>
        <stp>[FA1_ymffleas.xlsx]Profitability!R23C6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3" s="21"/>
      </tp>
      <tp>
        <v>51229.8</v>
        <stp/>
        <stp>##V3_BDHV12</stp>
        <stp>RCOM IN Equity</stp>
        <stp>EBIT</stp>
        <stp>FY 2009</stp>
        <stp>FY 2009</stp>
        <stp>[FA1_ymffleas.xlsx]Earnings!R22C3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22" s="4"/>
      </tp>
      <tp>
        <v>18720</v>
        <stp/>
        <stp>##V3_BDHV12</stp>
        <stp>RCOM IN Equity</stp>
        <stp>EBIT</stp>
        <stp>FY 2011</stp>
        <stp>FY 2011</stp>
        <stp>[FA1_ymffleas.xlsx]Earnings!R22C5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22" s="4"/>
      </tp>
      <tp>
        <v>3.4828999999999999</v>
        <stp/>
        <stp>##V3_BDHV12</stp>
        <stp>RCOM IN Equity</stp>
        <stp>NET_INCOME_TO_COMMON_MARGIN</stp>
        <stp>FY 2013</stp>
        <stp>FY 2013</stp>
        <stp>[FA1_ymffleas.xlsx]Profitability!R19C7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9" s="21"/>
      </tp>
      <tp>
        <v>32425.3</v>
        <stp/>
        <stp>##V3_BDHV12</stp>
        <stp>RCOM IN Equity</stp>
        <stp>EBIT</stp>
        <stp>FY 2010</stp>
        <stp>FY 2010</stp>
        <stp>[FA1_ymffleas.xlsx]Earnings!R22C4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22" s="4"/>
      </tp>
      <tp>
        <v>20960</v>
        <stp/>
        <stp>##V3_BDHV12</stp>
        <stp>RCOM IN Equity</stp>
        <stp>EBIT</stp>
        <stp>FY 2013</stp>
        <stp>FY 2013</stp>
        <stp>[FA1_ymffleas.xlsx]Earnings!R22C7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22" s="4"/>
      </tp>
      <tp>
        <v>18170</v>
        <stp/>
        <stp>##V3_BDHV12</stp>
        <stp>RCOM IN Equity</stp>
        <stp>EBIT</stp>
        <stp>FY 2012</stp>
        <stp>FY 2012</stp>
        <stp>[FA1_ymffleas.xlsx]Earnings!R22C6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22" s="4"/>
      </tp>
      <tp>
        <v>33890</v>
        <stp/>
        <stp>##V3_BDHV12</stp>
        <stp>RCOM IN Equity</stp>
        <stp>EBIT</stp>
        <stp>FY 2015</stp>
        <stp>FY 2015</stp>
        <stp>[FA1_ymffleas.xlsx]Earnings!R22C9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22" s="4"/>
      </tp>
      <tp>
        <v>21710</v>
        <stp/>
        <stp>##V3_BDHV12</stp>
        <stp>RCOM IN Equity</stp>
        <stp>EBIT</stp>
        <stp>FY 2014</stp>
        <stp>FY 2014</stp>
        <stp>[FA1_ymffleas.xlsx]Earnings!R22C8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22" s="4"/>
      </tp>
      <tp>
        <v>2650</v>
        <stp/>
        <stp>##V3_BDHV12</stp>
        <stp>RCOM IN Equity</stp>
        <stp>ARD_CONSTRUCTION_PROGRESS_NET</stp>
        <stp>FY 2018</stp>
        <stp>FY 2018</stp>
        <stp>[FA1_ymffleas.xlsx]Bal Sheet - As Reported!R33C12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3" s="17"/>
      </tp>
      <tp>
        <v>19090</v>
        <stp/>
        <stp>##V3_BDHV12</stp>
        <stp>RCOM IN Equity</stp>
        <stp>ARD_CONSTRUCTION_PROGRESS_NET</stp>
        <stp>FY 2017</stp>
        <stp>FY 2017</stp>
        <stp>[FA1_ymffleas.xlsx]Bal Sheet - As Reported!R33C11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3" s="17"/>
      </tp>
      <tp>
        <v>17540</v>
        <stp/>
        <stp>##V3_BDHV12</stp>
        <stp>RCOM IN Equity</stp>
        <stp>ARD_CONSTRUCTION_PROGRESS_NET</stp>
        <stp>FY 2016</stp>
        <stp>FY 2016</stp>
        <stp>[FA1_ymffleas.xlsx]Bal Sheet - As Reported!R33C10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3" s="17"/>
      </tp>
      <tp>
        <v>3.3329</v>
        <stp/>
        <stp>##V3_BDHV12</stp>
        <stp>RCOM IN Equity</stp>
        <stp>PROF_MARGIN</stp>
        <stp>FY 2015</stp>
        <stp>FY 2015</stp>
        <stp>[FA1_ymffleas.xlsx]Profitability!R18C9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8" s="21"/>
      </tp>
      <tp>
        <v>2296.6999999999998</v>
        <stp/>
        <stp>##V3_BDHV12</stp>
        <stp>RCOM IN Equity</stp>
        <stp>IS_NET_ABNORMAL_ITEMS</stp>
        <stp>FY 2012</stp>
        <stp>FY 2012</stp>
        <stp>[FA1_ymffleas.xlsx]Income - Adjusted!R106C5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6" s="9"/>
      </tp>
      <tp>
        <v>-2620.7874999999999</v>
        <stp/>
        <stp>##V3_BDHV12</stp>
        <stp>RCOM IN Equity</stp>
        <stp>IS_NET_ABNORMAL_ITEMS</stp>
        <stp>FY 2011</stp>
        <stp>FY 2011</stp>
        <stp>[FA1_ymffleas.xlsx]Income - Adjusted!R106C4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6" s="9"/>
      </tp>
      <tp>
        <v>72.611000000000004</v>
        <stp/>
        <stp>##V3_BDHV12</stp>
        <stp>RCOM IN Equity</stp>
        <stp>IS_NET_ABNORMAL_ITEMS</stp>
        <stp>FY 2014</stp>
        <stp>FY 2014</stp>
        <stp>[FA1_ymffleas.xlsx]Income - Adjusted!R106C7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6" s="9"/>
      </tp>
      <tp>
        <v>-33.005000000000003</v>
        <stp/>
        <stp>##V3_BDHV12</stp>
        <stp>RCOM IN Equity</stp>
        <stp>IS_NET_ABNORMAL_ITEMS</stp>
        <stp>FY 2013</stp>
        <stp>FY 2013</stp>
        <stp>[FA1_ymffleas.xlsx]Income - Adjusted!R106C6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6" s="9"/>
      </tp>
      <tp>
        <v>640.09900000000005</v>
        <stp/>
        <stp>##V3_BDHV12</stp>
        <stp>RCOM IN Equity</stp>
        <stp>IS_NET_ABNORMAL_ITEMS</stp>
        <stp>FY 2010</stp>
        <stp>FY 2010</stp>
        <stp>[FA1_ymffleas.xlsx]Income - Adjusted!R106C3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6" s="9"/>
      </tp>
      <tp>
        <v>-1405.885</v>
        <stp/>
        <stp>##V3_BDHV12</stp>
        <stp>RCOM IN Equity</stp>
        <stp>IS_NET_ABNORMAL_ITEMS</stp>
        <stp>FY 2016</stp>
        <stp>FY 2016</stp>
        <stp>[FA1_ymffleas.xlsx]Income - Adjusted!R106C9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6" s="9"/>
      </tp>
      <tp>
        <v>-209.24799999999999</v>
        <stp/>
        <stp>##V3_BDHV12</stp>
        <stp>RCOM IN Equity</stp>
        <stp>IS_NET_ABNORMAL_ITEMS</stp>
        <stp>FY 2015</stp>
        <stp>FY 2015</stp>
        <stp>[FA1_ymffleas.xlsx]Income - Adjusted!R106C8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6" s="9"/>
      </tp>
      <tp>
        <v>10470</v>
        <stp/>
        <stp>##V3_BDHV12</stp>
        <stp>RCOM IN Equity</stp>
        <stp>EARN_FOR_COMMON</stp>
        <stp>FY 2014</stp>
        <stp>FY 2014</stp>
        <stp>[FA1_ymffleas.xlsx]GAAP Highlights!R8C8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8" s="3"/>
      </tp>
      <tp>
        <v>25599.1</v>
        <stp/>
        <stp>##V3_BDHV12</stp>
        <stp>RCOM IN Equity</stp>
        <stp>CF_CHNG_NON_CASH_WORK_CAP</stp>
        <stp>FY 2010</stp>
        <stp>FY 2010</stp>
        <stp>[FA1_ymffleas.xlsx]Cash Flow - Standardized!R11C3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" s="19"/>
      </tp>
      <tp>
        <v>-6740</v>
        <stp/>
        <stp>##V3_BDHV12</stp>
        <stp>RCOM IN Equity</stp>
        <stp>CF_CHNG_NON_CASH_WORK_CAP</stp>
        <stp>FY 2012</stp>
        <stp>FY 2012</stp>
        <stp>[FA1_ymffleas.xlsx]Cash Flow - Standardized!R11C5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" s="19"/>
      </tp>
      <tp>
        <v>-60470</v>
        <stp/>
        <stp>##V3_BDHV12</stp>
        <stp>RCOM IN Equity</stp>
        <stp>CF_CHNG_NON_CASH_WORK_CAP</stp>
        <stp>FY 2011</stp>
        <stp>FY 2011</stp>
        <stp>[FA1_ymffleas.xlsx]Cash Flow - Standardized!R11C4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" s="19"/>
      </tp>
      <tp>
        <v>600</v>
        <stp/>
        <stp>##V3_BDHV12</stp>
        <stp>RCOM IN Equity</stp>
        <stp>CF_CHNG_NON_CASH_WORK_CAP</stp>
        <stp>FY 2014</stp>
        <stp>FY 2014</stp>
        <stp>[FA1_ymffleas.xlsx]Cash Flow - Standardized!R11C7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" s="19"/>
      </tp>
      <tp>
        <v>-28740</v>
        <stp/>
        <stp>##V3_BDHV12</stp>
        <stp>RCOM IN Equity</stp>
        <stp>CF_CHNG_NON_CASH_WORK_CAP</stp>
        <stp>FY 2013</stp>
        <stp>FY 2013</stp>
        <stp>[FA1_ymffleas.xlsx]Cash Flow - Standardized!R11C6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" s="19"/>
      </tp>
      <tp>
        <v>69230</v>
        <stp/>
        <stp>##V3_BDHV12</stp>
        <stp>RCOM IN Equity</stp>
        <stp>CF_CHNG_NON_CASH_WORK_CAP</stp>
        <stp>FY 2016</stp>
        <stp>FY 2016</stp>
        <stp>[FA1_ymffleas.xlsx]Cash Flow - Standardized!R11C9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" s="19"/>
      </tp>
      <tp>
        <v>-38310</v>
        <stp/>
        <stp>##V3_BDHV12</stp>
        <stp>RCOM IN Equity</stp>
        <stp>CF_CHNG_NON_CASH_WORK_CAP</stp>
        <stp>FY 2015</stp>
        <stp>FY 2015</stp>
        <stp>[FA1_ymffleas.xlsx]Cash Flow - Standardized!R11C8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" s="19"/>
      </tp>
      <tp>
        <v>7140</v>
        <stp/>
        <stp>##V3_BDHV12</stp>
        <stp>RCOM IN Equity</stp>
        <stp>EARN_FOR_COMMON</stp>
        <stp>FY 2015</stp>
        <stp>FY 2015</stp>
        <stp>[FA1_ymffleas.xlsx]GAAP Highlights!R8C9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8" s="3"/>
      </tp>
      <tp>
        <v>9280</v>
        <stp/>
        <stp>##V3_BDHV12</stp>
        <stp>RCOM IN Equity</stp>
        <stp>EARN_FOR_COMMON</stp>
        <stp>FY 2012</stp>
        <stp>FY 2012</stp>
        <stp>[FA1_ymffleas.xlsx]GAAP Highlights!R8C6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8" s="3"/>
      </tp>
      <tp>
        <v>6720</v>
        <stp/>
        <stp>##V3_BDHV12</stp>
        <stp>RCOM IN Equity</stp>
        <stp>EARN_FOR_COMMON</stp>
        <stp>FY 2013</stp>
        <stp>FY 2013</stp>
        <stp>[FA1_ymffleas.xlsx]GAAP Highlights!R8C7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8" s="3"/>
      </tp>
      <tp>
        <v>46550</v>
        <stp/>
        <stp>##V3_BDHV12</stp>
        <stp>RCOM IN Equity</stp>
        <stp>EARN_FOR_COMMON</stp>
        <stp>FY 2010</stp>
        <stp>FY 2010</stp>
        <stp>[FA1_ymffleas.xlsx]GAAP Highlights!R8C4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8" s="3"/>
      </tp>
      <tp>
        <v>13450</v>
        <stp/>
        <stp>##V3_BDHV12</stp>
        <stp>RCOM IN Equity</stp>
        <stp>EARN_FOR_COMMON</stp>
        <stp>FY 2011</stp>
        <stp>FY 2011</stp>
        <stp>[FA1_ymffleas.xlsx]GAAP Highlights!R8C5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8" s="3"/>
      </tp>
      <tp>
        <v>60449.3</v>
        <stp/>
        <stp>##V3_BDHV12</stp>
        <stp>RCOM IN Equity</stp>
        <stp>EARN_FOR_COMMON</stp>
        <stp>FY 2009</stp>
        <stp>FY 2009</stp>
        <stp>[FA1_ymffleas.xlsx]GAAP Highlights!R8C3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8" s="3"/>
      </tp>
      <tp>
        <v>0</v>
        <stp/>
        <stp>##V3_BDHV12</stp>
        <stp>RCOM IN Equity</stp>
        <stp>IS_NET_ABNORMAL_ITEMS</stp>
        <stp>FY 2017</stp>
        <stp>FY 2017</stp>
        <stp>[FA1_ymffleas.xlsx]Income - GAAP!R84C10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4" s="10"/>
      </tp>
      <tp>
        <v>0</v>
        <stp/>
        <stp>##V3_BDHV12</stp>
        <stp>RCOM IN Equity</stp>
        <stp>IS_NET_ABNORMAL_ITEMS</stp>
        <stp>FY 2018</stp>
        <stp>FY 2018</stp>
        <stp>[FA1_ymffleas.xlsx]Income - GAAP!R84C11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4" s="10"/>
      </tp>
      <tp>
        <v>35.723799999999997</v>
        <stp/>
        <stp>##V3_BDHV12</stp>
        <stp>RCOM IN Equity</stp>
        <stp>T12_EBIT_TO_REVENUE</stp>
        <stp>FY 2009</stp>
        <stp>FY 2009</stp>
        <stp>[FA1_ymffleas.xlsx]DuPont Analysis!R13C3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3" s="27"/>
      </tp>
      <tp t="s">
        <v>—</v>
        <stp/>
        <stp>##V3_BDHV12</stp>
        <stp>RCOM IN Equity</stp>
        <stp>IS_AMORT_OF_TOT_INTANG_P_DIL_SH</stp>
        <stp>FY 2017</stp>
        <stp>FY 2017</stp>
        <stp>[FA1_ymffleas.xlsx]SBC &amp; Amort!R28C11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8" s="13"/>
      </tp>
      <tp>
        <v>30.875299999999999</v>
        <stp/>
        <stp>##V3_BDHV12</stp>
        <stp>RCOM IN Equity</stp>
        <stp>EBITDA_PER_SH</stp>
        <stp>FY 2015</stp>
        <stp>FY 2015</stp>
        <stp>[FA1_ymffleas.xlsx]Per Share!R12C8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2" s="7"/>
      </tp>
      <tp t="s">
        <v>—</v>
        <stp/>
        <stp>##V3_BDHV12</stp>
        <stp>RCOM IN Equity</stp>
        <stp>IS_AMORT_OF_TOT_INTANG_P_DIL_SH</stp>
        <stp>FY 2016</stp>
        <stp>FY 2016</stp>
        <stp>[FA1_ymffleas.xlsx]SBC &amp; Amort!R28C10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8" s="13"/>
      </tp>
      <tp t="s">
        <v>—</v>
        <stp/>
        <stp>##V3_BDHV12</stp>
        <stp>RCOM IN Equity</stp>
        <stp>IS_AMORT_OF_TOT_INTANG_P_DIL_SH</stp>
        <stp>FY 2018</stp>
        <stp>FY 2018</stp>
        <stp>[FA1_ymffleas.xlsx]SBC &amp; Amort!R28C12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8" s="13"/>
      </tp>
      <tp>
        <v>30</v>
        <stp/>
        <stp>##V3_BDHV12</stp>
        <stp>RCOM IN Equity</stp>
        <stp>ARDR_EMPLOYER_CONTRIB_POST_RETIR</stp>
        <stp>FY 2018</stp>
        <stp>FY 2018</stp>
        <stp>[FA1_ymffleas.xlsx]Bal Sheet - As Reported!R130C12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0" s="17"/>
      </tp>
      <tp>
        <v>50</v>
        <stp/>
        <stp>##V3_BDHV12</stp>
        <stp>RCOM IN Equity</stp>
        <stp>ARDR_EMPLOYER_CONTRIB_POST_RETIR</stp>
        <stp>FY 2016</stp>
        <stp>FY 2016</stp>
        <stp>[FA1_ymffleas.xlsx]Bal Sheet - As Reported!R130C10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0" s="17"/>
      </tp>
      <tp>
        <v>0</v>
        <stp/>
        <stp>##V3_BDHV12</stp>
        <stp>RCOM IN Equity</stp>
        <stp>ARDR_EMPLOYER_CONTRIB_POST_RETIR</stp>
        <stp>FY 2017</stp>
        <stp>FY 2017</stp>
        <stp>[FA1_ymffleas.xlsx]Bal Sheet - As Reported!R130C11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0" s="17"/>
      </tp>
      <tp>
        <v>9550</v>
        <stp/>
        <stp>##V3_BDHV12</stp>
        <stp>RCOM IN Equity</stp>
        <stp>ARDR_OTHER_CURRENT_LIABILITIES</stp>
        <stp>FY 2017</stp>
        <stp>FY 2017</stp>
        <stp>[FA1_ymffleas.xlsx]Bal Sheet - As Reported!R87C11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7" s="17"/>
      </tp>
      <tp>
        <v>12630</v>
        <stp/>
        <stp>##V3_BDHV12</stp>
        <stp>RCOM IN Equity</stp>
        <stp>ARDR_OTHER_CURRENT_LIABILITIES</stp>
        <stp>FY 2016</stp>
        <stp>FY 2016</stp>
        <stp>[FA1_ymffleas.xlsx]Bal Sheet - As Reported!R87C10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7" s="17"/>
      </tp>
      <tp>
        <v>79270</v>
        <stp/>
        <stp>##V3_BDHV12</stp>
        <stp>RCOM IN Equity</stp>
        <stp>ARDR_OTHER_CURRENT_LIABILITIES</stp>
        <stp>FY 2018</stp>
        <stp>FY 2018</stp>
        <stp>[FA1_ymffleas.xlsx]Bal Sheet - As Reported!R87C12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7" s="17"/>
      </tp>
      <tp>
        <v>0</v>
        <stp/>
        <stp>##V3_BDHV12</stp>
        <stp>RCOM IN Equity</stp>
        <stp>ARDR_TOTAL_CAPITAL_LEASE</stp>
        <stp>FY 2018</stp>
        <stp>FY 2018</stp>
        <stp>[FA1_ymffleas.xlsx]Bal Sheet - As Reported!R201C12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1" s="17"/>
      </tp>
      <tp>
        <v>1210</v>
        <stp/>
        <stp>##V3_BDHV12</stp>
        <stp>RCOM IN Equity</stp>
        <stp>ARDR_TOTAL_CAPITAL_LEASE</stp>
        <stp>FY 2017</stp>
        <stp>FY 2017</stp>
        <stp>[FA1_ymffleas.xlsx]Bal Sheet - As Reported!R201C11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1" s="17"/>
      </tp>
      <tp>
        <v>1540</v>
        <stp/>
        <stp>##V3_BDHV12</stp>
        <stp>RCOM IN Equity</stp>
        <stp>ARDR_TOTAL_CAPITAL_LEASE</stp>
        <stp>FY 2016</stp>
        <stp>FY 2016</stp>
        <stp>[FA1_ymffleas.xlsx]Bal Sheet - As Reported!R201C10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1" s="17"/>
      </tp>
      <tp t="s">
        <v>—</v>
        <stp/>
        <stp>##V3_BDHV12</stp>
        <stp>RCOM IN Equity</stp>
        <stp>INVENT_DAYS</stp>
        <stp>FY 2015</stp>
        <stp>FY 2015</stp>
        <stp>[FA1_ymffleas.xlsx]Working Capital!R9C9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9" s="25"/>
      </tp>
      <tp>
        <v>209400</v>
        <stp/>
        <stp>##V3_BDHV12</stp>
        <stp>RCOM IN Equity</stp>
        <stp>SALES_REV_TURN</stp>
        <stp>FY 2014</stp>
        <stp>FY 2014</stp>
        <stp>[FA1_ymffleas.xlsx]GAAP Highlights!R6C8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6" s="3"/>
      </tp>
      <tp>
        <v>214230</v>
        <stp/>
        <stp>##V3_BDHV12</stp>
        <stp>RCOM IN Equity</stp>
        <stp>SALES_REV_TURN</stp>
        <stp>FY 2015</stp>
        <stp>FY 2015</stp>
        <stp>[FA1_ymffleas.xlsx]GAAP Highlights!R6C9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6" s="3"/>
      </tp>
      <tp>
        <v>187160</v>
        <stp/>
        <stp>##V3_BDHV12</stp>
        <stp>RCOM IN Equity</stp>
        <stp>SALES_REV_TURN</stp>
        <stp>FY 2012</stp>
        <stp>FY 2012</stp>
        <stp>[FA1_ymffleas.xlsx]GAAP Highlights!R6C6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6" s="3"/>
      </tp>
      <tp>
        <v>192940</v>
        <stp/>
        <stp>##V3_BDHV12</stp>
        <stp>RCOM IN Equity</stp>
        <stp>SALES_REV_TURN</stp>
        <stp>FY 2013</stp>
        <stp>FY 2013</stp>
        <stp>[FA1_ymffleas.xlsx]GAAP Highlights!R6C7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6" s="3"/>
      </tp>
      <tp>
        <v>206850.5</v>
        <stp/>
        <stp>##V3_BDHV12</stp>
        <stp>RCOM IN Equity</stp>
        <stp>SALES_REV_TURN</stp>
        <stp>FY 2010</stp>
        <stp>FY 2010</stp>
        <stp>[FA1_ymffleas.xlsx]GAAP Highlights!R6C4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6" s="3"/>
      </tp>
      <tp>
        <v>350781.36839999998</v>
        <stp/>
        <stp>##V3_BDHV12</stp>
        <stp>RCOM IN Equity</stp>
        <stp>HISTORICAL_MARKET_CAP</stp>
        <stp>FY 2010</stp>
        <stp>FY 2010</stp>
        <stp>[FA1_ymffleas.xlsx]Stock Value!R12C3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" s="8"/>
      </tp>
      <tp>
        <v>173481.45929999999</v>
        <stp/>
        <stp>##V3_BDHV12</stp>
        <stp>RCOM IN Equity</stp>
        <stp>HISTORICAL_MARKET_CAP</stp>
        <stp>FY 2012</stp>
        <stp>FY 2012</stp>
        <stp>[FA1_ymffleas.xlsx]Stock Value!R12C5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" s="8"/>
      </tp>
      <tp>
        <v>222192.49369999999</v>
        <stp/>
        <stp>##V3_BDHV12</stp>
        <stp>RCOM IN Equity</stp>
        <stp>HISTORICAL_MARKET_CAP</stp>
        <stp>FY 2011</stp>
        <stp>FY 2011</stp>
        <stp>[FA1_ymffleas.xlsx]Stock Value!R12C4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" s="8"/>
      </tp>
      <tp>
        <v>266053.065</v>
        <stp/>
        <stp>##V3_BDHV12</stp>
        <stp>RCOM IN Equity</stp>
        <stp>HISTORICAL_MARKET_CAP</stp>
        <stp>FY 2014</stp>
        <stp>FY 2014</stp>
        <stp>[FA1_ymffleas.xlsx]Stock Value!R12C7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" s="8"/>
      </tp>
      <tp>
        <v>114140.6865</v>
        <stp/>
        <stp>##V3_BDHV12</stp>
        <stp>RCOM IN Equity</stp>
        <stp>HISTORICAL_MARKET_CAP</stp>
        <stp>FY 2013</stp>
        <stp>FY 2013</stp>
        <stp>[FA1_ymffleas.xlsx]Stock Value!R12C6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" s="8"/>
      </tp>
      <tp>
        <v>124448.98729999999</v>
        <stp/>
        <stp>##V3_BDHV12</stp>
        <stp>RCOM IN Equity</stp>
        <stp>HISTORICAL_MARKET_CAP</stp>
        <stp>FY 2016</stp>
        <stp>FY 2016</stp>
        <stp>[FA1_ymffleas.xlsx]Stock Value!R12C9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" s="8"/>
      </tp>
      <tp>
        <v>147472.04990000001</v>
        <stp/>
        <stp>##V3_BDHV12</stp>
        <stp>RCOM IN Equity</stp>
        <stp>HISTORICAL_MARKET_CAP</stp>
        <stp>FY 2015</stp>
        <stp>FY 2015</stp>
        <stp>[FA1_ymffleas.xlsx]Stock Value!R12C8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" s="8"/>
      </tp>
      <tp>
        <v>220890</v>
        <stp/>
        <stp>##V3_BDHV12</stp>
        <stp>RCOM IN Equity</stp>
        <stp>SALES_REV_TURN</stp>
        <stp>FY 2011</stp>
        <stp>FY 2011</stp>
        <stp>[FA1_ymffleas.xlsx]GAAP Highlights!R6C5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6" s="3"/>
      </tp>
      <tp>
        <v>207429.1</v>
        <stp/>
        <stp>##V3_BDHV12</stp>
        <stp>RCOM IN Equity</stp>
        <stp>SALES_REV_TURN</stp>
        <stp>FY 2009</stp>
        <stp>FY 2009</stp>
        <stp>[FA1_ymffleas.xlsx]GAAP Highlights!R6C3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6" s="3"/>
      </tp>
      <tp>
        <v>454590</v>
        <stp/>
        <stp>##V3_BDHV12</stp>
        <stp>RCOM IN Equity</stp>
        <stp>BS_CUR_ASSET_REPORT</stp>
        <stp>FY 2018</stp>
        <stp>FY 2018</stp>
        <stp>[FA1_ymffleas.xlsx]GAAP Highlights!R15C12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" s="3"/>
      </tp>
      <tp>
        <v>117610</v>
        <stp/>
        <stp>##V3_BDHV12</stp>
        <stp>RCOM IN Equity</stp>
        <stp>BS_CUR_ASSET_REPORT</stp>
        <stp>FY 2016</stp>
        <stp>FY 2016</stp>
        <stp>[FA1_ymffleas.xlsx]GAAP Highlights!R15C10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" s="3"/>
      </tp>
      <tp>
        <v>130070</v>
        <stp/>
        <stp>##V3_BDHV12</stp>
        <stp>RCOM IN Equity</stp>
        <stp>BS_CUR_ASSET_REPORT</stp>
        <stp>FY 2017</stp>
        <stp>FY 2017</stp>
        <stp>[FA1_ymffleas.xlsx]GAAP Highlights!R15C11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" s="3"/>
      </tp>
      <tp>
        <v>0.55940000000000001</v>
        <stp/>
        <stp>##V3_BDHV12</stp>
        <stp>RCOM IN Equity</stp>
        <stp>LOW_PX_TO_SALES_RATIO</stp>
        <stp>FY 2015</stp>
        <stp>FY 2015</stp>
        <stp>[FA1_ymffleas.xlsx]Multiples!R24C8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4" s="6"/>
      </tp>
      <tp>
        <v>0</v>
        <stp/>
        <stp>##V3_BDHV12</stp>
        <stp>RCOM IN Equity</stp>
        <stp>ARDR_ST_INVEST</stp>
        <stp>FY 2016</stp>
        <stp>FY 2016</stp>
        <stp>[FA1_ymffleas.xlsx]Bal Sheet - As Reported!R120C10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0" s="17"/>
      </tp>
      <tp>
        <v>0</v>
        <stp/>
        <stp>##V3_BDHV12</stp>
        <stp>RCOM IN Equity</stp>
        <stp>ARDR_ST_INVEST</stp>
        <stp>FY 2017</stp>
        <stp>FY 2017</stp>
        <stp>[FA1_ymffleas.xlsx]Bal Sheet - As Reported!R120C11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0" s="17"/>
      </tp>
      <tp t="s">
        <v>—</v>
        <stp/>
        <stp>##V3_BDHV12</stp>
        <stp>RCOM IN Equity</stp>
        <stp>ARDR_ST_INVEST</stp>
        <stp>FY 2018</stp>
        <stp>FY 2018</stp>
        <stp>[FA1_ymffleas.xlsx]Bal Sheet - As Reported!R120C12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0" s="17"/>
      </tp>
      <tp>
        <v>7.7381000000000002</v>
        <stp/>
        <stp>##V3_BDHV12</stp>
        <stp>RCOM IN Equity</stp>
        <stp>DVD_PAYOUT_RATIO</stp>
        <stp>FY 2013</stp>
        <stp>FY 2013</stp>
        <stp>[FA1_ymffleas.xlsx]Profitability!R23C7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3" s="21"/>
      </tp>
      <tp>
        <v>15.675699999999999</v>
        <stp/>
        <stp>##V3_BDHV12</stp>
        <stp>RCOM IN Equity</stp>
        <stp>OPER_MARGIN</stp>
        <stp>FY 2010</stp>
        <stp>FY 2010</stp>
        <stp>[FA1_ymffleas.xlsx]Profitability!R14C4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4" s="21"/>
      </tp>
      <tp>
        <v>5</v>
        <stp/>
        <stp>##V3_BDHV12</stp>
        <stp>RCOM IN Equity</stp>
        <stp>NET_INCOME_TO_COMMON_MARGIN</stp>
        <stp>FY 2014</stp>
        <stp>FY 2014</stp>
        <stp>[FA1_ymffleas.xlsx]Profitability!R19C8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9" s="21"/>
      </tp>
      <tp>
        <v>4.9583000000000004</v>
        <stp/>
        <stp>##V3_BDHV12</stp>
        <stp>RCOM IN Equity</stp>
        <stp>PROF_MARGIN</stp>
        <stp>FY 2012</stp>
        <stp>FY 2012</stp>
        <stp>[FA1_ymffleas.xlsx]Profitability!R18C6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8" s="21"/>
      </tp>
      <tp>
        <v>-5910</v>
        <stp/>
        <stp>##V3_BDHV12</stp>
        <stp>RCOM IN Equity</stp>
        <stp>CF_PURCHASE_OF_FIXED_PROD_ASSETS</stp>
        <stp>FY 2018</stp>
        <stp>FY 2018</stp>
        <stp>[FA1_ymffleas.xlsx]Cash Flow - Standardized!R24C11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4" s="19"/>
      </tp>
      <tp>
        <v>-39200</v>
        <stp/>
        <stp>##V3_BDHV12</stp>
        <stp>RCOM IN Equity</stp>
        <stp>CF_PURCHASE_OF_FIXED_PROD_ASSETS</stp>
        <stp>FY 2017</stp>
        <stp>FY 2017</stp>
        <stp>[FA1_ymffleas.xlsx]Cash Flow - Standardized!R24C10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4" s="19"/>
      </tp>
      <tp>
        <v>6370</v>
        <stp/>
        <stp>##V3_BDHV12</stp>
        <stp>RCOM IN Equity</stp>
        <stp>ARD_NET_CASH_FROM_OPERATING_ACT</stp>
        <stp>FY 2018</stp>
        <stp>FY 2018</stp>
        <stp>[FA1_ymffleas.xlsx]Cash Flow - As Reported!R35C12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5" s="20"/>
      </tp>
      <tp>
        <v>-8620</v>
        <stp/>
        <stp>##V3_BDHV12</stp>
        <stp>RCOM IN Equity</stp>
        <stp>ARD_NET_CASH_FROM_OPERATING_ACT</stp>
        <stp>FY 2017</stp>
        <stp>FY 2017</stp>
        <stp>[FA1_ymffleas.xlsx]Cash Flow - As Reported!R35C11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5" s="20"/>
      </tp>
      <tp>
        <v>143040</v>
        <stp/>
        <stp>##V3_BDHV12</stp>
        <stp>RCOM IN Equity</stp>
        <stp>ARD_NET_CASH_FROM_OPERATING_ACT</stp>
        <stp>FY 2016</stp>
        <stp>FY 2016</stp>
        <stp>[FA1_ymffleas.xlsx]Cash Flow - As Reported!R35C10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5" s="20"/>
      </tp>
      <tp>
        <v>-14030</v>
        <stp/>
        <stp>##V3_BDHV12</stp>
        <stp>RCOM IN Equity</stp>
        <stp>REINVEST_EARN</stp>
        <stp>FY 2017</stp>
        <stp>FY 2017</stp>
        <stp>[FA1_ymffleas.xlsx]Sources of Capital!R12C11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12" s="32"/>
      </tp>
      <tp>
        <v>21330</v>
        <stp/>
        <stp>##V3_BDHV12</stp>
        <stp>RCOM IN Equity</stp>
        <stp>ARDR_ACCTS_RECEIVABLE_TRADE</stp>
        <stp>FY 2018</stp>
        <stp>FY 2018</stp>
        <stp>[FA1_ymffleas.xlsx]Bal Sheet - As Reported!R62C12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2" s="17"/>
      </tp>
      <tp>
        <v>29810</v>
        <stp/>
        <stp>##V3_BDHV12</stp>
        <stp>RCOM IN Equity</stp>
        <stp>ARDR_ACCTS_RECEIVABLE_TRADE</stp>
        <stp>FY 2016</stp>
        <stp>FY 2016</stp>
        <stp>[FA1_ymffleas.xlsx]Bal Sheet - As Reported!R62C10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2" s="17"/>
      </tp>
      <tp>
        <v>32510</v>
        <stp/>
        <stp>##V3_BDHV12</stp>
        <stp>RCOM IN Equity</stp>
        <stp>ARDR_ACCTS_RECEIVABLE_TRADE</stp>
        <stp>FY 2017</stp>
        <stp>FY 2017</stp>
        <stp>[FA1_ymffleas.xlsx]Bal Sheet - As Reported!R62C11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2" s="17"/>
      </tp>
      <tp>
        <v>6390</v>
        <stp/>
        <stp>##V3_BDHV12</stp>
        <stp>RCOM IN Equity</stp>
        <stp>REINVEST_EARN</stp>
        <stp>FY 2016</stp>
        <stp>FY 2016</stp>
        <stp>[FA1_ymffleas.xlsx]Sources of Capital!R12C10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12" s="32"/>
      </tp>
      <tp>
        <v>-238390</v>
        <stp/>
        <stp>##V3_BDHV12</stp>
        <stp>RCOM IN Equity</stp>
        <stp>REINVEST_EARN</stp>
        <stp>FY 2018</stp>
        <stp>FY 2018</stp>
        <stp>[FA1_ymffleas.xlsx]Sources of Capital!R12C12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12" s="32"/>
      </tp>
      <tp>
        <v>0</v>
        <stp/>
        <stp>##V3_BDHV12</stp>
        <stp>RCOM IN Equity</stp>
        <stp>CF_CASH_FOR_JOINT_VENTURES_ASSOC</stp>
        <stp>FY 2012</stp>
        <stp>FY 2012</stp>
        <stp>[FA1_ymffleas.xlsx]Cash Flow - Standardized!R32C5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2" s="19"/>
      </tp>
      <tp>
        <v>0</v>
        <stp/>
        <stp>##V3_BDHV12</stp>
        <stp>RCOM IN Equity</stp>
        <stp>CF_CASH_FOR_JOINT_VENTURES_ASSOC</stp>
        <stp>FY 2011</stp>
        <stp>FY 2011</stp>
        <stp>[FA1_ymffleas.xlsx]Cash Flow - Standardized!R32C4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2" s="19"/>
      </tp>
      <tp>
        <v>0</v>
        <stp/>
        <stp>##V3_BDHV12</stp>
        <stp>RCOM IN Equity</stp>
        <stp>CF_CASH_FOR_JOINT_VENTURES_ASSOC</stp>
        <stp>FY 2014</stp>
        <stp>FY 2014</stp>
        <stp>[FA1_ymffleas.xlsx]Cash Flow - Standardized!R32C7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2" s="19"/>
      </tp>
      <tp>
        <v>0</v>
        <stp/>
        <stp>##V3_BDHV12</stp>
        <stp>RCOM IN Equity</stp>
        <stp>CF_CASH_FOR_JOINT_VENTURES_ASSOC</stp>
        <stp>FY 2013</stp>
        <stp>FY 2013</stp>
        <stp>[FA1_ymffleas.xlsx]Cash Flow - Standardized!R32C6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2" s="19"/>
      </tp>
      <tp>
        <v>0</v>
        <stp/>
        <stp>##V3_BDHV12</stp>
        <stp>RCOM IN Equity</stp>
        <stp>CF_CASH_FOR_JOINT_VENTURES_ASSOC</stp>
        <stp>FY 2010</stp>
        <stp>FY 2010</stp>
        <stp>[FA1_ymffleas.xlsx]Cash Flow - Standardized!R32C3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2" s="19"/>
      </tp>
      <tp>
        <v>0</v>
        <stp/>
        <stp>##V3_BDHV12</stp>
        <stp>RCOM IN Equity</stp>
        <stp>CF_CASH_FOR_JOINT_VENTURES_ASSOC</stp>
        <stp>FY 2016</stp>
        <stp>FY 2016</stp>
        <stp>[FA1_ymffleas.xlsx]Cash Flow - Standardized!R32C9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2" s="19"/>
      </tp>
      <tp>
        <v>0</v>
        <stp/>
        <stp>##V3_BDHV12</stp>
        <stp>RCOM IN Equity</stp>
        <stp>CF_CASH_FOR_JOINT_VENTURES_ASSOC</stp>
        <stp>FY 2015</stp>
        <stp>FY 2015</stp>
        <stp>[FA1_ymffleas.xlsx]Cash Flow - Standardized!R32C8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2" s="19"/>
      </tp>
      <tp>
        <v>-14030</v>
        <stp/>
        <stp>##V3_BDHV12</stp>
        <stp>RCOM IN Equity</stp>
        <stp>NET_INCOME</stp>
        <stp>FY 2017</stp>
        <stp>FY 2017</stp>
        <stp>[FA1_ymffleas.xlsx]Income - Adjusted!R99C10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99" s="9"/>
      </tp>
      <tp>
        <v>-238390</v>
        <stp/>
        <stp>##V3_BDHV12</stp>
        <stp>RCOM IN Equity</stp>
        <stp>NET_INCOME</stp>
        <stp>FY 2018</stp>
        <stp>FY 2018</stp>
        <stp>[FA1_ymffleas.xlsx]Income - Adjusted!R99C11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99" s="9"/>
      </tp>
      <tp>
        <v>2.59</v>
        <stp/>
        <stp>##V3_BDHV12</stp>
        <stp>RCOM IN Equity</stp>
        <stp>IS_DILUTED_EPS</stp>
        <stp>FY 2016</stp>
        <stp>FY 2016</stp>
        <stp>[FA1_ymffleas.xlsx]GAAP Highlights!R10C10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0" s="3"/>
      </tp>
      <tp>
        <v>30190</v>
        <stp/>
        <stp>##V3_BDHV12</stp>
        <stp>RCOM IN Equity</stp>
        <stp>ARD_FINANCE_COSTS</stp>
        <stp>FY 2014</stp>
        <stp>FY 2014</stp>
        <stp>[FA1_ymffleas.xlsx]Cash Flow - As Reported!R37C8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7" s="20"/>
      </tp>
      <tp>
        <v>27550</v>
        <stp/>
        <stp>##V3_BDHV12</stp>
        <stp>RCOM IN Equity</stp>
        <stp>ARD_FINANCE_COSTS</stp>
        <stp>FY 2015</stp>
        <stp>FY 2015</stp>
        <stp>[FA1_ymffleas.xlsx]Cash Flow - As Reported!R37C9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7" s="20"/>
      </tp>
      <tp>
        <v>12585.2</v>
        <stp/>
        <stp>##V3_BDHV12</stp>
        <stp>RCOM IN Equity</stp>
        <stp>ARD_FINANCE_COSTS</stp>
        <stp>FY 2009</stp>
        <stp>FY 2009</stp>
        <stp>[FA1_ymffleas.xlsx]Cash Flow - As Reported!R37C3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7" s="20"/>
      </tp>
      <tp>
        <v>2096.5</v>
        <stp/>
        <stp>##V3_BDHV12</stp>
        <stp>RCOM IN Equity</stp>
        <stp>ARD_FINANCE_COSTS</stp>
        <stp>FY 2010</stp>
        <stp>FY 2010</stp>
        <stp>[FA1_ymffleas.xlsx]Cash Flow - As Reported!R37C4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7" s="20"/>
      </tp>
      <tp>
        <v>1140</v>
        <stp/>
        <stp>##V3_BDHV12</stp>
        <stp>RCOM IN Equity</stp>
        <stp>ARD_FINANCE_COSTS</stp>
        <stp>FY 2011</stp>
        <stp>FY 2011</stp>
        <stp>[FA1_ymffleas.xlsx]Cash Flow - As Reported!R37C5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7" s="20"/>
      </tp>
      <tp>
        <v>16300</v>
        <stp/>
        <stp>##V3_BDHV12</stp>
        <stp>RCOM IN Equity</stp>
        <stp>ARD_FINANCE_COSTS</stp>
        <stp>FY 2012</stp>
        <stp>FY 2012</stp>
        <stp>[FA1_ymffleas.xlsx]Cash Flow - As Reported!R37C6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7" s="20"/>
      </tp>
      <tp>
        <v>24990</v>
        <stp/>
        <stp>##V3_BDHV12</stp>
        <stp>RCOM IN Equity</stp>
        <stp>ARD_FINANCE_COSTS</stp>
        <stp>FY 2013</stp>
        <stp>FY 2013</stp>
        <stp>[FA1_ymffleas.xlsx]Cash Flow - As Reported!R37C7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7" s="20"/>
      </tp>
      <tp t="s">
        <v>—</v>
        <stp/>
        <stp>##V3_BDHV12</stp>
        <stp>RCOM IN Equity</stp>
        <stp>MODIFIED_WORKING_CPTL_SEQ_GRWTH</stp>
        <stp>FY 2017</stp>
        <stp>FY 2017</stp>
        <stp>[FA1_ymffleas.xlsx]Growth!R73C11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3" s="22"/>
      </tp>
      <tp t="s">
        <v>—</v>
        <stp/>
        <stp>##V3_BDHV12</stp>
        <stp>RCOM IN Equity</stp>
        <stp>MODIFIED_WORKING_CPTL_SEQ_GRWTH</stp>
        <stp>FY 2016</stp>
        <stp>FY 2016</stp>
        <stp>[FA1_ymffleas.xlsx]Growth!R73C10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3" s="22"/>
      </tp>
      <tp t="s">
        <v>—</v>
        <stp/>
        <stp>##V3_BDHV12</stp>
        <stp>RCOM IN Equity</stp>
        <stp>MODIFIED_WORKING_CPTL_SEQ_GRWTH</stp>
        <stp>FY 2018</stp>
        <stp>FY 2018</stp>
        <stp>[FA1_ymffleas.xlsx]Growth!R73C12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3" s="22"/>
      </tp>
      <tp>
        <v>32.489899999999999</v>
        <stp/>
        <stp>##V3_BDHV12</stp>
        <stp>RCOM IN Equity</stp>
        <stp>EBITDA_PER_SH</stp>
        <stp>FY 2014</stp>
        <stp>FY 2014</stp>
        <stp>[FA1_ymffleas.xlsx]Per Share!R12C7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2" s="7"/>
      </tp>
      <tp>
        <v>41103.444000000003</v>
        <stp/>
        <stp>##V3_BDHV12</stp>
        <stp>RCOM IN Equity</stp>
        <stp>BEST_OPP</stp>
        <stp>FY 2015</stp>
        <stp>FY 2015</stp>
        <stp>[FA1_ymffleas.xlsx]Earnings!R19C9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9" s="4"/>
      </tp>
      <tp>
        <v>41691.125</v>
        <stp/>
        <stp>##V3_BDHV12</stp>
        <stp>RCOM IN Equity</stp>
        <stp>BEST_OPP</stp>
        <stp>FY 2014</stp>
        <stp>FY 2014</stp>
        <stp>[FA1_ymffleas.xlsx]Earnings!R19C8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9" s="4"/>
      </tp>
      <tp>
        <v>997310</v>
        <stp/>
        <stp>##V3_BDHV12</stp>
        <stp>RCOM IN Equity</stp>
        <stp>ARD_TOT_ASSETS</stp>
        <stp>FY 2017</stp>
        <stp>FY 2017</stp>
        <stp>[FA1_ymffleas.xlsx]Bal Sheet - As Reported!R56C11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6" s="17"/>
      </tp>
      <tp>
        <v>1034540</v>
        <stp/>
        <stp>##V3_BDHV12</stp>
        <stp>RCOM IN Equity</stp>
        <stp>ARD_TOT_ASSETS</stp>
        <stp>FY 2016</stp>
        <stp>FY 2016</stp>
        <stp>[FA1_ymffleas.xlsx]Bal Sheet - As Reported!R56C10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6" s="17"/>
      </tp>
      <tp>
        <v>745780</v>
        <stp/>
        <stp>##V3_BDHV12</stp>
        <stp>RCOM IN Equity</stp>
        <stp>ARD_TOT_ASSETS</stp>
        <stp>FY 2018</stp>
        <stp>FY 2018</stp>
        <stp>[FA1_ymffleas.xlsx]Bal Sheet - As Reported!R56C12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6" s="17"/>
      </tp>
      <tp>
        <v>36916.214</v>
        <stp/>
        <stp>##V3_BDHV12</stp>
        <stp>RCOM IN Equity</stp>
        <stp>BEST_OPP</stp>
        <stp>FY 2013</stp>
        <stp>FY 2013</stp>
        <stp>[FA1_ymffleas.xlsx]Earnings!R19C7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9" s="4"/>
      </tp>
      <tp>
        <v>5120</v>
        <stp/>
        <stp>##V3_BDHV12</stp>
        <stp>RCOM IN Equity</stp>
        <stp>ARD_MIN_NONCONTROL_INT_SE</stp>
        <stp>FY 2015</stp>
        <stp>FY 2015</stp>
        <stp>[FA1_ymffleas.xlsx]Bal Sheet - As Reported!R8C9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17"/>
      </tp>
      <tp>
        <v>7430</v>
        <stp/>
        <stp>##V3_BDHV12</stp>
        <stp>RCOM IN Equity</stp>
        <stp>ARD_MIN_NONCONTROL_INT_SE</stp>
        <stp>FY 2014</stp>
        <stp>FY 2014</stp>
        <stp>[FA1_ymffleas.xlsx]Bal Sheet - As Reported!R8C8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17"/>
      </tp>
      <tp>
        <v>8240</v>
        <stp/>
        <stp>##V3_BDHV12</stp>
        <stp>RCOM IN Equity</stp>
        <stp>ARD_MIN_NONCONTROL_INT_SE</stp>
        <stp>FY 2011</stp>
        <stp>FY 2011</stp>
        <stp>[FA1_ymffleas.xlsx]Bal Sheet - As Reported!R8C5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17"/>
      </tp>
      <tp>
        <v>6583.9</v>
        <stp/>
        <stp>##V3_BDHV12</stp>
        <stp>RCOM IN Equity</stp>
        <stp>ARD_MIN_NONCONTROL_INT_SE</stp>
        <stp>FY 2010</stp>
        <stp>FY 2010</stp>
        <stp>[FA1_ymffleas.xlsx]Bal Sheet - As Reported!R8C4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17"/>
      </tp>
      <tp>
        <v>7250</v>
        <stp/>
        <stp>##V3_BDHV12</stp>
        <stp>RCOM IN Equity</stp>
        <stp>ARD_MIN_NONCONTROL_INT_SE</stp>
        <stp>FY 2013</stp>
        <stp>FY 2013</stp>
        <stp>[FA1_ymffleas.xlsx]Bal Sheet - As Reported!R8C7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17"/>
      </tp>
      <tp>
        <v>8600</v>
        <stp/>
        <stp>##V3_BDHV12</stp>
        <stp>RCOM IN Equity</stp>
        <stp>ARD_MIN_NONCONTROL_INT_SE</stp>
        <stp>FY 2012</stp>
        <stp>FY 2012</stp>
        <stp>[FA1_ymffleas.xlsx]Bal Sheet - As Reported!R8C6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17"/>
      </tp>
      <tp>
        <v>6549.2</v>
        <stp/>
        <stp>##V3_BDHV12</stp>
        <stp>RCOM IN Equity</stp>
        <stp>ARD_MIN_NONCONTROL_INT_SE</stp>
        <stp>FY 2009</stp>
        <stp>FY 2009</stp>
        <stp>[FA1_ymffleas.xlsx]Bal Sheet - As Reported!R8C3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17"/>
      </tp>
      <tp>
        <v>30925.167000000001</v>
        <stp/>
        <stp>##V3_BDHV12</stp>
        <stp>RCOM IN Equity</stp>
        <stp>BEST_OPP</stp>
        <stp>FY 2012</stp>
        <stp>FY 2012</stp>
        <stp>[FA1_ymffleas.xlsx]Earnings!R19C6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9" s="4"/>
      </tp>
      <tp>
        <v>30102.7</v>
        <stp/>
        <stp>##V3_BDHV12</stp>
        <stp>RCOM IN Equity</stp>
        <stp>BEST_OPP</stp>
        <stp>FY 2011</stp>
        <stp>FY 2011</stp>
        <stp>[FA1_ymffleas.xlsx]Earnings!R19C5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9" s="4"/>
      </tp>
      <tp>
        <v>54921.786</v>
        <stp/>
        <stp>##V3_BDHV12</stp>
        <stp>RCOM IN Equity</stp>
        <stp>BEST_OPP</stp>
        <stp>FY 2010</stp>
        <stp>FY 2010</stp>
        <stp>[FA1_ymffleas.xlsx]Earnings!R19C4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9" s="4"/>
      </tp>
      <tp>
        <v>59751</v>
        <stp/>
        <stp>##V3_BDHV12</stp>
        <stp>RCOM IN Equity</stp>
        <stp>BEST_OPP</stp>
        <stp>FY 2009</stp>
        <stp>FY 2009</stp>
        <stp>[FA1_ymffleas.xlsx]Earnings!R19C3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9" s="4"/>
      </tp>
      <tp>
        <v>59225.167000000001</v>
        <stp/>
        <stp>##V3_BDHV12</stp>
        <stp>RCOM IN Equity</stp>
        <stp>BEST_PTP</stp>
        <stp>FY 2009</stp>
        <stp>FY 2009</stp>
        <stp>[FA1_ymffleas.xlsx]Earnings!R36C3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6" s="4"/>
      </tp>
      <tp>
        <v>44270.608999999997</v>
        <stp/>
        <stp>##V3_BDHV12</stp>
        <stp>RCOM IN Equity</stp>
        <stp>BEST_PTP</stp>
        <stp>FY 2010</stp>
        <stp>FY 2010</stp>
        <stp>[FA1_ymffleas.xlsx]Earnings!R36C4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6" s="4"/>
      </tp>
      <tp>
        <v>15797.194</v>
        <stp/>
        <stp>##V3_BDHV12</stp>
        <stp>RCOM IN Equity</stp>
        <stp>BEST_PTP</stp>
        <stp>FY 2011</stp>
        <stp>FY 2011</stp>
        <stp>[FA1_ymffleas.xlsx]Earnings!R36C5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6" s="4"/>
      </tp>
      <tp>
        <v>10403.607</v>
        <stp/>
        <stp>##V3_BDHV12</stp>
        <stp>RCOM IN Equity</stp>
        <stp>BEST_PTP</stp>
        <stp>FY 2012</stp>
        <stp>FY 2012</stp>
        <stp>[FA1_ymffleas.xlsx]Earnings!R36C6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6" s="4"/>
      </tp>
      <tp>
        <v>6620.13</v>
        <stp/>
        <stp>##V3_BDHV12</stp>
        <stp>RCOM IN Equity</stp>
        <stp>BEST_PTP</stp>
        <stp>FY 2013</stp>
        <stp>FY 2013</stp>
        <stp>[FA1_ymffleas.xlsx]Earnings!R36C7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6" s="4"/>
      </tp>
      <tp>
        <v>12878.15</v>
        <stp/>
        <stp>##V3_BDHV12</stp>
        <stp>RCOM IN Equity</stp>
        <stp>BEST_PTP</stp>
        <stp>FY 2014</stp>
        <stp>FY 2014</stp>
        <stp>[FA1_ymffleas.xlsx]Earnings!R36C8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6" s="4"/>
      </tp>
      <tp>
        <v>10526.294</v>
        <stp/>
        <stp>##V3_BDHV12</stp>
        <stp>RCOM IN Equity</stp>
        <stp>BEST_PTP</stp>
        <stp>FY 2015</stp>
        <stp>FY 2015</stp>
        <stp>[FA1_ymffleas.xlsx]Earnings!R36C9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6" s="4"/>
      </tp>
      <tp t="s">
        <v>—</v>
        <stp/>
        <stp>##V3_BDHV12</stp>
        <stp>RCOM IN Equity</stp>
        <stp>ARD_DEFERRED_INCOME_TAXES_LIAB</stp>
        <stp>FY 2018</stp>
        <stp>FY 2018</stp>
        <stp>[FA1_ymffleas.xlsx]Bal Sheet - As Reported!R18C12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" s="17"/>
      </tp>
      <tp t="s">
        <v>—</v>
        <stp/>
        <stp>##V3_BDHV12</stp>
        <stp>RCOM IN Equity</stp>
        <stp>ARD_DEFERRED_INCOME_TAXES_LIAB</stp>
        <stp>FY 2016</stp>
        <stp>FY 2016</stp>
        <stp>[FA1_ymffleas.xlsx]Bal Sheet - As Reported!R18C10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" s="17"/>
      </tp>
      <tp t="s">
        <v>—</v>
        <stp/>
        <stp>##V3_BDHV12</stp>
        <stp>RCOM IN Equity</stp>
        <stp>ARD_DEFERRED_INCOME_TAXES_LIAB</stp>
        <stp>FY 2017</stp>
        <stp>FY 2017</stp>
        <stp>[FA1_ymffleas.xlsx]Bal Sheet - As Reported!R18C11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" s="17"/>
      </tp>
      <tp t="s">
        <v>—</v>
        <stp/>
        <stp>##V3_BDHV12</stp>
        <stp>RCOM IN Equity</stp>
        <stp>BS_TAXES_RECEIVABLE_SHORT_TERM</stp>
        <stp>FY 2015</stp>
        <stp>FY 2015</stp>
        <stp>[FA1_ymffleas.xlsx]Bal Sheet - Standardized!R37C9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7" s="16"/>
      </tp>
      <tp t="s">
        <v>—</v>
        <stp/>
        <stp>##V3_BDHV12</stp>
        <stp>RCOM IN Equity</stp>
        <stp>BS_TAXES_RECEIVABLE_SHORT_TERM</stp>
        <stp>FY 2014</stp>
        <stp>FY 2014</stp>
        <stp>[FA1_ymffleas.xlsx]Bal Sheet - Standardized!R37C8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7" s="16"/>
      </tp>
      <tp t="s">
        <v>—</v>
        <stp/>
        <stp>##V3_BDHV12</stp>
        <stp>RCOM IN Equity</stp>
        <stp>BS_TAXES_RECEIVABLE_SHORT_TERM</stp>
        <stp>FY 2013</stp>
        <stp>FY 2013</stp>
        <stp>[FA1_ymffleas.xlsx]Bal Sheet - Standardized!R37C7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7" s="16"/>
      </tp>
      <tp t="s">
        <v>—</v>
        <stp/>
        <stp>##V3_BDHV12</stp>
        <stp>RCOM IN Equity</stp>
        <stp>BS_TAXES_RECEIVABLE_SHORT_TERM</stp>
        <stp>FY 2012</stp>
        <stp>FY 2012</stp>
        <stp>[FA1_ymffleas.xlsx]Bal Sheet - Standardized!R37C6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7" s="16"/>
      </tp>
      <tp t="s">
        <v>—</v>
        <stp/>
        <stp>##V3_BDHV12</stp>
        <stp>RCOM IN Equity</stp>
        <stp>BS_TAXES_RECEIVABLE_SHORT_TERM</stp>
        <stp>FY 2011</stp>
        <stp>FY 2011</stp>
        <stp>[FA1_ymffleas.xlsx]Bal Sheet - Standardized!R37C5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7" s="16"/>
      </tp>
      <tp t="s">
        <v>—</v>
        <stp/>
        <stp>##V3_BDHV12</stp>
        <stp>RCOM IN Equity</stp>
        <stp>BS_TAXES_RECEIVABLE_SHORT_TERM</stp>
        <stp>FY 2010</stp>
        <stp>FY 2010</stp>
        <stp>[FA1_ymffleas.xlsx]Bal Sheet - Standardized!R37C4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7" s="16"/>
      </tp>
      <tp t="s">
        <v>—</v>
        <stp/>
        <stp>##V3_BDHV12</stp>
        <stp>RCOM IN Equity</stp>
        <stp>BS_TAXES_RECEIVABLE_SHORT_TERM</stp>
        <stp>FY 2009</stp>
        <stp>FY 2009</stp>
        <stp>[FA1_ymffleas.xlsx]Bal Sheet - Standardized!R37C3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7" s="16"/>
      </tp>
      <tp>
        <v>907390</v>
        <stp/>
        <stp>##V3_BDHV12</stp>
        <stp>RCOM IN Equity</stp>
        <stp>TOT_LIAB_AND_EQY</stp>
        <stp>FY 2014</stp>
        <stp>FY 2014</stp>
        <stp>[FA1_ymffleas.xlsx]Bal Sheet - Standardized!R153C8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3" s="16"/>
      </tp>
      <tp>
        <v>912840</v>
        <stp/>
        <stp>##V3_BDHV12</stp>
        <stp>RCOM IN Equity</stp>
        <stp>TOT_LIAB_AND_EQY</stp>
        <stp>FY 2015</stp>
        <stp>FY 2015</stp>
        <stp>[FA1_ymffleas.xlsx]Bal Sheet - Standardized!R153C9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3" s="16"/>
      </tp>
      <tp>
        <v>925686.3</v>
        <stp/>
        <stp>##V3_BDHV12</stp>
        <stp>RCOM IN Equity</stp>
        <stp>TOT_LIAB_AND_EQY</stp>
        <stp>FY 2010</stp>
        <stp>FY 2010</stp>
        <stp>[FA1_ymffleas.xlsx]Bal Sheet - Standardized!R153C4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3" s="16"/>
      </tp>
      <tp>
        <v>947230</v>
        <stp/>
        <stp>##V3_BDHV12</stp>
        <stp>RCOM IN Equity</stp>
        <stp>TOT_LIAB_AND_EQY</stp>
        <stp>FY 2011</stp>
        <stp>FY 2011</stp>
        <stp>[FA1_ymffleas.xlsx]Bal Sheet - Standardized!R153C5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3" s="16"/>
      </tp>
      <tp>
        <v>922650</v>
        <stp/>
        <stp>##V3_BDHV12</stp>
        <stp>RCOM IN Equity</stp>
        <stp>TOT_LIAB_AND_EQY</stp>
        <stp>FY 2012</stp>
        <stp>FY 2012</stp>
        <stp>[FA1_ymffleas.xlsx]Bal Sheet - Standardized!R153C6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3" s="16"/>
      </tp>
      <tp>
        <v>901820</v>
        <stp/>
        <stp>##V3_BDHV12</stp>
        <stp>RCOM IN Equity</stp>
        <stp>TOT_LIAB_AND_EQY</stp>
        <stp>FY 2013</stp>
        <stp>FY 2013</stp>
        <stp>[FA1_ymffleas.xlsx]Bal Sheet - Standardized!R153C7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3" s="16"/>
      </tp>
      <tp>
        <v>1022069.9</v>
        <stp/>
        <stp>##V3_BDHV12</stp>
        <stp>RCOM IN Equity</stp>
        <stp>TOT_LIAB_AND_EQY</stp>
        <stp>FY 2009</stp>
        <stp>FY 2009</stp>
        <stp>[FA1_ymffleas.xlsx]Bal Sheet - Standardized!R153C3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3" s="16"/>
      </tp>
      <tp>
        <v>90</v>
        <stp/>
        <stp>##V3_BDHV12</stp>
        <stp>RCOM IN Equity</stp>
        <stp>ARDR_AUDITOR_REMEN_AUDIT</stp>
        <stp>FY 2014</stp>
        <stp>FY 2014</stp>
        <stp>[FA1_ymffleas.xlsx]Income - As Reported!R100C8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0" s="11"/>
      </tp>
      <tp>
        <v>90</v>
        <stp/>
        <stp>##V3_BDHV12</stp>
        <stp>RCOM IN Equity</stp>
        <stp>ARDR_AUDITOR_REMEN_AUDIT</stp>
        <stp>FY 2015</stp>
        <stp>FY 2015</stp>
        <stp>[FA1_ymffleas.xlsx]Income - As Reported!R100C9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0" s="11"/>
      </tp>
      <tp>
        <v>114.7</v>
        <stp/>
        <stp>##V3_BDHV12</stp>
        <stp>RCOM IN Equity</stp>
        <stp>ARDR_AUDITOR_REMEN_AUDIT</stp>
        <stp>FY 2010</stp>
        <stp>FY 2010</stp>
        <stp>[FA1_ymffleas.xlsx]Income - As Reported!R100C4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0" s="11"/>
      </tp>
      <tp>
        <v>90</v>
        <stp/>
        <stp>##V3_BDHV12</stp>
        <stp>RCOM IN Equity</stp>
        <stp>ARDR_AUDITOR_REMEN_AUDIT</stp>
        <stp>FY 2011</stp>
        <stp>FY 2011</stp>
        <stp>[FA1_ymffleas.xlsx]Income - As Reported!R100C5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0" s="11"/>
      </tp>
      <tp>
        <v>90</v>
        <stp/>
        <stp>##V3_BDHV12</stp>
        <stp>RCOM IN Equity</stp>
        <stp>ARDR_AUDITOR_REMEN_AUDIT</stp>
        <stp>FY 2012</stp>
        <stp>FY 2012</stp>
        <stp>[FA1_ymffleas.xlsx]Income - As Reported!R100C6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0" s="11"/>
      </tp>
      <tp>
        <v>90</v>
        <stp/>
        <stp>##V3_BDHV12</stp>
        <stp>RCOM IN Equity</stp>
        <stp>ARDR_AUDITOR_REMEN_AUDIT</stp>
        <stp>FY 2013</stp>
        <stp>FY 2013</stp>
        <stp>[FA1_ymffleas.xlsx]Income - As Reported!R100C7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0" s="11"/>
      </tp>
      <tp>
        <v>96.6</v>
        <stp/>
        <stp>##V3_BDHV12</stp>
        <stp>RCOM IN Equity</stp>
        <stp>ARDR_AUDITOR_REMEN_AUDIT</stp>
        <stp>FY 2009</stp>
        <stp>FY 2009</stp>
        <stp>[FA1_ymffleas.xlsx]Income - As Reported!R100C3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0" s="11"/>
      </tp>
      <tp>
        <v>0</v>
        <stp/>
        <stp>##V3_BDHV12</stp>
        <stp>RCOM IN Equity</stp>
        <stp>XO_GL_NET_OF_TAX</stp>
        <stp>FY 2013</stp>
        <stp>FY 2013</stp>
        <stp>[FA1_ymffleas.xlsx]Income - Adjusted!R107C6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7" s="9"/>
      </tp>
      <tp>
        <v>0</v>
        <stp/>
        <stp>##V3_BDHV12</stp>
        <stp>RCOM IN Equity</stp>
        <stp>XO_GL_NET_OF_TAX</stp>
        <stp>FY 2014</stp>
        <stp>FY 2014</stp>
        <stp>[FA1_ymffleas.xlsx]Income - Adjusted!R107C7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7" s="9"/>
      </tp>
      <tp>
        <v>0</v>
        <stp/>
        <stp>##V3_BDHV12</stp>
        <stp>RCOM IN Equity</stp>
        <stp>XO_GL_NET_OF_TAX</stp>
        <stp>FY 2011</stp>
        <stp>FY 2011</stp>
        <stp>[FA1_ymffleas.xlsx]Income - Adjusted!R107C4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7" s="9"/>
      </tp>
      <tp>
        <v>0</v>
        <stp/>
        <stp>##V3_BDHV12</stp>
        <stp>RCOM IN Equity</stp>
        <stp>XO_GL_NET_OF_TAX</stp>
        <stp>FY 2012</stp>
        <stp>FY 2012</stp>
        <stp>[FA1_ymffleas.xlsx]Income - Adjusted!R107C5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7" s="9"/>
      </tp>
      <tp>
        <v>0</v>
        <stp/>
        <stp>##V3_BDHV12</stp>
        <stp>RCOM IN Equity</stp>
        <stp>XO_GL_NET_OF_TAX</stp>
        <stp>FY 2010</stp>
        <stp>FY 2010</stp>
        <stp>[FA1_ymffleas.xlsx]Income - Adjusted!R107C3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7" s="9"/>
      </tp>
      <tp>
        <v>0</v>
        <stp/>
        <stp>##V3_BDHV12</stp>
        <stp>RCOM IN Equity</stp>
        <stp>XO_GL_NET_OF_TAX</stp>
        <stp>FY 2015</stp>
        <stp>FY 2015</stp>
        <stp>[FA1_ymffleas.xlsx]Income - Adjusted!R107C8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7" s="9"/>
      </tp>
      <tp>
        <v>0</v>
        <stp/>
        <stp>##V3_BDHV12</stp>
        <stp>RCOM IN Equity</stp>
        <stp>XO_GL_NET_OF_TAX</stp>
        <stp>FY 2016</stp>
        <stp>FY 2016</stp>
        <stp>[FA1_ymffleas.xlsx]Income - Adjusted!R107C9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7" s="9"/>
      </tp>
      <tp>
        <v>2131.0645</v>
        <stp/>
        <stp>##V3_BDHV12</stp>
        <stp>RCOM IN Equity</stp>
        <stp>INVENT_DAYS</stp>
        <stp>FY 2012</stp>
        <stp>FY 2012</stp>
        <stp>[FA1_ymffleas.xlsx]Working Capital!R9C6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9" s="25"/>
      </tp>
      <tp>
        <v>1742</v>
        <stp/>
        <stp>##V3_BDHV12</stp>
        <stp>RCOM IN Equity</stp>
        <stp>BS_FUTURE_MIN_OPER_LEASE_OBLIG</stp>
        <stp>FY 2009</stp>
        <stp>FY 2009</stp>
        <stp>[FA1_ymffleas.xlsx]Bal Sheet - Standardized!R161C3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1" s="16"/>
      </tp>
      <tp>
        <v>45096.9</v>
        <stp/>
        <stp>##V3_BDHV12</stp>
        <stp>RCOM IN Equity</stp>
        <stp>BS_FUTURE_MIN_OPER_LEASE_OBLIG</stp>
        <stp>FY 2010</stp>
        <stp>FY 2010</stp>
        <stp>[FA1_ymffleas.xlsx]Bal Sheet - Standardized!R161C4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1" s="16"/>
      </tp>
      <tp>
        <v>1690</v>
        <stp/>
        <stp>##V3_BDHV12</stp>
        <stp>RCOM IN Equity</stp>
        <stp>BS_FUTURE_MIN_OPER_LEASE_OBLIG</stp>
        <stp>FY 2011</stp>
        <stp>FY 2011</stp>
        <stp>[FA1_ymffleas.xlsx]Bal Sheet - Standardized!R161C5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1" s="16"/>
      </tp>
      <tp>
        <v>1680</v>
        <stp/>
        <stp>##V3_BDHV12</stp>
        <stp>RCOM IN Equity</stp>
        <stp>BS_FUTURE_MIN_OPER_LEASE_OBLIG</stp>
        <stp>FY 2012</stp>
        <stp>FY 2012</stp>
        <stp>[FA1_ymffleas.xlsx]Bal Sheet - Standardized!R161C6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1" s="16"/>
      </tp>
      <tp>
        <v>1840</v>
        <stp/>
        <stp>##V3_BDHV12</stp>
        <stp>RCOM IN Equity</stp>
        <stp>BS_FUTURE_MIN_OPER_LEASE_OBLIG</stp>
        <stp>FY 2013</stp>
        <stp>FY 2013</stp>
        <stp>[FA1_ymffleas.xlsx]Bal Sheet - Standardized!R161C7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1" s="16"/>
      </tp>
      <tp>
        <v>860</v>
        <stp/>
        <stp>##V3_BDHV12</stp>
        <stp>RCOM IN Equity</stp>
        <stp>BS_FUTURE_MIN_OPER_LEASE_OBLIG</stp>
        <stp>FY 2014</stp>
        <stp>FY 2014</stp>
        <stp>[FA1_ymffleas.xlsx]Bal Sheet - Standardized!R161C8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1" s="16"/>
      </tp>
      <tp>
        <v>680</v>
        <stp/>
        <stp>##V3_BDHV12</stp>
        <stp>RCOM IN Equity</stp>
        <stp>BS_FUTURE_MIN_OPER_LEASE_OBLIG</stp>
        <stp>FY 2015</stp>
        <stp>FY 2015</stp>
        <stp>[FA1_ymffleas.xlsx]Bal Sheet - Standardized!R161C9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1" s="16"/>
      </tp>
      <tp>
        <v>0.58360000000000001</v>
        <stp/>
        <stp>##V3_BDHV12</stp>
        <stp>RCOM IN Equity</stp>
        <stp>LOW_PX_TO_SALES_RATIO</stp>
        <stp>FY 2014</stp>
        <stp>FY 2014</stp>
        <stp>[FA1_ymffleas.xlsx]Multiples!R24C7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4" s="6"/>
      </tp>
      <tp>
        <v>0</v>
        <stp/>
        <stp>##V3_BDHV12</stp>
        <stp>RCOM IN Equity</stp>
        <stp>DVD_PAYOUT_RATIO</stp>
        <stp>FY 2014</stp>
        <stp>FY 2014</stp>
        <stp>[FA1_ymffleas.xlsx]Profitability!R23C8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3" s="21"/>
      </tp>
      <tp>
        <v>2000</v>
        <stp/>
        <stp>##V3_BDHV12</stp>
        <stp>RCOM IN Equity</stp>
        <stp>IS_NET_INTEREST_EXPENSE</stp>
        <stp>FY 2017</stp>
        <stp>FY 2017</stp>
        <stp>[FA1_ymffleas.xlsx]Income - Adjusted!R39C10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39" s="9"/>
      </tp>
      <tp>
        <v>1560</v>
        <stp/>
        <stp>##V3_BDHV12</stp>
        <stp>RCOM IN Equity</stp>
        <stp>IS_NET_INTEREST_EXPENSE</stp>
        <stp>FY 2018</stp>
        <stp>FY 2018</stp>
        <stp>[FA1_ymffleas.xlsx]Income - Adjusted!R39C11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39" s="9"/>
      </tp>
      <tp>
        <v>0.50649999999999995</v>
        <stp/>
        <stp>##V3_BDHV12</stp>
        <stp>RCOM IN Equity</stp>
        <stp>IS_DIL_EPS_CONT_OPS</stp>
        <stp>FY 2017</stp>
        <stp>FY 2017</stp>
        <stp>[FA1_ymffleas.xlsx]Per Share!R19C10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9" s="7"/>
      </tp>
      <tp>
        <v>0.18970000000000001</v>
        <stp/>
        <stp>##V3_BDHV12</stp>
        <stp>RCOM IN Equity</stp>
        <stp>IS_DIL_EPS_CONT_OPS</stp>
        <stp>FY 2018</stp>
        <stp>FY 2018</stp>
        <stp>[FA1_ymffleas.xlsx]Per Share!R19C11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9" s="7"/>
      </tp>
      <tp>
        <v>4.8760000000000003</v>
        <stp/>
        <stp>##V3_BDHV12</stp>
        <stp>RCOM IN Equity</stp>
        <stp>HIGH_EV_TO_T12M_SALES</stp>
        <stp>FY 2010</stp>
        <stp>FY 2010</stp>
        <stp>[FA1_ymffleas.xlsx]Multiples!R38C3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38" s="6"/>
      </tp>
      <tp>
        <v>8.4748000000000001</v>
        <stp/>
        <stp>##V3_BDHV12</stp>
        <stp>RCOM IN Equity</stp>
        <stp>OPER_MARGIN</stp>
        <stp>FY 2011</stp>
        <stp>FY 2011</stp>
        <stp>[FA1_ymffleas.xlsx]Profitability!R14C5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4" s="21"/>
      </tp>
      <tp>
        <v>3.3329</v>
        <stp/>
        <stp>##V3_BDHV12</stp>
        <stp>RCOM IN Equity</stp>
        <stp>NET_INCOME_TO_COMMON_MARGIN</stp>
        <stp>FY 2015</stp>
        <stp>FY 2015</stp>
        <stp>[FA1_ymffleas.xlsx]Profitability!R19C9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9" s="21"/>
      </tp>
      <tp>
        <v>3.4828999999999999</v>
        <stp/>
        <stp>##V3_BDHV12</stp>
        <stp>RCOM IN Equity</stp>
        <stp>PROF_MARGIN</stp>
        <stp>FY 2013</stp>
        <stp>FY 2013</stp>
        <stp>[FA1_ymffleas.xlsx]Profitability!R18C7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8" s="21"/>
      </tp>
      <tp t="s">
        <v>—</v>
        <stp/>
        <stp>##V3_BDHV12</stp>
        <stp>RCOM IN Equity</stp>
        <stp>ACCOUNTS_PAYABLE_TURNOVER_DAYS</stp>
        <stp>FY 2018</stp>
        <stp>FY 2018</stp>
        <stp>[FA1_ymffleas.xlsx]Working Capital!R11C12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1" s="25"/>
      </tp>
      <tp t="s">
        <v>—</v>
        <stp/>
        <stp>##V3_BDHV12</stp>
        <stp>RCOM IN Equity</stp>
        <stp>ARDR_INTEREST_INCOME_CF</stp>
        <stp>FY 2017</stp>
        <stp>FY 2017</stp>
        <stp>[FA1_ymffleas.xlsx]Cash Flow - As Reported!R50C11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0" s="20"/>
      </tp>
      <tp t="s">
        <v>—</v>
        <stp/>
        <stp>##V3_BDHV12</stp>
        <stp>RCOM IN Equity</stp>
        <stp>ARDR_INTEREST_INCOME_CF</stp>
        <stp>FY 2016</stp>
        <stp>FY 2016</stp>
        <stp>[FA1_ymffleas.xlsx]Cash Flow - As Reported!R50C10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0" s="20"/>
      </tp>
      <tp t="s">
        <v>—</v>
        <stp/>
        <stp>##V3_BDHV12</stp>
        <stp>RCOM IN Equity</stp>
        <stp>ARDR_INTEREST_INCOME_CF</stp>
        <stp>FY 2018</stp>
        <stp>FY 2018</stp>
        <stp>[FA1_ymffleas.xlsx]Cash Flow - As Reported!R50C12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0" s="20"/>
      </tp>
      <tp>
        <v>1160</v>
        <stp/>
        <stp>##V3_BDHV12</stp>
        <stp>RCOM IN Equity</stp>
        <stp>IS_PROVISION_DOUBTFUL_ACCOUNTS</stp>
        <stp>FY 2015</stp>
        <stp>FY 2015</stp>
        <stp>[FA1_ymffleas.xlsx]Income - GAAP!R31C8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1" s="10"/>
      </tp>
      <tp>
        <v>1360</v>
        <stp/>
        <stp>##V3_BDHV12</stp>
        <stp>RCOM IN Equity</stp>
        <stp>IS_PROVISION_DOUBTFUL_ACCOUNTS</stp>
        <stp>FY 2016</stp>
        <stp>FY 2016</stp>
        <stp>[FA1_ymffleas.xlsx]Income - GAAP!R31C9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1" s="10"/>
      </tp>
      <tp t="s">
        <v>—</v>
        <stp/>
        <stp>##V3_BDHV12</stp>
        <stp>RCOM IN Equity</stp>
        <stp>IS_OTHER_INVESTMENT_INCOME_LOSS</stp>
        <stp>FY 2015</stp>
        <stp>FY 2015</stp>
        <stp>[FA1_ymffleas.xlsx]Income - Adjusted!R45C8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45" s="9"/>
      </tp>
      <tp t="s">
        <v>—</v>
        <stp/>
        <stp>##V3_BDHV12</stp>
        <stp>RCOM IN Equity</stp>
        <stp>IS_OTHER_INVESTMENT_INCOME_LOSS</stp>
        <stp>FY 2016</stp>
        <stp>FY 2016</stp>
        <stp>[FA1_ymffleas.xlsx]Income - Adjusted!R45C9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45" s="9"/>
      </tp>
      <tp>
        <v>-0.6</v>
        <stp/>
        <stp>##V3_BDHV12</stp>
        <stp>RCOM IN Equity</stp>
        <stp>IS_OTHER_INVESTMENT_INCOME_LOSS</stp>
        <stp>FY 2010</stp>
        <stp>FY 2010</stp>
        <stp>[FA1_ymffleas.xlsx]Income - Adjusted!R45C3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45" s="9"/>
      </tp>
      <tp>
        <v>1982.8</v>
        <stp/>
        <stp>##V3_BDHV12</stp>
        <stp>RCOM IN Equity</stp>
        <stp>IS_PROVISION_DOUBTFUL_ACCOUNTS</stp>
        <stp>FY 2010</stp>
        <stp>FY 2010</stp>
        <stp>[FA1_ymffleas.xlsx]Income - GAAP!R31C3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1" s="10"/>
      </tp>
      <tp>
        <v>1690</v>
        <stp/>
        <stp>##V3_BDHV12</stp>
        <stp>RCOM IN Equity</stp>
        <stp>IS_PROVISION_DOUBTFUL_ACCOUNTS</stp>
        <stp>FY 2011</stp>
        <stp>FY 2011</stp>
        <stp>[FA1_ymffleas.xlsx]Income - GAAP!R31C4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1" s="10"/>
      </tp>
      <tp t="s">
        <v>—</v>
        <stp/>
        <stp>##V3_BDHV12</stp>
        <stp>RCOM IN Equity</stp>
        <stp>IS_OTHER_INVESTMENT_INCOME_LOSS</stp>
        <stp>FY 2013</stp>
        <stp>FY 2013</stp>
        <stp>[FA1_ymffleas.xlsx]Income - Adjusted!R45C6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45" s="9"/>
      </tp>
      <tp>
        <v>610</v>
        <stp/>
        <stp>##V3_BDHV12</stp>
        <stp>RCOM IN Equity</stp>
        <stp>IS_PROVISION_DOUBTFUL_ACCOUNTS</stp>
        <stp>FY 2012</stp>
        <stp>FY 2012</stp>
        <stp>[FA1_ymffleas.xlsx]Income - GAAP!R31C5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1" s="10"/>
      </tp>
      <tp>
        <v>-5.6855000000000002</v>
        <stp/>
        <stp>##V3_BDHV12</stp>
        <stp>RCOM IN Equity</stp>
        <stp>IS_DILUTED_EPS</stp>
        <stp>FY 2017</stp>
        <stp>FY 2017</stp>
        <stp>[FA1_ymffleas.xlsx]GAAP Highlights!R10C11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0" s="3"/>
      </tp>
      <tp t="s">
        <v>—</v>
        <stp/>
        <stp>##V3_BDHV12</stp>
        <stp>RCOM IN Equity</stp>
        <stp>IS_OTHER_INVESTMENT_INCOME_LOSS</stp>
        <stp>FY 2014</stp>
        <stp>FY 2014</stp>
        <stp>[FA1_ymffleas.xlsx]Income - Adjusted!R45C7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45" s="9"/>
      </tp>
      <tp>
        <v>1080</v>
        <stp/>
        <stp>##V3_BDHV12</stp>
        <stp>RCOM IN Equity</stp>
        <stp>IS_PROVISION_DOUBTFUL_ACCOUNTS</stp>
        <stp>FY 2013</stp>
        <stp>FY 2013</stp>
        <stp>[FA1_ymffleas.xlsx]Income - GAAP!R31C6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1" s="10"/>
      </tp>
      <tp>
        <v>0</v>
        <stp/>
        <stp>##V3_BDHV12</stp>
        <stp>RCOM IN Equity</stp>
        <stp>IS_OTHER_INVESTMENT_INCOME_LOSS</stp>
        <stp>FY 2011</stp>
        <stp>FY 2011</stp>
        <stp>[FA1_ymffleas.xlsx]Income - Adjusted!R45C4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45" s="9"/>
      </tp>
      <tp>
        <v>2890</v>
        <stp/>
        <stp>##V3_BDHV12</stp>
        <stp>RCOM IN Equity</stp>
        <stp>IS_PROVISION_DOUBTFUL_ACCOUNTS</stp>
        <stp>FY 2014</stp>
        <stp>FY 2014</stp>
        <stp>[FA1_ymffleas.xlsx]Income - GAAP!R31C7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1" s="10"/>
      </tp>
      <tp t="s">
        <v>—</v>
        <stp/>
        <stp>##V3_BDHV12</stp>
        <stp>RCOM IN Equity</stp>
        <stp>IS_OTHER_INVESTMENT_INCOME_LOSS</stp>
        <stp>FY 2012</stp>
        <stp>FY 2012</stp>
        <stp>[FA1_ymffleas.xlsx]Income - Adjusted!R45C5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45" s="9"/>
      </tp>
      <tp>
        <v>38.299999999999997</v>
        <stp/>
        <stp>##V3_BDHV12</stp>
        <stp>RCOM IN Equity</stp>
        <stp>PX_LAST</stp>
        <stp>FY 2017</stp>
        <stp>FY 2017</stp>
        <stp>[FA1_ymffleas.xlsx]Stock Value!R6C10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" s="8"/>
      </tp>
      <tp>
        <v>21.75</v>
        <stp/>
        <stp>##V3_BDHV12</stp>
        <stp>RCOM IN Equity</stp>
        <stp>PX_LAST</stp>
        <stp>FY 2018</stp>
        <stp>FY 2018</stp>
        <stp>[FA1_ymffleas.xlsx]Stock Value!R6C11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" s="8"/>
      </tp>
      <tp>
        <v>-29.9207</v>
        <stp/>
        <stp>##V3_BDHV12</stp>
        <stp>RCOM IN Equity</stp>
        <stp>SALES_GROWTH</stp>
        <stp>FY 2018</stp>
        <stp>FY 2018</stp>
        <stp>[FA1_ymffleas.xlsx]Growth!R7C12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7" s="22"/>
      </tp>
      <tp>
        <v>0</v>
        <stp/>
        <stp>##V3_BDHV12</stp>
        <stp>RCOM IN Equity</stp>
        <stp>ARDR_PV_OF_CAPITAL_LEASE_YRS_2_5</stp>
        <stp>FY 2018</stp>
        <stp>FY 2018</stp>
        <stp>[FA1_ymffleas.xlsx]Bal Sheet - As Reported!R215C12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15" s="17"/>
      </tp>
      <tp>
        <v>470</v>
        <stp/>
        <stp>##V3_BDHV12</stp>
        <stp>RCOM IN Equity</stp>
        <stp>ARDR_PV_OF_CAPITAL_LEASE_YRS_2_5</stp>
        <stp>FY 2016</stp>
        <stp>FY 2016</stp>
        <stp>[FA1_ymffleas.xlsx]Bal Sheet - As Reported!R215C10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15" s="17"/>
      </tp>
      <tp>
        <v>490</v>
        <stp/>
        <stp>##V3_BDHV12</stp>
        <stp>RCOM IN Equity</stp>
        <stp>ARDR_PV_OF_CAPITAL_LEASE_YRS_2_5</stp>
        <stp>FY 2017</stp>
        <stp>FY 2017</stp>
        <stp>[FA1_ymffleas.xlsx]Bal Sheet - As Reported!R215C11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15" s="17"/>
      </tp>
      <tp>
        <v>28.7835</v>
        <stp/>
        <stp>##V3_BDHV12</stp>
        <stp>RCOM IN Equity</stp>
        <stp>EBITDA_PER_SH</stp>
        <stp>FY 2013</stp>
        <stp>FY 2013</stp>
        <stp>[FA1_ymffleas.xlsx]Per Share!R12C6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2" s="7"/>
      </tp>
      <tp>
        <v>291140</v>
        <stp/>
        <stp>##V3_BDHV12</stp>
        <stp>RCOM IN Equity</stp>
        <stp>ARD_LT_DEBT</stp>
        <stp>FY 2016</stp>
        <stp>FY 2016</stp>
        <stp>[FA1_ymffleas.xlsx]Bal Sheet - As Reported!R17C10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" s="17"/>
      </tp>
      <tp>
        <v>225500</v>
        <stp/>
        <stp>##V3_BDHV12</stp>
        <stp>RCOM IN Equity</stp>
        <stp>ARD_LT_DEBT</stp>
        <stp>FY 2017</stp>
        <stp>FY 2017</stp>
        <stp>[FA1_ymffleas.xlsx]Bal Sheet - As Reported!R17C11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" s="17"/>
      </tp>
      <tp>
        <v>130210</v>
        <stp/>
        <stp>##V3_BDHV12</stp>
        <stp>RCOM IN Equity</stp>
        <stp>ARD_LT_DEBT</stp>
        <stp>FY 2018</stp>
        <stp>FY 2018</stp>
        <stp>[FA1_ymffleas.xlsx]Bal Sheet - As Reported!R17C12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" s="17"/>
      </tp>
      <tp>
        <v>238880</v>
        <stp/>
        <stp>##V3_BDHV12</stp>
        <stp>RCOM IN Equity</stp>
        <stp>XO_GL_NET_OF_TAX</stp>
        <stp>FY 2018</stp>
        <stp>FY 2018</stp>
        <stp>[FA1_ymffleas.xlsx]Income - GAAP!R85C11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5" s="10"/>
      </tp>
      <tp>
        <v>15280</v>
        <stp/>
        <stp>##V3_BDHV12</stp>
        <stp>RCOM IN Equity</stp>
        <stp>XO_GL_NET_OF_TAX</stp>
        <stp>FY 2017</stp>
        <stp>FY 2017</stp>
        <stp>[FA1_ymffleas.xlsx]Income - GAAP!R85C10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5" s="10"/>
      </tp>
      <tp>
        <v>238880</v>
        <stp/>
        <stp>##V3_BDHV12</stp>
        <stp>RCOM IN Equity</stp>
        <stp>XO_GL_NET_OF_TAX</stp>
        <stp>FY 2018</stp>
        <stp>FY 2018</stp>
        <stp>[FA1_ymffleas.xlsx]Income - GAAP!R67C11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7" s="10"/>
      </tp>
      <tp>
        <v>15280</v>
        <stp/>
        <stp>##V3_BDHV12</stp>
        <stp>RCOM IN Equity</stp>
        <stp>XO_GL_NET_OF_TAX</stp>
        <stp>FY 2017</stp>
        <stp>FY 2017</stp>
        <stp>[FA1_ymffleas.xlsx]Income - GAAP!R67C10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7" s="10"/>
      </tp>
      <tp>
        <v>399640</v>
        <stp/>
        <stp>##V3_BDHV12</stp>
        <stp>RCOM IN Equity</stp>
        <stp>SHORT_AND_LONG_TERM_DEBT</stp>
        <stp>FY 2015</stp>
        <stp>FY 2015</stp>
        <stp>[FA1_ymffleas.xlsx]Adj Highlights!R9C8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" s="2"/>
      </tp>
      <tp>
        <v>436170</v>
        <stp/>
        <stp>##V3_BDHV12</stp>
        <stp>RCOM IN Equity</stp>
        <stp>SHORT_AND_LONG_TERM_DEBT</stp>
        <stp>FY 2016</stp>
        <stp>FY 2016</stp>
        <stp>[FA1_ymffleas.xlsx]Adj Highlights!R9C9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" s="2"/>
      </tp>
      <tp>
        <v>390710</v>
        <stp/>
        <stp>##V3_BDHV12</stp>
        <stp>RCOM IN Equity</stp>
        <stp>SHORT_AND_LONG_TERM_DEBT</stp>
        <stp>FY 2011</stp>
        <stp>FY 2011</stp>
        <stp>[FA1_ymffleas.xlsx]Adj Highlights!R9C4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" s="2"/>
      </tp>
      <tp>
        <v>383030</v>
        <stp/>
        <stp>##V3_BDHV12</stp>
        <stp>RCOM IN Equity</stp>
        <stp>SHORT_AND_LONG_TERM_DEBT</stp>
        <stp>FY 2012</stp>
        <stp>FY 2012</stp>
        <stp>[FA1_ymffleas.xlsx]Adj Highlights!R9C5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" s="2"/>
      </tp>
      <tp>
        <v>415470</v>
        <stp/>
        <stp>##V3_BDHV12</stp>
        <stp>RCOM IN Equity</stp>
        <stp>SHORT_AND_LONG_TERM_DEBT</stp>
        <stp>FY 2013</stp>
        <stp>FY 2013</stp>
        <stp>[FA1_ymffleas.xlsx]Adj Highlights!R9C6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" s="2"/>
      </tp>
      <tp>
        <v>422680</v>
        <stp/>
        <stp>##V3_BDHV12</stp>
        <stp>RCOM IN Equity</stp>
        <stp>SHORT_AND_LONG_TERM_DEBT</stp>
        <stp>FY 2014</stp>
        <stp>FY 2014</stp>
        <stp>[FA1_ymffleas.xlsx]Adj Highlights!R9C7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" s="2"/>
      </tp>
      <tp>
        <v>297154.2</v>
        <stp/>
        <stp>##V3_BDHV12</stp>
        <stp>RCOM IN Equity</stp>
        <stp>SHORT_AND_LONG_TERM_DEBT</stp>
        <stp>FY 2010</stp>
        <stp>FY 2010</stp>
        <stp>[FA1_ymffleas.xlsx]Adj Highlights!R9C3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" s="2"/>
      </tp>
      <tp>
        <v>206850.5</v>
        <stp/>
        <stp>##V3_BDHV12</stp>
        <stp>RCOM IN Equity</stp>
        <stp>SALES_REV_TURN</stp>
        <stp>FY 2010</stp>
        <stp>FY 2010</stp>
        <stp>[FA1_ymffleas.xlsx]Income - GAAP!R6C3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6" s="10"/>
      </tp>
      <tp>
        <v>187160</v>
        <stp/>
        <stp>##V3_BDHV12</stp>
        <stp>RCOM IN Equity</stp>
        <stp>SALES_REV_TURN</stp>
        <stp>FY 2012</stp>
        <stp>FY 2012</stp>
        <stp>[FA1_ymffleas.xlsx]Income - GAAP!R6C5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6" s="10"/>
      </tp>
      <tp>
        <v>220890</v>
        <stp/>
        <stp>##V3_BDHV12</stp>
        <stp>RCOM IN Equity</stp>
        <stp>SALES_REV_TURN</stp>
        <stp>FY 2011</stp>
        <stp>FY 2011</stp>
        <stp>[FA1_ymffleas.xlsx]Income - GAAP!R6C4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6" s="10"/>
      </tp>
      <tp>
        <v>209400</v>
        <stp/>
        <stp>##V3_BDHV12</stp>
        <stp>RCOM IN Equity</stp>
        <stp>SALES_REV_TURN</stp>
        <stp>FY 2014</stp>
        <stp>FY 2014</stp>
        <stp>[FA1_ymffleas.xlsx]Income - GAAP!R6C7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6" s="10"/>
      </tp>
      <tp>
        <v>192940</v>
        <stp/>
        <stp>##V3_BDHV12</stp>
        <stp>RCOM IN Equity</stp>
        <stp>SALES_REV_TURN</stp>
        <stp>FY 2013</stp>
        <stp>FY 2013</stp>
        <stp>[FA1_ymffleas.xlsx]Income - GAAP!R6C6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6" s="10"/>
      </tp>
      <tp>
        <v>217430</v>
        <stp/>
        <stp>##V3_BDHV12</stp>
        <stp>RCOM IN Equity</stp>
        <stp>SALES_REV_TURN</stp>
        <stp>FY 2016</stp>
        <stp>FY 2016</stp>
        <stp>[FA1_ymffleas.xlsx]Income - GAAP!R6C9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6" s="10"/>
      </tp>
      <tp>
        <v>214230</v>
        <stp/>
        <stp>##V3_BDHV12</stp>
        <stp>RCOM IN Equity</stp>
        <stp>SALES_REV_TURN</stp>
        <stp>FY 2015</stp>
        <stp>FY 2015</stp>
        <stp>[FA1_ymffleas.xlsx]Income - GAAP!R6C8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6" s="10"/>
      </tp>
      <tp>
        <v>60150.343800000002</v>
        <stp/>
        <stp>##V3_BDHV12</stp>
        <stp>RCOM IN Equity</stp>
        <stp>HISTORICAL_MARKET_CAP</stp>
        <stp>FY 2018</stp>
        <stp>FY 2018</stp>
        <stp>[FA1_ymffleas.xlsx]Addl - Overview!R11C11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" s="29"/>
      </tp>
      <tp>
        <v>95327.924199999994</v>
        <stp/>
        <stp>##V3_BDHV12</stp>
        <stp>RCOM IN Equity</stp>
        <stp>HISTORICAL_MARKET_CAP</stp>
        <stp>FY 2017</stp>
        <stp>FY 2017</stp>
        <stp>[FA1_ymffleas.xlsx]Addl - Overview!R11C10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" s="29"/>
      </tp>
      <tp t="s">
        <v>—</v>
        <stp/>
        <stp>##V3_BDHV12</stp>
        <stp>RCOM IN Equity</stp>
        <stp>INVENT_DAYS</stp>
        <stp>FY 2013</stp>
        <stp>FY 2013</stp>
        <stp>[FA1_ymffleas.xlsx]Working Capital!R9C7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9" s="25"/>
      </tp>
      <tp>
        <v>368080</v>
        <stp/>
        <stp>##V3_BDHV12</stp>
        <stp>RCOM IN Equity</stp>
        <stp>ARDR_SECURED_INT_BEARING_LIABS</stp>
        <stp>FY 2017</stp>
        <stp>FY 2017</stp>
        <stp>[FA1_ymffleas.xlsx]Bal Sheet - As Reported!R178C11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8" s="17"/>
      </tp>
      <tp>
        <v>402620</v>
        <stp/>
        <stp>##V3_BDHV12</stp>
        <stp>RCOM IN Equity</stp>
        <stp>ARDR_SECURED_INT_BEARING_LIABS</stp>
        <stp>FY 2016</stp>
        <stp>FY 2016</stp>
        <stp>[FA1_ymffleas.xlsx]Bal Sheet - As Reported!R178C10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8" s="17"/>
      </tp>
      <tp>
        <v>184000</v>
        <stp/>
        <stp>##V3_BDHV12</stp>
        <stp>RCOM IN Equity</stp>
        <stp>ARDR_SECURED_INT_BEARING_LIABS</stp>
        <stp>FY 2018</stp>
        <stp>FY 2018</stp>
        <stp>[FA1_ymffleas.xlsx]Bal Sheet - As Reported!R178C12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8" s="17"/>
      </tp>
      <tp>
        <v>2582.8681000000001</v>
        <stp/>
        <stp>##V3_BDHV12</stp>
        <stp>RCOM IN Equity</stp>
        <stp>IS_SH_FOR_DILUTED_EPS</stp>
        <stp>FY 2018</stp>
        <stp>FY 2018</stp>
        <stp>[FA1_ymffleas.xlsx]Income - Adjusted!R114C11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14" s="9"/>
      </tp>
      <tp>
        <v>2467.7006999999999</v>
        <stp/>
        <stp>##V3_BDHV12</stp>
        <stp>RCOM IN Equity</stp>
        <stp>IS_SH_FOR_DILUTED_EPS</stp>
        <stp>FY 2017</stp>
        <stp>FY 2017</stp>
        <stp>[FA1_ymffleas.xlsx]Income - Adjusted!R114C10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14" s="9"/>
      </tp>
      <tp>
        <v>34415.599999999999</v>
        <stp/>
        <stp>##V3_BDHV12</stp>
        <stp>RCOM IN Equity</stp>
        <stp>IS_DEPRECIATION_AND_AMORTIZATION</stp>
        <stp>FY 2010</stp>
        <stp>FY 2010</stp>
        <stp>[FA1_ymffleas.xlsx]Income - Adjusted!R29C3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29" s="9"/>
      </tp>
      <tp>
        <v>0.51339999999999997</v>
        <stp/>
        <stp>##V3_BDHV12</stp>
        <stp>RCOM IN Equity</stp>
        <stp>LOW_PX_TO_SALES_RATIO</stp>
        <stp>FY 2013</stp>
        <stp>FY 2013</stp>
        <stp>[FA1_ymffleas.xlsx]Multiples!R24C6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4" s="6"/>
      </tp>
      <tp>
        <v>38450</v>
        <stp/>
        <stp>##V3_BDHV12</stp>
        <stp>RCOM IN Equity</stp>
        <stp>IS_DEPRECIATION_AND_AMORTIZATION</stp>
        <stp>FY 2013</stp>
        <stp>FY 2013</stp>
        <stp>[FA1_ymffleas.xlsx]Income - Adjusted!R29C6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29" s="9"/>
      </tp>
      <tp>
        <v>45350</v>
        <stp/>
        <stp>##V3_BDHV12</stp>
        <stp>RCOM IN Equity</stp>
        <stp>IS_DEPRECIATION_AND_AMORTIZATION</stp>
        <stp>FY 2014</stp>
        <stp>FY 2014</stp>
        <stp>[FA1_ymffleas.xlsx]Income - Adjusted!R29C7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29" s="9"/>
      </tp>
      <tp>
        <v>65040</v>
        <stp/>
        <stp>##V3_BDHV12</stp>
        <stp>RCOM IN Equity</stp>
        <stp>IS_DEPRECIATION_AND_AMORTIZATION</stp>
        <stp>FY 2011</stp>
        <stp>FY 2011</stp>
        <stp>[FA1_ymffleas.xlsx]Income - Adjusted!R29C4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29" s="9"/>
      </tp>
      <tp>
        <v>36080</v>
        <stp/>
        <stp>##V3_BDHV12</stp>
        <stp>RCOM IN Equity</stp>
        <stp>IS_DEPRECIATION_AND_AMORTIZATION</stp>
        <stp>FY 2012</stp>
        <stp>FY 2012</stp>
        <stp>[FA1_ymffleas.xlsx]Income - Adjusted!R29C5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29" s="9"/>
      </tp>
      <tp t="s">
        <v>—</v>
        <stp/>
        <stp>##V3_BDHV12</stp>
        <stp>RCOM IN Equity</stp>
        <stp>IS_WRTDWN_IOA_OP</stp>
        <stp>FY 2017</stp>
        <stp>FY 2017</stp>
        <stp>[FA1_ymffleas.xlsx]Reconciliation!R23C10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3" s="12"/>
      </tp>
      <tp t="s">
        <v>—</v>
        <stp/>
        <stp>##V3_BDHV12</stp>
        <stp>RCOM IN Equity</stp>
        <stp>IS_WRTDWN_IOA_OP</stp>
        <stp>FY 2018</stp>
        <stp>FY 2018</stp>
        <stp>[FA1_ymffleas.xlsx]Reconciliation!R23C11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3" s="12"/>
      </tp>
      <tp>
        <v>23530</v>
        <stp/>
        <stp>##V3_BDHV12</stp>
        <stp>RCOM IN Equity</stp>
        <stp>ST_DEFERRED_REVENUE</stp>
        <stp>FY 2018</stp>
        <stp>FY 2018</stp>
        <stp>[FA1_ymffleas.xlsx]Bal Sheet - Standardized!R95C12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5" s="16"/>
      </tp>
      <tp>
        <v>14860</v>
        <stp/>
        <stp>##V3_BDHV12</stp>
        <stp>RCOM IN Equity</stp>
        <stp>ST_DEFERRED_REVENUE</stp>
        <stp>FY 2016</stp>
        <stp>FY 2016</stp>
        <stp>[FA1_ymffleas.xlsx]Bal Sheet - Standardized!R95C10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5" s="16"/>
      </tp>
      <tp>
        <v>13770</v>
        <stp/>
        <stp>##V3_BDHV12</stp>
        <stp>RCOM IN Equity</stp>
        <stp>ST_DEFERRED_REVENUE</stp>
        <stp>FY 2017</stp>
        <stp>FY 2017</stp>
        <stp>[FA1_ymffleas.xlsx]Bal Sheet - Standardized!R95C11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5" s="16"/>
      </tp>
      <tp>
        <v>0</v>
        <stp/>
        <stp>##V3_BDHV12</stp>
        <stp>RCOM IN Equity</stp>
        <stp>DVD_PAYOUT_RATIO</stp>
        <stp>FY 2015</stp>
        <stp>FY 2015</stp>
        <stp>[FA1_ymffleas.xlsx]Profitability!R23C9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3" s="21"/>
      </tp>
      <tp>
        <v>38170</v>
        <stp/>
        <stp>##V3_BDHV12</stp>
        <stp>RCOM IN Equity</stp>
        <stp>IS_DEPRECIATION_AND_AMORTIZATION</stp>
        <stp>FY 2015</stp>
        <stp>FY 2015</stp>
        <stp>[FA1_ymffleas.xlsx]Income - Adjusted!R29C8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29" s="9"/>
      </tp>
      <tp>
        <v>44840</v>
        <stp/>
        <stp>##V3_BDHV12</stp>
        <stp>RCOM IN Equity</stp>
        <stp>IS_DEPRECIATION_AND_AMORTIZATION</stp>
        <stp>FY 2016</stp>
        <stp>FY 2016</stp>
        <stp>[FA1_ymffleas.xlsx]Income - Adjusted!R29C9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29" s="9"/>
      </tp>
      <tp>
        <v>-12830</v>
        <stp/>
        <stp>##V3_BDHV12</stp>
        <stp>RCOM IN Equity</stp>
        <stp>NI_INCLUDING_MINORITY_INT_RATIO</stp>
        <stp>FY 2017</stp>
        <stp>FY 2017</stp>
        <stp>[FA1_ymffleas.xlsx]Income - GAAP!R73C10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73" s="10"/>
      </tp>
      <tp>
        <v>-239070</v>
        <stp/>
        <stp>##V3_BDHV12</stp>
        <stp>RCOM IN Equity</stp>
        <stp>NI_INCLUDING_MINORITY_INT_RATIO</stp>
        <stp>FY 2018</stp>
        <stp>FY 2018</stp>
        <stp>[FA1_ymffleas.xlsx]Income - GAAP!R73C11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73" s="10"/>
      </tp>
      <tp>
        <v>-62.547800000000002</v>
        <stp/>
        <stp>##V3_BDHV12</stp>
        <stp>RCOM IN Equity</stp>
        <stp>EPS_DILUTED_BEF_ABNRML_SEQ_GRWTH</stp>
        <stp>FY 2018</stp>
        <stp>FY 2018</stp>
        <stp>[FA1_ymffleas.xlsx]Growth!R66C12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66" s="22"/>
      </tp>
      <tp>
        <v>9.7082999999999995</v>
        <stp/>
        <stp>##V3_BDHV12</stp>
        <stp>RCOM IN Equity</stp>
        <stp>OPER_MARGIN</stp>
        <stp>FY 2012</stp>
        <stp>FY 2012</stp>
        <stp>[FA1_ymffleas.xlsx]Profitability!R14C6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4" s="21"/>
      </tp>
      <tp>
        <v>-31.986000000000001</v>
        <stp/>
        <stp>##V3_BDHV12</stp>
        <stp>RCOM IN Equity</stp>
        <stp>EPS_DILUTED_BEF_ABNRML_SEQ_GRWTH</stp>
        <stp>FY 2016</stp>
        <stp>FY 2016</stp>
        <stp>[FA1_ymffleas.xlsx]Growth!R66C10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6" s="22"/>
      </tp>
      <tp>
        <v>-74.920299999999997</v>
        <stp/>
        <stp>##V3_BDHV12</stp>
        <stp>RCOM IN Equity</stp>
        <stp>EPS_DILUTED_BEF_ABNRML_SEQ_GRWTH</stp>
        <stp>FY 2017</stp>
        <stp>FY 2017</stp>
        <stp>[FA1_ymffleas.xlsx]Growth!R66C11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6" s="22"/>
      </tp>
      <tp>
        <v>22.504200000000001</v>
        <stp/>
        <stp>##V3_BDHV12</stp>
        <stp>RCOM IN Equity</stp>
        <stp>PROF_MARGIN</stp>
        <stp>FY 2010</stp>
        <stp>FY 2010</stp>
        <stp>[FA1_ymffleas.xlsx]Profitability!R18C4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8" s="21"/>
      </tp>
      <tp t="s">
        <v>—</v>
        <stp/>
        <stp>##V3_BDHV12</stp>
        <stp>RCOM IN Equity</stp>
        <stp>ACCOUNTS_PAYABLE_TURNOVER_DAYS</stp>
        <stp>FY 2017</stp>
        <stp>FY 2017</stp>
        <stp>[FA1_ymffleas.xlsx]Working Capital!R11C11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1" s="25"/>
      </tp>
      <tp>
        <v>4860</v>
        <stp/>
        <stp>##V3_BDHV12</stp>
        <stp>RCOM IN Equity</stp>
        <stp>ARDR_FREEHOLD_LAND_GROSS</stp>
        <stp>FY 2013</stp>
        <stp>FY 2013</stp>
        <stp>[FA1_ymffleas.xlsx]Bal Sheet - As Reported!R183C7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3" s="17"/>
      </tp>
      <tp>
        <v>4850</v>
        <stp/>
        <stp>##V3_BDHV12</stp>
        <stp>RCOM IN Equity</stp>
        <stp>ARDR_FREEHOLD_LAND_GROSS</stp>
        <stp>FY 2012</stp>
        <stp>FY 2012</stp>
        <stp>[FA1_ymffleas.xlsx]Bal Sheet - As Reported!R183C6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3" s="17"/>
      </tp>
      <tp>
        <v>4790</v>
        <stp/>
        <stp>##V3_BDHV12</stp>
        <stp>RCOM IN Equity</stp>
        <stp>ARDR_FREEHOLD_LAND_GROSS</stp>
        <stp>FY 2011</stp>
        <stp>FY 2011</stp>
        <stp>[FA1_ymffleas.xlsx]Bal Sheet - As Reported!R183C5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3" s="17"/>
      </tp>
      <tp>
        <v>4793.7</v>
        <stp/>
        <stp>##V3_BDHV12</stp>
        <stp>RCOM IN Equity</stp>
        <stp>ARDR_FREEHOLD_LAND_GROSS</stp>
        <stp>FY 2010</stp>
        <stp>FY 2010</stp>
        <stp>[FA1_ymffleas.xlsx]Bal Sheet - As Reported!R183C4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3" s="17"/>
      </tp>
      <tp>
        <v>4761.1000000000004</v>
        <stp/>
        <stp>##V3_BDHV12</stp>
        <stp>RCOM IN Equity</stp>
        <stp>ARDR_FREEHOLD_LAND_GROSS</stp>
        <stp>FY 2009</stp>
        <stp>FY 2009</stp>
        <stp>[FA1_ymffleas.xlsx]Bal Sheet - As Reported!R183C3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3" s="17"/>
      </tp>
      <tp>
        <v>4860</v>
        <stp/>
        <stp>##V3_BDHV12</stp>
        <stp>RCOM IN Equity</stp>
        <stp>ARDR_FREEHOLD_LAND_GROSS</stp>
        <stp>FY 2015</stp>
        <stp>FY 2015</stp>
        <stp>[FA1_ymffleas.xlsx]Bal Sheet - As Reported!R183C9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3" s="17"/>
      </tp>
      <tp>
        <v>4860</v>
        <stp/>
        <stp>##V3_BDHV12</stp>
        <stp>RCOM IN Equity</stp>
        <stp>ARDR_FREEHOLD_LAND_GROSS</stp>
        <stp>FY 2014</stp>
        <stp>FY 2014</stp>
        <stp>[FA1_ymffleas.xlsx]Bal Sheet - As Reported!R183C8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3" s="17"/>
      </tp>
      <tp>
        <v>-32.534599999999998</v>
        <stp/>
        <stp>##V3_BDHV12</stp>
        <stp>RCOM IN Equity</stp>
        <stp>TOTAL_CAPITAL_SEQUENTIAL_GROWTH</stp>
        <stp>FY 2018</stp>
        <stp>FY 2018</stp>
        <stp>[FA1_ymffleas.xlsx]Growth!R79C12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79" s="22"/>
      </tp>
      <tp>
        <v>-1.0334000000000001</v>
        <stp/>
        <stp>##V3_BDHV12</stp>
        <stp>RCOM IN Equity</stp>
        <stp>TOTAL_CAPITAL_SEQUENTIAL_GROWTH</stp>
        <stp>FY 2017</stp>
        <stp>FY 2017</stp>
        <stp>[FA1_ymffleas.xlsx]Growth!R79C11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9" s="22"/>
      </tp>
      <tp>
        <v>-3.7366999999999999</v>
        <stp/>
        <stp>##V3_BDHV12</stp>
        <stp>RCOM IN Equity</stp>
        <stp>TOTAL_CAPITAL_SEQUENTIAL_GROWTH</stp>
        <stp>FY 2016</stp>
        <stp>FY 2016</stp>
        <stp>[FA1_ymffleas.xlsx]Growth!R79C10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9" s="22"/>
      </tp>
      <tp>
        <v>-92.296599999999998</v>
        <stp/>
        <stp>##V3_BDHV12</stp>
        <stp>RCOM IN Equity</stp>
        <stp>IS_DILUTED_EPS</stp>
        <stp>FY 2018</stp>
        <stp>FY 2018</stp>
        <stp>[FA1_ymffleas.xlsx]GAAP Highlights!R10C12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0" s="3"/>
      </tp>
      <tp>
        <v>0</v>
        <stp/>
        <stp>##V3_BDHV12</stp>
        <stp>RCOM IN Equity</stp>
        <stp>CF_DISPOSAL_OF_FIXED_PROD_ASSETS</stp>
        <stp>FY 2016</stp>
        <stp>FY 2016</stp>
        <stp>[FA1_ymffleas.xlsx]Cash Flow - Standardized!R21C9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1" s="19"/>
      </tp>
      <tp>
        <v>0</v>
        <stp/>
        <stp>##V3_BDHV12</stp>
        <stp>RCOM IN Equity</stp>
        <stp>CF_DISPOSAL_OF_FIXED_PROD_ASSETS</stp>
        <stp>FY 2015</stp>
        <stp>FY 2015</stp>
        <stp>[FA1_ymffleas.xlsx]Cash Flow - Standardized!R21C8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1" s="19"/>
      </tp>
      <tp>
        <v>1.3</v>
        <stp/>
        <stp>##V3_BDHV12</stp>
        <stp>RCOM IN Equity</stp>
        <stp>CF_DISPOSAL_OF_FIXED_PROD_ASSETS</stp>
        <stp>FY 2010</stp>
        <stp>FY 2010</stp>
        <stp>[FA1_ymffleas.xlsx]Cash Flow - Standardized!R21C3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1" s="19"/>
      </tp>
      <tp>
        <v>0</v>
        <stp/>
        <stp>##V3_BDHV12</stp>
        <stp>RCOM IN Equity</stp>
        <stp>CF_DISPOSAL_OF_FIXED_PROD_ASSETS</stp>
        <stp>FY 2014</stp>
        <stp>FY 2014</stp>
        <stp>[FA1_ymffleas.xlsx]Cash Flow - Standardized!R21C7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1" s="19"/>
      </tp>
      <tp>
        <v>0</v>
        <stp/>
        <stp>##V3_BDHV12</stp>
        <stp>RCOM IN Equity</stp>
        <stp>CF_DISPOSAL_OF_FIXED_PROD_ASSETS</stp>
        <stp>FY 2013</stp>
        <stp>FY 2013</stp>
        <stp>[FA1_ymffleas.xlsx]Cash Flow - Standardized!R21C6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1" s="19"/>
      </tp>
      <tp>
        <v>2160</v>
        <stp/>
        <stp>##V3_BDHV12</stp>
        <stp>RCOM IN Equity</stp>
        <stp>CF_DISPOSAL_OF_FIXED_PROD_ASSETS</stp>
        <stp>FY 2012</stp>
        <stp>FY 2012</stp>
        <stp>[FA1_ymffleas.xlsx]Cash Flow - Standardized!R21C5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1" s="19"/>
      </tp>
      <tp>
        <v>2060</v>
        <stp/>
        <stp>##V3_BDHV12</stp>
        <stp>RCOM IN Equity</stp>
        <stp>CF_DISPOSAL_OF_FIXED_PROD_ASSETS</stp>
        <stp>FY 2011</stp>
        <stp>FY 2011</stp>
        <stp>[FA1_ymffleas.xlsx]Cash Flow - Standardized!R21C4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1" s="19"/>
      </tp>
      <tp>
        <v>-69.856999999999999</v>
        <stp/>
        <stp>##V3_BDHV12</stp>
        <stp>RCOM IN Equity</stp>
        <stp>SALES_GROWTH</stp>
        <stp>FY 2017</stp>
        <stp>FY 2017</stp>
        <stp>[FA1_ymffleas.xlsx]Growth!R7C11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7" s="22"/>
      </tp>
      <tp>
        <v>53000</v>
        <stp/>
        <stp>##V3_BDHV12</stp>
        <stp>RCOM IN Equity</stp>
        <stp>BS_GOODWILL</stp>
        <stp>FY 2014</stp>
        <stp>FY 2014</stp>
        <stp>[FA1_ymffleas.xlsx]Bal Sheet - Standardized!R57C8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7" s="16"/>
      </tp>
      <tp>
        <v>54230</v>
        <stp/>
        <stp>##V3_BDHV12</stp>
        <stp>RCOM IN Equity</stp>
        <stp>BS_GOODWILL</stp>
        <stp>FY 2015</stp>
        <stp>FY 2015</stp>
        <stp>[FA1_ymffleas.xlsx]Bal Sheet - Standardized!R57C9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7" s="16"/>
      </tp>
      <tp>
        <v>50090</v>
        <stp/>
        <stp>##V3_BDHV12</stp>
        <stp>RCOM IN Equity</stp>
        <stp>BS_GOODWILL</stp>
        <stp>FY 2012</stp>
        <stp>FY 2012</stp>
        <stp>[FA1_ymffleas.xlsx]Bal Sheet - Standardized!R57C6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7" s="16"/>
      </tp>
      <tp>
        <v>51250</v>
        <stp/>
        <stp>##V3_BDHV12</stp>
        <stp>RCOM IN Equity</stp>
        <stp>BS_GOODWILL</stp>
        <stp>FY 2013</stp>
        <stp>FY 2013</stp>
        <stp>[FA1_ymffleas.xlsx]Bal Sheet - Standardized!R57C7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7" s="16"/>
      </tp>
      <tp>
        <v>49975.6</v>
        <stp/>
        <stp>##V3_BDHV12</stp>
        <stp>RCOM IN Equity</stp>
        <stp>BS_GOODWILL</stp>
        <stp>FY 2010</stp>
        <stp>FY 2010</stp>
        <stp>[FA1_ymffleas.xlsx]Bal Sheet - Standardized!R57C4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7" s="16"/>
      </tp>
      <tp>
        <v>47470</v>
        <stp/>
        <stp>##V3_BDHV12</stp>
        <stp>RCOM IN Equity</stp>
        <stp>BS_GOODWILL</stp>
        <stp>FY 2011</stp>
        <stp>FY 2011</stp>
        <stp>[FA1_ymffleas.xlsx]Bal Sheet - Standardized!R57C5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7" s="16"/>
      </tp>
      <tp>
        <v>52215.3</v>
        <stp/>
        <stp>##V3_BDHV12</stp>
        <stp>RCOM IN Equity</stp>
        <stp>BS_GOODWILL</stp>
        <stp>FY 2009</stp>
        <stp>FY 2009</stp>
        <stp>[FA1_ymffleas.xlsx]Bal Sheet - Standardized!R57C3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7" s="16"/>
      </tp>
      <tp>
        <v>12700</v>
        <stp/>
        <stp>##V3_BDHV12</stp>
        <stp>RCOM IN Equity</stp>
        <stp>ARDR_INVESTMENT_IN_MF_ST</stp>
        <stp>FY 2015</stp>
        <stp>FY 2015</stp>
        <stp>[FA1_ymffleas.xlsx]Bal Sheet - As Reported!R202C9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2" s="17"/>
      </tp>
      <tp>
        <v>6050</v>
        <stp/>
        <stp>##V3_BDHV12</stp>
        <stp>RCOM IN Equity</stp>
        <stp>ARDR_INVESTMENT_IN_MF_ST</stp>
        <stp>FY 2014</stp>
        <stp>FY 2014</stp>
        <stp>[FA1_ymffleas.xlsx]Bal Sheet - As Reported!R202C8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2" s="17"/>
      </tp>
      <tp>
        <v>84669.4</v>
        <stp/>
        <stp>##V3_BDHV12</stp>
        <stp>RCOM IN Equity</stp>
        <stp>ARDR_INVESTMENT_IN_MF_ST</stp>
        <stp>FY 2009</stp>
        <stp>FY 2009</stp>
        <stp>[FA1_ymffleas.xlsx]Bal Sheet - As Reported!R202C3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2" s="17"/>
      </tp>
      <tp>
        <v>5510</v>
        <stp/>
        <stp>##V3_BDHV12</stp>
        <stp>RCOM IN Equity</stp>
        <stp>ARDR_INVESTMENT_IN_MF_ST</stp>
        <stp>FY 2013</stp>
        <stp>FY 2013</stp>
        <stp>[FA1_ymffleas.xlsx]Bal Sheet - As Reported!R202C7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2" s="17"/>
      </tp>
      <tp>
        <v>5190</v>
        <stp/>
        <stp>##V3_BDHV12</stp>
        <stp>RCOM IN Equity</stp>
        <stp>ARDR_INVESTMENT_IN_MF_ST</stp>
        <stp>FY 2012</stp>
        <stp>FY 2012</stp>
        <stp>[FA1_ymffleas.xlsx]Bal Sheet - As Reported!R202C6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2" s="17"/>
      </tp>
      <tp>
        <v>4520</v>
        <stp/>
        <stp>##V3_BDHV12</stp>
        <stp>RCOM IN Equity</stp>
        <stp>ARDR_INVESTMENT_IN_MF_ST</stp>
        <stp>FY 2011</stp>
        <stp>FY 2011</stp>
        <stp>[FA1_ymffleas.xlsx]Bal Sheet - As Reported!R202C5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2" s="17"/>
      </tp>
      <tp>
        <v>38972.400000000001</v>
        <stp/>
        <stp>##V3_BDHV12</stp>
        <stp>RCOM IN Equity</stp>
        <stp>ARDR_INVESTMENT_IN_MF_ST</stp>
        <stp>FY 2010</stp>
        <stp>FY 2010</stp>
        <stp>[FA1_ymffleas.xlsx]Bal Sheet - As Reported!R202C4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2" s="17"/>
      </tp>
      <tp>
        <v>28.0762</v>
        <stp/>
        <stp>##V3_BDHV12</stp>
        <stp>RCOM IN Equity</stp>
        <stp>EBITDA_PER_SH</stp>
        <stp>FY 2012</stp>
        <stp>FY 2012</stp>
        <stp>[FA1_ymffleas.xlsx]Per Share!R12C5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2" s="7"/>
      </tp>
      <tp t="s">
        <v>—</v>
        <stp/>
        <stp>##V3_BDHV12</stp>
        <stp>RCOM IN Equity</stp>
        <stp>IS_SALE_OF_INVESTMENTS_AFTER_TAX</stp>
        <stp>FY 2017</stp>
        <stp>FY 2017</stp>
        <stp>[FA1_ymffleas.xlsx]Reconciliation!R40C10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0" s="12"/>
      </tp>
      <tp t="s">
        <v>—</v>
        <stp/>
        <stp>##V3_BDHV12</stp>
        <stp>RCOM IN Equity</stp>
        <stp>IS_SALE_OF_INVESTMENTS_AFTER_TAX</stp>
        <stp>FY 2018</stp>
        <stp>FY 2018</stp>
        <stp>[FA1_ymffleas.xlsx]Reconciliation!R40C11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0" s="12"/>
      </tp>
      <tp>
        <v>0.128</v>
        <stp/>
        <stp>##V3_BDHV12</stp>
        <stp>RCOM IN Equity</stp>
        <stp>CASH_RATIO</stp>
        <stp>FY 2015</stp>
        <stp>FY 2015</stp>
        <stp>[FA1_ymffleas.xlsx]Liquidity!R6C9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" s="24"/>
      </tp>
      <tp>
        <v>4.3400000000000001E-2</v>
        <stp/>
        <stp>##V3_BDHV12</stp>
        <stp>RCOM IN Equity</stp>
        <stp>CASH_RATIO</stp>
        <stp>FY 2014</stp>
        <stp>FY 2014</stp>
        <stp>[FA1_ymffleas.xlsx]Liquidity!R6C8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" s="24"/>
      </tp>
      <tp>
        <v>0.34320000000000001</v>
        <stp/>
        <stp>##V3_BDHV12</stp>
        <stp>RCOM IN Equity</stp>
        <stp>CASH_RATIO</stp>
        <stp>FY 2009</stp>
        <stp>FY 2009</stp>
        <stp>[FA1_ymffleas.xlsx]Liquidity!R6C3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" s="24"/>
      </tp>
      <tp>
        <v>5.4699999999999999E-2</v>
        <stp/>
        <stp>##V3_BDHV12</stp>
        <stp>RCOM IN Equity</stp>
        <stp>CASH_RATIO</stp>
        <stp>FY 2013</stp>
        <stp>FY 2013</stp>
        <stp>[FA1_ymffleas.xlsx]Liquidity!R6C7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" s="24"/>
      </tp>
      <tp>
        <v>4.7699999999999999E-2</v>
        <stp/>
        <stp>##V3_BDHV12</stp>
        <stp>RCOM IN Equity</stp>
        <stp>CASH_RATIO</stp>
        <stp>FY 2012</stp>
        <stp>FY 2012</stp>
        <stp>[FA1_ymffleas.xlsx]Liquidity!R6C6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" s="24"/>
      </tp>
      <tp>
        <v>0.1646</v>
        <stp/>
        <stp>##V3_BDHV12</stp>
        <stp>RCOM IN Equity</stp>
        <stp>CASH_RATIO</stp>
        <stp>FY 2011</stp>
        <stp>FY 2011</stp>
        <stp>[FA1_ymffleas.xlsx]Liquidity!R6C5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" s="24"/>
      </tp>
      <tp>
        <v>0</v>
        <stp/>
        <stp>##V3_BDHV12</stp>
        <stp>RCOM IN Equity</stp>
        <stp>IS_OTHER_OPER_INC_NONGAAP_ADJUST</stp>
        <stp>FY 2017</stp>
        <stp>FY 2017</stp>
        <stp>[FA1_ymffleas.xlsx]Reconciliation!R10C10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" s="12"/>
      </tp>
      <tp>
        <v>0</v>
        <stp/>
        <stp>##V3_BDHV12</stp>
        <stp>RCOM IN Equity</stp>
        <stp>IS_OTHER_OPER_INC_NONGAAP_ADJUST</stp>
        <stp>FY 2018</stp>
        <stp>FY 2018</stp>
        <stp>[FA1_ymffleas.xlsx]Reconciliation!R10C11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" s="12"/>
      </tp>
      <tp>
        <v>0.16639999999999999</v>
        <stp/>
        <stp>##V3_BDHV12</stp>
        <stp>RCOM IN Equity</stp>
        <stp>CASH_RATIO</stp>
        <stp>FY 2010</stp>
        <stp>FY 2010</stp>
        <stp>[FA1_ymffleas.xlsx]Liquidity!R6C4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" s="24"/>
      </tp>
      <tp>
        <v>5</v>
        <stp/>
        <stp>##V3_BDHV12</stp>
        <stp>RCOM IN Equity</stp>
        <stp>BOARD_MEETINGS_PER_YR</stp>
        <stp>FY 2013</stp>
        <stp>FY 2013</stp>
        <stp>[FA1_ymffleas.xlsx]ESG - Overview!R26C7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6" s="34"/>
      </tp>
      <tp>
        <v>4</v>
        <stp/>
        <stp>##V3_BDHV12</stp>
        <stp>RCOM IN Equity</stp>
        <stp>BOARD_MEETINGS_PER_YR</stp>
        <stp>FY 2012</stp>
        <stp>FY 2012</stp>
        <stp>[FA1_ymffleas.xlsx]ESG - Overview!R26C6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6" s="34"/>
      </tp>
      <tp>
        <v>206850.5</v>
        <stp/>
        <stp>##V3_BDHV12</stp>
        <stp>RCOM IN Equity</stp>
        <stp>SALES_REV_TURN</stp>
        <stp>FY 2010</stp>
        <stp>FY 2010</stp>
        <stp>[FA1_ymffleas.xlsx]Income - Adjusted!R6C3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6" s="9"/>
      </tp>
      <tp>
        <v>6</v>
        <stp/>
        <stp>##V3_BDHV12</stp>
        <stp>RCOM IN Equity</stp>
        <stp>BOARD_MEETINGS_PER_YR</stp>
        <stp>FY 2011</stp>
        <stp>FY 2011</stp>
        <stp>[FA1_ymffleas.xlsx]ESG - Overview!R26C5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6" s="34"/>
      </tp>
      <tp>
        <v>8</v>
        <stp/>
        <stp>##V3_BDHV12</stp>
        <stp>RCOM IN Equity</stp>
        <stp>BOARD_MEETINGS_PER_YR</stp>
        <stp>FY 2010</stp>
        <stp>FY 2010</stp>
        <stp>[FA1_ymffleas.xlsx]ESG - Overview!R26C4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6" s="34"/>
      </tp>
      <tp>
        <v>187160</v>
        <stp/>
        <stp>##V3_BDHV12</stp>
        <stp>RCOM IN Equity</stp>
        <stp>SALES_REV_TURN</stp>
        <stp>FY 2012</stp>
        <stp>FY 2012</stp>
        <stp>[FA1_ymffleas.xlsx]Income - Adjusted!R6C5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6" s="9"/>
      </tp>
      <tp>
        <v>4</v>
        <stp/>
        <stp>##V3_BDHV12</stp>
        <stp>RCOM IN Equity</stp>
        <stp>BOARD_MEETINGS_PER_YR</stp>
        <stp>FY 2009</stp>
        <stp>FY 2009</stp>
        <stp>[FA1_ymffleas.xlsx]ESG - Overview!R26C3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6" s="34"/>
      </tp>
      <tp>
        <v>5.5597000000000003</v>
        <stp/>
        <stp>##V3_BDHV12</stp>
        <stp>RCOM IN Equity</stp>
        <stp>FNCL_LVRG</stp>
        <stp>FY 2018</stp>
        <stp>FY 2018</stp>
        <stp>[FA1_ymffleas.xlsx]DuPont Analysis!R17C12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7" s="27"/>
      </tp>
      <tp>
        <v>10320.1</v>
        <stp/>
        <stp>##V3_BDHV12</stp>
        <stp>RCOM IN Equity</stp>
        <stp>ARDR_COMMON_STOCK</stp>
        <stp>FY 2010</stp>
        <stp>FY 2010</stp>
        <stp>[FA1_ymffleas.xlsx]Bal Sheet - As Reported!R95C4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5" s="17"/>
      </tp>
      <tp t="s">
        <v>—</v>
        <stp/>
        <stp>##V3_BDHV12</stp>
        <stp>RCOM IN Equity</stp>
        <stp>INVENT_DAYS</stp>
        <stp>FY 2010</stp>
        <stp>FY 2010</stp>
        <stp>[FA1_ymffleas.xlsx]Working Capital!R9C4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9" s="25"/>
      </tp>
      <tp>
        <v>10320</v>
        <stp/>
        <stp>##V3_BDHV12</stp>
        <stp>RCOM IN Equity</stp>
        <stp>ARDR_COMMON_STOCK</stp>
        <stp>FY 2011</stp>
        <stp>FY 2011</stp>
        <stp>[FA1_ymffleas.xlsx]Bal Sheet - As Reported!R95C5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5" s="17"/>
      </tp>
      <tp>
        <v>10320</v>
        <stp/>
        <stp>##V3_BDHV12</stp>
        <stp>RCOM IN Equity</stp>
        <stp>ARDR_COMMON_STOCK</stp>
        <stp>FY 2012</stp>
        <stp>FY 2012</stp>
        <stp>[FA1_ymffleas.xlsx]Bal Sheet - As Reported!R95C6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5" s="17"/>
      </tp>
      <tp>
        <v>10320</v>
        <stp/>
        <stp>##V3_BDHV12</stp>
        <stp>RCOM IN Equity</stp>
        <stp>ARDR_COMMON_STOCK</stp>
        <stp>FY 2013</stp>
        <stp>FY 2013</stp>
        <stp>[FA1_ymffleas.xlsx]Bal Sheet - As Reported!R95C7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5" s="17"/>
      </tp>
      <tp>
        <v>10320.1</v>
        <stp/>
        <stp>##V3_BDHV12</stp>
        <stp>RCOM IN Equity</stp>
        <stp>ARDR_COMMON_STOCK</stp>
        <stp>FY 2009</stp>
        <stp>FY 2009</stp>
        <stp>[FA1_ymffleas.xlsx]Bal Sheet - As Reported!R95C3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5" s="17"/>
      </tp>
      <tp>
        <v>10320</v>
        <stp/>
        <stp>##V3_BDHV12</stp>
        <stp>RCOM IN Equity</stp>
        <stp>ARDR_COMMON_STOCK</stp>
        <stp>FY 2014</stp>
        <stp>FY 2014</stp>
        <stp>[FA1_ymffleas.xlsx]Bal Sheet - As Reported!R95C8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5" s="17"/>
      </tp>
      <tp>
        <v>12440</v>
        <stp/>
        <stp>##V3_BDHV12</stp>
        <stp>RCOM IN Equity</stp>
        <stp>ARDR_COMMON_STOCK</stp>
        <stp>FY 2015</stp>
        <stp>FY 2015</stp>
        <stp>[FA1_ymffleas.xlsx]Bal Sheet - As Reported!R95C9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5" s="17"/>
      </tp>
      <tp>
        <v>288830</v>
        <stp/>
        <stp>##V3_BDHV12</stp>
        <stp>RCOM IN Equity</stp>
        <stp>ARDR_OTHER_ST_LOANS_BORROWINGS</stp>
        <stp>FY 2018</stp>
        <stp>FY 2018</stp>
        <stp>[FA1_ymffleas.xlsx]Bal Sheet - As Reported!R151C12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1" s="17"/>
      </tp>
      <tp>
        <v>169310</v>
        <stp/>
        <stp>##V3_BDHV12</stp>
        <stp>RCOM IN Equity</stp>
        <stp>ARDR_OTHER_ST_LOANS_BORROWINGS</stp>
        <stp>FY 2017</stp>
        <stp>FY 2017</stp>
        <stp>[FA1_ymffleas.xlsx]Bal Sheet - As Reported!R151C11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1" s="17"/>
      </tp>
      <tp>
        <v>102390</v>
        <stp/>
        <stp>##V3_BDHV12</stp>
        <stp>RCOM IN Equity</stp>
        <stp>ARDR_OTHER_ST_LOANS_BORROWINGS</stp>
        <stp>FY 2016</stp>
        <stp>FY 2016</stp>
        <stp>[FA1_ymffleas.xlsx]Bal Sheet - As Reported!R151C10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1" s="17"/>
      </tp>
      <tp>
        <v>220890</v>
        <stp/>
        <stp>##V3_BDHV12</stp>
        <stp>RCOM IN Equity</stp>
        <stp>SALES_REV_TURN</stp>
        <stp>FY 2011</stp>
        <stp>FY 2011</stp>
        <stp>[FA1_ymffleas.xlsx]Income - Adjusted!R6C4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6" s="9"/>
      </tp>
      <tp>
        <v>209400</v>
        <stp/>
        <stp>##V3_BDHV12</stp>
        <stp>RCOM IN Equity</stp>
        <stp>SALES_REV_TURN</stp>
        <stp>FY 2014</stp>
        <stp>FY 2014</stp>
        <stp>[FA1_ymffleas.xlsx]Income - Adjusted!R6C7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6" s="9"/>
      </tp>
      <tp>
        <v>2.8262</v>
        <stp/>
        <stp>##V3_BDHV12</stp>
        <stp>RCOM IN Equity</stp>
        <stp>FNCL_LVRG</stp>
        <stp>FY 2016</stp>
        <stp>FY 2016</stp>
        <stp>[FA1_ymffleas.xlsx]DuPont Analysis!R17C10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7" s="27"/>
      </tp>
      <tp>
        <v>192940</v>
        <stp/>
        <stp>##V3_BDHV12</stp>
        <stp>RCOM IN Equity</stp>
        <stp>SALES_REV_TURN</stp>
        <stp>FY 2013</stp>
        <stp>FY 2013</stp>
        <stp>[FA1_ymffleas.xlsx]Income - Adjusted!R6C6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6" s="9"/>
      </tp>
      <tp>
        <v>3.3778999999999999</v>
        <stp/>
        <stp>##V3_BDHV12</stp>
        <stp>RCOM IN Equity</stp>
        <stp>FNCL_LVRG</stp>
        <stp>FY 2017</stp>
        <stp>FY 2017</stp>
        <stp>[FA1_ymffleas.xlsx]DuPont Analysis!R17C11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7" s="27"/>
      </tp>
      <tp>
        <v>217430</v>
        <stp/>
        <stp>##V3_BDHV12</stp>
        <stp>RCOM IN Equity</stp>
        <stp>SALES_REV_TURN</stp>
        <stp>FY 2016</stp>
        <stp>FY 2016</stp>
        <stp>[FA1_ymffleas.xlsx]Income - Adjusted!R6C9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6" s="9"/>
      </tp>
      <tp>
        <v>0</v>
        <stp/>
        <stp>##V3_BDHV12</stp>
        <stp>RCOM IN Equity</stp>
        <stp>BS_ACCRUED_LIABILITIES</stp>
        <stp>FY 2014</stp>
        <stp>FY 2014</stp>
        <stp>[FA1_ymffleas.xlsx]Bal Sheet - Standardized!R111C8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1" s="16"/>
      </tp>
      <tp>
        <v>0</v>
        <stp/>
        <stp>##V3_BDHV12</stp>
        <stp>RCOM IN Equity</stp>
        <stp>BS_ACCRUED_LIABILITIES</stp>
        <stp>FY 2015</stp>
        <stp>FY 2015</stp>
        <stp>[FA1_ymffleas.xlsx]Bal Sheet - Standardized!R111C9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1" s="16"/>
      </tp>
      <tp>
        <v>0</v>
        <stp/>
        <stp>##V3_BDHV12</stp>
        <stp>RCOM IN Equity</stp>
        <stp>BS_ACCRUED_LIABILITIES</stp>
        <stp>FY 2012</stp>
        <stp>FY 2012</stp>
        <stp>[FA1_ymffleas.xlsx]Bal Sheet - Standardized!R111C6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1" s="16"/>
      </tp>
      <tp>
        <v>0</v>
        <stp/>
        <stp>##V3_BDHV12</stp>
        <stp>RCOM IN Equity</stp>
        <stp>BS_ACCRUED_LIABILITIES</stp>
        <stp>FY 2013</stp>
        <stp>FY 2013</stp>
        <stp>[FA1_ymffleas.xlsx]Bal Sheet - Standardized!R111C7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1" s="16"/>
      </tp>
      <tp>
        <v>0</v>
        <stp/>
        <stp>##V3_BDHV12</stp>
        <stp>RCOM IN Equity</stp>
        <stp>BS_ACCRUED_LIABILITIES</stp>
        <stp>FY 2010</stp>
        <stp>FY 2010</stp>
        <stp>[FA1_ymffleas.xlsx]Bal Sheet - Standardized!R111C4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1" s="16"/>
      </tp>
      <tp>
        <v>0</v>
        <stp/>
        <stp>##V3_BDHV12</stp>
        <stp>RCOM IN Equity</stp>
        <stp>BS_ACCRUED_LIABILITIES</stp>
        <stp>FY 2011</stp>
        <stp>FY 2011</stp>
        <stp>[FA1_ymffleas.xlsx]Bal Sheet - Standardized!R111C5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1" s="16"/>
      </tp>
      <tp>
        <v>0</v>
        <stp/>
        <stp>##V3_BDHV12</stp>
        <stp>RCOM IN Equity</stp>
        <stp>BS_ACCRUED_LIABILITIES</stp>
        <stp>FY 2009</stp>
        <stp>FY 2009</stp>
        <stp>[FA1_ymffleas.xlsx]Bal Sheet - Standardized!R111C3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1" s="16"/>
      </tp>
      <tp>
        <v>214230</v>
        <stp/>
        <stp>##V3_BDHV12</stp>
        <stp>RCOM IN Equity</stp>
        <stp>SALES_REV_TURN</stp>
        <stp>FY 2015</stp>
        <stp>FY 2015</stp>
        <stp>[FA1_ymffleas.xlsx]Income - Adjusted!R6C8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6" s="9"/>
      </tp>
      <tp>
        <v>1651.2</v>
        <stp/>
        <stp>##V3_BDHV12</stp>
        <stp>RCOM IN Equity</stp>
        <stp>IS_TOT_CASH_COM_DVD</stp>
        <stp>FY 2009</stp>
        <stp>FY 2009</stp>
        <stp>[FA1_ymffleas.xlsx]Dividend Summary!R13C3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" s="31"/>
      </tp>
      <tp>
        <v>520</v>
        <stp/>
        <stp>##V3_BDHV12</stp>
        <stp>RCOM IN Equity</stp>
        <stp>IS_TOT_CASH_COM_DVD</stp>
        <stp>FY 2012</stp>
        <stp>FY 2012</stp>
        <stp>[FA1_ymffleas.xlsx]Dividend Summary!R13C6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" s="31"/>
      </tp>
      <tp>
        <v>520</v>
        <stp/>
        <stp>##V3_BDHV12</stp>
        <stp>RCOM IN Equity</stp>
        <stp>IS_TOT_CASH_COM_DVD</stp>
        <stp>FY 2013</stp>
        <stp>FY 2013</stp>
        <stp>[FA1_ymffleas.xlsx]Dividend Summary!R13C7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" s="31"/>
      </tp>
      <tp>
        <v>1754.4</v>
        <stp/>
        <stp>##V3_BDHV12</stp>
        <stp>RCOM IN Equity</stp>
        <stp>IS_TOT_CASH_COM_DVD</stp>
        <stp>FY 2010</stp>
        <stp>FY 2010</stp>
        <stp>[FA1_ymffleas.xlsx]Dividend Summary!R13C4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" s="31"/>
      </tp>
      <tp>
        <v>1030</v>
        <stp/>
        <stp>##V3_BDHV12</stp>
        <stp>RCOM IN Equity</stp>
        <stp>IS_TOT_CASH_COM_DVD</stp>
        <stp>FY 2011</stp>
        <stp>FY 2011</stp>
        <stp>[FA1_ymffleas.xlsx]Dividend Summary!R13C5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" s="31"/>
      </tp>
      <tp>
        <v>0</v>
        <stp/>
        <stp>##V3_BDHV12</stp>
        <stp>RCOM IN Equity</stp>
        <stp>IS_TOT_CASH_COM_DVD</stp>
        <stp>FY 2014</stp>
        <stp>FY 2014</stp>
        <stp>[FA1_ymffleas.xlsx]Dividend Summary!R13C8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" s="31"/>
      </tp>
      <tp>
        <v>0</v>
        <stp/>
        <stp>##V3_BDHV12</stp>
        <stp>RCOM IN Equity</stp>
        <stp>IS_TOT_CASH_COM_DVD</stp>
        <stp>FY 2015</stp>
        <stp>FY 2015</stp>
        <stp>[FA1_ymffleas.xlsx]Dividend Summary!R13C9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" s="31"/>
      </tp>
      <tp>
        <v>772520.35620000004</v>
        <stp/>
        <stp>##V3_BDHV12</stp>
        <stp>RCOM IN Equity</stp>
        <stp>HIGH_ENTERPRISE_VALUE</stp>
        <stp>FY 2015</stp>
        <stp>FY 2015</stp>
        <stp>[FA1_ymffleas.xlsx]Multiples!R57C8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7" s="6"/>
      </tp>
      <tp>
        <v>603481.56409999996</v>
        <stp/>
        <stp>##V3_BDHV12</stp>
        <stp>RCOM IN Equity</stp>
        <stp>HIGH_ENTERPRISE_VALUE</stp>
        <stp>FY 2016</stp>
        <stp>FY 2016</stp>
        <stp>[FA1_ymffleas.xlsx]Multiples!R57C9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7" s="6"/>
      </tp>
      <tp>
        <v>671364.36459999997</v>
        <stp/>
        <stp>##V3_BDHV12</stp>
        <stp>RCOM IN Equity</stp>
        <stp>HIGH_ENTERPRISE_VALUE</stp>
        <stp>FY 2011</stp>
        <stp>FY 2011</stp>
        <stp>[FA1_ymffleas.xlsx]Multiples!R57C4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7" s="6"/>
      </tp>
      <tp>
        <v>577457.04189999995</v>
        <stp/>
        <stp>##V3_BDHV12</stp>
        <stp>RCOM IN Equity</stp>
        <stp>HIGH_ENTERPRISE_VALUE</stp>
        <stp>FY 2012</stp>
        <stp>FY 2012</stp>
        <stp>[FA1_ymffleas.xlsx]Multiples!R57C5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7" s="6"/>
      </tp>
      <tp>
        <v>564638.41189999995</v>
        <stp/>
        <stp>##V3_BDHV12</stp>
        <stp>RCOM IN Equity</stp>
        <stp>HIGH_ENTERPRISE_VALUE</stp>
        <stp>FY 2013</stp>
        <stp>FY 2013</stp>
        <stp>[FA1_ymffleas.xlsx]Multiples!R57C6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7" s="6"/>
      </tp>
      <tp>
        <v>741692.31700000004</v>
        <stp/>
        <stp>##V3_BDHV12</stp>
        <stp>RCOM IN Equity</stp>
        <stp>HIGH_ENTERPRISE_VALUE</stp>
        <stp>FY 2014</stp>
        <stp>FY 2014</stp>
        <stp>[FA1_ymffleas.xlsx]Multiples!R57C7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7" s="6"/>
      </tp>
      <tp>
        <v>1011425.8916</v>
        <stp/>
        <stp>##V3_BDHV12</stp>
        <stp>RCOM IN Equity</stp>
        <stp>HIGH_ENTERPRISE_VALUE</stp>
        <stp>FY 2010</stp>
        <stp>FY 2010</stp>
        <stp>[FA1_ymffleas.xlsx]Multiples!R57C3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7" s="6"/>
      </tp>
      <tp>
        <v>6</v>
        <stp/>
        <stp>##V3_BDHV12</stp>
        <stp>RCOM IN Equity</stp>
        <stp>BOARD_MEETINGS_PER_YR</stp>
        <stp>FY 2015</stp>
        <stp>FY 2015</stp>
        <stp>[FA1_ymffleas.xlsx]ESG - Overview!R26C9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6" s="34"/>
      </tp>
      <tp>
        <v>4270</v>
        <stp/>
        <stp>##V3_BDHV12</stp>
        <stp>RCOM IN Equity</stp>
        <stp>IS_PERSONNEL_EXP</stp>
        <stp>FY 2018</stp>
        <stp>FY 2018</stp>
        <stp>[FA1_ymffleas.xlsx]Income - GAAP!R108C11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8" s="10"/>
      </tp>
      <tp>
        <v>4420</v>
        <stp/>
        <stp>##V3_BDHV12</stp>
        <stp>RCOM IN Equity</stp>
        <stp>IS_PERSONNEL_EXP</stp>
        <stp>FY 2017</stp>
        <stp>FY 2017</stp>
        <stp>[FA1_ymffleas.xlsx]Income - GAAP!R108C10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8" s="10"/>
      </tp>
      <tp>
        <v>5</v>
        <stp/>
        <stp>##V3_BDHV12</stp>
        <stp>RCOM IN Equity</stp>
        <stp>BOARD_MEETINGS_PER_YR</stp>
        <stp>FY 2014</stp>
        <stp>FY 2014</stp>
        <stp>[FA1_ymffleas.xlsx]ESG - Overview!R26C8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6" s="34"/>
      </tp>
      <tp>
        <v>-3.8639000000000001</v>
        <stp/>
        <stp>##V3_BDHV12</stp>
        <stp>RCOM IN Equity</stp>
        <stp>FREE_CASH_FLOW_PER_SH</stp>
        <stp>FY 2018</stp>
        <stp>FY 2018</stp>
        <stp>[FA1_ymffleas.xlsx]Addl - Overview!R36C11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6" s="29"/>
      </tp>
      <tp>
        <v>0.56810000000000005</v>
        <stp/>
        <stp>##V3_BDHV12</stp>
        <stp>RCOM IN Equity</stp>
        <stp>LOW_PX_TO_SALES_RATIO</stp>
        <stp>FY 2012</stp>
        <stp>FY 2012</stp>
        <stp>[FA1_ymffleas.xlsx]Multiples!R24C5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4" s="6"/>
      </tp>
      <tp t="s">
        <v>—</v>
        <stp/>
        <stp>##V3_BDHV12</stp>
        <stp>RCOM IN Equity</stp>
        <stp>AFTER_TAX_INTEREST_EXPENSE</stp>
        <stp>FY 2009</stp>
        <stp>FY 2009</stp>
        <stp>[FA1_ymffleas.xlsx]Yield Analysis!R31C3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1" s="26"/>
      </tp>
      <tp>
        <v>-30.311599999999999</v>
        <stp/>
        <stp>##V3_BDHV12</stp>
        <stp>RCOM IN Equity</stp>
        <stp>FREE_CASH_FLOW_PER_SH</stp>
        <stp>FY 2017</stp>
        <stp>FY 2017</stp>
        <stp>[FA1_ymffleas.xlsx]Addl - Overview!R36C10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6" s="29"/>
      </tp>
      <tp>
        <v>8948.6486000000004</v>
        <stp/>
        <stp>##V3_BDHV12</stp>
        <stp>RCOM IN Equity</stp>
        <stp>AFTER_TAX_INTEREST_EXPENSE</stp>
        <stp>FY 2011</stp>
        <stp>FY 2011</stp>
        <stp>[FA1_ymffleas.xlsx]Yield Analysis!R31C5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1" s="26"/>
      </tp>
      <tp>
        <v>12277.4051</v>
        <stp/>
        <stp>##V3_BDHV12</stp>
        <stp>RCOM IN Equity</stp>
        <stp>AFTER_TAX_INTEREST_EXPENSE</stp>
        <stp>FY 2010</stp>
        <stp>FY 2010</stp>
        <stp>[FA1_ymffleas.xlsx]Yield Analysis!R31C4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1" s="26"/>
      </tp>
      <tp>
        <v>20676.809799999999</v>
        <stp/>
        <stp>##V3_BDHV12</stp>
        <stp>RCOM IN Equity</stp>
        <stp>AFTER_TAX_INTEREST_EXPENSE</stp>
        <stp>FY 2013</stp>
        <stp>FY 2013</stp>
        <stp>[FA1_ymffleas.xlsx]Yield Analysis!R31C7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1" s="26"/>
      </tp>
      <tp t="s">
        <v>—</v>
        <stp/>
        <stp>##V3_BDHV12</stp>
        <stp>RCOM IN Equity</stp>
        <stp>AFTER_TAX_INTEREST_EXPENSE</stp>
        <stp>FY 2012</stp>
        <stp>FY 2012</stp>
        <stp>[FA1_ymffleas.xlsx]Yield Analysis!R31C6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1" s="26"/>
      </tp>
      <tp>
        <v>16135.7294</v>
        <stp/>
        <stp>##V3_BDHV12</stp>
        <stp>RCOM IN Equity</stp>
        <stp>AFTER_TAX_INTEREST_EXPENSE</stp>
        <stp>FY 2015</stp>
        <stp>FY 2015</stp>
        <stp>[FA1_ymffleas.xlsx]Yield Analysis!R31C9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1" s="26"/>
      </tp>
      <tp t="s">
        <v>—</v>
        <stp/>
        <stp>##V3_BDHV12</stp>
        <stp>RCOM IN Equity</stp>
        <stp>AFTER_TAX_INTEREST_EXPENSE</stp>
        <stp>FY 2014</stp>
        <stp>FY 2014</stp>
        <stp>[FA1_ymffleas.xlsx]Yield Analysis!R31C8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1" s="26"/>
      </tp>
      <tp>
        <v>84630</v>
        <stp/>
        <stp>##V3_BDHV12</stp>
        <stp>RCOM IN Equity</stp>
        <stp>ARDR_OTHER_LT_LOANS_BORROWINGS</stp>
        <stp>FY 2018</stp>
        <stp>FY 2018</stp>
        <stp>[FA1_ymffleas.xlsx]Bal Sheet - As Reported!R148C12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8" s="17"/>
      </tp>
      <tp>
        <v>41540</v>
        <stp/>
        <stp>##V3_BDHV12</stp>
        <stp>RCOM IN Equity</stp>
        <stp>ARDR_OTHER_LT_LOANS_BORROWINGS</stp>
        <stp>FY 2016</stp>
        <stp>FY 2016</stp>
        <stp>[FA1_ymffleas.xlsx]Bal Sheet - As Reported!R148C10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8" s="17"/>
      </tp>
      <tp>
        <v>48710</v>
        <stp/>
        <stp>##V3_BDHV12</stp>
        <stp>RCOM IN Equity</stp>
        <stp>ARDR_OTHER_LT_LOANS_BORROWINGS</stp>
        <stp>FY 2017</stp>
        <stp>FY 2017</stp>
        <stp>[FA1_ymffleas.xlsx]Bal Sheet - As Reported!R148C11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8" s="17"/>
      </tp>
      <tp>
        <v>10.8635</v>
        <stp/>
        <stp>##V3_BDHV12</stp>
        <stp>RCOM IN Equity</stp>
        <stp>OPER_MARGIN</stp>
        <stp>FY 2013</stp>
        <stp>FY 2013</stp>
        <stp>[FA1_ymffleas.xlsx]Profitability!R14C7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4" s="21"/>
      </tp>
      <tp>
        <v>6.0890000000000004</v>
        <stp/>
        <stp>##V3_BDHV12</stp>
        <stp>RCOM IN Equity</stp>
        <stp>PROF_MARGIN</stp>
        <stp>FY 2011</stp>
        <stp>FY 2011</stp>
        <stp>[FA1_ymffleas.xlsx]Profitability!R18C5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8" s="21"/>
      </tp>
      <tp>
        <v>3340</v>
        <stp/>
        <stp>##V3_BDHV12</stp>
        <stp>RCOM IN Equity</stp>
        <stp>IS_AMORT_OF_TOT_INTANG_PRETX</stp>
        <stp>FY 2009</stp>
        <stp>FY 2009</stp>
        <stp>[FA1_ymffleas.xlsx]SBC &amp; Amort!R25C3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5" s="13"/>
      </tp>
      <tp>
        <v>5769.6</v>
        <stp/>
        <stp>##V3_BDHV12</stp>
        <stp>RCOM IN Equity</stp>
        <stp>IS_AMORT_OF_TOT_INTANG_PRETX</stp>
        <stp>FY 2010</stp>
        <stp>FY 2010</stp>
        <stp>[FA1_ymffleas.xlsx]SBC &amp; Amort!R25C4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5" s="13"/>
      </tp>
      <tp>
        <v>27600</v>
        <stp/>
        <stp>##V3_BDHV12</stp>
        <stp>RCOM IN Equity</stp>
        <stp>IS_AMORT_OF_TOT_INTANG_PRETX</stp>
        <stp>FY 2011</stp>
        <stp>FY 2011</stp>
        <stp>[FA1_ymffleas.xlsx]SBC &amp; Amort!R25C5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5" s="13"/>
      </tp>
      <tp>
        <v>19710</v>
        <stp/>
        <stp>##V3_BDHV12</stp>
        <stp>RCOM IN Equity</stp>
        <stp>IS_AMORT_OF_TOT_INTANG_PRETX</stp>
        <stp>FY 2012</stp>
        <stp>FY 2012</stp>
        <stp>[FA1_ymffleas.xlsx]SBC &amp; Amort!R25C6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5" s="13"/>
      </tp>
      <tp>
        <v>19370</v>
        <stp/>
        <stp>##V3_BDHV12</stp>
        <stp>RCOM IN Equity</stp>
        <stp>IS_AMORT_OF_TOT_INTANG_PRETX</stp>
        <stp>FY 2013</stp>
        <stp>FY 2013</stp>
        <stp>[FA1_ymffleas.xlsx]SBC &amp; Amort!R25C7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5" s="13"/>
      </tp>
      <tp t="s">
        <v>—</v>
        <stp/>
        <stp>##V3_BDHV12</stp>
        <stp>RCOM IN Equity</stp>
        <stp>IS_AMORT_OF_TOT_INTANG_PRETX</stp>
        <stp>FY 2014</stp>
        <stp>FY 2014</stp>
        <stp>[FA1_ymffleas.xlsx]SBC &amp; Amort!R25C8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5" s="13"/>
      </tp>
      <tp t="s">
        <v>—</v>
        <stp/>
        <stp>##V3_BDHV12</stp>
        <stp>RCOM IN Equity</stp>
        <stp>IS_AMORT_OF_TOT_INTANG_PRETX</stp>
        <stp>FY 2015</stp>
        <stp>FY 2015</stp>
        <stp>[FA1_ymffleas.xlsx]SBC &amp; Amort!R25C9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5" s="13"/>
      </tp>
      <tp t="s">
        <v>—</v>
        <stp/>
        <stp>##V3_BDHV12</stp>
        <stp>RCOM IN Equity</stp>
        <stp>ACCOUNTS_PAYABLE_TURNOVER_DAYS</stp>
        <stp>FY 2016</stp>
        <stp>FY 2016</stp>
        <stp>[FA1_ymffleas.xlsx]Working Capital!R11C10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1" s="25"/>
      </tp>
      <tp>
        <v>2450</v>
        <stp/>
        <stp>##V3_BDHV12</stp>
        <stp>RCOM IN Equity</stp>
        <stp>IS_INC_BEF_XO_ITEM</stp>
        <stp>FY 2017</stp>
        <stp>FY 2017</stp>
        <stp>[FA1_ymffleas.xlsx]Income - Adjusted!R87C10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7" s="9"/>
      </tp>
      <tp>
        <v>-190</v>
        <stp/>
        <stp>##V3_BDHV12</stp>
        <stp>RCOM IN Equity</stp>
        <stp>IS_INC_BEF_XO_ITEM</stp>
        <stp>FY 2018</stp>
        <stp>FY 2018</stp>
        <stp>[FA1_ymffleas.xlsx]Income - Adjusted!R87C11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7" s="9"/>
      </tp>
      <tp>
        <v>169.52809999999999</v>
        <stp/>
        <stp>##V3_BDHV12</stp>
        <stp>RCOM IN Equity</stp>
        <stp>INCR_IN_EQY_PCT_OF_TOT</stp>
        <stp>FY 2012</stp>
        <stp>FY 2012</stp>
        <stp>[FA1_ymffleas.xlsx]Sources of Capital!R15C6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5" s="32"/>
      </tp>
      <tp>
        <v>81756.399999999994</v>
        <stp/>
        <stp>##V3_BDHV12</stp>
        <stp>RCOM IN Equity</stp>
        <stp>CF_CASH_FROM_OPER</stp>
        <stp>FY 2010</stp>
        <stp>FY 2010</stp>
        <stp>[FA1_ymffleas.xlsx]Cash Flow - Standardized!R16C3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" s="19"/>
      </tp>
      <tp>
        <v>10720</v>
        <stp/>
        <stp>##V3_BDHV12</stp>
        <stp>RCOM IN Equity</stp>
        <stp>CF_CASH_FROM_OPER</stp>
        <stp>FY 2011</stp>
        <stp>FY 2011</stp>
        <stp>[FA1_ymffleas.xlsx]Cash Flow - Standardized!R16C4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" s="19"/>
      </tp>
      <tp>
        <v>40730</v>
        <stp/>
        <stp>##V3_BDHV12</stp>
        <stp>RCOM IN Equity</stp>
        <stp>CF_CASH_FROM_OPER</stp>
        <stp>FY 2012</stp>
        <stp>FY 2012</stp>
        <stp>[FA1_ymffleas.xlsx]Cash Flow - Standardized!R16C5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" s="19"/>
      </tp>
      <tp>
        <v>13700</v>
        <stp/>
        <stp>##V3_BDHV12</stp>
        <stp>RCOM IN Equity</stp>
        <stp>CF_CASH_FROM_OPER</stp>
        <stp>FY 2013</stp>
        <stp>FY 2013</stp>
        <stp>[FA1_ymffleas.xlsx]Cash Flow - Standardized!R16C6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" s="19"/>
      </tp>
      <tp>
        <v>38700</v>
        <stp/>
        <stp>##V3_BDHV12</stp>
        <stp>RCOM IN Equity</stp>
        <stp>CF_CASH_FROM_OPER</stp>
        <stp>FY 2014</stp>
        <stp>FY 2014</stp>
        <stp>[FA1_ymffleas.xlsx]Cash Flow - Standardized!R16C7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" s="19"/>
      </tp>
      <tp>
        <v>4860</v>
        <stp/>
        <stp>##V3_BDHV12</stp>
        <stp>RCOM IN Equity</stp>
        <stp>CF_CASH_FROM_OPER</stp>
        <stp>FY 2015</stp>
        <stp>FY 2015</stp>
        <stp>[FA1_ymffleas.xlsx]Cash Flow - Standardized!R16C8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" s="19"/>
      </tp>
      <tp>
        <v>142210</v>
        <stp/>
        <stp>##V3_BDHV12</stp>
        <stp>RCOM IN Equity</stp>
        <stp>CF_CASH_FROM_OPER</stp>
        <stp>FY 2016</stp>
        <stp>FY 2016</stp>
        <stp>[FA1_ymffleas.xlsx]Cash Flow - Standardized!R16C9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" s="19"/>
      </tp>
      <tp>
        <v>123.90779999999999</v>
        <stp/>
        <stp>##V3_BDHV12</stp>
        <stp>RCOM IN Equity</stp>
        <stp>INCR_IN_EQY_PCT_OF_TOT</stp>
        <stp>FY 2013</stp>
        <stp>FY 2013</stp>
        <stp>[FA1_ymffleas.xlsx]Sources of Capital!R15C7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5" s="32"/>
      </tp>
      <tp>
        <v>-11.2445</v>
        <stp/>
        <stp>##V3_BDHV12</stp>
        <stp>RCOM IN Equity</stp>
        <stp>INCR_IN_EQY_PCT_OF_TOT</stp>
        <stp>FY 2010</stp>
        <stp>FY 2010</stp>
        <stp>[FA1_ymffleas.xlsx]Sources of Capital!R15C4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5" s="32"/>
      </tp>
      <tp>
        <v>-125.14239999999999</v>
        <stp/>
        <stp>##V3_BDHV12</stp>
        <stp>RCOM IN Equity</stp>
        <stp>INCR_IN_EQY_PCT_OF_TOT</stp>
        <stp>FY 2011</stp>
        <stp>FY 2011</stp>
        <stp>[FA1_ymffleas.xlsx]Sources of Capital!R15C5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5" s="32"/>
      </tp>
      <tp>
        <v>46.380099999999999</v>
        <stp/>
        <stp>##V3_BDHV12</stp>
        <stp>RCOM IN Equity</stp>
        <stp>INCR_IN_EQY_PCT_OF_TOT</stp>
        <stp>FY 2009</stp>
        <stp>FY 2009</stp>
        <stp>[FA1_ymffleas.xlsx]Sources of Capital!R15C3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5" s="32"/>
      </tp>
      <tp>
        <v>-185.99639999999999</v>
        <stp/>
        <stp>##V3_BDHV12</stp>
        <stp>RCOM IN Equity</stp>
        <stp>INCR_IN_EQY_PCT_OF_TOT</stp>
        <stp>FY 2014</stp>
        <stp>FY 2014</stp>
        <stp>[FA1_ymffleas.xlsx]Sources of Capital!R15C8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5" s="32"/>
      </tp>
      <tp>
        <v>900.73389999999995</v>
        <stp/>
        <stp>##V3_BDHV12</stp>
        <stp>RCOM IN Equity</stp>
        <stp>INCR_IN_EQY_PCT_OF_TOT</stp>
        <stp>FY 2015</stp>
        <stp>FY 2015</stp>
        <stp>[FA1_ymffleas.xlsx]Sources of Capital!R15C9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5" s="32"/>
      </tp>
      <tp>
        <v>1.4937</v>
        <stp/>
        <stp>##V3_BDHV12</stp>
        <stp>RCOM IN Equity</stp>
        <stp>SALES_GROWTH</stp>
        <stp>FY 2016</stp>
        <stp>FY 2016</stp>
        <stp>[FA1_ymffleas.xlsx]Growth!R7C10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7" s="22"/>
      </tp>
      <tp t="s">
        <v>—</v>
        <stp/>
        <stp>##V3_BDHV12</stp>
        <stp>RCOM IN Equity</stp>
        <stp>ARDR_INVESTMENT_IN_MF_LT</stp>
        <stp>FY 2015</stp>
        <stp>FY 2015</stp>
        <stp>[FA1_ymffleas.xlsx]Bal Sheet - As Reported!R203C9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3" s="17"/>
      </tp>
      <tp t="s">
        <v>—</v>
        <stp/>
        <stp>##V3_BDHV12</stp>
        <stp>RCOM IN Equity</stp>
        <stp>ARDR_INVESTMENT_IN_MF_LT</stp>
        <stp>FY 2014</stp>
        <stp>FY 2014</stp>
        <stp>[FA1_ymffleas.xlsx]Bal Sheet - As Reported!R203C8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3" s="17"/>
      </tp>
      <tp t="s">
        <v>—</v>
        <stp/>
        <stp>##V3_BDHV12</stp>
        <stp>RCOM IN Equity</stp>
        <stp>ARDR_INVESTMENT_IN_MF_LT</stp>
        <stp>FY 2009</stp>
        <stp>FY 2009</stp>
        <stp>[FA1_ymffleas.xlsx]Bal Sheet - As Reported!R203C3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3" s="17"/>
      </tp>
      <tp t="s">
        <v>—</v>
        <stp/>
        <stp>##V3_BDHV12</stp>
        <stp>RCOM IN Equity</stp>
        <stp>ARDR_INVESTMENT_IN_MF_LT</stp>
        <stp>FY 2013</stp>
        <stp>FY 2013</stp>
        <stp>[FA1_ymffleas.xlsx]Bal Sheet - As Reported!R203C7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3" s="17"/>
      </tp>
      <tp t="s">
        <v>—</v>
        <stp/>
        <stp>##V3_BDHV12</stp>
        <stp>RCOM IN Equity</stp>
        <stp>ARDR_INVESTMENT_IN_MF_LT</stp>
        <stp>FY 2012</stp>
        <stp>FY 2012</stp>
        <stp>[FA1_ymffleas.xlsx]Bal Sheet - As Reported!R203C6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3" s="17"/>
      </tp>
      <tp t="s">
        <v>—</v>
        <stp/>
        <stp>##V3_BDHV12</stp>
        <stp>RCOM IN Equity</stp>
        <stp>ARDR_INVESTMENT_IN_MF_LT</stp>
        <stp>FY 2011</stp>
        <stp>FY 2011</stp>
        <stp>[FA1_ymffleas.xlsx]Bal Sheet - As Reported!R203C5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3" s="17"/>
      </tp>
      <tp t="s">
        <v>—</v>
        <stp/>
        <stp>##V3_BDHV12</stp>
        <stp>RCOM IN Equity</stp>
        <stp>ARDR_INVESTMENT_IN_MF_LT</stp>
        <stp>FY 2010</stp>
        <stp>FY 2010</stp>
        <stp>[FA1_ymffleas.xlsx]Bal Sheet - As Reported!R203C4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3" s="17"/>
      </tp>
      <tp>
        <v>40.5809</v>
        <stp/>
        <stp>##V3_BDHV12</stp>
        <stp>RCOM IN Equity</stp>
        <stp>EBITDA_PER_SH</stp>
        <stp>FY 2011</stp>
        <stp>FY 2011</stp>
        <stp>[FA1_ymffleas.xlsx]Per Share!R12C4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2" s="7"/>
      </tp>
      <tp t="s">
        <v>—</v>
        <stp/>
        <stp>##V3_BDHV12</stp>
        <stp>RCOM IN Equity</stp>
        <stp>BS_DERIVATIVE_&amp;_HEDGING_LIABS_LT</stp>
        <stp>FY 2009</stp>
        <stp>FY 2009</stp>
        <stp>[FA1_ymffleas.xlsx]Bal Sheet - Standardized!R125C3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5" s="16"/>
      </tp>
      <tp t="s">
        <v>—</v>
        <stp/>
        <stp>##V3_BDHV12</stp>
        <stp>RCOM IN Equity</stp>
        <stp>BS_DERIVATIVE_&amp;_HEDGING_LIABS_LT</stp>
        <stp>FY 2011</stp>
        <stp>FY 2011</stp>
        <stp>[FA1_ymffleas.xlsx]Bal Sheet - Standardized!R125C5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5" s="16"/>
      </tp>
      <tp t="s">
        <v>—</v>
        <stp/>
        <stp>##V3_BDHV12</stp>
        <stp>RCOM IN Equity</stp>
        <stp>BS_DERIVATIVE_&amp;_HEDGING_LIABS_LT</stp>
        <stp>FY 2010</stp>
        <stp>FY 2010</stp>
        <stp>[FA1_ymffleas.xlsx]Bal Sheet - Standardized!R125C4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5" s="16"/>
      </tp>
      <tp t="s">
        <v>—</v>
        <stp/>
        <stp>##V3_BDHV12</stp>
        <stp>RCOM IN Equity</stp>
        <stp>BS_DERIVATIVE_&amp;_HEDGING_LIABS_LT</stp>
        <stp>FY 2013</stp>
        <stp>FY 2013</stp>
        <stp>[FA1_ymffleas.xlsx]Bal Sheet - Standardized!R125C7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5" s="16"/>
      </tp>
      <tp t="s">
        <v>—</v>
        <stp/>
        <stp>##V3_BDHV12</stp>
        <stp>RCOM IN Equity</stp>
        <stp>BS_DERIVATIVE_&amp;_HEDGING_LIABS_LT</stp>
        <stp>FY 2012</stp>
        <stp>FY 2012</stp>
        <stp>[FA1_ymffleas.xlsx]Bal Sheet - Standardized!R125C6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5" s="16"/>
      </tp>
      <tp t="s">
        <v>—</v>
        <stp/>
        <stp>##V3_BDHV12</stp>
        <stp>RCOM IN Equity</stp>
        <stp>BS_DERIVATIVE_&amp;_HEDGING_LIABS_LT</stp>
        <stp>FY 2015</stp>
        <stp>FY 2015</stp>
        <stp>[FA1_ymffleas.xlsx]Bal Sheet - Standardized!R125C9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5" s="16"/>
      </tp>
      <tp t="s">
        <v>—</v>
        <stp/>
        <stp>##V3_BDHV12</stp>
        <stp>RCOM IN Equity</stp>
        <stp>BS_DERIVATIVE_&amp;_HEDGING_LIABS_LT</stp>
        <stp>FY 2014</stp>
        <stp>FY 2014</stp>
        <stp>[FA1_ymffleas.xlsx]Bal Sheet - Standardized!R125C8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5" s="16"/>
      </tp>
      <tp>
        <v>154.09200000000001</v>
        <stp/>
        <stp>##V3_BDHV12</stp>
        <stp>RCOM IN Equity</stp>
        <stp>INCR_IN_LIAB_PCT_OF_TOT</stp>
        <stp>FY 2016</stp>
        <stp>FY 2016</stp>
        <stp>[FA1_ymffleas.xlsx]Sources of Capital!R10C10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0" s="32"/>
      </tp>
      <tp>
        <v>22.2133</v>
        <stp/>
        <stp>##V3_BDHV12</stp>
        <stp>RCOM IN Equity</stp>
        <stp>INCR_IN_LIAB_PCT_OF_TOT</stp>
        <stp>FY 2017</stp>
        <stp>FY 2017</stp>
        <stp>[FA1_ymffleas.xlsx]Sources of Capital!R10C11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0" s="32"/>
      </tp>
      <tp>
        <v>-2.7869000000000002</v>
        <stp/>
        <stp>##V3_BDHV12</stp>
        <stp>RCOM IN Equity</stp>
        <stp>INCR_IN_LIAB_PCT_OF_TOT</stp>
        <stp>FY 2018</stp>
        <stp>FY 2018</stp>
        <stp>[FA1_ymffleas.xlsx]Sources of Capital!R10C12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0" s="32"/>
      </tp>
      <tp t="s">
        <v>—</v>
        <stp/>
        <stp>##V3_BDHV12</stp>
        <stp>RCOM IN Equity</stp>
        <stp>ARD_TOTAL_OPERATING_EXPENSES</stp>
        <stp>FY 2016</stp>
        <stp>FY 2016</stp>
        <stp>[FA1_ymffleas.xlsx]As Reported Summary!R10C10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" s="30"/>
      </tp>
      <tp t="s">
        <v>—</v>
        <stp/>
        <stp>##V3_BDHV12</stp>
        <stp>RCOM IN Equity</stp>
        <stp>ARD_TOTAL_OPERATING_EXPENSES</stp>
        <stp>FY 2017</stp>
        <stp>FY 2017</stp>
        <stp>[FA1_ymffleas.xlsx]As Reported Summary!R10C11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" s="30"/>
      </tp>
      <tp t="s">
        <v>—</v>
        <stp/>
        <stp>##V3_BDHV12</stp>
        <stp>RCOM IN Equity</stp>
        <stp>ARD_TOTAL_OPERATING_EXPENSES</stp>
        <stp>FY 2018</stp>
        <stp>FY 2018</stp>
        <stp>[FA1_ymffleas.xlsx]As Reported Summary!R10C12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" s="30"/>
      </tp>
      <tp t="s">
        <v>—</v>
        <stp/>
        <stp>##V3_BDHV12</stp>
        <stp>RCOM IN Equity</stp>
        <stp>ARD_SERVICE_REVENUE</stp>
        <stp>FY 2016</stp>
        <stp>FY 2016</stp>
        <stp>[FA1_ymffleas.xlsx]Income - As Reported!R9C10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" s="11"/>
      </tp>
      <tp t="s">
        <v>—</v>
        <stp/>
        <stp>##V3_BDHV12</stp>
        <stp>RCOM IN Equity</stp>
        <stp>ARD_SERVICE_REVENUE</stp>
        <stp>FY 2017</stp>
        <stp>FY 2017</stp>
        <stp>[FA1_ymffleas.xlsx]Income - As Reported!R9C11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" s="11"/>
      </tp>
      <tp t="s">
        <v>—</v>
        <stp/>
        <stp>##V3_BDHV12</stp>
        <stp>RCOM IN Equity</stp>
        <stp>ARD_SERVICE_REVENUE</stp>
        <stp>FY 2018</stp>
        <stp>FY 2018</stp>
        <stp>[FA1_ymffleas.xlsx]Income - As Reported!R9C12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" s="11"/>
      </tp>
      <tp>
        <v>11090</v>
        <stp/>
        <stp>##V3_BDHV12</stp>
        <stp>RCOM IN Equity</stp>
        <stp>C&amp;CE_AND_STI_DETAILED</stp>
        <stp>FY 2014</stp>
        <stp>FY 2014</stp>
        <stp>[FA1_ymffleas.xlsx]Bal Sheet - Standardized!R7C8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" s="16"/>
      </tp>
      <tp>
        <v>26780</v>
        <stp/>
        <stp>##V3_BDHV12</stp>
        <stp>RCOM IN Equity</stp>
        <stp>C&amp;CE_AND_STI_DETAILED</stp>
        <stp>FY 2015</stp>
        <stp>FY 2015</stp>
        <stp>[FA1_ymffleas.xlsx]Bal Sheet - Standardized!R7C9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" s="16"/>
      </tp>
      <tp>
        <v>109671.3</v>
        <stp/>
        <stp>##V3_BDHV12</stp>
        <stp>RCOM IN Equity</stp>
        <stp>C&amp;CE_AND_STI_DETAILED</stp>
        <stp>FY 2009</stp>
        <stp>FY 2009</stp>
        <stp>[FA1_ymffleas.xlsx]Bal Sheet - Standardized!R7C3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" s="16"/>
      </tp>
      <tp>
        <v>10690</v>
        <stp/>
        <stp>##V3_BDHV12</stp>
        <stp>RCOM IN Equity</stp>
        <stp>C&amp;CE_AND_STI_DETAILED</stp>
        <stp>FY 2012</stp>
        <stp>FY 2012</stp>
        <stp>[FA1_ymffleas.xlsx]Bal Sheet - Standardized!R7C6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" s="16"/>
      </tp>
      <tp>
        <v>12820</v>
        <stp/>
        <stp>##V3_BDHV12</stp>
        <stp>RCOM IN Equity</stp>
        <stp>C&amp;CE_AND_STI_DETAILED</stp>
        <stp>FY 2013</stp>
        <stp>FY 2013</stp>
        <stp>[FA1_ymffleas.xlsx]Bal Sheet - Standardized!R7C7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" s="16"/>
      </tp>
      <tp>
        <v>48584.800000000003</v>
        <stp/>
        <stp>##V3_BDHV12</stp>
        <stp>RCOM IN Equity</stp>
        <stp>C&amp;CE_AND_STI_DETAILED</stp>
        <stp>FY 2010</stp>
        <stp>FY 2010</stp>
        <stp>[FA1_ymffleas.xlsx]Bal Sheet - Standardized!R7C4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" s="16"/>
      </tp>
      <tp>
        <v>53180</v>
        <stp/>
        <stp>##V3_BDHV12</stp>
        <stp>RCOM IN Equity</stp>
        <stp>C&amp;CE_AND_STI_DETAILED</stp>
        <stp>FY 2011</stp>
        <stp>FY 2011</stp>
        <stp>[FA1_ymffleas.xlsx]Bal Sheet - Standardized!R7C5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" s="16"/>
      </tp>
      <tp>
        <v>0.50649999999999995</v>
        <stp/>
        <stp>##V3_BDHV12</stp>
        <stp>RCOM IN Equity</stp>
        <stp>IS_DIL_EPS_CONT_OPS</stp>
        <stp>FY 2017</stp>
        <stp>FY 2017</stp>
        <stp>[FA1_ymffleas.xlsx]Adj Highlights!R20C10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0" s="2"/>
      </tp>
      <tp>
        <v>0.18970000000000001</v>
        <stp/>
        <stp>##V3_BDHV12</stp>
        <stp>RCOM IN Equity</stp>
        <stp>IS_DIL_EPS_CONT_OPS</stp>
        <stp>FY 2018</stp>
        <stp>FY 2018</stp>
        <stp>[FA1_ymffleas.xlsx]Adj Highlights!R20C11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0" s="2"/>
      </tp>
      <tp>
        <v>0.76849999999999996</v>
        <stp/>
        <stp>##V3_BDHV12</stp>
        <stp>RCOM IN Equity</stp>
        <stp>AVERAGE_PRICE_TO_CASH_FLOW</stp>
        <stp>FY 2017</stp>
        <stp>FY 2017</stp>
        <stp>[FA1_ymffleas.xlsx]Multiples!R27C10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7" s="6"/>
      </tp>
      <tp t="s">
        <v>—</v>
        <stp/>
        <stp>##V3_BDHV12</stp>
        <stp>RCOM IN Equity</stp>
        <stp>AVERAGE_PRICE_TO_CASH_FLOW</stp>
        <stp>FY 2018</stp>
        <stp>FY 2018</stp>
        <stp>[FA1_ymffleas.xlsx]Multiples!R27C11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7" s="6"/>
      </tp>
      <tp t="s">
        <v>—</v>
        <stp/>
        <stp>##V3_BDHV12</stp>
        <stp>RCOM IN Equity</stp>
        <stp>INVENT_DAYS</stp>
        <stp>FY 2011</stp>
        <stp>FY 2011</stp>
        <stp>[FA1_ymffleas.xlsx]Working Capital!R9C5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9" s="25"/>
      </tp>
      <tp>
        <v>200</v>
        <stp/>
        <stp>##V3_BDHV12</stp>
        <stp>RCOM IN Equity</stp>
        <stp>ARD_SALE_OF_ASSETS</stp>
        <stp>FY 2018</stp>
        <stp>FY 2018</stp>
        <stp>[FA1_ymffleas.xlsx]Cash Flow - As Reported!R48C12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8" s="20"/>
      </tp>
      <tp>
        <v>42460</v>
        <stp/>
        <stp>##V3_BDHV12</stp>
        <stp>RCOM IN Equity</stp>
        <stp>ARD_SALE_OF_ASSETS</stp>
        <stp>FY 2017</stp>
        <stp>FY 2017</stp>
        <stp>[FA1_ymffleas.xlsx]Cash Flow - As Reported!R48C11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8" s="20"/>
      </tp>
      <tp>
        <v>2470</v>
        <stp/>
        <stp>##V3_BDHV12</stp>
        <stp>RCOM IN Equity</stp>
        <stp>ARD_SALE_OF_ASSETS</stp>
        <stp>FY 2016</stp>
        <stp>FY 2016</stp>
        <stp>[FA1_ymffleas.xlsx]Cash Flow - As Reported!R48C10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8" s="20"/>
      </tp>
      <tp>
        <v>57682.2</v>
        <stp/>
        <stp>##V3_BDHV12</stp>
        <stp>RCOM IN Equity</stp>
        <stp>ARDR_OTHER_CURRENT_ASSETS</stp>
        <stp>FY 2010</stp>
        <stp>FY 2010</stp>
        <stp>[FA1_ymffleas.xlsx]Bal Sheet - As Reported!R66C4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6" s="17"/>
      </tp>
      <tp>
        <v>51620</v>
        <stp/>
        <stp>##V3_BDHV12</stp>
        <stp>RCOM IN Equity</stp>
        <stp>ARDR_OTHER_CURRENT_ASSETS</stp>
        <stp>FY 2011</stp>
        <stp>FY 2011</stp>
        <stp>[FA1_ymffleas.xlsx]Bal Sheet - As Reported!R66C5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6" s="17"/>
      </tp>
      <tp>
        <v>55930</v>
        <stp/>
        <stp>##V3_BDHV12</stp>
        <stp>RCOM IN Equity</stp>
        <stp>ARDR_OTHER_CURRENT_ASSETS</stp>
        <stp>FY 2012</stp>
        <stp>FY 2012</stp>
        <stp>[FA1_ymffleas.xlsx]Bal Sheet - As Reported!R66C6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6" s="17"/>
      </tp>
      <tp>
        <v>48610</v>
        <stp/>
        <stp>##V3_BDHV12</stp>
        <stp>RCOM IN Equity</stp>
        <stp>ARDR_OTHER_CURRENT_ASSETS</stp>
        <stp>FY 2013</stp>
        <stp>FY 2013</stp>
        <stp>[FA1_ymffleas.xlsx]Bal Sheet - As Reported!R66C7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6" s="17"/>
      </tp>
      <tp>
        <v>67677.899999999994</v>
        <stp/>
        <stp>##V3_BDHV12</stp>
        <stp>RCOM IN Equity</stp>
        <stp>ARDR_OTHER_CURRENT_ASSETS</stp>
        <stp>FY 2009</stp>
        <stp>FY 2009</stp>
        <stp>[FA1_ymffleas.xlsx]Bal Sheet - As Reported!R66C3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6" s="17"/>
      </tp>
      <tp>
        <v>62510</v>
        <stp/>
        <stp>##V3_BDHV12</stp>
        <stp>RCOM IN Equity</stp>
        <stp>ARDR_OTHER_CURRENT_ASSETS</stp>
        <stp>FY 2014</stp>
        <stp>FY 2014</stp>
        <stp>[FA1_ymffleas.xlsx]Bal Sheet - As Reported!R66C8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6" s="17"/>
      </tp>
      <tp>
        <v>90820</v>
        <stp/>
        <stp>##V3_BDHV12</stp>
        <stp>RCOM IN Equity</stp>
        <stp>ARDR_OTHER_CURRENT_ASSETS</stp>
        <stp>FY 2015</stp>
        <stp>FY 2015</stp>
        <stp>[FA1_ymffleas.xlsx]Bal Sheet - As Reported!R66C9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6" s="17"/>
      </tp>
      <tp t="s">
        <v>—</v>
        <stp/>
        <stp>##V3_BDHV12</stp>
        <stp>RCOM IN Equity</stp>
        <stp>IS_OTHER_INVESTMENT_INCOME_LOSS</stp>
        <stp>FY 2018</stp>
        <stp>FY 2018</stp>
        <stp>[FA1_ymffleas.xlsx]Income - GAAP!R45C11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45" s="10"/>
      </tp>
      <tp>
        <v>-94800</v>
        <stp/>
        <stp>##V3_BDHV12</stp>
        <stp>RCOM IN Equity</stp>
        <stp>NET_CHNG_LT_DEBT</stp>
        <stp>FY 2018</stp>
        <stp>FY 2018</stp>
        <stp>[FA1_ymffleas.xlsx]Sources of Capital!R7C12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" s="32"/>
      </tp>
      <tp>
        <v>-13670</v>
        <stp/>
        <stp>##V3_BDHV12</stp>
        <stp>RCOM IN Equity</stp>
        <stp>NET_CHNG_LT_DEBT</stp>
        <stp>FY 2016</stp>
        <stp>FY 2016</stp>
        <stp>[FA1_ymffleas.xlsx]Sources of Capital!R7C10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" s="32"/>
      </tp>
      <tp>
        <v>-65640</v>
        <stp/>
        <stp>##V3_BDHV12</stp>
        <stp>RCOM IN Equity</stp>
        <stp>NET_CHNG_LT_DEBT</stp>
        <stp>FY 2017</stp>
        <stp>FY 2017</stp>
        <stp>[FA1_ymffleas.xlsx]Sources of Capital!R7C11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" s="32"/>
      </tp>
      <tp t="s">
        <v>—</v>
        <stp/>
        <stp>##V3_BDHV12</stp>
        <stp>RCOM IN Equity</stp>
        <stp>IS_OTHER_INVESTMENT_INCOME_LOSS</stp>
        <stp>FY 2017</stp>
        <stp>FY 2017</stp>
        <stp>[FA1_ymffleas.xlsx]Income - GAAP!R45C10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45" s="10"/>
      </tp>
      <tp>
        <v>0.74490000000000001</v>
        <stp/>
        <stp>##V3_BDHV12</stp>
        <stp>RCOM IN Equity</stp>
        <stp>LOW_PX_TO_SALES_RATIO</stp>
        <stp>FY 2011</stp>
        <stp>FY 2011</stp>
        <stp>[FA1_ymffleas.xlsx]Multiples!R24C4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4" s="6"/>
      </tp>
      <tp t="s">
        <v>—</v>
        <stp/>
        <stp>##V3_BDHV12</stp>
        <stp>RCOM IN Equity</stp>
        <stp>ARD_PROPOSED_FINAL_DIVIDEND</stp>
        <stp>FY 2018</stp>
        <stp>FY 2018</stp>
        <stp>[FA1_ymffleas.xlsx]Income - As Reported!R48C12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8" s="11"/>
      </tp>
      <tp t="s">
        <v>—</v>
        <stp/>
        <stp>##V3_BDHV12</stp>
        <stp>RCOM IN Equity</stp>
        <stp>ARD_PROPOSED_FINAL_DIVIDEND</stp>
        <stp>FY 2016</stp>
        <stp>FY 2016</stp>
        <stp>[FA1_ymffleas.xlsx]Income - As Reported!R48C10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8" s="11"/>
      </tp>
      <tp t="s">
        <v>—</v>
        <stp/>
        <stp>##V3_BDHV12</stp>
        <stp>RCOM IN Equity</stp>
        <stp>ARD_PROPOSED_FINAL_DIVIDEND</stp>
        <stp>FY 2017</stp>
        <stp>FY 2017</stp>
        <stp>[FA1_ymffleas.xlsx]Income - As Reported!R48C11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8" s="11"/>
      </tp>
      <tp>
        <v>3.0169000000000001</v>
        <stp/>
        <stp>##V3_BDHV12</stp>
        <stp>RCOM IN Equity</stp>
        <stp>HIGH_EV_TO_T12M_SALES</stp>
        <stp>FY 2013</stp>
        <stp>FY 2013</stp>
        <stp>[FA1_ymffleas.xlsx]Multiples!R38C6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38" s="6"/>
      </tp>
      <tp t="s">
        <v>—</v>
        <stp/>
        <stp>##V3_BDHV12</stp>
        <stp>RCOM IN Equity</stp>
        <stp>ARDR_OTHER_RECEIVABLES_ST</stp>
        <stp>FY 2017</stp>
        <stp>FY 2017</stp>
        <stp>[FA1_ymffleas.xlsx]Bal Sheet - As Reported!R122C11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2" s="17"/>
      </tp>
      <tp t="s">
        <v>—</v>
        <stp/>
        <stp>##V3_BDHV12</stp>
        <stp>RCOM IN Equity</stp>
        <stp>ARDR_OTHER_RECEIVABLES_ST</stp>
        <stp>FY 2016</stp>
        <stp>FY 2016</stp>
        <stp>[FA1_ymffleas.xlsx]Bal Sheet - As Reported!R122C10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2" s="17"/>
      </tp>
      <tp t="s">
        <v>—</v>
        <stp/>
        <stp>##V3_BDHV12</stp>
        <stp>RCOM IN Equity</stp>
        <stp>ARDR_OTHER_RECEIVABLES_ST</stp>
        <stp>FY 2018</stp>
        <stp>FY 2018</stp>
        <stp>[FA1_ymffleas.xlsx]Bal Sheet - As Reported!R122C12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2" s="17"/>
      </tp>
      <tp>
        <v>100</v>
        <stp/>
        <stp>##V3_BDHV12</stp>
        <stp>RCOM IN Equity</stp>
        <stp>COMMUNITY_SPENDING</stp>
        <stp>FY 2016</stp>
        <stp>FY 2016</stp>
        <stp>[FA1_ymffleas.xlsx]ESG - Overview!R18C10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" s="34"/>
      </tp>
      <tp>
        <v>210</v>
        <stp/>
        <stp>##V3_BDHV12</stp>
        <stp>RCOM IN Equity</stp>
        <stp>COMMUNITY_SPENDING</stp>
        <stp>FY 2017</stp>
        <stp>FY 2017</stp>
        <stp>[FA1_ymffleas.xlsx]ESG - Overview!R18C11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" s="34"/>
      </tp>
      <tp>
        <v>350</v>
        <stp/>
        <stp>##V3_BDHV12</stp>
        <stp>RCOM IN Equity</stp>
        <stp>COMMUNITY_SPENDING</stp>
        <stp>FY 2018</stp>
        <stp>FY 2018</stp>
        <stp>[FA1_ymffleas.xlsx]ESG - Overview!R18C12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" s="34"/>
      </tp>
      <tp t="s">
        <v>—</v>
        <stp/>
        <stp>##V3_BDHV12</stp>
        <stp>RCOM IN Equity</stp>
        <stp>CASH_FLOW_TO_NET_INC</stp>
        <stp>FY 2017</stp>
        <stp>FY 2017</stp>
        <stp>[FA1_ymffleas.xlsx]Cash Flow - Standardized!R66C10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66" s="19"/>
      </tp>
      <tp>
        <v>35220</v>
        <stp/>
        <stp>##V3_BDHV12</stp>
        <stp>RCOM IN Equity</stp>
        <stp>CFF_ACTIVITIES_DETAILED</stp>
        <stp>FY 2015</stp>
        <stp>FY 2015</stp>
        <stp>[FA1_ymffleas.xlsx]Cash Flow - Standardized!R48C8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8" s="19"/>
      </tp>
      <tp>
        <v>4360</v>
        <stp/>
        <stp>##V3_BDHV12</stp>
        <stp>RCOM IN Equity</stp>
        <stp>CFF_ACTIVITIES_DETAILED</stp>
        <stp>FY 2016</stp>
        <stp>FY 2016</stp>
        <stp>[FA1_ymffleas.xlsx]Cash Flow - Standardized!R48C9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8" s="19"/>
      </tp>
      <tp>
        <v>94330</v>
        <stp/>
        <stp>##V3_BDHV12</stp>
        <stp>RCOM IN Equity</stp>
        <stp>CFF_ACTIVITIES_DETAILED</stp>
        <stp>FY 2011</stp>
        <stp>FY 2011</stp>
        <stp>[FA1_ymffleas.xlsx]Cash Flow - Standardized!R48C4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8" s="19"/>
      </tp>
      <tp>
        <v>-37790</v>
        <stp/>
        <stp>##V3_BDHV12</stp>
        <stp>RCOM IN Equity</stp>
        <stp>CFF_ACTIVITIES_DETAILED</stp>
        <stp>FY 2012</stp>
        <stp>FY 2012</stp>
        <stp>[FA1_ymffleas.xlsx]Cash Flow - Standardized!R48C5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8" s="19"/>
      </tp>
      <tp>
        <v>8890</v>
        <stp/>
        <stp>##V3_BDHV12</stp>
        <stp>RCOM IN Equity</stp>
        <stp>CFF_ACTIVITIES_DETAILED</stp>
        <stp>FY 2013</stp>
        <stp>FY 2013</stp>
        <stp>[FA1_ymffleas.xlsx]Cash Flow - Standardized!R48C6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8" s="19"/>
      </tp>
      <tp>
        <v>-19490</v>
        <stp/>
        <stp>##V3_BDHV12</stp>
        <stp>RCOM IN Equity</stp>
        <stp>CFF_ACTIVITIES_DETAILED</stp>
        <stp>FY 2014</stp>
        <stp>FY 2014</stp>
        <stp>[FA1_ymffleas.xlsx]Cash Flow - Standardized!R48C7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8" s="19"/>
      </tp>
      <tp>
        <v>-71808.899999999994</v>
        <stp/>
        <stp>##V3_BDHV12</stp>
        <stp>RCOM IN Equity</stp>
        <stp>CFF_ACTIVITIES_DETAILED</stp>
        <stp>FY 2010</stp>
        <stp>FY 2010</stp>
        <stp>[FA1_ymffleas.xlsx]Cash Flow - Standardized!R48C3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8" s="19"/>
      </tp>
      <tp>
        <v>7</v>
        <stp/>
        <stp>##V3_BDHV12</stp>
        <stp>RCOM IN Equity</stp>
        <stp>ARDR_EXP_RET_PLAN_ASSET_HEALTH</stp>
        <stp>FY 2009</stp>
        <stp>FY 2009</stp>
        <stp>[FA1_ymffleas.xlsx]Income - As Reported!R85C3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5" s="11"/>
      </tp>
      <tp>
        <v>8.1999999999999993</v>
        <stp/>
        <stp>##V3_BDHV12</stp>
        <stp>RCOM IN Equity</stp>
        <stp>ARDR_EXP_RET_PLAN_ASSET_HEALTH</stp>
        <stp>FY 2011</stp>
        <stp>FY 2011</stp>
        <stp>[FA1_ymffleas.xlsx]Income - As Reported!R85C5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5" s="11"/>
      </tp>
      <tp>
        <v>7.5</v>
        <stp/>
        <stp>##V3_BDHV12</stp>
        <stp>RCOM IN Equity</stp>
        <stp>ARDR_EXP_RET_PLAN_ASSET_HEALTH</stp>
        <stp>FY 2010</stp>
        <stp>FY 2010</stp>
        <stp>[FA1_ymffleas.xlsx]Income - As Reported!R85C4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5" s="11"/>
      </tp>
      <tp>
        <v>40</v>
        <stp/>
        <stp>##V3_BDHV12</stp>
        <stp>RCOM IN Equity</stp>
        <stp>IS_CURRENT_INCOME_TAX_BENEFIT</stp>
        <stp>FY 2018</stp>
        <stp>FY 2018</stp>
        <stp>[FA1_ymffleas.xlsx]Income - GAAP!R57C11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7" s="10"/>
      </tp>
      <tp>
        <v>20</v>
        <stp/>
        <stp>##V3_BDHV12</stp>
        <stp>RCOM IN Equity</stp>
        <stp>IS_CURRENT_INCOME_TAX_BENEFIT</stp>
        <stp>FY 2017</stp>
        <stp>FY 2017</stp>
        <stp>[FA1_ymffleas.xlsx]Income - GAAP!R57C10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7" s="10"/>
      </tp>
      <tp>
        <v>8.6999999999999993</v>
        <stp/>
        <stp>##V3_BDHV12</stp>
        <stp>RCOM IN Equity</stp>
        <stp>ARDR_EXP_RET_PLAN_ASSET_HEALTH</stp>
        <stp>FY 2013</stp>
        <stp>FY 2013</stp>
        <stp>[FA1_ymffleas.xlsx]Income - As Reported!R85C7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5" s="11"/>
      </tp>
      <tp t="s">
        <v>—</v>
        <stp/>
        <stp>##V3_BDHV12</stp>
        <stp>RCOM IN Equity</stp>
        <stp>ARDR_TAXES_RECEIVABLE_ST</stp>
        <stp>FY 2013</stp>
        <stp>FY 2013</stp>
        <stp>[FA1_ymffleas.xlsx]Bal Sheet - As Reported!R192C7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92" s="17"/>
      </tp>
      <tp t="s">
        <v>—</v>
        <stp/>
        <stp>##V3_BDHV12</stp>
        <stp>RCOM IN Equity</stp>
        <stp>ARDR_TAXES_RECEIVABLE_ST</stp>
        <stp>FY 2012</stp>
        <stp>FY 2012</stp>
        <stp>[FA1_ymffleas.xlsx]Bal Sheet - As Reported!R192C6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92" s="17"/>
      </tp>
      <tp t="s">
        <v>—</v>
        <stp/>
        <stp>##V3_BDHV12</stp>
        <stp>RCOM IN Equity</stp>
        <stp>ARDR_TAXES_RECEIVABLE_ST</stp>
        <stp>FY 2011</stp>
        <stp>FY 2011</stp>
        <stp>[FA1_ymffleas.xlsx]Bal Sheet - As Reported!R192C5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92" s="17"/>
      </tp>
      <tp t="s">
        <v>—</v>
        <stp/>
        <stp>##V3_BDHV12</stp>
        <stp>RCOM IN Equity</stp>
        <stp>ARDR_TAXES_RECEIVABLE_ST</stp>
        <stp>FY 2010</stp>
        <stp>FY 2010</stp>
        <stp>[FA1_ymffleas.xlsx]Bal Sheet - As Reported!R192C4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92" s="17"/>
      </tp>
      <tp t="s">
        <v>—</v>
        <stp/>
        <stp>##V3_BDHV12</stp>
        <stp>RCOM IN Equity</stp>
        <stp>ARDR_TAXES_RECEIVABLE_ST</stp>
        <stp>FY 2009</stp>
        <stp>FY 2009</stp>
        <stp>[FA1_ymffleas.xlsx]Bal Sheet - As Reported!R192C3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92" s="17"/>
      </tp>
      <tp t="s">
        <v>—</v>
        <stp/>
        <stp>##V3_BDHV12</stp>
        <stp>RCOM IN Equity</stp>
        <stp>ARDR_TAXES_RECEIVABLE_ST</stp>
        <stp>FY 2015</stp>
        <stp>FY 2015</stp>
        <stp>[FA1_ymffleas.xlsx]Bal Sheet - As Reported!R192C9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92" s="17"/>
      </tp>
      <tp t="s">
        <v>—</v>
        <stp/>
        <stp>##V3_BDHV12</stp>
        <stp>RCOM IN Equity</stp>
        <stp>ARDR_TAXES_RECEIVABLE_ST</stp>
        <stp>FY 2014</stp>
        <stp>FY 2014</stp>
        <stp>[FA1_ymffleas.xlsx]Bal Sheet - As Reported!R192C8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92" s="17"/>
      </tp>
      <tp>
        <v>8.5</v>
        <stp/>
        <stp>##V3_BDHV12</stp>
        <stp>RCOM IN Equity</stp>
        <stp>ARDR_EXP_RET_PLAN_ASSET_HEALTH</stp>
        <stp>FY 2012</stp>
        <stp>FY 2012</stp>
        <stp>[FA1_ymffleas.xlsx]Income - As Reported!R85C6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5" s="11"/>
      </tp>
      <tp>
        <v>-550</v>
        <stp/>
        <stp>##V3_BDHV12</stp>
        <stp>RCOM IN Equity</stp>
        <stp>ARD_TOT_CF_FROM_OPS_BEF_WORK_CAP</stp>
        <stp>FY 2018</stp>
        <stp>FY 2018</stp>
        <stp>[FA1_ymffleas.xlsx]Cash Flow - As Reported!R20C12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" s="20"/>
      </tp>
      <tp>
        <v>53090</v>
        <stp/>
        <stp>##V3_BDHV12</stp>
        <stp>RCOM IN Equity</stp>
        <stp>ARD_TOT_CF_FROM_OPS_BEF_WORK_CAP</stp>
        <stp>FY 2017</stp>
        <stp>FY 2017</stp>
        <stp>[FA1_ymffleas.xlsx]Cash Flow - As Reported!R20C11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" s="20"/>
      </tp>
      <tp>
        <v>73810</v>
        <stp/>
        <stp>##V3_BDHV12</stp>
        <stp>RCOM IN Equity</stp>
        <stp>ARD_TOT_CF_FROM_OPS_BEF_WORK_CAP</stp>
        <stp>FY 2016</stp>
        <stp>FY 2016</stp>
        <stp>[FA1_ymffleas.xlsx]Cash Flow - As Reported!R20C10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" s="20"/>
      </tp>
      <tp>
        <v>7.98</v>
        <stp/>
        <stp>##V3_BDHV12</stp>
        <stp>RCOM IN Equity</stp>
        <stp>ARDR_EXP_RET_PLAN_ASSET_HEALTH</stp>
        <stp>FY 2015</stp>
        <stp>FY 2015</stp>
        <stp>[FA1_ymffleas.xlsx]Income - As Reported!R85C9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5" s="11"/>
      </tp>
      <tp>
        <v>9.3000000000000007</v>
        <stp/>
        <stp>##V3_BDHV12</stp>
        <stp>RCOM IN Equity</stp>
        <stp>ARDR_EXP_RET_PLAN_ASSET_HEALTH</stp>
        <stp>FY 2014</stp>
        <stp>FY 2014</stp>
        <stp>[FA1_ymffleas.xlsx]Income - As Reported!R85C8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5" s="11"/>
      </tp>
      <tp>
        <v>-9040</v>
        <stp/>
        <stp>##V3_BDHV12</stp>
        <stp>RCOM IN Equity</stp>
        <stp>ARD_TOT_CASHFLOWS_FROM_FINANCING</stp>
        <stp>FY 2018</stp>
        <stp>FY 2018</stp>
        <stp>[FA1_ymffleas.xlsx]Cash Flow - As Reported!R67C12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7" s="20"/>
      </tp>
      <tp>
        <v>-1730</v>
        <stp/>
        <stp>##V3_BDHV12</stp>
        <stp>RCOM IN Equity</stp>
        <stp>ARD_TOT_CASHFLOWS_FROM_FINANCING</stp>
        <stp>FY 2017</stp>
        <stp>FY 2017</stp>
        <stp>[FA1_ymffleas.xlsx]Cash Flow - As Reported!R67C11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7" s="20"/>
      </tp>
      <tp>
        <v>4360</v>
        <stp/>
        <stp>##V3_BDHV12</stp>
        <stp>RCOM IN Equity</stp>
        <stp>ARD_TOT_CASHFLOWS_FROM_FINANCING</stp>
        <stp>FY 2016</stp>
        <stp>FY 2016</stp>
        <stp>[FA1_ymffleas.xlsx]Cash Flow - As Reported!R67C10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7" s="20"/>
      </tp>
      <tp>
        <v>48680</v>
        <stp/>
        <stp>##V3_BDHV12</stp>
        <stp>RCOM IN Equity</stp>
        <stp>ARDR_ACCOUNTS_PAYABLE_TRADE</stp>
        <stp>FY 2018</stp>
        <stp>FY 2018</stp>
        <stp>[FA1_ymffleas.xlsx]Bal Sheet - As Reported!R80C12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0" s="17"/>
      </tp>
      <tp>
        <v>57750</v>
        <stp/>
        <stp>##V3_BDHV12</stp>
        <stp>RCOM IN Equity</stp>
        <stp>ARDR_ACCOUNTS_PAYABLE_TRADE</stp>
        <stp>FY 2016</stp>
        <stp>FY 2016</stp>
        <stp>[FA1_ymffleas.xlsx]Bal Sheet - As Reported!R80C10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0" s="17"/>
      </tp>
      <tp>
        <v>47460</v>
        <stp/>
        <stp>##V3_BDHV12</stp>
        <stp>RCOM IN Equity</stp>
        <stp>ARDR_ACCOUNTS_PAYABLE_TRADE</stp>
        <stp>FY 2017</stp>
        <stp>FY 2017</stp>
        <stp>[FA1_ymffleas.xlsx]Bal Sheet - As Reported!R80C11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0" s="17"/>
      </tp>
      <tp>
        <v>21000</v>
        <stp/>
        <stp>##V3_BDHV12</stp>
        <stp>RCOM IN Equity</stp>
        <stp>IS_NET_INTEREST_EXPENSE</stp>
        <stp>FY 2013</stp>
        <stp>FY 2013</stp>
        <stp>[FA1_ymffleas.xlsx]Income - Adjusted!R39C6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39" s="9"/>
      </tp>
      <tp>
        <v>27430</v>
        <stp/>
        <stp>##V3_BDHV12</stp>
        <stp>RCOM IN Equity</stp>
        <stp>IS_NET_INTEREST_EXPENSE</stp>
        <stp>FY 2014</stp>
        <stp>FY 2014</stp>
        <stp>[FA1_ymffleas.xlsx]Income - Adjusted!R39C7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39" s="9"/>
      </tp>
      <tp>
        <v>43.3292</v>
        <stp/>
        <stp>##V3_BDHV12</stp>
        <stp>RCOM IN Equity</stp>
        <stp>GROWTH_IN_CAP</stp>
        <stp>FY 2009</stp>
        <stp>FY 2009</stp>
        <stp>[FA1_ymffleas.xlsx]Growth!R27C3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7" s="22"/>
      </tp>
      <tp>
        <v>8410</v>
        <stp/>
        <stp>##V3_BDHV12</stp>
        <stp>RCOM IN Equity</stp>
        <stp>IS_NET_INTEREST_EXPENSE</stp>
        <stp>FY 2011</stp>
        <stp>FY 2011</stp>
        <stp>[FA1_ymffleas.xlsx]Income - Adjusted!R39C4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39" s="9"/>
      </tp>
      <tp>
        <v>528940.34380000003</v>
        <stp/>
        <stp>##V3_BDHV12</stp>
        <stp>RCOM IN Equity</stp>
        <stp>ENTERPRISE_VALUE</stp>
        <stp>FY 2018</stp>
        <stp>FY 2018</stp>
        <stp>[FA1_ymffleas.xlsx]Adj Highlights!R10C11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" s="2"/>
      </tp>
      <tp>
        <v>543517.92420000001</v>
        <stp/>
        <stp>##V3_BDHV12</stp>
        <stp>RCOM IN Equity</stp>
        <stp>ENTERPRISE_VALUE</stp>
        <stp>FY 2017</stp>
        <stp>FY 2017</stp>
        <stp>[FA1_ymffleas.xlsx]Adj Highlights!R10C10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" s="2"/>
      </tp>
      <tp>
        <v>14370</v>
        <stp/>
        <stp>##V3_BDHV12</stp>
        <stp>RCOM IN Equity</stp>
        <stp>IS_NET_INTEREST_EXPENSE</stp>
        <stp>FY 2012</stp>
        <stp>FY 2012</stp>
        <stp>[FA1_ymffleas.xlsx]Income - Adjusted!R39C5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39" s="9"/>
      </tp>
      <tp>
        <v>9.0318000000000005</v>
        <stp/>
        <stp>##V3_BDHV12</stp>
        <stp>RCOM IN Equity</stp>
        <stp>GROWTH_IN_CAP</stp>
        <stp>FY 2011</stp>
        <stp>FY 2011</stp>
        <stp>[FA1_ymffleas.xlsx]Growth!R27C5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7" s="22"/>
      </tp>
      <tp>
        <v>-10.1867</v>
        <stp/>
        <stp>##V3_BDHV12</stp>
        <stp>RCOM IN Equity</stp>
        <stp>GROWTH_IN_CAP</stp>
        <stp>FY 2010</stp>
        <stp>FY 2010</stp>
        <stp>[FA1_ymffleas.xlsx]Growth!R27C4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7" s="22"/>
      </tp>
      <tp t="s">
        <v>—</v>
        <stp/>
        <stp>##V3_BDHV12</stp>
        <stp>RCOM IN Equity</stp>
        <stp>IS_NET_INTEREST_EXPENSE</stp>
        <stp>FY 2010</stp>
        <stp>FY 2010</stp>
        <stp>[FA1_ymffleas.xlsx]Income - Adjusted!R39C3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39" s="9"/>
      </tp>
      <tp>
        <v>1022069.9</v>
        <stp/>
        <stp>##V3_BDHV12</stp>
        <stp>RCOM IN Equity</stp>
        <stp>BS_TOT_ASSET</stp>
        <stp>FY 2009</stp>
        <stp>FY 2009</stp>
        <stp>[FA1_ymffleas.xlsx]Bal Sheet - Common Size!R6C3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" s="18"/>
      </tp>
      <tp>
        <v>947230</v>
        <stp/>
        <stp>##V3_BDHV12</stp>
        <stp>RCOM IN Equity</stp>
        <stp>BS_TOT_ASSET</stp>
        <stp>FY 2011</stp>
        <stp>FY 2011</stp>
        <stp>[FA1_ymffleas.xlsx]Bal Sheet - Common Size!R6C5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" s="18"/>
      </tp>
      <tp>
        <v>925686.3</v>
        <stp/>
        <stp>##V3_BDHV12</stp>
        <stp>RCOM IN Equity</stp>
        <stp>BS_TOT_ASSET</stp>
        <stp>FY 2010</stp>
        <stp>FY 2010</stp>
        <stp>[FA1_ymffleas.xlsx]Bal Sheet - Common Size!R6C4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" s="18"/>
      </tp>
      <tp>
        <v>901820</v>
        <stp/>
        <stp>##V3_BDHV12</stp>
        <stp>RCOM IN Equity</stp>
        <stp>BS_TOT_ASSET</stp>
        <stp>FY 2013</stp>
        <stp>FY 2013</stp>
        <stp>[FA1_ymffleas.xlsx]Bal Sheet - Common Size!R6C7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" s="18"/>
      </tp>
      <tp>
        <v>922650</v>
        <stp/>
        <stp>##V3_BDHV12</stp>
        <stp>RCOM IN Equity</stp>
        <stp>BS_TOT_ASSET</stp>
        <stp>FY 2012</stp>
        <stp>FY 2012</stp>
        <stp>[FA1_ymffleas.xlsx]Bal Sheet - Common Size!R6C6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" s="18"/>
      </tp>
      <tp>
        <v>930220</v>
        <stp/>
        <stp>##V3_BDHV12</stp>
        <stp>RCOM IN Equity</stp>
        <stp>BS_TOT_ASSET</stp>
        <stp>FY 2015</stp>
        <stp>FY 2015</stp>
        <stp>[FA1_ymffleas.xlsx]Bal Sheet - Common Size!R6C9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" s="18"/>
      </tp>
      <tp>
        <v>907390</v>
        <stp/>
        <stp>##V3_BDHV12</stp>
        <stp>RCOM IN Equity</stp>
        <stp>BS_TOT_ASSET</stp>
        <stp>FY 2014</stp>
        <stp>FY 2014</stp>
        <stp>[FA1_ymffleas.xlsx]Bal Sheet - Common Size!R6C8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" s="18"/>
      </tp>
      <tp>
        <v>0.87860000000000005</v>
        <stp/>
        <stp>##V3_BDHV12</stp>
        <stp>RCOM IN Equity</stp>
        <stp>GROWTH_IN_CAP</stp>
        <stp>FY 2013</stp>
        <stp>FY 2013</stp>
        <stp>[FA1_ymffleas.xlsx]Growth!R27C7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7" s="22"/>
      </tp>
      <tp>
        <v>-6.1384999999999996</v>
        <stp/>
        <stp>##V3_BDHV12</stp>
        <stp>RCOM IN Equity</stp>
        <stp>GROWTH_IN_CAP</stp>
        <stp>FY 2012</stp>
        <stp>FY 2012</stp>
        <stp>[FA1_ymffleas.xlsx]Growth!R27C6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7" s="22"/>
      </tp>
      <tp>
        <v>13.8873</v>
        <stp/>
        <stp>##V3_BDHV12</stp>
        <stp>RCOM IN Equity</stp>
        <stp>T12_EBIT_TO_REVENUE</stp>
        <stp>FY 2014</stp>
        <stp>FY 2014</stp>
        <stp>[FA1_ymffleas.xlsx]DuPont Analysis!R13C8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3" s="27"/>
      </tp>
      <tp>
        <v>3.4363999999999999</v>
        <stp/>
        <stp>##V3_BDHV12</stp>
        <stp>RCOM IN Equity</stp>
        <stp>GROWTH_IN_CAP</stp>
        <stp>FY 2015</stp>
        <stp>FY 2015</stp>
        <stp>[FA1_ymffleas.xlsx]Growth!R27C9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7" s="22"/>
      </tp>
      <tp>
        <v>548268.98730000004</v>
        <stp/>
        <stp>##V3_BDHV12</stp>
        <stp>RCOM IN Equity</stp>
        <stp>ENTERPRISE_VALUE</stp>
        <stp>FY 2016</stp>
        <stp>FY 2016</stp>
        <stp>[FA1_ymffleas.xlsx]Adj Highlights!R10C9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" s="2"/>
      </tp>
      <tp>
        <v>525452.04989999998</v>
        <stp/>
        <stp>##V3_BDHV12</stp>
        <stp>RCOM IN Equity</stp>
        <stp>ENTERPRISE_VALUE</stp>
        <stp>FY 2015</stp>
        <stp>FY 2015</stp>
        <stp>[FA1_ymffleas.xlsx]Adj Highlights!R10C8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" s="2"/>
      </tp>
      <tp>
        <v>605934.66839999997</v>
        <stp/>
        <stp>##V3_BDHV12</stp>
        <stp>RCOM IN Equity</stp>
        <stp>ENTERPRISE_VALUE</stp>
        <stp>FY 2010</stp>
        <stp>FY 2010</stp>
        <stp>[FA1_ymffleas.xlsx]Adj Highlights!R10C3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" s="2"/>
      </tp>
      <tp>
        <v>685073.06499999994</v>
        <stp/>
        <stp>##V3_BDHV12</stp>
        <stp>RCOM IN Equity</stp>
        <stp>ENTERPRISE_VALUE</stp>
        <stp>FY 2014</stp>
        <stp>FY 2014</stp>
        <stp>[FA1_ymffleas.xlsx]Adj Highlights!R10C7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" s="2"/>
      </tp>
      <tp>
        <v>524040.68650000001</v>
        <stp/>
        <stp>##V3_BDHV12</stp>
        <stp>RCOM IN Equity</stp>
        <stp>ENTERPRISE_VALUE</stp>
        <stp>FY 2013</stp>
        <stp>FY 2013</stp>
        <stp>[FA1_ymffleas.xlsx]Adj Highlights!R10C6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" s="2"/>
      </tp>
      <tp>
        <v>554421.45929999999</v>
        <stp/>
        <stp>##V3_BDHV12</stp>
        <stp>RCOM IN Equity</stp>
        <stp>ENTERPRISE_VALUE</stp>
        <stp>FY 2012</stp>
        <stp>FY 2012</stp>
        <stp>[FA1_ymffleas.xlsx]Adj Highlights!R10C5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" s="2"/>
      </tp>
      <tp>
        <v>567962.49369999999</v>
        <stp/>
        <stp>##V3_BDHV12</stp>
        <stp>RCOM IN Equity</stp>
        <stp>ENTERPRISE_VALUE</stp>
        <stp>FY 2011</stp>
        <stp>FY 2011</stp>
        <stp>[FA1_ymffleas.xlsx]Adj Highlights!R10C4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" s="2"/>
      </tp>
      <tp>
        <v>-0.4138</v>
        <stp/>
        <stp>##V3_BDHV12</stp>
        <stp>RCOM IN Equity</stp>
        <stp>GROWTH_IN_CAP</stp>
        <stp>FY 2014</stp>
        <stp>FY 2014</stp>
        <stp>[FA1_ymffleas.xlsx]Growth!R27C8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7" s="22"/>
      </tp>
      <tp>
        <v>33.861199999999997</v>
        <stp/>
        <stp>##V3_BDHV12</stp>
        <stp>RCOM IN Equity</stp>
        <stp>EBITDA_PER_SH</stp>
        <stp>FY 2010</stp>
        <stp>FY 2010</stp>
        <stp>[FA1_ymffleas.xlsx]Per Share!R12C3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2" s="7"/>
      </tp>
      <tp>
        <v>24150</v>
        <stp/>
        <stp>##V3_BDHV12</stp>
        <stp>RCOM IN Equity</stp>
        <stp>IS_NET_INTEREST_EXPENSE</stp>
        <stp>FY 2015</stp>
        <stp>FY 2015</stp>
        <stp>[FA1_ymffleas.xlsx]Income - Adjusted!R39C8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39" s="9"/>
      </tp>
      <tp>
        <v>22100</v>
        <stp/>
        <stp>##V3_BDHV12</stp>
        <stp>RCOM IN Equity</stp>
        <stp>IS_NET_INTEREST_EXPENSE</stp>
        <stp>FY 2016</stp>
        <stp>FY 2016</stp>
        <stp>[FA1_ymffleas.xlsx]Income - Adjusted!R39C9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39" s="9"/>
      </tp>
      <tp t="s">
        <v>—</v>
        <stp/>
        <stp>##V3_BDHV12</stp>
        <stp>RCOM IN Equity</stp>
        <stp>IS_WRTOFF_IMPAIR_ASSET_AFTER_TAX</stp>
        <stp>FY 2018</stp>
        <stp>FY 2018</stp>
        <stp>[FA1_ymffleas.xlsx]Reconciliation!R39C11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9" s="12"/>
      </tp>
      <tp t="s">
        <v>—</v>
        <stp/>
        <stp>##V3_BDHV12</stp>
        <stp>RCOM IN Equity</stp>
        <stp>IS_WRTOFF_IMPAIR_ASSET_AFTER_TAX</stp>
        <stp>FY 2017</stp>
        <stp>FY 2017</stp>
        <stp>[FA1_ymffleas.xlsx]Reconciliation!R39C10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9" s="12"/>
      </tp>
      <tp t="s">
        <v>—</v>
        <stp/>
        <stp>##V3_BDHV12</stp>
        <stp>RCOM IN Equity</stp>
        <stp>TRAIL_12M_FREE_CASH_FLOW_FIRM</stp>
        <stp>FY 2018</stp>
        <stp>FY 2018</stp>
        <stp>[FA1_ymffleas.xlsx]Yield Analysis!R32C12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32" s="26"/>
      </tp>
      <tp>
        <v>232420</v>
        <stp/>
        <stp>##V3_BDHV12</stp>
        <stp>RCOM IN Equity</stp>
        <stp>ARDR_ST_BORROW</stp>
        <stp>FY 2018</stp>
        <stp>FY 2018</stp>
        <stp>[FA1_ymffleas.xlsx]Bal Sheet - As Reported!R83C12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3" s="17"/>
      </tp>
      <tp>
        <v>43740</v>
        <stp/>
        <stp>##V3_BDHV12</stp>
        <stp>RCOM IN Equity</stp>
        <stp>ARDR_ST_BORROW</stp>
        <stp>FY 2016</stp>
        <stp>FY 2016</stp>
        <stp>[FA1_ymffleas.xlsx]Bal Sheet - As Reported!R83C10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3" s="17"/>
      </tp>
      <tp>
        <v>94990</v>
        <stp/>
        <stp>##V3_BDHV12</stp>
        <stp>RCOM IN Equity</stp>
        <stp>ARDR_ST_BORROW</stp>
        <stp>FY 2017</stp>
        <stp>FY 2017</stp>
        <stp>[FA1_ymffleas.xlsx]Bal Sheet - As Reported!R83C11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3" s="17"/>
      </tp>
      <tp t="s">
        <v>—</v>
        <stp/>
        <stp>##V3_BDHV12</stp>
        <stp>RCOM IN Equity</stp>
        <stp>TRAIL_12M_FREE_CASH_FLOW_FIRM</stp>
        <stp>FY 2016</stp>
        <stp>FY 2016</stp>
        <stp>[FA1_ymffleas.xlsx]Yield Analysis!R32C10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2" s="26"/>
      </tp>
      <tp t="s">
        <v>—</v>
        <stp/>
        <stp>##V3_BDHV12</stp>
        <stp>RCOM IN Equity</stp>
        <stp>TRAIL_12M_FREE_CASH_FLOW_FIRM</stp>
        <stp>FY 2017</stp>
        <stp>FY 2017</stp>
        <stp>[FA1_ymffleas.xlsx]Yield Analysis!R32C11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2" s="26"/>
      </tp>
      <tp>
        <v>31100</v>
        <stp/>
        <stp>##V3_BDHV12</stp>
        <stp>RCOM IN Equity</stp>
        <stp>EBITDA</stp>
        <stp>FY 2018</stp>
        <stp>FY 2018</stp>
        <stp>[FA1_ymffleas.xlsx]Addl - Overview!R14C11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14" s="29"/>
      </tp>
      <tp>
        <v>46610</v>
        <stp/>
        <stp>##V3_BDHV12</stp>
        <stp>RCOM IN Equity</stp>
        <stp>EBITDA</stp>
        <stp>FY 2017</stp>
        <stp>FY 2017</stp>
        <stp>[FA1_ymffleas.xlsx]Addl - Overview!R14C10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14" s="29"/>
      </tp>
      <tp t="s">
        <v>—</v>
        <stp/>
        <stp>##V3_BDHV12</stp>
        <stp>RCOM IN Equity</stp>
        <stp>ARDR_INVESTMENT_IN_MF_LT</stp>
        <stp>FY 2018</stp>
        <stp>FY 2018</stp>
        <stp>[FA1_ymffleas.xlsx]Bal Sheet - As Reported!R203C12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3" s="17"/>
      </tp>
      <tp t="s">
        <v>—</v>
        <stp/>
        <stp>##V3_BDHV12</stp>
        <stp>RCOM IN Equity</stp>
        <stp>ARDR_INVESTMENT_IN_MF_LT</stp>
        <stp>FY 2017</stp>
        <stp>FY 2017</stp>
        <stp>[FA1_ymffleas.xlsx]Bal Sheet - As Reported!R203C11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3" s="17"/>
      </tp>
      <tp t="s">
        <v>—</v>
        <stp/>
        <stp>##V3_BDHV12</stp>
        <stp>RCOM IN Equity</stp>
        <stp>ARDR_INVESTMENT_IN_MF_LT</stp>
        <stp>FY 2016</stp>
        <stp>FY 2016</stp>
        <stp>[FA1_ymffleas.xlsx]Bal Sheet - As Reported!R203C10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3" s="17"/>
      </tp>
      <tp t="s">
        <v>—</v>
        <stp/>
        <stp>##V3_BDHV12</stp>
        <stp>RCOM IN Equity</stp>
        <stp>ARDR_INVESTMENT_IN_MF_ST</stp>
        <stp>FY 2016</stp>
        <stp>FY 2016</stp>
        <stp>[FA1_ymffleas.xlsx]Bal Sheet - As Reported!R202C10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2" s="17"/>
      </tp>
      <tp t="s">
        <v>—</v>
        <stp/>
        <stp>##V3_BDHV12</stp>
        <stp>RCOM IN Equity</stp>
        <stp>ARDR_INVESTMENT_IN_MF_ST</stp>
        <stp>FY 2017</stp>
        <stp>FY 2017</stp>
        <stp>[FA1_ymffleas.xlsx]Bal Sheet - As Reported!R202C11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2" s="17"/>
      </tp>
      <tp t="s">
        <v>—</v>
        <stp/>
        <stp>##V3_BDHV12</stp>
        <stp>RCOM IN Equity</stp>
        <stp>ARDR_INVESTMENT_IN_MF_ST</stp>
        <stp>FY 2018</stp>
        <stp>FY 2018</stp>
        <stp>[FA1_ymffleas.xlsx]Bal Sheet - As Reported!R202C12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2" s="17"/>
      </tp>
      <tp>
        <v>6.7134999999999998</v>
        <stp/>
        <stp>##V3_BDHV12</stp>
        <stp>RCOM IN Equity</stp>
        <stp>OPER_MARGIN</stp>
        <stp>FY 2017</stp>
        <stp>FY 2017</stp>
        <stp>[FA1_ymffleas.xlsx]Income - GAAP!R103C10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03" s="10"/>
      </tp>
      <tp>
        <v>-10</v>
        <stp/>
        <stp>##V3_BDHV12</stp>
        <stp>RCOM IN Equity</stp>
        <stp>ARDR_EXP_RETURN_PLAN_ASSETS_OPRB</stp>
        <stp>FY 2018</stp>
        <stp>FY 2018</stp>
        <stp>[FA1_ymffleas.xlsx]Bal Sheet - As Reported!R207C12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7" s="17"/>
      </tp>
      <tp>
        <v>-10</v>
        <stp/>
        <stp>##V3_BDHV12</stp>
        <stp>RCOM IN Equity</stp>
        <stp>ARDR_EXP_RETURN_PLAN_ASSETS_OPRB</stp>
        <stp>FY 2016</stp>
        <stp>FY 2016</stp>
        <stp>[FA1_ymffleas.xlsx]Bal Sheet - As Reported!R207C10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7" s="17"/>
      </tp>
      <tp>
        <v>0</v>
        <stp/>
        <stp>##V3_BDHV12</stp>
        <stp>RCOM IN Equity</stp>
        <stp>ARDR_EXP_RETURN_PLAN_ASSETS_OPRB</stp>
        <stp>FY 2017</stp>
        <stp>FY 2017</stp>
        <stp>[FA1_ymffleas.xlsx]Bal Sheet - As Reported!R207C11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7" s="17"/>
      </tp>
      <tp>
        <v>151380</v>
        <stp/>
        <stp>##V3_BDHV12</stp>
        <stp>RCOM IN Equity</stp>
        <stp>BS_SH_CAP_AND_APIC</stp>
        <stp>FY 2016</stp>
        <stp>FY 2016</stp>
        <stp>[FA1_ymffleas.xlsx]Bal Sheet - Standardized!R135C10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5" s="16"/>
      </tp>
      <tp>
        <v>151380</v>
        <stp/>
        <stp>##V3_BDHV12</stp>
        <stp>RCOM IN Equity</stp>
        <stp>BS_SH_CAP_AND_APIC</stp>
        <stp>FY 2017</stp>
        <stp>FY 2017</stp>
        <stp>[FA1_ymffleas.xlsx]Bal Sheet - Standardized!R135C11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5" s="16"/>
      </tp>
      <tp>
        <v>152770</v>
        <stp/>
        <stp>##V3_BDHV12</stp>
        <stp>RCOM IN Equity</stp>
        <stp>BS_SH_CAP_AND_APIC</stp>
        <stp>FY 2018</stp>
        <stp>FY 2018</stp>
        <stp>[FA1_ymffleas.xlsx]Bal Sheet - Standardized!R135C12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5" s="16"/>
      </tp>
      <tp>
        <v>1.5324</v>
        <stp/>
        <stp>##V3_BDHV12</stp>
        <stp>RCOM IN Equity</stp>
        <stp>LOW_PX_TO_SALES_RATIO</stp>
        <stp>FY 2010</stp>
        <stp>FY 2010</stp>
        <stp>[FA1_ymffleas.xlsx]Multiples!R24C3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4" s="6"/>
      </tp>
      <tp>
        <v>124448.98729999999</v>
        <stp/>
        <stp>##V3_BDHV12</stp>
        <stp>RCOM IN Equity</stp>
        <stp>HISTORICAL_MARKET_CAP</stp>
        <stp>FY 2016</stp>
        <stp>FY 2016</stp>
        <stp>[FA1_ymffleas.xlsx]Enterprise Value!R6C9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" s="5"/>
      </tp>
      <tp>
        <v>147472.04990000001</v>
        <stp/>
        <stp>##V3_BDHV12</stp>
        <stp>RCOM IN Equity</stp>
        <stp>HISTORICAL_MARKET_CAP</stp>
        <stp>FY 2015</stp>
        <stp>FY 2015</stp>
        <stp>[FA1_ymffleas.xlsx]Enterprise Value!R6C8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" s="5"/>
      </tp>
      <tp>
        <v>266053.065</v>
        <stp/>
        <stp>##V3_BDHV12</stp>
        <stp>RCOM IN Equity</stp>
        <stp>HISTORICAL_MARKET_CAP</stp>
        <stp>FY 2014</stp>
        <stp>FY 2014</stp>
        <stp>[FA1_ymffleas.xlsx]Enterprise Value!R6C7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" s="5"/>
      </tp>
      <tp>
        <v>114140.6865</v>
        <stp/>
        <stp>##V3_BDHV12</stp>
        <stp>RCOM IN Equity</stp>
        <stp>HISTORICAL_MARKET_CAP</stp>
        <stp>FY 2013</stp>
        <stp>FY 2013</stp>
        <stp>[FA1_ymffleas.xlsx]Enterprise Value!R6C6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" s="5"/>
      </tp>
      <tp>
        <v>173481.45929999999</v>
        <stp/>
        <stp>##V3_BDHV12</stp>
        <stp>RCOM IN Equity</stp>
        <stp>HISTORICAL_MARKET_CAP</stp>
        <stp>FY 2012</stp>
        <stp>FY 2012</stp>
        <stp>[FA1_ymffleas.xlsx]Enterprise Value!R6C5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" s="5"/>
      </tp>
      <tp>
        <v>222192.49369999999</v>
        <stp/>
        <stp>##V3_BDHV12</stp>
        <stp>RCOM IN Equity</stp>
        <stp>HISTORICAL_MARKET_CAP</stp>
        <stp>FY 2011</stp>
        <stp>FY 2011</stp>
        <stp>[FA1_ymffleas.xlsx]Enterprise Value!R6C4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" s="5"/>
      </tp>
      <tp>
        <v>350781.36839999998</v>
        <stp/>
        <stp>##V3_BDHV12</stp>
        <stp>RCOM IN Equity</stp>
        <stp>HISTORICAL_MARKET_CAP</stp>
        <stp>FY 2010</stp>
        <stp>FY 2010</stp>
        <stp>[FA1_ymffleas.xlsx]Enterprise Value!R6C3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" s="5"/>
      </tp>
      <tp>
        <v>-43.379300000000001</v>
        <stp/>
        <stp>##V3_BDHV12</stp>
        <stp>RCOM IN Equity</stp>
        <stp>5Y_GEO_GROWTH_DILUTED_EPS_BEF_XO</stp>
        <stp>FY 2018</stp>
        <stp>FY 2018</stp>
        <stp>[FA1_ymffleas.xlsx]Growth!R41C12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1" s="22"/>
      </tp>
      <tp>
        <v>-35.1312</v>
        <stp/>
        <stp>##V3_BDHV12</stp>
        <stp>RCOM IN Equity</stp>
        <stp>5Y_GEO_GROWTH_DILUTED_EPS_BEF_XO</stp>
        <stp>FY 2017</stp>
        <stp>FY 2017</stp>
        <stp>[FA1_ymffleas.xlsx]Growth!R41C11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1" s="22"/>
      </tp>
      <tp>
        <v>-16.144600000000001</v>
        <stp/>
        <stp>##V3_BDHV12</stp>
        <stp>RCOM IN Equity</stp>
        <stp>5Y_GEO_GROWTH_DILUTED_EPS_BEF_XO</stp>
        <stp>FY 2016</stp>
        <stp>FY 2016</stp>
        <stp>[FA1_ymffleas.xlsx]Growth!R41C10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1" s="22"/>
      </tp>
      <tp>
        <v>19090</v>
        <stp/>
        <stp>##V3_BDHV12</stp>
        <stp>RCOM IN Equity</stp>
        <stp>ARDR_CONSTRUCTION_PROGRESS_NET</stp>
        <stp>FY 2017</stp>
        <stp>FY 2017</stp>
        <stp>[FA1_ymffleas.xlsx]Bal Sheet - As Reported!R165C11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5" s="17"/>
      </tp>
      <tp>
        <v>17540</v>
        <stp/>
        <stp>##V3_BDHV12</stp>
        <stp>RCOM IN Equity</stp>
        <stp>ARDR_CONSTRUCTION_PROGRESS_NET</stp>
        <stp>FY 2016</stp>
        <stp>FY 2016</stp>
        <stp>[FA1_ymffleas.xlsx]Bal Sheet - As Reported!R165C10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5" s="17"/>
      </tp>
      <tp>
        <v>2650</v>
        <stp/>
        <stp>##V3_BDHV12</stp>
        <stp>RCOM IN Equity</stp>
        <stp>ARDR_CONSTRUCTION_PROGRESS_NET</stp>
        <stp>FY 2018</stp>
        <stp>FY 2018</stp>
        <stp>[FA1_ymffleas.xlsx]Bal Sheet - As Reported!R165C12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5" s="17"/>
      </tp>
      <tp>
        <v>3.8441999999999998</v>
        <stp/>
        <stp>##V3_BDHV12</stp>
        <stp>RCOM IN Equity</stp>
        <stp>HIGH_EV_TO_T12M_SALES</stp>
        <stp>FY 2014</stp>
        <stp>FY 2014</stp>
        <stp>[FA1_ymffleas.xlsx]Multiples!R38C7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38" s="6"/>
      </tp>
      <tp>
        <v>320</v>
        <stp/>
        <stp>##V3_BDHV12</stp>
        <stp>RCOM IN Equity</stp>
        <stp>ARD_LT_INVEST</stp>
        <stp>FY 2017</stp>
        <stp>FY 2017</stp>
        <stp>[FA1_ymffleas.xlsx]Bal Sheet - As Reported!R27C11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7" s="17"/>
      </tp>
      <tp>
        <v>300</v>
        <stp/>
        <stp>##V3_BDHV12</stp>
        <stp>RCOM IN Equity</stp>
        <stp>ARD_LT_INVEST</stp>
        <stp>FY 2016</stp>
        <stp>FY 2016</stp>
        <stp>[FA1_ymffleas.xlsx]Bal Sheet - As Reported!R27C10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7" s="17"/>
      </tp>
      <tp>
        <v>320</v>
        <stp/>
        <stp>##V3_BDHV12</stp>
        <stp>RCOM IN Equity</stp>
        <stp>ARD_LT_INVEST</stp>
        <stp>FY 2018</stp>
        <stp>FY 2018</stp>
        <stp>[FA1_ymffleas.xlsx]Bal Sheet - As Reported!R27C12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7" s="17"/>
      </tp>
      <tp>
        <v>379860</v>
        <stp/>
        <stp>##V3_BDHV12</stp>
        <stp>RCOM IN Equity</stp>
        <stp>BS_ACCUM_DEPR</stp>
        <stp>FY 2015</stp>
        <stp>FY 2015</stp>
        <stp>[FA1_ymffleas.xlsx]Bal Sheet - Standardized!R47C9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7" s="16"/>
      </tp>
      <tp>
        <v>345080</v>
        <stp/>
        <stp>##V3_BDHV12</stp>
        <stp>RCOM IN Equity</stp>
        <stp>BS_ACCUM_DEPR</stp>
        <stp>FY 2014</stp>
        <stp>FY 2014</stp>
        <stp>[FA1_ymffleas.xlsx]Bal Sheet - Standardized!R47C8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7" s="16"/>
      </tp>
      <tp>
        <v>128354.2</v>
        <stp/>
        <stp>##V3_BDHV12</stp>
        <stp>RCOM IN Equity</stp>
        <stp>BS_ACCUM_DEPR</stp>
        <stp>FY 2009</stp>
        <stp>FY 2009</stp>
        <stp>[FA1_ymffleas.xlsx]Bal Sheet - Standardized!R47C3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7" s="16"/>
      </tp>
      <tp>
        <v>216740</v>
        <stp/>
        <stp>##V3_BDHV12</stp>
        <stp>RCOM IN Equity</stp>
        <stp>BS_ACCUM_DEPR</stp>
        <stp>FY 2011</stp>
        <stp>FY 2011</stp>
        <stp>[FA1_ymffleas.xlsx]Bal Sheet - Standardized!R47C5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7" s="16"/>
      </tp>
      <tp>
        <v>160732.70000000001</v>
        <stp/>
        <stp>##V3_BDHV12</stp>
        <stp>RCOM IN Equity</stp>
        <stp>BS_ACCUM_DEPR</stp>
        <stp>FY 2010</stp>
        <stp>FY 2010</stp>
        <stp>[FA1_ymffleas.xlsx]Bal Sheet - Standardized!R47C4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7" s="16"/>
      </tp>
      <tp>
        <v>293280</v>
        <stp/>
        <stp>##V3_BDHV12</stp>
        <stp>RCOM IN Equity</stp>
        <stp>BS_ACCUM_DEPR</stp>
        <stp>FY 2013</stp>
        <stp>FY 2013</stp>
        <stp>[FA1_ymffleas.xlsx]Bal Sheet - Standardized!R47C7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7" s="16"/>
      </tp>
      <tp>
        <v>252810</v>
        <stp/>
        <stp>##V3_BDHV12</stp>
        <stp>RCOM IN Equity</stp>
        <stp>BS_ACCUM_DEPR</stp>
        <stp>FY 2012</stp>
        <stp>FY 2012</stp>
        <stp>[FA1_ymffleas.xlsx]Bal Sheet - Standardized!R47C6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7" s="16"/>
      </tp>
      <tp t="s">
        <v>—</v>
        <stp/>
        <stp>##V3_BDHV12</stp>
        <stp>RCOM IN Equity</stp>
        <stp>DEPR_EXP_TO_NET_FIX_ASSET</stp>
        <stp>FY 2018</stp>
        <stp>FY 2018</stp>
        <stp>[FA1_ymffleas.xlsx]CAPEX &amp; Depreciation!R8C12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" s="28"/>
      </tp>
      <tp>
        <v>29.142199999999999</v>
        <stp/>
        <stp>##V3_BDHV12</stp>
        <stp>RCOM IN Equity</stp>
        <stp>PROF_MARGIN</stp>
        <stp>FY 2009</stp>
        <stp>FY 2009</stp>
        <stp>[FA1_ymffleas.xlsx]Profitability!R18C3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8" s="21"/>
      </tp>
      <tp t="s">
        <v>—</v>
        <stp/>
        <stp>##V3_BDHV12</stp>
        <stp>RCOM IN Equity</stp>
        <stp>DEPR_EXP_TO_NET_FIX_ASSET</stp>
        <stp>FY 2017</stp>
        <stp>FY 2017</stp>
        <stp>[FA1_ymffleas.xlsx]CAPEX &amp; Depreciation!R8C11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" s="28"/>
      </tp>
      <tp>
        <v>498010</v>
        <stp/>
        <stp>##V3_BDHV12</stp>
        <stp>RCOM IN Equity</stp>
        <stp>ARDR_PROPERTY_PLANT_EQUIP_NET</stp>
        <stp>FY 2017</stp>
        <stp>FY 2017</stp>
        <stp>[FA1_ymffleas.xlsx]Bal Sheet - As Reported!R74C11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4" s="17"/>
      </tp>
      <tp>
        <v>507740</v>
        <stp/>
        <stp>##V3_BDHV12</stp>
        <stp>RCOM IN Equity</stp>
        <stp>ARDR_PROPERTY_PLANT_EQUIP_NET</stp>
        <stp>FY 2016</stp>
        <stp>FY 2016</stp>
        <stp>[FA1_ymffleas.xlsx]Bal Sheet - As Reported!R74C10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4" s="17"/>
      </tp>
      <tp>
        <v>165010</v>
        <stp/>
        <stp>##V3_BDHV12</stp>
        <stp>RCOM IN Equity</stp>
        <stp>ARDR_PROPERTY_PLANT_EQUIP_NET</stp>
        <stp>FY 2018</stp>
        <stp>FY 2018</stp>
        <stp>[FA1_ymffleas.xlsx]Bal Sheet - As Reported!R74C12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4" s="17"/>
      </tp>
      <tp t="s">
        <v>—</v>
        <stp/>
        <stp>##V3_BDHV12</stp>
        <stp>RCOM IN Equity</stp>
        <stp>DEPR_EXP_TO_NET_FIX_ASSET</stp>
        <stp>FY 2016</stp>
        <stp>FY 2016</stp>
        <stp>[FA1_ymffleas.xlsx]CAPEX &amp; Depreciation!R8C10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" s="28"/>
      </tp>
      <tp t="s">
        <v>—</v>
        <stp/>
        <stp>##V3_BDHV12</stp>
        <stp>RCOM IN Equity</stp>
        <stp>CASH_FLOW_TO_NET_INC</stp>
        <stp>FY 2018</stp>
        <stp>FY 2018</stp>
        <stp>[FA1_ymffleas.xlsx]Cash Flow - Standardized!R66C11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66" s="19"/>
      </tp>
      <tp>
        <v>0.86760000000000004</v>
        <stp/>
        <stp>##V3_BDHV12</stp>
        <stp>RCOM IN Equity</stp>
        <stp>LOW_CLOSING_PRICE_TO_CASH_FLOW</stp>
        <stp>FY 2016</stp>
        <stp>FY 2016</stp>
        <stp>[FA1_ymffleas.xlsx]Multiples!R29C9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9" s="6"/>
      </tp>
      <tp>
        <v>69.5184</v>
        <stp/>
        <stp>##V3_BDHV12</stp>
        <stp>RCOM IN Equity</stp>
        <stp>WORK_CAP_GROWTH</stp>
        <stp>FY 2018</stp>
        <stp>FY 2018</stp>
        <stp>[FA1_ymffleas.xlsx]Growth!R21C12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1" s="22"/>
      </tp>
      <tp>
        <v>3.1120000000000001</v>
        <stp/>
        <stp>##V3_BDHV12</stp>
        <stp>RCOM IN Equity</stp>
        <stp>LOW_CLOSING_PRICE_TO_CASH_FLOW</stp>
        <stp>FY 2015</stp>
        <stp>FY 2015</stp>
        <stp>[FA1_ymffleas.xlsx]Multiples!R29C8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9" s="6"/>
      </tp>
      <tp>
        <v>-44.687399999999997</v>
        <stp/>
        <stp>##V3_BDHV12</stp>
        <stp>RCOM IN Equity</stp>
        <stp>WORK_CAP_GROWTH</stp>
        <stp>FY 2017</stp>
        <stp>FY 2017</stp>
        <stp>[FA1_ymffleas.xlsx]Growth!R21C11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1" s="22"/>
      </tp>
      <tp>
        <v>-646.13220000000001</v>
        <stp/>
        <stp>##V3_BDHV12</stp>
        <stp>RCOM IN Equity</stp>
        <stp>WORK_CAP_GROWTH</stp>
        <stp>FY 2016</stp>
        <stp>FY 2016</stp>
        <stp>[FA1_ymffleas.xlsx]Growth!R21C10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1" s="22"/>
      </tp>
      <tp>
        <v>4.2906000000000004</v>
        <stp/>
        <stp>##V3_BDHV12</stp>
        <stp>RCOM IN Equity</stp>
        <stp>LOW_CLOSING_PRICE_TO_CASH_FLOW</stp>
        <stp>FY 2010</stp>
        <stp>FY 2010</stp>
        <stp>[FA1_ymffleas.xlsx]Multiples!R29C3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9" s="6"/>
      </tp>
      <tp>
        <v>4.2592999999999996</v>
        <stp/>
        <stp>##V3_BDHV12</stp>
        <stp>RCOM IN Equity</stp>
        <stp>LOW_CLOSING_PRICE_TO_CASH_FLOW</stp>
        <stp>FY 2012</stp>
        <stp>FY 2012</stp>
        <stp>[FA1_ymffleas.xlsx]Multiples!R29C5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9" s="6"/>
      </tp>
      <tp>
        <v>46.626100000000001</v>
        <stp/>
        <stp>##V3_BDHV12</stp>
        <stp>RCOM IN Equity</stp>
        <stp>AVERAGE_PRICE_EARNINGS_RATIO</stp>
        <stp>FY 2018</stp>
        <stp>FY 2018</stp>
        <stp>[FA1_ymffleas.xlsx]Multiples!R7C11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7" s="6"/>
      </tp>
      <tp>
        <v>2.1648000000000001</v>
        <stp/>
        <stp>##V3_BDHV12</stp>
        <stp>RCOM IN Equity</stp>
        <stp>LOW_CLOSING_PRICE_TO_CASH_FLOW</stp>
        <stp>FY 2011</stp>
        <stp>FY 2011</stp>
        <stp>[FA1_ymffleas.xlsx]Multiples!R29C4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9" s="6"/>
      </tp>
      <tp>
        <v>17.3353</v>
        <stp/>
        <stp>##V3_BDHV12</stp>
        <stp>RCOM IN Equity</stp>
        <stp>AVERAGE_PRICE_EARNINGS_RATIO</stp>
        <stp>FY 2017</stp>
        <stp>FY 2017</stp>
        <stp>[FA1_ymffleas.xlsx]Multiples!R7C10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7" s="6"/>
      </tp>
      <tp>
        <v>6.8748000000000005</v>
        <stp/>
        <stp>##V3_BDHV12</stp>
        <stp>RCOM IN Equity</stp>
        <stp>LOW_CLOSING_PRICE_TO_CASH_FLOW</stp>
        <stp>FY 2014</stp>
        <stp>FY 2014</stp>
        <stp>[FA1_ymffleas.xlsx]Multiples!R29C7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9" s="6"/>
      </tp>
      <tp>
        <v>2.4274</v>
        <stp/>
        <stp>##V3_BDHV12</stp>
        <stp>RCOM IN Equity</stp>
        <stp>LOW_CLOSING_PRICE_TO_CASH_FLOW</stp>
        <stp>FY 2013</stp>
        <stp>FY 2013</stp>
        <stp>[FA1_ymffleas.xlsx]Multiples!R29C6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9" s="6"/>
      </tp>
      <tp>
        <v>0.59789999999999999</v>
        <stp/>
        <stp>##V3_BDHV12</stp>
        <stp>RCOM IN Equity</stp>
        <stp>ALTMAN_Z_SCORE</stp>
        <stp>FY 2013</stp>
        <stp>FY 2013</stp>
        <stp>[FA1_ymffleas.xlsx]Liquidity!R22C7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2" s="24"/>
      </tp>
      <tp>
        <v>0.65490000000000004</v>
        <stp/>
        <stp>##V3_BDHV12</stp>
        <stp>RCOM IN Equity</stp>
        <stp>ALTMAN_Z_SCORE</stp>
        <stp>FY 2012</stp>
        <stp>FY 2012</stp>
        <stp>[FA1_ymffleas.xlsx]Liquidity!R22C6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2" s="24"/>
      </tp>
      <tp>
        <v>0.5887</v>
        <stp/>
        <stp>##V3_BDHV12</stp>
        <stp>RCOM IN Equity</stp>
        <stp>ALTMAN_Z_SCORE</stp>
        <stp>FY 2011</stp>
        <stp>FY 2011</stp>
        <stp>[FA1_ymffleas.xlsx]Liquidity!R22C5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2" s="24"/>
      </tp>
      <tp>
        <v>0.86</v>
        <stp/>
        <stp>##V3_BDHV12</stp>
        <stp>RCOM IN Equity</stp>
        <stp>ALTMAN_Z_SCORE</stp>
        <stp>FY 2010</stp>
        <stp>FY 2010</stp>
        <stp>[FA1_ymffleas.xlsx]Liquidity!R22C4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2" s="24"/>
      </tp>
      <tp>
        <v>0.83030000000000004</v>
        <stp/>
        <stp>##V3_BDHV12</stp>
        <stp>RCOM IN Equity</stp>
        <stp>ALTMAN_Z_SCORE</stp>
        <stp>FY 2009</stp>
        <stp>FY 2009</stp>
        <stp>[FA1_ymffleas.xlsx]Liquidity!R22C3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2" s="24"/>
      </tp>
      <tp>
        <v>-29.9207</v>
        <stp/>
        <stp>##V3_BDHV12</stp>
        <stp>RCOM IN Equity</stp>
        <stp>REVENUE_SEQUENTIAL_GROWTH</stp>
        <stp>FY 2018</stp>
        <stp>FY 2018</stp>
        <stp>[FA1_ymffleas.xlsx]Growth!R60C12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60" s="22"/>
      </tp>
      <tp>
        <v>15.9221</v>
        <stp/>
        <stp>##V3_BDHV12</stp>
        <stp>RCOM IN Equity</stp>
        <stp>T12_EBIT_TO_REVENUE</stp>
        <stp>FY 2015</stp>
        <stp>FY 2015</stp>
        <stp>[FA1_ymffleas.xlsx]DuPont Analysis!R13C9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3" s="27"/>
      </tp>
      <tp>
        <v>0.87380000000000002</v>
        <stp/>
        <stp>##V3_BDHV12</stp>
        <stp>RCOM IN Equity</stp>
        <stp>ALTMAN_Z_SCORE</stp>
        <stp>FY 2015</stp>
        <stp>FY 2015</stp>
        <stp>[FA1_ymffleas.xlsx]Liquidity!R22C9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2" s="24"/>
      </tp>
      <tp>
        <v>-900</v>
        <stp/>
        <stp>##V3_BDHV12</stp>
        <stp>RCOM IN Equity</stp>
        <stp>IS_INC_TAX_EXP</stp>
        <stp>FY 2017</stp>
        <stp>FY 2017</stp>
        <stp>[FA1_ymffleas.xlsx]Income - GAAP!R55C10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55" s="10"/>
      </tp>
      <tp>
        <v>0.76780000000000004</v>
        <stp/>
        <stp>##V3_BDHV12</stp>
        <stp>RCOM IN Equity</stp>
        <stp>ALTMAN_Z_SCORE</stp>
        <stp>FY 2014</stp>
        <stp>FY 2014</stp>
        <stp>[FA1_ymffleas.xlsx]Liquidity!R22C8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2" s="24"/>
      </tp>
      <tp>
        <v>160</v>
        <stp/>
        <stp>##V3_BDHV12</stp>
        <stp>RCOM IN Equity</stp>
        <stp>IS_INC_TAX_EXP</stp>
        <stp>FY 2018</stp>
        <stp>FY 2018</stp>
        <stp>[FA1_ymffleas.xlsx]Income - GAAP!R55C11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55" s="10"/>
      </tp>
      <tp>
        <v>0</v>
        <stp/>
        <stp>##V3_BDHV12</stp>
        <stp>RCOM IN Equity</stp>
        <stp>ARDR_ACTUARIAL_LOSSES_GAINS_OPEB</stp>
        <stp>FY 2018</stp>
        <stp>FY 2018</stp>
        <stp>[FA1_ymffleas.xlsx]Bal Sheet - As Reported!R213C12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13" s="17"/>
      </tp>
      <tp t="s">
        <v>—</v>
        <stp/>
        <stp>##V3_BDHV12</stp>
        <stp>RCOM IN Equity</stp>
        <stp>ARDR_ACTUARIAL_LOSSES_GAINS_OPEB</stp>
        <stp>FY 2017</stp>
        <stp>FY 2017</stp>
        <stp>[FA1_ymffleas.xlsx]Bal Sheet - As Reported!R213C11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13" s="17"/>
      </tp>
      <tp>
        <v>40</v>
        <stp/>
        <stp>##V3_BDHV12</stp>
        <stp>RCOM IN Equity</stp>
        <stp>ARDR_ACTUARIAL_LOSSES_GAINS_OPEB</stp>
        <stp>FY 2016</stp>
        <stp>FY 2016</stp>
        <stp>[FA1_ymffleas.xlsx]Bal Sheet - As Reported!R213C10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13" s="17"/>
      </tp>
      <tp>
        <v>209400</v>
        <stp/>
        <stp>##V3_BDHV12</stp>
        <stp>RCOM IN Equity</stp>
        <stp>IS_SALES_AND_SERVICES_REVENUES</stp>
        <stp>FY 2014</stp>
        <stp>FY 2014</stp>
        <stp>[FA1_ymffleas.xlsx]Income - GAAP!R8C7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8" s="10"/>
      </tp>
      <tp>
        <v>192940</v>
        <stp/>
        <stp>##V3_BDHV12</stp>
        <stp>RCOM IN Equity</stp>
        <stp>IS_SALES_AND_SERVICES_REVENUES</stp>
        <stp>FY 2013</stp>
        <stp>FY 2013</stp>
        <stp>[FA1_ymffleas.xlsx]Income - GAAP!R8C6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8" s="10"/>
      </tp>
      <tp>
        <v>187160</v>
        <stp/>
        <stp>##V3_BDHV12</stp>
        <stp>RCOM IN Equity</stp>
        <stp>IS_SALES_AND_SERVICES_REVENUES</stp>
        <stp>FY 2012</stp>
        <stp>FY 2012</stp>
        <stp>[FA1_ymffleas.xlsx]Income - GAAP!R8C5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8" s="10"/>
      </tp>
      <tp>
        <v>220890</v>
        <stp/>
        <stp>##V3_BDHV12</stp>
        <stp>RCOM IN Equity</stp>
        <stp>IS_SALES_AND_SERVICES_REVENUES</stp>
        <stp>FY 2011</stp>
        <stp>FY 2011</stp>
        <stp>[FA1_ymffleas.xlsx]Income - GAAP!R8C4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8" s="10"/>
      </tp>
      <tp>
        <v>206850.5</v>
        <stp/>
        <stp>##V3_BDHV12</stp>
        <stp>RCOM IN Equity</stp>
        <stp>IS_SALES_AND_SERVICES_REVENUES</stp>
        <stp>FY 2010</stp>
        <stp>FY 2010</stp>
        <stp>[FA1_ymffleas.xlsx]Income - GAAP!R8C3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8" s="10"/>
      </tp>
      <tp>
        <v>5.2907000000000002</v>
        <stp/>
        <stp>##V3_BDHV12</stp>
        <stp>RCOM IN Equity</stp>
        <stp>OPER_MARGIN</stp>
        <stp>FY 2018</stp>
        <stp>FY 2018</stp>
        <stp>[FA1_ymffleas.xlsx]Income - GAAP!R103C11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03" s="10"/>
      </tp>
      <tp>
        <v>0</v>
        <stp/>
        <stp>##V3_BDHV12</stp>
        <stp>RCOM IN Equity</stp>
        <stp>ARDR_ACTUAL_RET_PLAN_ASSETS_OPRB</stp>
        <stp>FY 2015</stp>
        <stp>FY 2015</stp>
        <stp>[FA1_ymffleas.xlsx]Income - As Reported!R131C9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1" s="11"/>
      </tp>
      <tp>
        <v>20</v>
        <stp/>
        <stp>##V3_BDHV12</stp>
        <stp>RCOM IN Equity</stp>
        <stp>ARDR_ACTUAL_RET_PLAN_ASSETS_OPRB</stp>
        <stp>FY 2014</stp>
        <stp>FY 2014</stp>
        <stp>[FA1_ymffleas.xlsx]Income - As Reported!R131C8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1" s="11"/>
      </tp>
      <tp>
        <v>20</v>
        <stp/>
        <stp>##V3_BDHV12</stp>
        <stp>RCOM IN Equity</stp>
        <stp>ARDR_ACTUAL_RET_PLAN_ASSETS_OPRB</stp>
        <stp>FY 2011</stp>
        <stp>FY 2011</stp>
        <stp>[FA1_ymffleas.xlsx]Income - As Reported!R131C5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1" s="11"/>
      </tp>
      <tp>
        <v>47.7</v>
        <stp/>
        <stp>##V3_BDHV12</stp>
        <stp>RCOM IN Equity</stp>
        <stp>ARDR_ACTUAL_RET_PLAN_ASSETS_OPRB</stp>
        <stp>FY 2010</stp>
        <stp>FY 2010</stp>
        <stp>[FA1_ymffleas.xlsx]Income - As Reported!R131C4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1" s="11"/>
      </tp>
      <tp>
        <v>30</v>
        <stp/>
        <stp>##V3_BDHV12</stp>
        <stp>RCOM IN Equity</stp>
        <stp>ARDR_ACTUAL_RET_PLAN_ASSETS_OPRB</stp>
        <stp>FY 2013</stp>
        <stp>FY 2013</stp>
        <stp>[FA1_ymffleas.xlsx]Income - As Reported!R131C7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1" s="11"/>
      </tp>
      <tp>
        <v>20</v>
        <stp/>
        <stp>##V3_BDHV12</stp>
        <stp>RCOM IN Equity</stp>
        <stp>ARDR_ACTUAL_RET_PLAN_ASSETS_OPRB</stp>
        <stp>FY 2012</stp>
        <stp>FY 2012</stp>
        <stp>[FA1_ymffleas.xlsx]Income - As Reported!R131C6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1" s="11"/>
      </tp>
      <tp t="s">
        <v>—</v>
        <stp/>
        <stp>##V3_BDHV12</stp>
        <stp>RCOM IN Equity</stp>
        <stp>ARDR_ACTUAL_RET_PLAN_ASSETS_OPRB</stp>
        <stp>FY 2009</stp>
        <stp>FY 2009</stp>
        <stp>[FA1_ymffleas.xlsx]Income - As Reported!R131C3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1" s="11"/>
      </tp>
      <tp>
        <v>217430</v>
        <stp/>
        <stp>##V3_BDHV12</stp>
        <stp>RCOM IN Equity</stp>
        <stp>IS_SALES_AND_SERVICES_REVENUES</stp>
        <stp>FY 2016</stp>
        <stp>FY 2016</stp>
        <stp>[FA1_ymffleas.xlsx]Income - GAAP!R8C9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8" s="10"/>
      </tp>
      <tp>
        <v>214230</v>
        <stp/>
        <stp>##V3_BDHV12</stp>
        <stp>RCOM IN Equity</stp>
        <stp>IS_SALES_AND_SERVICES_REVENUES</stp>
        <stp>FY 2015</stp>
        <stp>FY 2015</stp>
        <stp>[FA1_ymffleas.xlsx]Income - GAAP!R8C8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8" s="10"/>
      </tp>
      <tp t="s">
        <v>—</v>
        <stp/>
        <stp>##V3_BDHV12</stp>
        <stp>RCOM IN Equity</stp>
        <stp>ARDR_TOT_FEES_PAID_AUDIT_FIRMS</stp>
        <stp>FY 2009</stp>
        <stp>FY 2009</stp>
        <stp>[FA1_ymffleas.xlsx]Income - As Reported!R110C3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0" s="11"/>
      </tp>
      <tp t="s">
        <v>—</v>
        <stp/>
        <stp>##V3_BDHV12</stp>
        <stp>RCOM IN Equity</stp>
        <stp>ARDR_TOT_FEES_PAID_AUDIT_FIRMS</stp>
        <stp>FY 2011</stp>
        <stp>FY 2011</stp>
        <stp>[FA1_ymffleas.xlsx]Income - As Reported!R110C5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0" s="11"/>
      </tp>
      <tp t="s">
        <v>—</v>
        <stp/>
        <stp>##V3_BDHV12</stp>
        <stp>RCOM IN Equity</stp>
        <stp>ARDR_TOT_FEES_PAID_AUDIT_FIRMS</stp>
        <stp>FY 2010</stp>
        <stp>FY 2010</stp>
        <stp>[FA1_ymffleas.xlsx]Income - As Reported!R110C4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0" s="11"/>
      </tp>
      <tp t="s">
        <v>—</v>
        <stp/>
        <stp>##V3_BDHV12</stp>
        <stp>RCOM IN Equity</stp>
        <stp>ARDR_TOT_FEES_PAID_AUDIT_FIRMS</stp>
        <stp>FY 2013</stp>
        <stp>FY 2013</stp>
        <stp>[FA1_ymffleas.xlsx]Income - As Reported!R110C7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0" s="11"/>
      </tp>
      <tp t="s">
        <v>—</v>
        <stp/>
        <stp>##V3_BDHV12</stp>
        <stp>RCOM IN Equity</stp>
        <stp>ARDR_TOT_FEES_PAID_AUDIT_FIRMS</stp>
        <stp>FY 2012</stp>
        <stp>FY 2012</stp>
        <stp>[FA1_ymffleas.xlsx]Income - As Reported!R110C6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0" s="11"/>
      </tp>
      <tp t="s">
        <v>—</v>
        <stp/>
        <stp>##V3_BDHV12</stp>
        <stp>RCOM IN Equity</stp>
        <stp>ARDR_TOT_FEES_PAID_AUDIT_FIRMS</stp>
        <stp>FY 2015</stp>
        <stp>FY 2015</stp>
        <stp>[FA1_ymffleas.xlsx]Income - As Reported!R110C9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0" s="11"/>
      </tp>
      <tp t="s">
        <v>—</v>
        <stp/>
        <stp>##V3_BDHV12</stp>
        <stp>RCOM IN Equity</stp>
        <stp>ARDR_TOT_FEES_PAID_AUDIT_FIRMS</stp>
        <stp>FY 2014</stp>
        <stp>FY 2014</stp>
        <stp>[FA1_ymffleas.xlsx]Income - As Reported!R110C8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0" s="11"/>
      </tp>
      <tp>
        <v>318650</v>
        <stp/>
        <stp>##V3_BDHV12</stp>
        <stp>RCOM IN Equity</stp>
        <stp>ARDR_TOTAL_SHAREHOLDERS_EQUITY</stp>
        <stp>FY 2016</stp>
        <stp>FY 2016</stp>
        <stp>[FA1_ymffleas.xlsx]Bal Sheet - As Reported!R113C10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3" s="17"/>
      </tp>
      <tp>
        <v>289690</v>
        <stp/>
        <stp>##V3_BDHV12</stp>
        <stp>RCOM IN Equity</stp>
        <stp>ARDR_TOTAL_SHAREHOLDERS_EQUITY</stp>
        <stp>FY 2017</stp>
        <stp>FY 2017</stp>
        <stp>[FA1_ymffleas.xlsx]Bal Sheet - As Reported!R113C11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3" s="17"/>
      </tp>
      <tp>
        <v>31150</v>
        <stp/>
        <stp>##V3_BDHV12</stp>
        <stp>RCOM IN Equity</stp>
        <stp>ARDR_TOTAL_SHAREHOLDERS_EQUITY</stp>
        <stp>FY 2018</stp>
        <stp>FY 2018</stp>
        <stp>[FA1_ymffleas.xlsx]Bal Sheet - As Reported!R113C12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3" s="17"/>
      </tp>
      <tp t="s">
        <v>—</v>
        <stp/>
        <stp>##V3_BDHV12</stp>
        <stp>RCOM IN Equity</stp>
        <stp>INVENT_DAYS</stp>
        <stp>FY 2009</stp>
        <stp>FY 2009</stp>
        <stp>[FA1_ymffleas.xlsx]Working Capital!R9C3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9" s="25"/>
      </tp>
      <tp>
        <v>35480</v>
        <stp/>
        <stp>##V3_BDHV12</stp>
        <stp>RCOM IN Equity</stp>
        <stp>BS_GOODWILL</stp>
        <stp>FY 2017</stp>
        <stp>FY 2017</stp>
        <stp>[FA1_ymffleas.xlsx]Bal Sheet - Standardized!R57C11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7" s="16"/>
      </tp>
      <tp>
        <v>35510</v>
        <stp/>
        <stp>##V3_BDHV12</stp>
        <stp>RCOM IN Equity</stp>
        <stp>BS_GOODWILL</stp>
        <stp>FY 2016</stp>
        <stp>FY 2016</stp>
        <stp>[FA1_ymffleas.xlsx]Bal Sheet - Standardized!R57C10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7" s="16"/>
      </tp>
      <tp>
        <v>35490</v>
        <stp/>
        <stp>##V3_BDHV12</stp>
        <stp>RCOM IN Equity</stp>
        <stp>BS_GOODWILL</stp>
        <stp>FY 2018</stp>
        <stp>FY 2018</stp>
        <stp>[FA1_ymffleas.xlsx]Bal Sheet - Standardized!R57C12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7" s="16"/>
      </tp>
      <tp>
        <v>26780</v>
        <stp/>
        <stp>##V3_BDHV12</stp>
        <stp>RCOM IN Equity</stp>
        <stp>CASH_AND_MARKETABLE_SECURITIES</stp>
        <stp>FY 2015</stp>
        <stp>FY 2015</stp>
        <stp>[FA1_ymffleas.xlsx]Adj Highlights!R7C8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" s="2"/>
      </tp>
      <tp>
        <v>15170</v>
        <stp/>
        <stp>##V3_BDHV12</stp>
        <stp>RCOM IN Equity</stp>
        <stp>CASH_AND_MARKETABLE_SECURITIES</stp>
        <stp>FY 2016</stp>
        <stp>FY 2016</stp>
        <stp>[FA1_ymffleas.xlsx]Adj Highlights!R7C9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" s="2"/>
      </tp>
      <tp>
        <v>53180</v>
        <stp/>
        <stp>##V3_BDHV12</stp>
        <stp>RCOM IN Equity</stp>
        <stp>CASH_AND_MARKETABLE_SECURITIES</stp>
        <stp>FY 2011</stp>
        <stp>FY 2011</stp>
        <stp>[FA1_ymffleas.xlsx]Adj Highlights!R7C4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" s="2"/>
      </tp>
      <tp>
        <v>10690</v>
        <stp/>
        <stp>##V3_BDHV12</stp>
        <stp>RCOM IN Equity</stp>
        <stp>CASH_AND_MARKETABLE_SECURITIES</stp>
        <stp>FY 2012</stp>
        <stp>FY 2012</stp>
        <stp>[FA1_ymffleas.xlsx]Adj Highlights!R7C5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" s="2"/>
      </tp>
      <tp>
        <v>12820</v>
        <stp/>
        <stp>##V3_BDHV12</stp>
        <stp>RCOM IN Equity</stp>
        <stp>CASH_AND_MARKETABLE_SECURITIES</stp>
        <stp>FY 2013</stp>
        <stp>FY 2013</stp>
        <stp>[FA1_ymffleas.xlsx]Adj Highlights!R7C6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" s="2"/>
      </tp>
      <tp>
        <v>11090</v>
        <stp/>
        <stp>##V3_BDHV12</stp>
        <stp>RCOM IN Equity</stp>
        <stp>CASH_AND_MARKETABLE_SECURITIES</stp>
        <stp>FY 2014</stp>
        <stp>FY 2014</stp>
        <stp>[FA1_ymffleas.xlsx]Adj Highlights!R7C7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" s="2"/>
      </tp>
      <tp>
        <v>48584.800000000003</v>
        <stp/>
        <stp>##V3_BDHV12</stp>
        <stp>RCOM IN Equity</stp>
        <stp>CASH_AND_MARKETABLE_SECURITIES</stp>
        <stp>FY 2010</stp>
        <stp>FY 2010</stp>
        <stp>[FA1_ymffleas.xlsx]Adj Highlights!R7C3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" s="2"/>
      </tp>
      <tp>
        <v>12570</v>
        <stp/>
        <stp>##V3_BDHV12</stp>
        <stp>RCOM IN Equity</stp>
        <stp>ARD_ST_PROVISIONS</stp>
        <stp>FY 2014</stp>
        <stp>FY 2014</stp>
        <stp>[FA1_ymffleas.xlsx]Bal Sheet - As Reported!R59C8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9" s="17"/>
      </tp>
      <tp>
        <v>12700</v>
        <stp/>
        <stp>##V3_BDHV12</stp>
        <stp>RCOM IN Equity</stp>
        <stp>ARD_ST_PROVISIONS</stp>
        <stp>FY 2015</stp>
        <stp>FY 2015</stp>
        <stp>[FA1_ymffleas.xlsx]Bal Sheet - As Reported!R59C9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9" s="17"/>
      </tp>
      <tp>
        <v>26660</v>
        <stp/>
        <stp>##V3_BDHV12</stp>
        <stp>RCOM IN Equity</stp>
        <stp>ARD_ST_PROVISIONS</stp>
        <stp>FY 2012</stp>
        <stp>FY 2012</stp>
        <stp>[FA1_ymffleas.xlsx]Bal Sheet - As Reported!R59C6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9" s="17"/>
      </tp>
      <tp>
        <v>18740</v>
        <stp/>
        <stp>##V3_BDHV12</stp>
        <stp>RCOM IN Equity</stp>
        <stp>ARD_ST_PROVISIONS</stp>
        <stp>FY 2013</stp>
        <stp>FY 2013</stp>
        <stp>[FA1_ymffleas.xlsx]Bal Sheet - As Reported!R59C7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9" s="17"/>
      </tp>
      <tp>
        <v>40266.699999999997</v>
        <stp/>
        <stp>##V3_BDHV12</stp>
        <stp>RCOM IN Equity</stp>
        <stp>ARD_ST_PROVISIONS</stp>
        <stp>FY 2010</stp>
        <stp>FY 2010</stp>
        <stp>[FA1_ymffleas.xlsx]Bal Sheet - As Reported!R59C4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9" s="17"/>
      </tp>
      <tp>
        <v>31120</v>
        <stp/>
        <stp>##V3_BDHV12</stp>
        <stp>RCOM IN Equity</stp>
        <stp>ARD_ST_PROVISIONS</stp>
        <stp>FY 2011</stp>
        <stp>FY 2011</stp>
        <stp>[FA1_ymffleas.xlsx]Bal Sheet - As Reported!R59C5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9" s="17"/>
      </tp>
      <tp>
        <v>41095.699999999997</v>
        <stp/>
        <stp>##V3_BDHV12</stp>
        <stp>RCOM IN Equity</stp>
        <stp>ARD_ST_PROVISIONS</stp>
        <stp>FY 2009</stp>
        <stp>FY 2009</stp>
        <stp>[FA1_ymffleas.xlsx]Bal Sheet - As Reported!R59C3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9" s="17"/>
      </tp>
      <tp>
        <v>-1190</v>
        <stp/>
        <stp>##V3_BDHV12</stp>
        <stp>RCOM IN Equity</stp>
        <stp>CF_DVD_PAID</stp>
        <stp>FY 2012</stp>
        <stp>FY 2012</stp>
        <stp>[FA1_ymffleas.xlsx]Dividend Summary!R11C6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" s="31"/>
      </tp>
      <tp>
        <v>-600</v>
        <stp/>
        <stp>##V3_BDHV12</stp>
        <stp>RCOM IN Equity</stp>
        <stp>CF_DVD_PAID</stp>
        <stp>FY 2013</stp>
        <stp>FY 2013</stp>
        <stp>[FA1_ymffleas.xlsx]Dividend Summary!R11C7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" s="31"/>
      </tp>
      <tp>
        <v>-1910.6</v>
        <stp/>
        <stp>##V3_BDHV12</stp>
        <stp>RCOM IN Equity</stp>
        <stp>CF_DVD_PAID</stp>
        <stp>FY 2010</stp>
        <stp>FY 2010</stp>
        <stp>[FA1_ymffleas.xlsx]Dividend Summary!R11C4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" s="31"/>
      </tp>
      <tp>
        <v>-2020</v>
        <stp/>
        <stp>##V3_BDHV12</stp>
        <stp>RCOM IN Equity</stp>
        <stp>CF_DVD_PAID</stp>
        <stp>FY 2011</stp>
        <stp>FY 2011</stp>
        <stp>[FA1_ymffleas.xlsx]Dividend Summary!R11C5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" s="31"/>
      </tp>
      <tp>
        <v>-1792.3</v>
        <stp/>
        <stp>##V3_BDHV12</stp>
        <stp>RCOM IN Equity</stp>
        <stp>CF_DVD_PAID</stp>
        <stp>FY 2009</stp>
        <stp>FY 2009</stp>
        <stp>[FA1_ymffleas.xlsx]Dividend Summary!R11C3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" s="31"/>
      </tp>
      <tp>
        <v>-610</v>
        <stp/>
        <stp>##V3_BDHV12</stp>
        <stp>RCOM IN Equity</stp>
        <stp>CF_DVD_PAID</stp>
        <stp>FY 2014</stp>
        <stp>FY 2014</stp>
        <stp>[FA1_ymffleas.xlsx]Dividend Summary!R11C8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" s="31"/>
      </tp>
      <tp>
        <v>-10</v>
        <stp/>
        <stp>##V3_BDHV12</stp>
        <stp>RCOM IN Equity</stp>
        <stp>CF_DVD_PAID</stp>
        <stp>FY 2015</stp>
        <stp>FY 2015</stp>
        <stp>[FA1_ymffleas.xlsx]Dividend Summary!R11C9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" s="31"/>
      </tp>
      <tp>
        <v>25.933599999999998</v>
        <stp/>
        <stp>##V3_BDHV12</stp>
        <stp>RCOM IN Equity</stp>
        <stp>LT_DEBT_TO_TOT_CAP</stp>
        <stp>FY 2018</stp>
        <stp>FY 2018</stp>
        <stp>[FA1_ymffleas.xlsx]Liquidity!R13C12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3" s="24"/>
      </tp>
      <tp>
        <v>30.186599999999999</v>
        <stp/>
        <stp>##V3_BDHV12</stp>
        <stp>RCOM IN Equity</stp>
        <stp>LT_DEBT_TO_TOT_CAP</stp>
        <stp>FY 2017</stp>
        <stp>FY 2017</stp>
        <stp>[FA1_ymffleas.xlsx]Liquidity!R13C11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3" s="24"/>
      </tp>
      <tp>
        <v>12600</v>
        <stp/>
        <stp>##V3_BDHV12</stp>
        <stp>RCOM IN Equity</stp>
        <stp>CF_NET_CHG_IN_ST_DBT_&amp;_CPTL_LEAS</stp>
        <stp>FY 2018</stp>
        <stp>FY 2018</stp>
        <stp>[FA1_ymffleas.xlsx]Cash Flow - Standardized!R40C11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0" s="19"/>
      </tp>
      <tp>
        <v>51580</v>
        <stp/>
        <stp>##V3_BDHV12</stp>
        <stp>RCOM IN Equity</stp>
        <stp>CF_NET_CHG_IN_ST_DBT_&amp;_CPTL_LEAS</stp>
        <stp>FY 2017</stp>
        <stp>FY 2017</stp>
        <stp>[FA1_ymffleas.xlsx]Cash Flow - Standardized!R40C10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0" s="19"/>
      </tp>
      <tp>
        <v>38.570799999999998</v>
        <stp/>
        <stp>##V3_BDHV12</stp>
        <stp>RCOM IN Equity</stp>
        <stp>LT_DEBT_TO_TOT_CAP</stp>
        <stp>FY 2016</stp>
        <stp>FY 2016</stp>
        <stp>[FA1_ymffleas.xlsx]Liquidity!R13C10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3" s="24"/>
      </tp>
      <tp>
        <v>138940</v>
        <stp/>
        <stp>##V3_BDHV12</stp>
        <stp>RCOM IN Equity</stp>
        <stp>BS_ADD_PAID_IN_CAP</stp>
        <stp>FY 2018</stp>
        <stp>FY 2018</stp>
        <stp>[FA1_ymffleas.xlsx]Bal Sheet - Standardized!R139C12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9" s="16"/>
      </tp>
      <tp>
        <v>138940</v>
        <stp/>
        <stp>##V3_BDHV12</stp>
        <stp>RCOM IN Equity</stp>
        <stp>BS_ADD_PAID_IN_CAP</stp>
        <stp>FY 2017</stp>
        <stp>FY 2017</stp>
        <stp>[FA1_ymffleas.xlsx]Bal Sheet - Standardized!R139C11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9" s="16"/>
      </tp>
      <tp>
        <v>138940</v>
        <stp/>
        <stp>##V3_BDHV12</stp>
        <stp>RCOM IN Equity</stp>
        <stp>BS_ADD_PAID_IN_CAP</stp>
        <stp>FY 2016</stp>
        <stp>FY 2016</stp>
        <stp>[FA1_ymffleas.xlsx]Bal Sheet - Standardized!R139C10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9" s="16"/>
      </tp>
      <tp>
        <v>0.60160000000000002</v>
        <stp/>
        <stp>##V3_BDHV12</stp>
        <stp>RCOM IN Equity</stp>
        <stp>ARDR_OPTIONS_BEGINNING_OF_PERIOD</stp>
        <stp>FY 2018</stp>
        <stp>FY 2018</stp>
        <stp>[FA1_ymffleas.xlsx]Bal Sheet - As Reported!R212C12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12" s="17"/>
      </tp>
      <tp>
        <v>0.70240000000000002</v>
        <stp/>
        <stp>##V3_BDHV12</stp>
        <stp>RCOM IN Equity</stp>
        <stp>ARDR_OPTIONS_BEGINNING_OF_PERIOD</stp>
        <stp>FY 2017</stp>
        <stp>FY 2017</stp>
        <stp>[FA1_ymffleas.xlsx]Bal Sheet - As Reported!R212C11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12" s="17"/>
      </tp>
      <tp>
        <v>3.2456999999999998</v>
        <stp/>
        <stp>##V3_BDHV12</stp>
        <stp>RCOM IN Equity</stp>
        <stp>HIGH_EV_TO_T12M_SALES</stp>
        <stp>FY 2011</stp>
        <stp>FY 2011</stp>
        <stp>[FA1_ymffleas.xlsx]Multiples!R38C4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38" s="6"/>
      </tp>
      <tp>
        <v>1.3376000000000001</v>
        <stp/>
        <stp>##V3_BDHV12</stp>
        <stp>RCOM IN Equity</stp>
        <stp>ARDR_OPTIONS_BEGINNING_OF_PERIOD</stp>
        <stp>FY 2016</stp>
        <stp>FY 2016</stp>
        <stp>[FA1_ymffleas.xlsx]Bal Sheet - As Reported!R212C10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12" s="17"/>
      </tp>
      <tp>
        <v>71590</v>
        <stp/>
        <stp>##V3_BDHV12</stp>
        <stp>RCOM IN Equity</stp>
        <stp>ARD_REF_EBITDA_IS</stp>
        <stp>FY 2013</stp>
        <stp>FY 2013</stp>
        <stp>[FA1_ymffleas.xlsx]Income - As Reported!R125C7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5" s="11"/>
      </tp>
      <tp>
        <v>64900</v>
        <stp/>
        <stp>##V3_BDHV12</stp>
        <stp>RCOM IN Equity</stp>
        <stp>ARD_REF_EBITDA_IS</stp>
        <stp>FY 2012</stp>
        <stp>FY 2012</stp>
        <stp>[FA1_ymffleas.xlsx]Income - As Reported!R125C6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5" s="11"/>
      </tp>
      <tp>
        <v>90810</v>
        <stp/>
        <stp>##V3_BDHV12</stp>
        <stp>RCOM IN Equity</stp>
        <stp>ARD_REF_EBITDA_IS</stp>
        <stp>FY 2011</stp>
        <stp>FY 2011</stp>
        <stp>[FA1_ymffleas.xlsx]Income - As Reported!R125C5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5" s="11"/>
      </tp>
      <tp>
        <v>78204.800000000003</v>
        <stp/>
        <stp>##V3_BDHV12</stp>
        <stp>RCOM IN Equity</stp>
        <stp>ARD_REF_EBITDA_IS</stp>
        <stp>FY 2010</stp>
        <stp>FY 2010</stp>
        <stp>[FA1_ymffleas.xlsx]Income - As Reported!R125C4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5" s="11"/>
      </tp>
      <tp>
        <v>93049.4</v>
        <stp/>
        <stp>##V3_BDHV12</stp>
        <stp>RCOM IN Equity</stp>
        <stp>ARD_REF_EBITDA_IS</stp>
        <stp>FY 2009</stp>
        <stp>FY 2009</stp>
        <stp>[FA1_ymffleas.xlsx]Income - As Reported!R125C3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5" s="11"/>
      </tp>
      <tp>
        <v>75180</v>
        <stp/>
        <stp>##V3_BDHV12</stp>
        <stp>RCOM IN Equity</stp>
        <stp>ARD_REF_EBITDA_IS</stp>
        <stp>FY 2015</stp>
        <stp>FY 2015</stp>
        <stp>[FA1_ymffleas.xlsx]Income - As Reported!R125C9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5" s="11"/>
      </tp>
      <tp>
        <v>77260</v>
        <stp/>
        <stp>##V3_BDHV12</stp>
        <stp>RCOM IN Equity</stp>
        <stp>ARD_REF_EBITDA_IS</stp>
        <stp>FY 2014</stp>
        <stp>FY 2014</stp>
        <stp>[FA1_ymffleas.xlsx]Income - As Reported!R125C8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5" s="11"/>
      </tp>
      <tp>
        <v>-20</v>
        <stp/>
        <stp>##V3_BDHV12</stp>
        <stp>RCOM IN Equity</stp>
        <stp>IS_FOREIGN_EXCH_LOSS</stp>
        <stp>FY 2018</stp>
        <stp>FY 2018</stp>
        <stp>[FA1_ymffleas.xlsx]Income - Adjusted!R47C11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47" s="9"/>
      </tp>
      <tp>
        <v>-20</v>
        <stp/>
        <stp>##V3_BDHV12</stp>
        <stp>RCOM IN Equity</stp>
        <stp>IS_FOREIGN_EXCH_LOSS</stp>
        <stp>FY 2017</stp>
        <stp>FY 2017</stp>
        <stp>[FA1_ymffleas.xlsx]Income - Adjusted!R47C10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47" s="9"/>
      </tp>
      <tp>
        <v>2620</v>
        <stp/>
        <stp>##V3_BDHV12</stp>
        <stp>RCOM IN Equity</stp>
        <stp>ARDR_INTEREST_ACCRUED_PAYABLE</stp>
        <stp>FY 2016</stp>
        <stp>FY 2016</stp>
        <stp>[FA1_ymffleas.xlsx]Bal Sheet - As Reported!R85C10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5" s="17"/>
      </tp>
      <tp>
        <v>12950</v>
        <stp/>
        <stp>##V3_BDHV12</stp>
        <stp>RCOM IN Equity</stp>
        <stp>ARDR_INTEREST_ACCRUED_PAYABLE</stp>
        <stp>FY 2017</stp>
        <stp>FY 2017</stp>
        <stp>[FA1_ymffleas.xlsx]Bal Sheet - As Reported!R85C11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5" s="17"/>
      </tp>
      <tp>
        <v>4770</v>
        <stp/>
        <stp>##V3_BDHV12</stp>
        <stp>RCOM IN Equity</stp>
        <stp>ARDR_INTEREST_ACCRUED_PAYABLE</stp>
        <stp>FY 2018</stp>
        <stp>FY 2018</stp>
        <stp>[FA1_ymffleas.xlsx]Bal Sheet - As Reported!R85C12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5" s="17"/>
      </tp>
      <tp t="s">
        <v>—</v>
        <stp/>
        <stp>##V3_BDHV12</stp>
        <stp>RCOM IN Equity</stp>
        <stp>ADJ_EPS_EX_AMORT_TOT_INTANG_BAS</stp>
        <stp>FY 2014</stp>
        <stp>FY 2014</stp>
        <stp>[FA1_ymffleas.xlsx]SBC &amp; Amort!R9C8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9" s="13"/>
      </tp>
      <tp t="s">
        <v>—</v>
        <stp/>
        <stp>##V3_BDHV12</stp>
        <stp>RCOM IN Equity</stp>
        <stp>ADJ_EPS_EX_AMORT_TOT_INTANG_BAS</stp>
        <stp>FY 2015</stp>
        <stp>FY 2015</stp>
        <stp>[FA1_ymffleas.xlsx]SBC &amp; Amort!R9C9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9" s="13"/>
      </tp>
      <tp>
        <v>-17720</v>
        <stp/>
        <stp>##V3_BDHV12</stp>
        <stp>RCOM IN Equity</stp>
        <stp>OTHER_NON_CASH_ADJ_LESS_DETAILED</stp>
        <stp>FY 2014</stp>
        <stp>FY 2014</stp>
        <stp>[FA1_ymffleas.xlsx]Cash Flow - Standardized!R10C7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" s="19"/>
      </tp>
      <tp>
        <v>-2730</v>
        <stp/>
        <stp>##V3_BDHV12</stp>
        <stp>RCOM IN Equity</stp>
        <stp>OTHER_NON_CASH_ADJ_LESS_DETAILED</stp>
        <stp>FY 2013</stp>
        <stp>FY 2013</stp>
        <stp>[FA1_ymffleas.xlsx]Cash Flow - Standardized!R10C6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" s="19"/>
      </tp>
      <tp>
        <v>-1590</v>
        <stp/>
        <stp>##V3_BDHV12</stp>
        <stp>RCOM IN Equity</stp>
        <stp>OTHER_NON_CASH_ADJ_LESS_DETAILED</stp>
        <stp>FY 2012</stp>
        <stp>FY 2012</stp>
        <stp>[FA1_ymffleas.xlsx]Cash Flow - Standardized!R10C5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" s="19"/>
      </tp>
      <tp>
        <v>-7300</v>
        <stp/>
        <stp>##V3_BDHV12</stp>
        <stp>RCOM IN Equity</stp>
        <stp>OTHER_NON_CASH_ADJ_LESS_DETAILED</stp>
        <stp>FY 2011</stp>
        <stp>FY 2011</stp>
        <stp>[FA1_ymffleas.xlsx]Cash Flow - Standardized!R10C4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" s="19"/>
      </tp>
      <tp>
        <v>-27857.8</v>
        <stp/>
        <stp>##V3_BDHV12</stp>
        <stp>RCOM IN Equity</stp>
        <stp>OTHER_NON_CASH_ADJ_LESS_DETAILED</stp>
        <stp>FY 2010</stp>
        <stp>FY 2010</stp>
        <stp>[FA1_ymffleas.xlsx]Cash Flow - Standardized!R10C3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" s="19"/>
      </tp>
      <tp>
        <v>21750</v>
        <stp/>
        <stp>##V3_BDHV12</stp>
        <stp>RCOM IN Equity</stp>
        <stp>OTHER_NON_CASH_ADJ_LESS_DETAILED</stp>
        <stp>FY 2016</stp>
        <stp>FY 2016</stp>
        <stp>[FA1_ymffleas.xlsx]Cash Flow - Standardized!R10C9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" s="19"/>
      </tp>
      <tp>
        <v>-2140</v>
        <stp/>
        <stp>##V3_BDHV12</stp>
        <stp>RCOM IN Equity</stp>
        <stp>OTHER_NON_CASH_ADJ_LESS_DETAILED</stp>
        <stp>FY 2015</stp>
        <stp>FY 2015</stp>
        <stp>[FA1_ymffleas.xlsx]Cash Flow - Standardized!R10C8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" s="19"/>
      </tp>
      <tp>
        <v>29.3064</v>
        <stp/>
        <stp>##V3_BDHV12</stp>
        <stp>RCOM IN Equity</stp>
        <stp>ADJ_EPS_EX_AMORT_TOT_INTANG_BAS</stp>
        <stp>FY 2009</stp>
        <stp>FY 2009</stp>
        <stp>[FA1_ymffleas.xlsx]SBC &amp; Amort!R9C3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9" s="13"/>
      </tp>
      <tp>
        <v>24.708300000000001</v>
        <stp/>
        <stp>##V3_BDHV12</stp>
        <stp>RCOM IN Equity</stp>
        <stp>ADJ_EPS_EX_AMORT_TOT_INTANG_BAS</stp>
        <stp>FY 2010</stp>
        <stp>FY 2010</stp>
        <stp>[FA1_ymffleas.xlsx]SBC &amp; Amort!R9C4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9" s="13"/>
      </tp>
      <tp>
        <v>14.2807</v>
        <stp/>
        <stp>##V3_BDHV12</stp>
        <stp>RCOM IN Equity</stp>
        <stp>ADJ_EPS_EX_AMORT_TOT_INTANG_BAS</stp>
        <stp>FY 2011</stp>
        <stp>FY 2011</stp>
        <stp>[FA1_ymffleas.xlsx]SBC &amp; Amort!R9C5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9" s="13"/>
      </tp>
      <tp>
        <v>12.0593</v>
        <stp/>
        <stp>##V3_BDHV12</stp>
        <stp>RCOM IN Equity</stp>
        <stp>ADJ_EPS_EX_AMORT_TOT_INTANG_BAS</stp>
        <stp>FY 2012</stp>
        <stp>FY 2012</stp>
        <stp>[FA1_ymffleas.xlsx]SBC &amp; Amort!R9C6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9" s="13"/>
      </tp>
      <tp>
        <v>9.4344999999999999</v>
        <stp/>
        <stp>##V3_BDHV12</stp>
        <stp>RCOM IN Equity</stp>
        <stp>ADJ_EPS_EX_AMORT_TOT_INTANG_BAS</stp>
        <stp>FY 2013</stp>
        <stp>FY 2013</stp>
        <stp>[FA1_ymffleas.xlsx]SBC &amp; Amort!R9C7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9" s="13"/>
      </tp>
      <tp>
        <v>2064.0268999999998</v>
        <stp/>
        <stp>##V3_BDHV12</stp>
        <stp>RCOM IN Equity</stp>
        <stp>ARDR_WEIGHTED_AVG_SHARES_BASIC</stp>
        <stp>FY 2012</stp>
        <stp>FY 2012</stp>
        <stp>[FA1_ymffleas.xlsx]Income - As Reported!R81C6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1" s="11"/>
      </tp>
      <tp>
        <v>2064.0268999999998</v>
        <stp/>
        <stp>##V3_BDHV12</stp>
        <stp>RCOM IN Equity</stp>
        <stp>ARDR_WEIGHTED_AVG_SHARES_BASIC</stp>
        <stp>FY 2013</stp>
        <stp>FY 2013</stp>
        <stp>[FA1_ymffleas.xlsx]Income - As Reported!R81C7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1" s="11"/>
      </tp>
      <tp t="s">
        <v>—</v>
        <stp/>
        <stp>##V3_BDHV12</stp>
        <stp>RCOM IN Equity</stp>
        <stp>GEO_GROW_DILUTED_EPS_CONT_OPS</stp>
        <stp>FY 2009</stp>
        <stp>FY 2009</stp>
        <stp>[FA1_ymffleas.xlsx]Growth!R42C3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42" s="22"/>
      </tp>
      <tp>
        <v>2064.0268999999998</v>
        <stp/>
        <stp>##V3_BDHV12</stp>
        <stp>RCOM IN Equity</stp>
        <stp>ARDR_WEIGHTED_AVG_SHARES_BASIC</stp>
        <stp>FY 2010</stp>
        <stp>FY 2010</stp>
        <stp>[FA1_ymffleas.xlsx]Income - As Reported!R81C4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1" s="11"/>
      </tp>
      <tp>
        <v>133770</v>
        <stp/>
        <stp>##V3_BDHV12</stp>
        <stp>RCOM IN Equity</stp>
        <stp>BS_CUR_ASSET_REPORT</stp>
        <stp>FY 2014</stp>
        <stp>FY 2014</stp>
        <stp>[FA1_ymffleas.xlsx]GAAP Highlights!R15C8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" s="3"/>
      </tp>
      <tp>
        <v>187900</v>
        <stp/>
        <stp>##V3_BDHV12</stp>
        <stp>RCOM IN Equity</stp>
        <stp>BS_CUR_ASSET_REPORT</stp>
        <stp>FY 2015</stp>
        <stp>FY 2015</stp>
        <stp>[FA1_ymffleas.xlsx]GAAP Highlights!R15C9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" s="3"/>
      </tp>
      <tp>
        <v>239987</v>
        <stp/>
        <stp>##V3_BDHV12</stp>
        <stp>RCOM IN Equity</stp>
        <stp>BS_CUR_ASSET_REPORT</stp>
        <stp>FY 2009</stp>
        <stp>FY 2009</stp>
        <stp>[FA1_ymffleas.xlsx]GAAP Highlights!R15C3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" s="3"/>
      </tp>
      <tp>
        <v>161972.29999999999</v>
        <stp/>
        <stp>##V3_BDHV12</stp>
        <stp>RCOM IN Equity</stp>
        <stp>BS_CUR_ASSET_REPORT</stp>
        <stp>FY 2010</stp>
        <stp>FY 2010</stp>
        <stp>[FA1_ymffleas.xlsx]GAAP Highlights!R15C4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" s="3"/>
      </tp>
      <tp>
        <v>164480</v>
        <stp/>
        <stp>##V3_BDHV12</stp>
        <stp>RCOM IN Equity</stp>
        <stp>BS_CUR_ASSET_REPORT</stp>
        <stp>FY 2011</stp>
        <stp>FY 2011</stp>
        <stp>[FA1_ymffleas.xlsx]GAAP Highlights!R15C5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" s="3"/>
      </tp>
      <tp>
        <v>125450</v>
        <stp/>
        <stp>##V3_BDHV12</stp>
        <stp>RCOM IN Equity</stp>
        <stp>BS_CUR_ASSET_REPORT</stp>
        <stp>FY 2012</stp>
        <stp>FY 2012</stp>
        <stp>[FA1_ymffleas.xlsx]GAAP Highlights!R15C6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" s="3"/>
      </tp>
      <tp>
        <v>122610</v>
        <stp/>
        <stp>##V3_BDHV12</stp>
        <stp>RCOM IN Equity</stp>
        <stp>BS_CUR_ASSET_REPORT</stp>
        <stp>FY 2013</stp>
        <stp>FY 2013</stp>
        <stp>[FA1_ymffleas.xlsx]GAAP Highlights!R15C7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" s="3"/>
      </tp>
      <tp>
        <v>2064.0268999999998</v>
        <stp/>
        <stp>##V3_BDHV12</stp>
        <stp>RCOM IN Equity</stp>
        <stp>ARDR_WEIGHTED_AVG_SHARES_BASIC</stp>
        <stp>FY 2011</stp>
        <stp>FY 2011</stp>
        <stp>[FA1_ymffleas.xlsx]Income - As Reported!R81C5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1" s="11"/>
      </tp>
      <tp t="s">
        <v>—</v>
        <stp/>
        <stp>##V3_BDHV12</stp>
        <stp>RCOM IN Equity</stp>
        <stp>GEO_GROW_DILUTED_EPS_CONT_OPS</stp>
        <stp>FY 2011</stp>
        <stp>FY 2011</stp>
        <stp>[FA1_ymffleas.xlsx]Growth!R42C5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42" s="22"/>
      </tp>
      <tp t="s">
        <v>—</v>
        <stp/>
        <stp>##V3_BDHV12</stp>
        <stp>RCOM IN Equity</stp>
        <stp>GEO_GROW_DILUTED_EPS_CONT_OPS</stp>
        <stp>FY 2010</stp>
        <stp>FY 2010</stp>
        <stp>[FA1_ymffleas.xlsx]Growth!R42C4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42" s="22"/>
      </tp>
      <tp>
        <v>2064.0268999999998</v>
        <stp/>
        <stp>##V3_BDHV12</stp>
        <stp>RCOM IN Equity</stp>
        <stp>ARDR_WEIGHTED_AVG_SHARES_BASIC</stp>
        <stp>FY 2009</stp>
        <stp>FY 2009</stp>
        <stp>[FA1_ymffleas.xlsx]Income - As Reported!R81C3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1" s="11"/>
      </tp>
      <tp>
        <v>-69.856999999999999</v>
        <stp/>
        <stp>##V3_BDHV12</stp>
        <stp>RCOM IN Equity</stp>
        <stp>REVENUE_SEQUENTIAL_GROWTH</stp>
        <stp>FY 2017</stp>
        <stp>FY 2017</stp>
        <stp>[FA1_ymffleas.xlsx]Growth!R60C11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60" s="22"/>
      </tp>
      <tp>
        <v>-29.679099999999998</v>
        <stp/>
        <stp>##V3_BDHV12</stp>
        <stp>RCOM IN Equity</stp>
        <stp>GEO_GROW_DILUTED_EPS_CONT_OPS</stp>
        <stp>FY 2013</stp>
        <stp>FY 2013</stp>
        <stp>[FA1_ymffleas.xlsx]Growth!R42C7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42" s="22"/>
      </tp>
      <tp t="s">
        <v>—</v>
        <stp/>
        <stp>##V3_BDHV12</stp>
        <stp>RCOM IN Equity</stp>
        <stp>GEO_GROW_DILUTED_EPS_CONT_OPS</stp>
        <stp>FY 2012</stp>
        <stp>FY 2012</stp>
        <stp>[FA1_ymffleas.xlsx]Growth!R42C6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42" s="22"/>
      </tp>
      <tp>
        <v>-32.952199999999998</v>
        <stp/>
        <stp>##V3_BDHV12</stp>
        <stp>RCOM IN Equity</stp>
        <stp>GEO_GROW_DILUTED_EPS_CONT_OPS</stp>
        <stp>FY 2015</stp>
        <stp>FY 2015</stp>
        <stp>[FA1_ymffleas.xlsx]Growth!R42C9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42" s="22"/>
      </tp>
      <tp>
        <v>-28.3475</v>
        <stp/>
        <stp>##V3_BDHV12</stp>
        <stp>RCOM IN Equity</stp>
        <stp>GEO_GROW_DILUTED_EPS_CONT_OPS</stp>
        <stp>FY 2014</stp>
        <stp>FY 2014</stp>
        <stp>[FA1_ymffleas.xlsx]Growth!R42C8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42" s="22"/>
      </tp>
      <tp>
        <v>2064.0268999999998</v>
        <stp/>
        <stp>##V3_BDHV12</stp>
        <stp>RCOM IN Equity</stp>
        <stp>ARDR_WEIGHTED_AVG_SHARES_BASIC</stp>
        <stp>FY 2014</stp>
        <stp>FY 2014</stp>
        <stp>[FA1_ymffleas.xlsx]Income - As Reported!R81C8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1" s="11"/>
      </tp>
      <tp>
        <v>2333.9049</v>
        <stp/>
        <stp>##V3_BDHV12</stp>
        <stp>RCOM IN Equity</stp>
        <stp>ARDR_WEIGHTED_AVG_SHARES_BASIC</stp>
        <stp>FY 2015</stp>
        <stp>FY 2015</stp>
        <stp>[FA1_ymffleas.xlsx]Income - As Reported!R81C9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1" s="11"/>
      </tp>
      <tp>
        <v>0</v>
        <stp/>
        <stp>##V3_BDHV12</stp>
        <stp>RCOM IN Equity</stp>
        <stp>CF_INCR_CAP_STOCK</stp>
        <stp>FY 2017</stp>
        <stp>FY 2017</stp>
        <stp>[FA1_ymffleas.xlsx]Cash Flow - Standardized!R44C10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4" s="19"/>
      </tp>
      <tp>
        <v>0</v>
        <stp/>
        <stp>##V3_BDHV12</stp>
        <stp>RCOM IN Equity</stp>
        <stp>CF_INCR_CAP_STOCK</stp>
        <stp>FY 2018</stp>
        <stp>FY 2018</stp>
        <stp>[FA1_ymffleas.xlsx]Cash Flow - Standardized!R44C11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4" s="19"/>
      </tp>
      <tp>
        <v>0</v>
        <stp/>
        <stp>##V3_BDHV12</stp>
        <stp>RCOM IN Equity</stp>
        <stp>CF_DECR_CAP_STOCK</stp>
        <stp>FY 2018</stp>
        <stp>FY 2018</stp>
        <stp>[FA1_ymffleas.xlsx]Cash Flow - Standardized!R45C11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5" s="19"/>
      </tp>
      <tp>
        <v>0</v>
        <stp/>
        <stp>##V3_BDHV12</stp>
        <stp>RCOM IN Equity</stp>
        <stp>CF_DECR_CAP_STOCK</stp>
        <stp>FY 2017</stp>
        <stp>FY 2017</stp>
        <stp>[FA1_ymffleas.xlsx]Cash Flow - Standardized!R45C10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5" s="19"/>
      </tp>
      <tp>
        <v>25.026599999999998</v>
        <stp/>
        <stp>##V3_BDHV12</stp>
        <stp>RCOM IN Equity</stp>
        <stp>EV_TO_T12M_CASH_FLOW_FIRM</stp>
        <stp>FY 2015</stp>
        <stp>FY 2015</stp>
        <stp>[FA1_ymffleas.xlsx]Enterprise Value!R20C8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0" s="5"/>
      </tp>
      <tp t="s">
        <v>—</v>
        <stp/>
        <stp>##V3_BDHV12</stp>
        <stp>RCOM IN Equity</stp>
        <stp>ARD_TOT_LIAB_AND_SHAREHOLDER_EQY</stp>
        <stp>FY 2009</stp>
        <stp>FY 2009</stp>
        <stp>[FA1_ymffleas.xlsx]As Reported Summary!R22C3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2" s="30"/>
      </tp>
      <tp>
        <v>922650</v>
        <stp/>
        <stp>##V3_BDHV12</stp>
        <stp>RCOM IN Equity</stp>
        <stp>ARD_TOT_LIAB_AND_SHAREHOLDER_EQY</stp>
        <stp>FY 2012</stp>
        <stp>FY 2012</stp>
        <stp>[FA1_ymffleas.xlsx]As Reported Summary!R22C6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2" s="30"/>
      </tp>
      <tp>
        <v>901820</v>
        <stp/>
        <stp>##V3_BDHV12</stp>
        <stp>RCOM IN Equity</stp>
        <stp>ARD_TOT_LIAB_AND_SHAREHOLDER_EQY</stp>
        <stp>FY 2013</stp>
        <stp>FY 2013</stp>
        <stp>[FA1_ymffleas.xlsx]As Reported Summary!R22C7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2" s="30"/>
      </tp>
      <tp t="s">
        <v>—</v>
        <stp/>
        <stp>##V3_BDHV12</stp>
        <stp>RCOM IN Equity</stp>
        <stp>ARD_TOT_LIAB_AND_SHAREHOLDER_EQY</stp>
        <stp>FY 2010</stp>
        <stp>FY 2010</stp>
        <stp>[FA1_ymffleas.xlsx]As Reported Summary!R22C4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2" s="30"/>
      </tp>
      <tp>
        <v>947230</v>
        <stp/>
        <stp>##V3_BDHV12</stp>
        <stp>RCOM IN Equity</stp>
        <stp>ARD_TOT_LIAB_AND_SHAREHOLDER_EQY</stp>
        <stp>FY 2011</stp>
        <stp>FY 2011</stp>
        <stp>[FA1_ymffleas.xlsx]As Reported Summary!R22C5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2" s="30"/>
      </tp>
      <tp>
        <v>907390</v>
        <stp/>
        <stp>##V3_BDHV12</stp>
        <stp>RCOM IN Equity</stp>
        <stp>ARD_TOT_LIAB_AND_SHAREHOLDER_EQY</stp>
        <stp>FY 2014</stp>
        <stp>FY 2014</stp>
        <stp>[FA1_ymffleas.xlsx]As Reported Summary!R22C8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2" s="30"/>
      </tp>
      <tp>
        <v>912840</v>
        <stp/>
        <stp>##V3_BDHV12</stp>
        <stp>RCOM IN Equity</stp>
        <stp>ARD_TOT_LIAB_AND_SHAREHOLDER_EQY</stp>
        <stp>FY 2015</stp>
        <stp>FY 2015</stp>
        <stp>[FA1_ymffleas.xlsx]As Reported Summary!R22C9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2" s="30"/>
      </tp>
      <tp>
        <v>18.460100000000001</v>
        <stp/>
        <stp>##V3_BDHV12</stp>
        <stp>RCOM IN Equity</stp>
        <stp>ACCT_RCV_TURN</stp>
        <stp>FY 2015</stp>
        <stp>FY 2015</stp>
        <stp>[FA1_ymffleas.xlsx]Working Capital!R6C9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6" s="25"/>
      </tp>
      <tp>
        <v>-2150</v>
        <stp/>
        <stp>##V3_BDHV12</stp>
        <stp>RCOM IN Equity</stp>
        <stp>IS_ABNORMAL_ITEM</stp>
        <stp>FY 2016</stp>
        <stp>FY 2016</stp>
        <stp>[FA1_ymffleas.xlsx]Income - Adjusted!R55C9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5" s="9"/>
      </tp>
      <tp>
        <v>-320</v>
        <stp/>
        <stp>##V3_BDHV12</stp>
        <stp>RCOM IN Equity</stp>
        <stp>IS_ABNORMAL_ITEM</stp>
        <stp>FY 2015</stp>
        <stp>FY 2015</stp>
        <stp>[FA1_ymffleas.xlsx]Income - Adjusted!R55C8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5" s="9"/>
      </tp>
      <tp>
        <v>3400</v>
        <stp/>
        <stp>##V3_BDHV12</stp>
        <stp>RCOM IN Equity</stp>
        <stp>IS_ABNORMAL_ITEM</stp>
        <stp>FY 2012</stp>
        <stp>FY 2012</stp>
        <stp>[FA1_ymffleas.xlsx]Income - Adjusted!R55C5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5" s="9"/>
      </tp>
      <tp>
        <v>-3879.2</v>
        <stp/>
        <stp>##V3_BDHV12</stp>
        <stp>RCOM IN Equity</stp>
        <stp>IS_ABNORMAL_ITEM</stp>
        <stp>FY 2011</stp>
        <stp>FY 2011</stp>
        <stp>[FA1_ymffleas.xlsx]Income - Adjusted!R55C4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5" s="9"/>
      </tp>
      <tp>
        <v>110</v>
        <stp/>
        <stp>##V3_BDHV12</stp>
        <stp>RCOM IN Equity</stp>
        <stp>IS_ABNORMAL_ITEM</stp>
        <stp>FY 2014</stp>
        <stp>FY 2014</stp>
        <stp>[FA1_ymffleas.xlsx]Income - Adjusted!R55C7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5" s="9"/>
      </tp>
      <tp>
        <v>-50</v>
        <stp/>
        <stp>##V3_BDHV12</stp>
        <stp>RCOM IN Equity</stp>
        <stp>IS_ABNORMAL_ITEM</stp>
        <stp>FY 2013</stp>
        <stp>FY 2013</stp>
        <stp>[FA1_ymffleas.xlsx]Income - Adjusted!R55C6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5" s="9"/>
      </tp>
      <tp>
        <v>969.7</v>
        <stp/>
        <stp>##V3_BDHV12</stp>
        <stp>RCOM IN Equity</stp>
        <stp>IS_ABNORMAL_ITEM</stp>
        <stp>FY 2010</stp>
        <stp>FY 2010</stp>
        <stp>[FA1_ymffleas.xlsx]Income - Adjusted!R55C3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5" s="9"/>
      </tp>
      <tp>
        <v>21.760200000000001</v>
        <stp/>
        <stp>##V3_BDHV12</stp>
        <stp>RCOM IN Equity</stp>
        <stp>AVERAGE_PRICE_EARNINGS_RATIO</stp>
        <stp>FY 2016</stp>
        <stp>FY 2016</stp>
        <stp>[FA1_ymffleas.xlsx]Multiples!R7C9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" s="6"/>
      </tp>
      <tp>
        <v>209400</v>
        <stp/>
        <stp>##V3_BDHV12</stp>
        <stp>RCOM IN Equity</stp>
        <stp>IS_SALES_AND_SERVICES_REVENUES</stp>
        <stp>FY 2014</stp>
        <stp>FY 2014</stp>
        <stp>[FA1_ymffleas.xlsx]Income - Adjusted!R8C7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8" s="9"/>
      </tp>
      <tp>
        <v>21.170400000000001</v>
        <stp/>
        <stp>##V3_BDHV12</stp>
        <stp>RCOM IN Equity</stp>
        <stp>AVERAGE_PRICE_EARNINGS_RATIO</stp>
        <stp>FY 2015</stp>
        <stp>FY 2015</stp>
        <stp>[FA1_ymffleas.xlsx]Multiples!R7C8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" s="6"/>
      </tp>
      <tp>
        <v>192940</v>
        <stp/>
        <stp>##V3_BDHV12</stp>
        <stp>RCOM IN Equity</stp>
        <stp>IS_SALES_AND_SERVICES_REVENUES</stp>
        <stp>FY 2013</stp>
        <stp>FY 2013</stp>
        <stp>[FA1_ymffleas.xlsx]Income - Adjusted!R8C6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8" s="9"/>
      </tp>
      <tp>
        <v>187160</v>
        <stp/>
        <stp>##V3_BDHV12</stp>
        <stp>RCOM IN Equity</stp>
        <stp>IS_SALES_AND_SERVICES_REVENUES</stp>
        <stp>FY 2012</stp>
        <stp>FY 2012</stp>
        <stp>[FA1_ymffleas.xlsx]Income - Adjusted!R8C5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8" s="9"/>
      </tp>
      <tp>
        <v>220890</v>
        <stp/>
        <stp>##V3_BDHV12</stp>
        <stp>RCOM IN Equity</stp>
        <stp>IS_SALES_AND_SERVICES_REVENUES</stp>
        <stp>FY 2011</stp>
        <stp>FY 2011</stp>
        <stp>[FA1_ymffleas.xlsx]Income - Adjusted!R8C4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8" s="9"/>
      </tp>
      <tp>
        <v>206850.5</v>
        <stp/>
        <stp>##V3_BDHV12</stp>
        <stp>RCOM IN Equity</stp>
        <stp>IS_SALES_AND_SERVICES_REVENUES</stp>
        <stp>FY 2010</stp>
        <stp>FY 2010</stp>
        <stp>[FA1_ymffleas.xlsx]Income - Adjusted!R8C3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8" s="9"/>
      </tp>
      <tp>
        <v>7.8164999999999996</v>
        <stp/>
        <stp>##V3_BDHV12</stp>
        <stp>RCOM IN Equity</stp>
        <stp>AVERAGE_PRICE_EARNINGS_RATIO</stp>
        <stp>FY 2010</stp>
        <stp>FY 2010</stp>
        <stp>[FA1_ymffleas.xlsx]Multiples!R7C3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" s="6"/>
      </tp>
      <tp>
        <v>13.4343</v>
        <stp/>
        <stp>##V3_BDHV12</stp>
        <stp>RCOM IN Equity</stp>
        <stp>AVERAGE_PRICE_EARNINGS_RATIO</stp>
        <stp>FY 2012</stp>
        <stp>FY 2012</stp>
        <stp>[FA1_ymffleas.xlsx]Multiples!R7C5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" s="6"/>
      </tp>
      <tp>
        <v>6.8169000000000004</v>
        <stp/>
        <stp>##V3_BDHV12</stp>
        <stp>RCOM IN Equity</stp>
        <stp>AVERAGE_PRICE_EARNINGS_RATIO</stp>
        <stp>FY 2011</stp>
        <stp>FY 2011</stp>
        <stp>[FA1_ymffleas.xlsx]Multiples!R7C4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" s="6"/>
      </tp>
      <tp>
        <v>38.248699999999999</v>
        <stp/>
        <stp>##V3_BDHV12</stp>
        <stp>RCOM IN Equity</stp>
        <stp>AVERAGE_PRICE_EARNINGS_RATIO</stp>
        <stp>FY 2014</stp>
        <stp>FY 2014</stp>
        <stp>[FA1_ymffleas.xlsx]Multiples!R7C7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" s="6"/>
      </tp>
      <tp>
        <v>217430</v>
        <stp/>
        <stp>##V3_BDHV12</stp>
        <stp>RCOM IN Equity</stp>
        <stp>IS_SALES_AND_SERVICES_REVENUES</stp>
        <stp>FY 2016</stp>
        <stp>FY 2016</stp>
        <stp>[FA1_ymffleas.xlsx]Income - Adjusted!R8C9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8" s="9"/>
      </tp>
      <tp>
        <v>14.854900000000001</v>
        <stp/>
        <stp>##V3_BDHV12</stp>
        <stp>RCOM IN Equity</stp>
        <stp>AVERAGE_PRICE_EARNINGS_RATIO</stp>
        <stp>FY 2013</stp>
        <stp>FY 2013</stp>
        <stp>[FA1_ymffleas.xlsx]Multiples!R7C6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" s="6"/>
      </tp>
      <tp>
        <v>214230</v>
        <stp/>
        <stp>##V3_BDHV12</stp>
        <stp>RCOM IN Equity</stp>
        <stp>IS_SALES_AND_SERVICES_REVENUES</stp>
        <stp>FY 2015</stp>
        <stp>FY 2015</stp>
        <stp>[FA1_ymffleas.xlsx]Income - Adjusted!R8C8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8" s="9"/>
      </tp>
      <tp>
        <v>0.18970000000000001</v>
        <stp/>
        <stp>##V3_BDHV12</stp>
        <stp>RCOM IN Equity</stp>
        <stp>IS_BASIC_EPS_CONT_OPS</stp>
        <stp>FY 2018</stp>
        <stp>FY 2018</stp>
        <stp>[FA1_ymffleas.xlsx]Income - Adjusted!R112C11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12" s="9"/>
      </tp>
      <tp>
        <v>0.50649999999999995</v>
        <stp/>
        <stp>##V3_BDHV12</stp>
        <stp>RCOM IN Equity</stp>
        <stp>IS_BASIC_EPS_CONT_OPS</stp>
        <stp>FY 2017</stp>
        <stp>FY 2017</stp>
        <stp>[FA1_ymffleas.xlsx]Income - Adjusted!R112C10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12" s="9"/>
      </tp>
      <tp t="s">
        <v>—</v>
        <stp/>
        <stp>##V3_BDHV12</stp>
        <stp>RCOM IN Equity</stp>
        <stp>ARDR_LT_LOANS_AND_OTHER_DEBTOR</stp>
        <stp>FY 2018</stp>
        <stp>FY 2018</stp>
        <stp>[FA1_ymffleas.xlsx]Bal Sheet - As Reported!R134C12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4" s="17"/>
      </tp>
      <tp t="s">
        <v>—</v>
        <stp/>
        <stp>##V3_BDHV12</stp>
        <stp>RCOM IN Equity</stp>
        <stp>ARDR_LT_LOANS_AND_OTHER_DEBTOR</stp>
        <stp>FY 2017</stp>
        <stp>FY 2017</stp>
        <stp>[FA1_ymffleas.xlsx]Bal Sheet - As Reported!R134C11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4" s="17"/>
      </tp>
      <tp t="s">
        <v>—</v>
        <stp/>
        <stp>##V3_BDHV12</stp>
        <stp>RCOM IN Equity</stp>
        <stp>ARDR_LT_LOANS_AND_OTHER_DEBTOR</stp>
        <stp>FY 2016</stp>
        <stp>FY 2016</stp>
        <stp>[FA1_ymffleas.xlsx]Bal Sheet - As Reported!R134C10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4" s="17"/>
      </tp>
      <tp>
        <v>2488.9796999999999</v>
        <stp/>
        <stp>##V3_BDHV12</stp>
        <stp>RCOM IN Equity</stp>
        <stp>BS_SH_OUT</stp>
        <stp>FY 2017</stp>
        <stp>FY 2017</stp>
        <stp>[FA1_ymffleas.xlsx]Bal Sheet - Standardized!R158C11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58" s="16"/>
      </tp>
      <tp>
        <v>2430</v>
        <stp/>
        <stp>##V3_BDHV12</stp>
        <stp>RCOM IN Equity</stp>
        <stp>IS_OPER_INC</stp>
        <stp>FY 2018</stp>
        <stp>FY 2018</stp>
        <stp>[FA1_ymffleas.xlsx]Credit!R41C12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41" s="23"/>
      </tp>
      <tp>
        <v>2488.9796999999999</v>
        <stp/>
        <stp>##V3_BDHV12</stp>
        <stp>RCOM IN Equity</stp>
        <stp>BS_SH_OUT</stp>
        <stp>FY 2016</stp>
        <stp>FY 2016</stp>
        <stp>[FA1_ymffleas.xlsx]Bal Sheet - Standardized!R158C10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58" s="16"/>
      </tp>
      <tp>
        <v>27760</v>
        <stp/>
        <stp>##V3_BDHV12</stp>
        <stp>RCOM IN Equity</stp>
        <stp>IS_OPER_INC</stp>
        <stp>FY 2016</stp>
        <stp>FY 2016</stp>
        <stp>[FA1_ymffleas.xlsx]Credit!R41C10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41" s="23"/>
      </tp>
      <tp>
        <v>2765.5331000000001</v>
        <stp/>
        <stp>##V3_BDHV12</stp>
        <stp>RCOM IN Equity</stp>
        <stp>BS_SH_OUT</stp>
        <stp>FY 2018</stp>
        <stp>FY 2018</stp>
        <stp>[FA1_ymffleas.xlsx]Bal Sheet - Standardized!R158C12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58" s="16"/>
      </tp>
      <tp>
        <v>4400</v>
        <stp/>
        <stp>##V3_BDHV12</stp>
        <stp>RCOM IN Equity</stp>
        <stp>IS_OPER_INC</stp>
        <stp>FY 2017</stp>
        <stp>FY 2017</stp>
        <stp>[FA1_ymffleas.xlsx]Credit!R41C11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41" s="23"/>
      </tp>
      <tp>
        <v>590</v>
        <stp/>
        <stp>##V3_BDHV12</stp>
        <stp>RCOM IN Equity</stp>
        <stp>ARDR_COST_OF_STORES_AND_SPARES</stp>
        <stp>FY 2015</stp>
        <stp>FY 2015</stp>
        <stp>[FA1_ymffleas.xlsx]Income - As Reported!R124C9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4" s="11"/>
      </tp>
      <tp>
        <v>450</v>
        <stp/>
        <stp>##V3_BDHV12</stp>
        <stp>RCOM IN Equity</stp>
        <stp>ARDR_COST_OF_STORES_AND_SPARES</stp>
        <stp>FY 2014</stp>
        <stp>FY 2014</stp>
        <stp>[FA1_ymffleas.xlsx]Income - As Reported!R124C8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4" s="11"/>
      </tp>
      <tp>
        <v>1320</v>
        <stp/>
        <stp>##V3_BDHV12</stp>
        <stp>RCOM IN Equity</stp>
        <stp>ARDR_COST_OF_STORES_AND_SPARES</stp>
        <stp>FY 2011</stp>
        <stp>FY 2011</stp>
        <stp>[FA1_ymffleas.xlsx]Income - As Reported!R124C5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4" s="11"/>
      </tp>
      <tp>
        <v>1227.3</v>
        <stp/>
        <stp>##V3_BDHV12</stp>
        <stp>RCOM IN Equity</stp>
        <stp>ARDR_COST_OF_STORES_AND_SPARES</stp>
        <stp>FY 2010</stp>
        <stp>FY 2010</stp>
        <stp>[FA1_ymffleas.xlsx]Income - As Reported!R124C4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4" s="11"/>
      </tp>
      <tp>
        <v>1060</v>
        <stp/>
        <stp>##V3_BDHV12</stp>
        <stp>RCOM IN Equity</stp>
        <stp>ARDR_COST_OF_STORES_AND_SPARES</stp>
        <stp>FY 2013</stp>
        <stp>FY 2013</stp>
        <stp>[FA1_ymffleas.xlsx]Income - As Reported!R124C7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4" s="11"/>
      </tp>
      <tp>
        <v>930</v>
        <stp/>
        <stp>##V3_BDHV12</stp>
        <stp>RCOM IN Equity</stp>
        <stp>ARDR_COST_OF_STORES_AND_SPARES</stp>
        <stp>FY 2012</stp>
        <stp>FY 2012</stp>
        <stp>[FA1_ymffleas.xlsx]Income - As Reported!R124C6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4" s="11"/>
      </tp>
      <tp>
        <v>1038.7</v>
        <stp/>
        <stp>##V3_BDHV12</stp>
        <stp>RCOM IN Equity</stp>
        <stp>ARDR_COST_OF_STORES_AND_SPARES</stp>
        <stp>FY 2009</stp>
        <stp>FY 2009</stp>
        <stp>[FA1_ymffleas.xlsx]Income - As Reported!R124C3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4" s="11"/>
      </tp>
      <tp>
        <v>3380</v>
        <stp/>
        <stp>##V3_BDHV12</stp>
        <stp>RCOM IN Equity</stp>
        <stp>ARDR_BUILDING</stp>
        <stp>FY 2018</stp>
        <stp>FY 2018</stp>
        <stp>[FA1_ymffleas.xlsx]Bal Sheet - As Reported!R68C12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8" s="17"/>
      </tp>
      <tp>
        <v>13160</v>
        <stp/>
        <stp>##V3_BDHV12</stp>
        <stp>RCOM IN Equity</stp>
        <stp>ARDR_BUILDING</stp>
        <stp>FY 2017</stp>
        <stp>FY 2017</stp>
        <stp>[FA1_ymffleas.xlsx]Bal Sheet - As Reported!R68C11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8" s="17"/>
      </tp>
      <tp>
        <v>14470</v>
        <stp/>
        <stp>##V3_BDHV12</stp>
        <stp>RCOM IN Equity</stp>
        <stp>ARDR_BUILDING</stp>
        <stp>FY 2016</stp>
        <stp>FY 2016</stp>
        <stp>[FA1_ymffleas.xlsx]Bal Sheet - As Reported!R68C10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8" s="17"/>
      </tp>
      <tp>
        <v>2.9622999999999999</v>
        <stp/>
        <stp>##V3_BDHV12</stp>
        <stp>RCOM IN Equity</stp>
        <stp>HIGH_EV_TO_T12M_SALES</stp>
        <stp>FY 2012</stp>
        <stp>FY 2012</stp>
        <stp>[FA1_ymffleas.xlsx]Multiples!R38C5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38" s="6"/>
      </tp>
      <tp>
        <v>24.697500000000002</v>
        <stp/>
        <stp>##V3_BDHV12</stp>
        <stp>RCOM IN Equity</stp>
        <stp>OPER_MARGIN</stp>
        <stp>FY 2009</stp>
        <stp>FY 2009</stp>
        <stp>[FA1_ymffleas.xlsx]Profitability!R14C3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4" s="21"/>
      </tp>
      <tp>
        <v>6720</v>
        <stp/>
        <stp>##V3_BDHV12</stp>
        <stp>RCOM IN Equity</stp>
        <stp>ARD_NET_INC</stp>
        <stp>FY 2013</stp>
        <stp>FY 2013</stp>
        <stp>[FA1_ymffleas.xlsx]As Reported Summary!R12C7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" s="30"/>
      </tp>
      <tp>
        <v>9280</v>
        <stp/>
        <stp>##V3_BDHV12</stp>
        <stp>RCOM IN Equity</stp>
        <stp>ARD_NET_INC</stp>
        <stp>FY 2012</stp>
        <stp>FY 2012</stp>
        <stp>[FA1_ymffleas.xlsx]As Reported Summary!R12C6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" s="30"/>
      </tp>
      <tp>
        <v>13450</v>
        <stp/>
        <stp>##V3_BDHV12</stp>
        <stp>RCOM IN Equity</stp>
        <stp>ARD_NET_INC</stp>
        <stp>FY 2011</stp>
        <stp>FY 2011</stp>
        <stp>[FA1_ymffleas.xlsx]As Reported Summary!R12C5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" s="30"/>
      </tp>
      <tp>
        <v>46550</v>
        <stp/>
        <stp>##V3_BDHV12</stp>
        <stp>RCOM IN Equity</stp>
        <stp>ARD_NET_INC</stp>
        <stp>FY 2010</stp>
        <stp>FY 2010</stp>
        <stp>[FA1_ymffleas.xlsx]As Reported Summary!R12C4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" s="30"/>
      </tp>
      <tp>
        <v>60449.3</v>
        <stp/>
        <stp>##V3_BDHV12</stp>
        <stp>RCOM IN Equity</stp>
        <stp>ARD_NET_INC</stp>
        <stp>FY 2009</stp>
        <stp>FY 2009</stp>
        <stp>[FA1_ymffleas.xlsx]As Reported Summary!R12C3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" s="30"/>
      </tp>
      <tp>
        <v>7140</v>
        <stp/>
        <stp>##V3_BDHV12</stp>
        <stp>RCOM IN Equity</stp>
        <stp>ARD_NET_INC</stp>
        <stp>FY 2015</stp>
        <stp>FY 2015</stp>
        <stp>[FA1_ymffleas.xlsx]As Reported Summary!R12C9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" s="30"/>
      </tp>
      <tp>
        <v>10470</v>
        <stp/>
        <stp>##V3_BDHV12</stp>
        <stp>RCOM IN Equity</stp>
        <stp>ARD_NET_INC</stp>
        <stp>FY 2014</stp>
        <stp>FY 2014</stp>
        <stp>[FA1_ymffleas.xlsx]As Reported Summary!R12C8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" s="30"/>
      </tp>
      <tp t="s">
        <v>—</v>
        <stp/>
        <stp>##V3_BDHV12</stp>
        <stp>RCOM IN Equity</stp>
        <stp>BS_DEFERRED_COMP_LT_LIABS</stp>
        <stp>FY 2009</stp>
        <stp>FY 2009</stp>
        <stp>[FA1_ymffleas.xlsx]Bal Sheet - Standardized!R119C3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9" s="16"/>
      </tp>
      <tp t="s">
        <v>—</v>
        <stp/>
        <stp>##V3_BDHV12</stp>
        <stp>RCOM IN Equity</stp>
        <stp>BS_DEFERRED_COMP_LT_LIABS</stp>
        <stp>FY 2011</stp>
        <stp>FY 2011</stp>
        <stp>[FA1_ymffleas.xlsx]Bal Sheet - Standardized!R119C5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9" s="16"/>
      </tp>
      <tp t="s">
        <v>—</v>
        <stp/>
        <stp>##V3_BDHV12</stp>
        <stp>RCOM IN Equity</stp>
        <stp>BS_DEFERRED_COMP_LT_LIABS</stp>
        <stp>FY 2010</stp>
        <stp>FY 2010</stp>
        <stp>[FA1_ymffleas.xlsx]Bal Sheet - Standardized!R119C4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9" s="16"/>
      </tp>
      <tp t="s">
        <v>—</v>
        <stp/>
        <stp>##V3_BDHV12</stp>
        <stp>RCOM IN Equity</stp>
        <stp>BS_DEFERRED_COMP_LT_LIABS</stp>
        <stp>FY 2013</stp>
        <stp>FY 2013</stp>
        <stp>[FA1_ymffleas.xlsx]Bal Sheet - Standardized!R119C7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9" s="16"/>
      </tp>
      <tp t="s">
        <v>—</v>
        <stp/>
        <stp>##V3_BDHV12</stp>
        <stp>RCOM IN Equity</stp>
        <stp>BS_DEFERRED_COMP_LT_LIABS</stp>
        <stp>FY 2012</stp>
        <stp>FY 2012</stp>
        <stp>[FA1_ymffleas.xlsx]Bal Sheet - Standardized!R119C6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9" s="16"/>
      </tp>
      <tp>
        <v>550</v>
        <stp/>
        <stp>##V3_BDHV12</stp>
        <stp>RCOM IN Equity</stp>
        <stp>BS_DEFERRED_COMP_LT_LIABS</stp>
        <stp>FY 2015</stp>
        <stp>FY 2015</stp>
        <stp>[FA1_ymffleas.xlsx]Bal Sheet - Standardized!R119C9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9" s="16"/>
      </tp>
      <tp t="s">
        <v>—</v>
        <stp/>
        <stp>##V3_BDHV12</stp>
        <stp>RCOM IN Equity</stp>
        <stp>BS_DEFERRED_COMP_LT_LIABS</stp>
        <stp>FY 2014</stp>
        <stp>FY 2014</stp>
        <stp>[FA1_ymffleas.xlsx]Bal Sheet - Standardized!R119C8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9" s="16"/>
      </tp>
      <tp>
        <v>1560</v>
        <stp/>
        <stp>##V3_BDHV12</stp>
        <stp>RCOM IN Equity</stp>
        <stp>INVTRY_FINISHED_GOODS</stp>
        <stp>FY 2015</stp>
        <stp>FY 2015</stp>
        <stp>[FA1_ymffleas.xlsx]Bal Sheet - Standardized!R27C9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7" s="16"/>
      </tp>
      <tp t="s">
        <v>—</v>
        <stp/>
        <stp>##V3_BDHV12</stp>
        <stp>RCOM IN Equity</stp>
        <stp>INVTRY_FINISHED_GOODS</stp>
        <stp>FY 2014</stp>
        <stp>FY 2014</stp>
        <stp>[FA1_ymffleas.xlsx]Bal Sheet - Standardized!R27C8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7" s="16"/>
      </tp>
      <tp t="s">
        <v>—</v>
        <stp/>
        <stp>##V3_BDHV12</stp>
        <stp>RCOM IN Equity</stp>
        <stp>INVTRY_FINISHED_GOODS</stp>
        <stp>FY 2011</stp>
        <stp>FY 2011</stp>
        <stp>[FA1_ymffleas.xlsx]Bal Sheet - Standardized!R27C5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7" s="16"/>
      </tp>
      <tp t="s">
        <v>—</v>
        <stp/>
        <stp>##V3_BDHV12</stp>
        <stp>RCOM IN Equity</stp>
        <stp>INVTRY_FINISHED_GOODS</stp>
        <stp>FY 2010</stp>
        <stp>FY 2010</stp>
        <stp>[FA1_ymffleas.xlsx]Bal Sheet - Standardized!R27C4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7" s="16"/>
      </tp>
      <tp t="s">
        <v>—</v>
        <stp/>
        <stp>##V3_BDHV12</stp>
        <stp>RCOM IN Equity</stp>
        <stp>INVTRY_FINISHED_GOODS</stp>
        <stp>FY 2013</stp>
        <stp>FY 2013</stp>
        <stp>[FA1_ymffleas.xlsx]Bal Sheet - Standardized!R27C7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7" s="16"/>
      </tp>
      <tp t="s">
        <v>—</v>
        <stp/>
        <stp>##V3_BDHV12</stp>
        <stp>RCOM IN Equity</stp>
        <stp>INVTRY_FINISHED_GOODS</stp>
        <stp>FY 2012</stp>
        <stp>FY 2012</stp>
        <stp>[FA1_ymffleas.xlsx]Bal Sheet - Standardized!R27C6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7" s="16"/>
      </tp>
      <tp t="s">
        <v>—</v>
        <stp/>
        <stp>##V3_BDHV12</stp>
        <stp>RCOM IN Equity</stp>
        <stp>INVTRY_FINISHED_GOODS</stp>
        <stp>FY 2009</stp>
        <stp>FY 2009</stp>
        <stp>[FA1_ymffleas.xlsx]Bal Sheet - Standardized!R27C3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7" s="16"/>
      </tp>
      <tp t="s">
        <v>—</v>
        <stp/>
        <stp>##V3_BDHV12</stp>
        <stp>RCOM IN Equity</stp>
        <stp>ARDR_OPRB_EXPENSE_INCOME</stp>
        <stp>FY 2015</stp>
        <stp>FY 2015</stp>
        <stp>[FA1_ymffleas.xlsx]Bal Sheet - As Reported!R208C9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8" s="17"/>
      </tp>
      <tp t="s">
        <v>—</v>
        <stp/>
        <stp>##V3_BDHV12</stp>
        <stp>RCOM IN Equity</stp>
        <stp>ARDR_OPRB_EXPENSE_INCOME</stp>
        <stp>FY 2014</stp>
        <stp>FY 2014</stp>
        <stp>[FA1_ymffleas.xlsx]Bal Sheet - As Reported!R208C8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8" s="17"/>
      </tp>
      <tp t="s">
        <v>—</v>
        <stp/>
        <stp>##V3_BDHV12</stp>
        <stp>RCOM IN Equity</stp>
        <stp>ARDR_OPRB_EXPENSE_INCOME</stp>
        <stp>FY 2009</stp>
        <stp>FY 2009</stp>
        <stp>[FA1_ymffleas.xlsx]Bal Sheet - As Reported!R208C3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8" s="17"/>
      </tp>
      <tp t="s">
        <v>—</v>
        <stp/>
        <stp>##V3_BDHV12</stp>
        <stp>RCOM IN Equity</stp>
        <stp>ARDR_OPRB_EXPENSE_INCOME</stp>
        <stp>FY 2013</stp>
        <stp>FY 2013</stp>
        <stp>[FA1_ymffleas.xlsx]Bal Sheet - As Reported!R208C7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8" s="17"/>
      </tp>
      <tp t="s">
        <v>—</v>
        <stp/>
        <stp>##V3_BDHV12</stp>
        <stp>RCOM IN Equity</stp>
        <stp>ARDR_OPRB_EXPENSE_INCOME</stp>
        <stp>FY 2012</stp>
        <stp>FY 2012</stp>
        <stp>[FA1_ymffleas.xlsx]Bal Sheet - As Reported!R208C6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8" s="17"/>
      </tp>
      <tp t="s">
        <v>—</v>
        <stp/>
        <stp>##V3_BDHV12</stp>
        <stp>RCOM IN Equity</stp>
        <stp>ARDR_OPRB_EXPENSE_INCOME</stp>
        <stp>FY 2011</stp>
        <stp>FY 2011</stp>
        <stp>[FA1_ymffleas.xlsx]Bal Sheet - As Reported!R208C5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8" s="17"/>
      </tp>
      <tp t="s">
        <v>—</v>
        <stp/>
        <stp>##V3_BDHV12</stp>
        <stp>RCOM IN Equity</stp>
        <stp>ARDR_OPRB_EXPENSE_INCOME</stp>
        <stp>FY 2010</stp>
        <stp>FY 2010</stp>
        <stp>[FA1_ymffleas.xlsx]Bal Sheet - As Reported!R208C4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8" s="17"/>
      </tp>
      <tp>
        <v>118570</v>
        <stp/>
        <stp>##V3_BDHV12</stp>
        <stp>RCOM IN Equity</stp>
        <stp>OTHER_OPERATING_EXPENSES_RATIO</stp>
        <stp>FY 2015</stp>
        <stp>FY 2015</stp>
        <stp>[FA1_ymffleas.xlsx]Income - GAAP!R33C8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3" s="10"/>
      </tp>
      <tp>
        <v>38.316600000000001</v>
        <stp/>
        <stp>##V3_BDHV12</stp>
        <stp>RCOM IN Equity</stp>
        <stp>TOT_DEBT_TO_TOT_ASSET</stp>
        <stp>FY 2009</stp>
        <stp>FY 2009</stp>
        <stp>[FA1_ymffleas.xlsx]Credit!R34C3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4" s="23"/>
      </tp>
      <tp>
        <v>124610</v>
        <stp/>
        <stp>##V3_BDHV12</stp>
        <stp>RCOM IN Equity</stp>
        <stp>OTHER_OPERATING_EXPENSES_RATIO</stp>
        <stp>FY 2016</stp>
        <stp>FY 2016</stp>
        <stp>[FA1_ymffleas.xlsx]Income - GAAP!R33C9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3" s="10"/>
      </tp>
      <tp>
        <v>41.247599999999998</v>
        <stp/>
        <stp>##V3_BDHV12</stp>
        <stp>RCOM IN Equity</stp>
        <stp>TOT_DEBT_TO_TOT_ASSET</stp>
        <stp>FY 2011</stp>
        <stp>FY 2011</stp>
        <stp>[FA1_ymffleas.xlsx]Credit!R34C5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4" s="23"/>
      </tp>
      <tp>
        <v>0</v>
        <stp/>
        <stp>##V3_BDHV12</stp>
        <stp>RCOM IN Equity</stp>
        <stp>CF_NET_CASH_DISCONTINUED_OPS_INV</stp>
        <stp>FY 2015</stp>
        <stp>FY 2015</stp>
        <stp>[FA1_ymffleas.xlsx]Cash Flow - Standardized!R34C8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4" s="19"/>
      </tp>
      <tp>
        <v>0</v>
        <stp/>
        <stp>##V3_BDHV12</stp>
        <stp>RCOM IN Equity</stp>
        <stp>CF_NET_CASH_DISCONTINUED_OPS_INV</stp>
        <stp>FY 2016</stp>
        <stp>FY 2016</stp>
        <stp>[FA1_ymffleas.xlsx]Cash Flow - Standardized!R34C9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4" s="19"/>
      </tp>
      <tp>
        <v>0</v>
        <stp/>
        <stp>##V3_BDHV12</stp>
        <stp>RCOM IN Equity</stp>
        <stp>CF_NET_CASH_DISCONTINUED_OPS_INV</stp>
        <stp>FY 2013</stp>
        <stp>FY 2013</stp>
        <stp>[FA1_ymffleas.xlsx]Cash Flow - Standardized!R34C6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4" s="19"/>
      </tp>
      <tp>
        <v>0</v>
        <stp/>
        <stp>##V3_BDHV12</stp>
        <stp>RCOM IN Equity</stp>
        <stp>CF_NET_CASH_DISCONTINUED_OPS_INV</stp>
        <stp>FY 2014</stp>
        <stp>FY 2014</stp>
        <stp>[FA1_ymffleas.xlsx]Cash Flow - Standardized!R34C7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4" s="19"/>
      </tp>
      <tp>
        <v>0</v>
        <stp/>
        <stp>##V3_BDHV12</stp>
        <stp>RCOM IN Equity</stp>
        <stp>CF_NET_CASH_DISCONTINUED_OPS_INV</stp>
        <stp>FY 2011</stp>
        <stp>FY 2011</stp>
        <stp>[FA1_ymffleas.xlsx]Cash Flow - Standardized!R34C4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4" s="19"/>
      </tp>
      <tp>
        <v>0</v>
        <stp/>
        <stp>##V3_BDHV12</stp>
        <stp>RCOM IN Equity</stp>
        <stp>CF_NET_CASH_DISCONTINUED_OPS_INV</stp>
        <stp>FY 2012</stp>
        <stp>FY 2012</stp>
        <stp>[FA1_ymffleas.xlsx]Cash Flow - Standardized!R34C5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4" s="19"/>
      </tp>
      <tp>
        <v>0</v>
        <stp/>
        <stp>##V3_BDHV12</stp>
        <stp>RCOM IN Equity</stp>
        <stp>CF_NET_CASH_DISCONTINUED_OPS_INV</stp>
        <stp>FY 2010</stp>
        <stp>FY 2010</stp>
        <stp>[FA1_ymffleas.xlsx]Cash Flow - Standardized!R34C3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4" s="19"/>
      </tp>
      <tp>
        <v>32.100999999999999</v>
        <stp/>
        <stp>##V3_BDHV12</stp>
        <stp>RCOM IN Equity</stp>
        <stp>TOT_DEBT_TO_TOT_ASSET</stp>
        <stp>FY 2010</stp>
        <stp>FY 2010</stp>
        <stp>[FA1_ymffleas.xlsx]Credit!R34C4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4" s="23"/>
      </tp>
      <tp>
        <v>46.0702</v>
        <stp/>
        <stp>##V3_BDHV12</stp>
        <stp>RCOM IN Equity</stp>
        <stp>TOT_DEBT_TO_TOT_ASSET</stp>
        <stp>FY 2013</stp>
        <stp>FY 2013</stp>
        <stp>[FA1_ymffleas.xlsx]Credit!R34C7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4" s="23"/>
      </tp>
      <tp>
        <v>41.514099999999999</v>
        <stp/>
        <stp>##V3_BDHV12</stp>
        <stp>RCOM IN Equity</stp>
        <stp>TOT_DEBT_TO_TOT_ASSET</stp>
        <stp>FY 2012</stp>
        <stp>FY 2012</stp>
        <stp>[FA1_ymffleas.xlsx]Credit!R34C6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4" s="23"/>
      </tp>
      <tp>
        <v>42.9619</v>
        <stp/>
        <stp>##V3_BDHV12</stp>
        <stp>RCOM IN Equity</stp>
        <stp>TOT_DEBT_TO_TOT_ASSET</stp>
        <stp>FY 2015</stp>
        <stp>FY 2015</stp>
        <stp>[FA1_ymffleas.xlsx]Credit!R34C9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4" s="23"/>
      </tp>
      <tp>
        <v>112794.5</v>
        <stp/>
        <stp>##V3_BDHV12</stp>
        <stp>RCOM IN Equity</stp>
        <stp>OTHER_OPERATING_EXPENSES_RATIO</stp>
        <stp>FY 2010</stp>
        <stp>FY 2010</stp>
        <stp>[FA1_ymffleas.xlsx]Income - GAAP!R33C3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3" s="10"/>
      </tp>
      <tp>
        <v>46.582000000000001</v>
        <stp/>
        <stp>##V3_BDHV12</stp>
        <stp>RCOM IN Equity</stp>
        <stp>TOT_DEBT_TO_TOT_ASSET</stp>
        <stp>FY 2014</stp>
        <stp>FY 2014</stp>
        <stp>[FA1_ymffleas.xlsx]Credit!R34C8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4" s="23"/>
      </tp>
      <tp>
        <v>115580</v>
        <stp/>
        <stp>##V3_BDHV12</stp>
        <stp>RCOM IN Equity</stp>
        <stp>OTHER_OPERATING_EXPENSES_RATIO</stp>
        <stp>FY 2013</stp>
        <stp>FY 2013</stp>
        <stp>[FA1_ymffleas.xlsx]Income - GAAP!R33C6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3" s="10"/>
      </tp>
      <tp>
        <v>115120</v>
        <stp/>
        <stp>##V3_BDHV12</stp>
        <stp>RCOM IN Equity</stp>
        <stp>OTHER_OPERATING_EXPENSES_RATIO</stp>
        <stp>FY 2014</stp>
        <stp>FY 2014</stp>
        <stp>[FA1_ymffleas.xlsx]Income - GAAP!R33C7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3" s="10"/>
      </tp>
      <tp>
        <v>107800</v>
        <stp/>
        <stp>##V3_BDHV12</stp>
        <stp>RCOM IN Equity</stp>
        <stp>OTHER_OPERATING_EXPENSES_RATIO</stp>
        <stp>FY 2011</stp>
        <stp>FY 2011</stp>
        <stp>[FA1_ymffleas.xlsx]Income - GAAP!R33C4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3" s="10"/>
      </tp>
      <tp>
        <v>112950</v>
        <stp/>
        <stp>##V3_BDHV12</stp>
        <stp>RCOM IN Equity</stp>
        <stp>OTHER_OPERATING_EXPENSES_RATIO</stp>
        <stp>FY 2012</stp>
        <stp>FY 2012</stp>
        <stp>[FA1_ymffleas.xlsx]Income - GAAP!R33C5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3" s="10"/>
      </tp>
      <tp>
        <v>0</v>
        <stp/>
        <stp>##V3_BDHV12</stp>
        <stp>RCOM IN Equity</stp>
        <stp>CF_DISPOSAL_OF_INTANGIBLE_ASSETS</stp>
        <stp>FY 2015</stp>
        <stp>FY 2015</stp>
        <stp>[FA1_ymffleas.xlsx]Cash Flow - Standardized!R22C8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2" s="19"/>
      </tp>
      <tp>
        <v>0</v>
        <stp/>
        <stp>##V3_BDHV12</stp>
        <stp>RCOM IN Equity</stp>
        <stp>CF_DISPOSAL_OF_INTANGIBLE_ASSETS</stp>
        <stp>FY 2016</stp>
        <stp>FY 2016</stp>
        <stp>[FA1_ymffleas.xlsx]Cash Flow - Standardized!R22C9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2" s="19"/>
      </tp>
      <tp>
        <v>0</v>
        <stp/>
        <stp>##V3_BDHV12</stp>
        <stp>RCOM IN Equity</stp>
        <stp>CF_DISPOSAL_OF_INTANGIBLE_ASSETS</stp>
        <stp>FY 2013</stp>
        <stp>FY 2013</stp>
        <stp>[FA1_ymffleas.xlsx]Cash Flow - Standardized!R22C6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2" s="19"/>
      </tp>
      <tp>
        <v>0</v>
        <stp/>
        <stp>##V3_BDHV12</stp>
        <stp>RCOM IN Equity</stp>
        <stp>CF_DISPOSAL_OF_INTANGIBLE_ASSETS</stp>
        <stp>FY 2014</stp>
        <stp>FY 2014</stp>
        <stp>[FA1_ymffleas.xlsx]Cash Flow - Standardized!R22C7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2" s="19"/>
      </tp>
      <tp>
        <v>0</v>
        <stp/>
        <stp>##V3_BDHV12</stp>
        <stp>RCOM IN Equity</stp>
        <stp>CF_DISPOSAL_OF_INTANGIBLE_ASSETS</stp>
        <stp>FY 2011</stp>
        <stp>FY 2011</stp>
        <stp>[FA1_ymffleas.xlsx]Cash Flow - Standardized!R22C4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2" s="19"/>
      </tp>
      <tp>
        <v>0</v>
        <stp/>
        <stp>##V3_BDHV12</stp>
        <stp>RCOM IN Equity</stp>
        <stp>CF_DISPOSAL_OF_INTANGIBLE_ASSETS</stp>
        <stp>FY 2012</stp>
        <stp>FY 2012</stp>
        <stp>[FA1_ymffleas.xlsx]Cash Flow - Standardized!R22C5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2" s="19"/>
      </tp>
      <tp>
        <v>0</v>
        <stp/>
        <stp>##V3_BDHV12</stp>
        <stp>RCOM IN Equity</stp>
        <stp>CF_DISPOSAL_OF_INTANGIBLE_ASSETS</stp>
        <stp>FY 2010</stp>
        <stp>FY 2010</stp>
        <stp>[FA1_ymffleas.xlsx]Cash Flow - Standardized!R22C3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2" s="19"/>
      </tp>
      <tp>
        <v>133770</v>
        <stp/>
        <stp>##V3_BDHV12</stp>
        <stp>RCOM IN Equity</stp>
        <stp>BS_CUR_ASSET_REPORT</stp>
        <stp>FY 2014</stp>
        <stp>FY 2014</stp>
        <stp>[FA1_ymffleas.xlsx]Bal Sheet - Standardized!R41C8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1" s="16"/>
      </tp>
      <tp>
        <v>187900</v>
        <stp/>
        <stp>##V3_BDHV12</stp>
        <stp>RCOM IN Equity</stp>
        <stp>BS_CUR_ASSET_REPORT</stp>
        <stp>FY 2015</stp>
        <stp>FY 2015</stp>
        <stp>[FA1_ymffleas.xlsx]Bal Sheet - Standardized!R41C9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1" s="16"/>
      </tp>
      <tp>
        <v>125450</v>
        <stp/>
        <stp>##V3_BDHV12</stp>
        <stp>RCOM IN Equity</stp>
        <stp>BS_CUR_ASSET_REPORT</stp>
        <stp>FY 2012</stp>
        <stp>FY 2012</stp>
        <stp>[FA1_ymffleas.xlsx]Bal Sheet - Standardized!R41C6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1" s="16"/>
      </tp>
      <tp>
        <v>122610</v>
        <stp/>
        <stp>##V3_BDHV12</stp>
        <stp>RCOM IN Equity</stp>
        <stp>BS_CUR_ASSET_REPORT</stp>
        <stp>FY 2013</stp>
        <stp>FY 2013</stp>
        <stp>[FA1_ymffleas.xlsx]Bal Sheet - Standardized!R41C7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1" s="16"/>
      </tp>
      <tp>
        <v>161972.29999999999</v>
        <stp/>
        <stp>##V3_BDHV12</stp>
        <stp>RCOM IN Equity</stp>
        <stp>BS_CUR_ASSET_REPORT</stp>
        <stp>FY 2010</stp>
        <stp>FY 2010</stp>
        <stp>[FA1_ymffleas.xlsx]Bal Sheet - Standardized!R41C4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1" s="16"/>
      </tp>
      <tp>
        <v>164480</v>
        <stp/>
        <stp>##V3_BDHV12</stp>
        <stp>RCOM IN Equity</stp>
        <stp>BS_CUR_ASSET_REPORT</stp>
        <stp>FY 2011</stp>
        <stp>FY 2011</stp>
        <stp>[FA1_ymffleas.xlsx]Bal Sheet - Standardized!R41C5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1" s="16"/>
      </tp>
      <tp>
        <v>239987</v>
        <stp/>
        <stp>##V3_BDHV12</stp>
        <stp>RCOM IN Equity</stp>
        <stp>BS_CUR_ASSET_REPORT</stp>
        <stp>FY 2009</stp>
        <stp>FY 2009</stp>
        <stp>[FA1_ymffleas.xlsx]Bal Sheet - Standardized!R41C3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1" s="16"/>
      </tp>
      <tp>
        <v>1.4937</v>
        <stp/>
        <stp>##V3_BDHV12</stp>
        <stp>RCOM IN Equity</stp>
        <stp>REVENUE_SEQUENTIAL_GROWTH</stp>
        <stp>FY 2016</stp>
        <stp>FY 2016</stp>
        <stp>[FA1_ymffleas.xlsx]Growth!R60C10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60" s="22"/>
      </tp>
      <tp>
        <v>525452.04940000002</v>
        <stp/>
        <stp>##V3_BDHV12</stp>
        <stp>RCOM IN Equity</stp>
        <stp>LOW_ENTERPRISE_VALUE</stp>
        <stp>FY 2015</stp>
        <stp>FY 2015</stp>
        <stp>[FA1_ymffleas.xlsx]Multiples!R58C8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8" s="6"/>
      </tp>
      <tp>
        <v>501060.04800000001</v>
        <stp/>
        <stp>##V3_BDHV12</stp>
        <stp>RCOM IN Equity</stp>
        <stp>LOW_ENTERPRISE_VALUE</stp>
        <stp>FY 2016</stp>
        <stp>FY 2016</stp>
        <stp>[FA1_ymffleas.xlsx]Multiples!R58C9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8" s="6"/>
      </tp>
      <tp>
        <v>432143.6238</v>
        <stp/>
        <stp>##V3_BDHV12</stp>
        <stp>RCOM IN Equity</stp>
        <stp>LOW_ENTERPRISE_VALUE</stp>
        <stp>FY 2011</stp>
        <stp>FY 2011</stp>
        <stp>[FA1_ymffleas.xlsx]Multiples!R58C4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8" s="6"/>
      </tp>
      <tp>
        <v>473946.08289999998</v>
        <stp/>
        <stp>##V3_BDHV12</stp>
        <stp>RCOM IN Equity</stp>
        <stp>LOW_ENTERPRISE_VALUE</stp>
        <stp>FY 2012</stp>
        <stp>FY 2012</stp>
        <stp>[FA1_ymffleas.xlsx]Multiples!R58C5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8" s="6"/>
      </tp>
      <tp>
        <v>479806.89809999999</v>
        <stp/>
        <stp>##V3_BDHV12</stp>
        <stp>RCOM IN Equity</stp>
        <stp>LOW_ENTERPRISE_VALUE</stp>
        <stp>FY 2013</stp>
        <stp>FY 2013</stp>
        <stp>[FA1_ymffleas.xlsx]Multiples!R58C6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8" s="6"/>
      </tp>
      <tp>
        <v>527652.74600000004</v>
        <stp/>
        <stp>##V3_BDHV12</stp>
        <stp>RCOM IN Equity</stp>
        <stp>LOW_ENTERPRISE_VALUE</stp>
        <stp>FY 2014</stp>
        <stp>FY 2014</stp>
        <stp>[FA1_ymffleas.xlsx]Multiples!R58C7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8" s="6"/>
      </tp>
      <tp>
        <v>605934.70559999999</v>
        <stp/>
        <stp>##V3_BDHV12</stp>
        <stp>RCOM IN Equity</stp>
        <stp>LOW_ENTERPRISE_VALUE</stp>
        <stp>FY 2010</stp>
        <stp>FY 2010</stp>
        <stp>[FA1_ymffleas.xlsx]Multiples!R58C3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8" s="6"/>
      </tp>
      <tp>
        <v>65540</v>
        <stp/>
        <stp>##V3_BDHV12</stp>
        <stp>RCOM IN Equity</stp>
        <stp>SALES_REV_TURN</stp>
        <stp>FY 2017</stp>
        <stp>FY 2017</stp>
        <stp>[FA1_ymffleas.xlsx]Addl - Overview!R13C10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13" s="29"/>
      </tp>
      <tp>
        <v>45930</v>
        <stp/>
        <stp>##V3_BDHV12</stp>
        <stp>RCOM IN Equity</stp>
        <stp>SALES_REV_TURN</stp>
        <stp>FY 2018</stp>
        <stp>FY 2018</stp>
        <stp>[FA1_ymffleas.xlsx]Addl - Overview!R13C11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13" s="29"/>
      </tp>
      <tp t="s">
        <v>—</v>
        <stp/>
        <stp>##V3_BDHV12</stp>
        <stp>RCOM IN Equity</stp>
        <stp>EV_TO_T12M_CASH_FLOW_FIRM</stp>
        <stp>FY 2016</stp>
        <stp>FY 2016</stp>
        <stp>[FA1_ymffleas.xlsx]Enterprise Value!R20C9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0" s="5"/>
      </tp>
      <tp>
        <v>130</v>
        <stp/>
        <stp>##V3_BDHV12</stp>
        <stp>RCOM IN Equity</stp>
        <stp>ARD_INCOME_TAX_ACCRUED_PAYABLE</stp>
        <stp>FY 2018</stp>
        <stp>FY 2018</stp>
        <stp>[FA1_ymffleas.xlsx]Bal Sheet - As Reported!R55C12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5" s="17"/>
      </tp>
      <tp>
        <v>250</v>
        <stp/>
        <stp>##V3_BDHV12</stp>
        <stp>RCOM IN Equity</stp>
        <stp>ARD_INCOME_TAX_ACCRUED_PAYABLE</stp>
        <stp>FY 2016</stp>
        <stp>FY 2016</stp>
        <stp>[FA1_ymffleas.xlsx]Bal Sheet - As Reported!R55C10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5" s="17"/>
      </tp>
      <tp>
        <v>120</v>
        <stp/>
        <stp>##V3_BDHV12</stp>
        <stp>RCOM IN Equity</stp>
        <stp>ARD_INCOME_TAX_ACCRUED_PAYABLE</stp>
        <stp>FY 2017</stp>
        <stp>FY 2017</stp>
        <stp>[FA1_ymffleas.xlsx]Bal Sheet - As Reported!R55C11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5" s="17"/>
      </tp>
      <tp>
        <v>15.5054</v>
        <stp/>
        <stp>##V3_BDHV12</stp>
        <stp>RCOM IN Equity</stp>
        <stp>ACCT_RCV_TURN</stp>
        <stp>FY 2014</stp>
        <stp>FY 2014</stp>
        <stp>[FA1_ymffleas.xlsx]Working Capital!R6C8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6" s="25"/>
      </tp>
      <tp>
        <v>0</v>
        <stp/>
        <stp>##V3_BDHV12</stp>
        <stp>RCOM IN Equity</stp>
        <stp>IS_PDA_NONGAAP_ADJUSTMENTS</stp>
        <stp>FY 2018</stp>
        <stp>FY 2018</stp>
        <stp>[FA1_ymffleas.xlsx]Reconciliation!R14C11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" s="12"/>
      </tp>
      <tp>
        <v>0</v>
        <stp/>
        <stp>##V3_BDHV12</stp>
        <stp>RCOM IN Equity</stp>
        <stp>IS_PDA_NONGAAP_ADJUSTMENTS</stp>
        <stp>FY 2017</stp>
        <stp>FY 2017</stp>
        <stp>[FA1_ymffleas.xlsx]Reconciliation!R14C10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" s="12"/>
      </tp>
      <tp>
        <v>210</v>
        <stp/>
        <stp>##V3_BDHV12</stp>
        <stp>RCOM IN Equity</stp>
        <stp>ARDR_ACC_COMP_POSTRETIRE_OBLIG</stp>
        <stp>FY 2018</stp>
        <stp>FY 2018</stp>
        <stp>[FA1_ymffleas.xlsx]Bal Sheet - As Reported!R84C12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4" s="17"/>
      </tp>
      <tp>
        <v>270</v>
        <stp/>
        <stp>##V3_BDHV12</stp>
        <stp>RCOM IN Equity</stp>
        <stp>ARDR_ACC_COMP_POSTRETIRE_OBLIG</stp>
        <stp>FY 2016</stp>
        <stp>FY 2016</stp>
        <stp>[FA1_ymffleas.xlsx]Bal Sheet - As Reported!R84C10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4" s="17"/>
      </tp>
      <tp>
        <v>290</v>
        <stp/>
        <stp>##V3_BDHV12</stp>
        <stp>RCOM IN Equity</stp>
        <stp>ARDR_ACC_COMP_POSTRETIRE_OBLIG</stp>
        <stp>FY 2017</stp>
        <stp>FY 2017</stp>
        <stp>[FA1_ymffleas.xlsx]Bal Sheet - As Reported!R84C11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4" s="17"/>
      </tp>
      <tp>
        <v>-39200</v>
        <stp/>
        <stp>##V3_BDHV12</stp>
        <stp>RCOM IN Equity</stp>
        <stp>TRAIL_12M_CAP_EXPEND</stp>
        <stp>FY 2017</stp>
        <stp>FY 2017</stp>
        <stp>[FA1_ymffleas.xlsx]Yield Analysis!R30C11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0" s="26"/>
      </tp>
      <tp>
        <v>-153300</v>
        <stp/>
        <stp>##V3_BDHV12</stp>
        <stp>RCOM IN Equity</stp>
        <stp>TRAIL_12M_CAP_EXPEND</stp>
        <stp>FY 2016</stp>
        <stp>FY 2016</stp>
        <stp>[FA1_ymffleas.xlsx]Yield Analysis!R30C10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0" s="26"/>
      </tp>
      <tp>
        <v>-5910</v>
        <stp/>
        <stp>##V3_BDHV12</stp>
        <stp>RCOM IN Equity</stp>
        <stp>TRAIL_12M_CAP_EXPEND</stp>
        <stp>FY 2018</stp>
        <stp>FY 2018</stp>
        <stp>[FA1_ymffleas.xlsx]Yield Analysis!R30C12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0" s="26"/>
      </tp>
      <tp>
        <v>3.2429000000000001</v>
        <stp/>
        <stp>##V3_BDHV12</stp>
        <stp>RCOM IN Equity</stp>
        <stp>HIGH_PRICE_TO_TANGIBLE_BPS</stp>
        <stp>FY 2017</stp>
        <stp>FY 2017</stp>
        <stp>[FA1_ymffleas.xlsx]Multiples!R18C10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8" s="6"/>
      </tp>
      <tp>
        <v>1.5512999999999999</v>
        <stp/>
        <stp>##V3_BDHV12</stp>
        <stp>RCOM IN Equity</stp>
        <stp>HIGH_PRICE_TO_TANGIBLE_BPS</stp>
        <stp>FY 2018</stp>
        <stp>FY 2018</stp>
        <stp>[FA1_ymffleas.xlsx]Multiples!R18C11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8" s="6"/>
      </tp>
      <tp>
        <v>32510</v>
        <stp/>
        <stp>##V3_BDHV12</stp>
        <stp>RCOM IN Equity</stp>
        <stp>BS_ACCTS_REC_EXCL_NOTES_REC</stp>
        <stp>FY 2017</stp>
        <stp>FY 2017</stp>
        <stp>[FA1_ymffleas.xlsx]Bal Sheet - Standardized!R15C11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" s="16"/>
      </tp>
      <tp>
        <v>29810</v>
        <stp/>
        <stp>##V3_BDHV12</stp>
        <stp>RCOM IN Equity</stp>
        <stp>BS_ACCTS_REC_EXCL_NOTES_REC</stp>
        <stp>FY 2016</stp>
        <stp>FY 2016</stp>
        <stp>[FA1_ymffleas.xlsx]Bal Sheet - Standardized!R15C10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" s="16"/>
      </tp>
      <tp>
        <v>21330</v>
        <stp/>
        <stp>##V3_BDHV12</stp>
        <stp>RCOM IN Equity</stp>
        <stp>BS_ACCTS_REC_EXCL_NOTES_REC</stp>
        <stp>FY 2018</stp>
        <stp>FY 2018</stp>
        <stp>[FA1_ymffleas.xlsx]Bal Sheet - Standardized!R15C12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" s="16"/>
      </tp>
      <tp>
        <v>33890</v>
        <stp/>
        <stp>##V3_BDHV12</stp>
        <stp>RCOM IN Equity</stp>
        <stp>IS_OPER_INC</stp>
        <stp>FY 2015</stp>
        <stp>FY 2015</stp>
        <stp>[FA1_ymffleas.xlsx]Reconciliation!R7C8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7" s="12"/>
      </tp>
      <tp>
        <v>27760</v>
        <stp/>
        <stp>##V3_BDHV12</stp>
        <stp>RCOM IN Equity</stp>
        <stp>IS_OPER_INC</stp>
        <stp>FY 2016</stp>
        <stp>FY 2016</stp>
        <stp>[FA1_ymffleas.xlsx]Reconciliation!R7C9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7" s="12"/>
      </tp>
      <tp>
        <v>20960</v>
        <stp/>
        <stp>##V3_BDHV12</stp>
        <stp>RCOM IN Equity</stp>
        <stp>IS_OPER_INC</stp>
        <stp>FY 2013</stp>
        <stp>FY 2013</stp>
        <stp>[FA1_ymffleas.xlsx]Reconciliation!R7C6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7" s="12"/>
      </tp>
      <tp>
        <v>21710</v>
        <stp/>
        <stp>##V3_BDHV12</stp>
        <stp>RCOM IN Equity</stp>
        <stp>IS_OPER_INC</stp>
        <stp>FY 2014</stp>
        <stp>FY 2014</stp>
        <stp>[FA1_ymffleas.xlsx]Reconciliation!R7C7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7" s="12"/>
      </tp>
      <tp>
        <v>18720</v>
        <stp/>
        <stp>##V3_BDHV12</stp>
        <stp>RCOM IN Equity</stp>
        <stp>IS_OPER_INC</stp>
        <stp>FY 2011</stp>
        <stp>FY 2011</stp>
        <stp>[FA1_ymffleas.xlsx]Reconciliation!R7C4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7" s="12"/>
      </tp>
      <tp>
        <v>18170</v>
        <stp/>
        <stp>##V3_BDHV12</stp>
        <stp>RCOM IN Equity</stp>
        <stp>IS_OPER_INC</stp>
        <stp>FY 2012</stp>
        <stp>FY 2012</stp>
        <stp>[FA1_ymffleas.xlsx]Reconciliation!R7C5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7" s="12"/>
      </tp>
      <tp>
        <v>900</v>
        <stp/>
        <stp>##V3_BDHV12</stp>
        <stp>RCOM IN Equity</stp>
        <stp>IS_OTHER_NON_OPERATING_INC_LOSS</stp>
        <stp>FY 2017</stp>
        <stp>FY 2017</stp>
        <stp>[FA1_ymffleas.xlsx]Income - Adjusted!R51C10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51" s="9"/>
      </tp>
      <tp>
        <v>32425.3</v>
        <stp/>
        <stp>##V3_BDHV12</stp>
        <stp>RCOM IN Equity</stp>
        <stp>IS_OPER_INC</stp>
        <stp>FY 2010</stp>
        <stp>FY 2010</stp>
        <stp>[FA1_ymffleas.xlsx]Reconciliation!R7C3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7" s="12"/>
      </tp>
      <tp>
        <v>970</v>
        <stp/>
        <stp>##V3_BDHV12</stp>
        <stp>RCOM IN Equity</stp>
        <stp>IS_OTHER_NON_OPERATING_INC_LOSS</stp>
        <stp>FY 2018</stp>
        <stp>FY 2018</stp>
        <stp>[FA1_ymffleas.xlsx]Income - Adjusted!R51C11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51" s="9"/>
      </tp>
      <tp>
        <v>94990</v>
        <stp/>
        <stp>##V3_BDHV12</stp>
        <stp>RCOM IN Equity</stp>
        <stp>ARD_ST_BORROW</stp>
        <stp>FY 2017</stp>
        <stp>FY 2017</stp>
        <stp>[FA1_ymffleas.xlsx]Bal Sheet - As Reported!R52C11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2" s="17"/>
      </tp>
      <tp>
        <v>43740</v>
        <stp/>
        <stp>##V3_BDHV12</stp>
        <stp>RCOM IN Equity</stp>
        <stp>ARD_ST_BORROW</stp>
        <stp>FY 2016</stp>
        <stp>FY 2016</stp>
        <stp>[FA1_ymffleas.xlsx]Bal Sheet - As Reported!R52C10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2" s="17"/>
      </tp>
      <tp>
        <v>232420</v>
        <stp/>
        <stp>##V3_BDHV12</stp>
        <stp>RCOM IN Equity</stp>
        <stp>ARD_ST_BORROW</stp>
        <stp>FY 2018</stp>
        <stp>FY 2018</stp>
        <stp>[FA1_ymffleas.xlsx]Bal Sheet - As Reported!R52C12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2" s="17"/>
      </tp>
      <tp>
        <v>46610</v>
        <stp/>
        <stp>##V3_BDHV12</stp>
        <stp>RCOM IN Equity</stp>
        <stp>EBITDA</stp>
        <stp>FY 2017</stp>
        <stp>FY 2017</stp>
        <stp>[FA1_ymffleas.xlsx]Credit!R39C11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9" s="23"/>
      </tp>
      <tp>
        <v>72600</v>
        <stp/>
        <stp>##V3_BDHV12</stp>
        <stp>RCOM IN Equity</stp>
        <stp>EBITDA</stp>
        <stp>FY 2016</stp>
        <stp>FY 2016</stp>
        <stp>[FA1_ymffleas.xlsx]Credit!R39C10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9" s="23"/>
      </tp>
      <tp>
        <v>31100</v>
        <stp/>
        <stp>##V3_BDHV12</stp>
        <stp>RCOM IN Equity</stp>
        <stp>EBITDA</stp>
        <stp>FY 2018</stp>
        <stp>FY 2018</stp>
        <stp>[FA1_ymffleas.xlsx]Credit!R39C12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39" s="23"/>
      </tp>
      <tp>
        <v>24990</v>
        <stp/>
        <stp>##V3_BDHV12</stp>
        <stp>RCOM IN Equity</stp>
        <stp>CF_PROC_LT_DEBT_&amp;_CAPITAL_LEASE</stp>
        <stp>FY 2014</stp>
        <stp>FY 2014</stp>
        <stp>[FA1_ymffleas.xlsx]Cash Flow - Standardized!R41C7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1" s="19"/>
      </tp>
      <tp>
        <v>14760</v>
        <stp/>
        <stp>##V3_BDHV12</stp>
        <stp>RCOM IN Equity</stp>
        <stp>CF_PROC_LT_DEBT_&amp;_CAPITAL_LEASE</stp>
        <stp>FY 2013</stp>
        <stp>FY 2013</stp>
        <stp>[FA1_ymffleas.xlsx]Cash Flow - Standardized!R41C6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1" s="19"/>
      </tp>
      <tp>
        <v>107560</v>
        <stp/>
        <stp>##V3_BDHV12</stp>
        <stp>RCOM IN Equity</stp>
        <stp>CF_PROC_LT_DEBT_&amp;_CAPITAL_LEASE</stp>
        <stp>FY 2012</stp>
        <stp>FY 2012</stp>
        <stp>[FA1_ymffleas.xlsx]Cash Flow - Standardized!R41C5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1" s="19"/>
      </tp>
      <tp>
        <v>90900</v>
        <stp/>
        <stp>##V3_BDHV12</stp>
        <stp>RCOM IN Equity</stp>
        <stp>CF_PROC_LT_DEBT_&amp;_CAPITAL_LEASE</stp>
        <stp>FY 2011</stp>
        <stp>FY 2011</stp>
        <stp>[FA1_ymffleas.xlsx]Cash Flow - Standardized!R41C4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1" s="19"/>
      </tp>
      <tp>
        <v>26680.7</v>
        <stp/>
        <stp>##V3_BDHV12</stp>
        <stp>RCOM IN Equity</stp>
        <stp>CF_PROC_LT_DEBT_&amp;_CAPITAL_LEASE</stp>
        <stp>FY 2010</stp>
        <stp>FY 2010</stp>
        <stp>[FA1_ymffleas.xlsx]Cash Flow - Standardized!R41C3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1" s="19"/>
      </tp>
      <tp>
        <v>58510</v>
        <stp/>
        <stp>##V3_BDHV12</stp>
        <stp>RCOM IN Equity</stp>
        <stp>CF_PROC_LT_DEBT_&amp;_CAPITAL_LEASE</stp>
        <stp>FY 2016</stp>
        <stp>FY 2016</stp>
        <stp>[FA1_ymffleas.xlsx]Cash Flow - Standardized!R41C9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1" s="19"/>
      </tp>
      <tp>
        <v>64420</v>
        <stp/>
        <stp>##V3_BDHV12</stp>
        <stp>RCOM IN Equity</stp>
        <stp>CF_PROC_LT_DEBT_&amp;_CAPITAL_LEASE</stp>
        <stp>FY 2015</stp>
        <stp>FY 2015</stp>
        <stp>[FA1_ymffleas.xlsx]Cash Flow - Standardized!R41C8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1" s="19"/>
      </tp>
      <tp>
        <v>3.3731</v>
        <stp/>
        <stp>##V3_BDHV12</stp>
        <stp>RCOM IN Equity</stp>
        <stp>EBITDA_TO_CASH_INTEREST_PAID</stp>
        <stp>FY 2012</stp>
        <stp>FY 2012</stp>
        <stp>[FA1_ymffleas.xlsx]Credit!R20C6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0" s="23"/>
      </tp>
      <tp t="s">
        <v>—</v>
        <stp/>
        <stp>##V3_BDHV12</stp>
        <stp>RCOM IN Equity</stp>
        <stp>CF_TO_FIRM_SEQUENTIAL_GROWTH</stp>
        <stp>FY 2010</stp>
        <stp>FY 2010</stp>
        <stp>[FA1_ymffleas.xlsx]Growth!R86C4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86" s="22"/>
      </tp>
      <tp>
        <v>26.299900000000001</v>
        <stp/>
        <stp>##V3_BDHV12</stp>
        <stp>RCOM IN Equity</stp>
        <stp>TANG_BOOK_VAL_PER_SH</stp>
        <stp>FY 2017</stp>
        <stp>FY 2017</stp>
        <stp>[FA1_ymffleas.xlsx]Addl - Overview!R30C10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0" s="29"/>
      </tp>
      <tp>
        <v>-5.6227999999999998</v>
        <stp/>
        <stp>##V3_BDHV12</stp>
        <stp>RCOM IN Equity</stp>
        <stp>TANG_BOOK_VAL_PER_SH</stp>
        <stp>FY 2018</stp>
        <stp>FY 2018</stp>
        <stp>[FA1_ymffleas.xlsx]Addl - Overview!R30C11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0" s="29"/>
      </tp>
      <tp>
        <v>91.366699999999994</v>
        <stp/>
        <stp>##V3_BDHV12</stp>
        <stp>RCOM IN Equity</stp>
        <stp>LT_DEBT_TO_TOT_EQY</stp>
        <stp>FY 2016</stp>
        <stp>FY 2016</stp>
        <stp>[FA1_ymffleas.xlsx]Credit!R28C10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8" s="23"/>
      </tp>
      <tp t="s">
        <v>—</v>
        <stp/>
        <stp>##V3_BDHV12</stp>
        <stp>RCOM IN Equity</stp>
        <stp>5_YEAR_AVERAGE_ADJUSTED_ROE</stp>
        <stp>FY 2011</stp>
        <stp>FY 2011</stp>
        <stp>[FA1_ymffleas.xlsx]DuPont Analysis!R21C5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1" s="27"/>
      </tp>
      <tp>
        <v>77.841800000000006</v>
        <stp/>
        <stp>##V3_BDHV12</stp>
        <stp>RCOM IN Equity</stp>
        <stp>LT_DEBT_TO_TOT_EQY</stp>
        <stp>FY 2017</stp>
        <stp>FY 2017</stp>
        <stp>[FA1_ymffleas.xlsx]Credit!R28C11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8" s="23"/>
      </tp>
      <tp>
        <v>419.58269999999999</v>
        <stp/>
        <stp>##V3_BDHV12</stp>
        <stp>RCOM IN Equity</stp>
        <stp>LT_DEBT_TO_TOT_EQY</stp>
        <stp>FY 2018</stp>
        <stp>FY 2018</stp>
        <stp>[FA1_ymffleas.xlsx]Credit!R28C12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8" s="23"/>
      </tp>
      <tp>
        <v>7700</v>
        <stp/>
        <stp>##V3_BDHV12</stp>
        <stp>RCOM IN Equity</stp>
        <stp>ARDR_TAXES_RECEIVABLE_ST</stp>
        <stp>FY 2017</stp>
        <stp>FY 2017</stp>
        <stp>[FA1_ymffleas.xlsx]Bal Sheet - As Reported!R192C11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2" s="17"/>
      </tp>
      <tp>
        <v>7430</v>
        <stp/>
        <stp>##V3_BDHV12</stp>
        <stp>RCOM IN Equity</stp>
        <stp>ARDR_TAXES_RECEIVABLE_ST</stp>
        <stp>FY 2016</stp>
        <stp>FY 2016</stp>
        <stp>[FA1_ymffleas.xlsx]Bal Sheet - As Reported!R192C10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2" s="17"/>
      </tp>
      <tp>
        <v>7030</v>
        <stp/>
        <stp>##V3_BDHV12</stp>
        <stp>RCOM IN Equity</stp>
        <stp>ARDR_TAXES_RECEIVABLE_ST</stp>
        <stp>FY 2018</stp>
        <stp>FY 2018</stp>
        <stp>[FA1_ymffleas.xlsx]Bal Sheet - As Reported!R192C12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2" s="17"/>
      </tp>
      <tp>
        <v>6920</v>
        <stp/>
        <stp>##V3_BDHV12</stp>
        <stp>RCOM IN Equity</stp>
        <stp>CF_CHNG_NON_CASH_WORK_CAP</stp>
        <stp>FY 2018</stp>
        <stp>FY 2018</stp>
        <stp>[FA1_ymffleas.xlsx]Cash Flow - Standardized!R11C11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" s="19"/>
      </tp>
      <tp>
        <v>-61710</v>
        <stp/>
        <stp>##V3_BDHV12</stp>
        <stp>RCOM IN Equity</stp>
        <stp>CF_CHNG_NON_CASH_WORK_CAP</stp>
        <stp>FY 2017</stp>
        <stp>FY 2017</stp>
        <stp>[FA1_ymffleas.xlsx]Cash Flow - Standardized!R11C10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" s="19"/>
      </tp>
      <tp>
        <v>16840</v>
        <stp/>
        <stp>##V3_BDHV12</stp>
        <stp>RCOM IN Equity</stp>
        <stp>ARDR_ACCCUM_AMORT_INTANG_ASSET</stp>
        <stp>FY 2018</stp>
        <stp>FY 2018</stp>
        <stp>[FA1_ymffleas.xlsx]Bal Sheet - As Reported!R135C12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35" s="17"/>
      </tp>
      <tp>
        <v>110070</v>
        <stp/>
        <stp>##V3_BDHV12</stp>
        <stp>RCOM IN Equity</stp>
        <stp>ARDR_ACCCUM_AMORT_INTANG_ASSET</stp>
        <stp>FY 2017</stp>
        <stp>FY 2017</stp>
        <stp>[FA1_ymffleas.xlsx]Bal Sheet - As Reported!R135C11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5" s="17"/>
      </tp>
      <tp>
        <v>100390</v>
        <stp/>
        <stp>##V3_BDHV12</stp>
        <stp>RCOM IN Equity</stp>
        <stp>ARDR_ACCCUM_AMORT_INTANG_ASSET</stp>
        <stp>FY 2016</stp>
        <stp>FY 2016</stp>
        <stp>[FA1_ymffleas.xlsx]Bal Sheet - As Reported!R135C10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5" s="17"/>
      </tp>
      <tp t="s">
        <v>—</v>
        <stp/>
        <stp>##V3_BDHV12</stp>
        <stp>RCOM IN Equity</stp>
        <stp>EV_TO_T12M_CASH_FLOW_FIRM</stp>
        <stp>FY 2017</stp>
        <stp>FY 2017</stp>
        <stp>[FA1_ymffleas.xlsx]Enterprise Value!R20C10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0" s="5"/>
      </tp>
      <tp t="s">
        <v>—</v>
        <stp/>
        <stp>##V3_BDHV12</stp>
        <stp>RCOM IN Equity</stp>
        <stp>ARDR_OTHER_TAX_PAYABLE</stp>
        <stp>FY 2018</stp>
        <stp>FY 2018</stp>
        <stp>[FA1_ymffleas.xlsx]Bal Sheet - As Reported!R173C12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3" s="17"/>
      </tp>
      <tp t="s">
        <v>—</v>
        <stp/>
        <stp>##V3_BDHV12</stp>
        <stp>RCOM IN Equity</stp>
        <stp>ARDR_OTHER_TAX_PAYABLE</stp>
        <stp>FY 2016</stp>
        <stp>FY 2016</stp>
        <stp>[FA1_ymffleas.xlsx]Bal Sheet - As Reported!R173C10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3" s="17"/>
      </tp>
      <tp t="s">
        <v>—</v>
        <stp/>
        <stp>##V3_BDHV12</stp>
        <stp>RCOM IN Equity</stp>
        <stp>ARDR_OTHER_TAX_PAYABLE</stp>
        <stp>FY 2017</stp>
        <stp>FY 2017</stp>
        <stp>[FA1_ymffleas.xlsx]Bal Sheet - As Reported!R173C11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3" s="17"/>
      </tp>
      <tp t="s">
        <v>—</v>
        <stp/>
        <stp>##V3_BDHV12</stp>
        <stp>RCOM IN Equity</stp>
        <stp>INVENT_TURN</stp>
        <stp>FY 2009</stp>
        <stp>FY 2009</stp>
        <stp>[FA1_ymffleas.xlsx]Working Capital!R8C3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8" s="25"/>
      </tp>
      <tp>
        <v>-35.798900000000003</v>
        <stp/>
        <stp>##V3_BDHV12</stp>
        <stp>RCOM IN Equity</stp>
        <stp>EBITDA_SEQUENTIAL_GROWTH</stp>
        <stp>FY 2017</stp>
        <stp>FY 2017</stp>
        <stp>[FA1_ymffleas.xlsx]Growth!R61C11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61" s="22"/>
      </tp>
      <tp>
        <v>1.0668</v>
        <stp/>
        <stp>##V3_BDHV12</stp>
        <stp>RCOM IN Equity</stp>
        <stp>PROF_MARGIN</stp>
        <stp>FY 2018</stp>
        <stp>FY 2018</stp>
        <stp>[FA1_ymffleas.xlsx]Income - Adjusted!R126C11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K126" s="9"/>
      </tp>
      <tp>
        <v>60</v>
        <stp/>
        <stp>##V3_BDHV12</stp>
        <stp>RCOM IN Equity</stp>
        <stp>ARDR_INSUR_CLAIMS_EXPENSES</stp>
        <stp>FY 2018</stp>
        <stp>FY 2018</stp>
        <stp>[FA1_ymffleas.xlsx]Income - As Reported!R118C12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8" s="11"/>
      </tp>
      <tp>
        <v>190</v>
        <stp/>
        <stp>##V3_BDHV12</stp>
        <stp>RCOM IN Equity</stp>
        <stp>ARDR_INSUR_CLAIMS_EXPENSES</stp>
        <stp>FY 2016</stp>
        <stp>FY 2016</stp>
        <stp>[FA1_ymffleas.xlsx]Income - As Reported!R118C10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8" s="11"/>
      </tp>
      <tp>
        <v>80</v>
        <stp/>
        <stp>##V3_BDHV12</stp>
        <stp>RCOM IN Equity</stp>
        <stp>ARDR_INSUR_CLAIMS_EXPENSES</stp>
        <stp>FY 2017</stp>
        <stp>FY 2017</stp>
        <stp>[FA1_ymffleas.xlsx]Income - As Reported!R118C11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8" s="11"/>
      </tp>
      <tp>
        <v>64060</v>
        <stp/>
        <stp>##V3_BDHV12</stp>
        <stp>RCOM IN Equity</stp>
        <stp>ARDR_LEASEHOLD_LAND_GROSS</stp>
        <stp>FY 2017</stp>
        <stp>FY 2017</stp>
        <stp>[FA1_ymffleas.xlsx]Bal Sheet - As Reported!R184C11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4" s="17"/>
      </tp>
      <tp>
        <v>64060</v>
        <stp/>
        <stp>##V3_BDHV12</stp>
        <stp>RCOM IN Equity</stp>
        <stp>ARDR_LEASEHOLD_LAND_GROSS</stp>
        <stp>FY 2016</stp>
        <stp>FY 2016</stp>
        <stp>[FA1_ymffleas.xlsx]Bal Sheet - As Reported!R184C10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4" s="17"/>
      </tp>
      <tp>
        <v>63710</v>
        <stp/>
        <stp>##V3_BDHV12</stp>
        <stp>RCOM IN Equity</stp>
        <stp>ARDR_LEASEHOLD_LAND_GROSS</stp>
        <stp>FY 2018</stp>
        <stp>FY 2018</stp>
        <stp>[FA1_ymffleas.xlsx]Bal Sheet - As Reported!R184C12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4" s="17"/>
      </tp>
      <tp>
        <v>-20</v>
        <stp/>
        <stp>##V3_BDHV12</stp>
        <stp>RCOM IN Equity</stp>
        <stp>IS_FOREIGN_EXCH_LOSS</stp>
        <stp>FY 2017</stp>
        <stp>FY 2017</stp>
        <stp>[FA1_ymffleas.xlsx]Income - GAAP!R47C10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47" s="10"/>
      </tp>
      <tp>
        <v>-20</v>
        <stp/>
        <stp>##V3_BDHV12</stp>
        <stp>RCOM IN Equity</stp>
        <stp>IS_FOREIGN_EXCH_LOSS</stp>
        <stp>FY 2018</stp>
        <stp>FY 2018</stp>
        <stp>[FA1_ymffleas.xlsx]Income - GAAP!R47C11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47" s="10"/>
      </tp>
      <tp>
        <v>17540</v>
        <stp/>
        <stp>##V3_BDHV12</stp>
        <stp>RCOM IN Equity</stp>
        <stp>ARDR_CONSTRUCTION_IN_PROGRESS</stp>
        <stp>FY 2016</stp>
        <stp>FY 2016</stp>
        <stp>[FA1_ymffleas.xlsx]Bal Sheet - As Reported!R70C10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0" s="17"/>
      </tp>
      <tp>
        <v>19090</v>
        <stp/>
        <stp>##V3_BDHV12</stp>
        <stp>RCOM IN Equity</stp>
        <stp>ARDR_CONSTRUCTION_IN_PROGRESS</stp>
        <stp>FY 2017</stp>
        <stp>FY 2017</stp>
        <stp>[FA1_ymffleas.xlsx]Bal Sheet - As Reported!R70C11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0" s="17"/>
      </tp>
      <tp t="s">
        <v>—</v>
        <stp/>
        <stp>##V3_BDHV12</stp>
        <stp>RCOM IN Equity</stp>
        <stp>ARDR_CONSTRUCTION_IN_PROGRESS</stp>
        <stp>FY 2018</stp>
        <stp>FY 2018</stp>
        <stp>[FA1_ymffleas.xlsx]Bal Sheet - As Reported!R70C12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0" s="17"/>
      </tp>
      <tp>
        <v>-5910</v>
        <stp/>
        <stp>##V3_BDHV12</stp>
        <stp>RCOM IN Equity</stp>
        <stp>CHG_IN_FXD_&amp;_INTANG_AST_DETAILED</stp>
        <stp>FY 2018</stp>
        <stp>FY 2018</stp>
        <stp>[FA1_ymffleas.xlsx]Cash Flow - Standardized!R19C11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" s="19"/>
      </tp>
      <tp>
        <v>-39200</v>
        <stp/>
        <stp>##V3_BDHV12</stp>
        <stp>RCOM IN Equity</stp>
        <stp>CHG_IN_FXD_&amp;_INTANG_AST_DETAILED</stp>
        <stp>FY 2017</stp>
        <stp>FY 2017</stp>
        <stp>[FA1_ymffleas.xlsx]Cash Flow - Standardized!R19C10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" s="19"/>
      </tp>
      <tp>
        <v>157.86879999999999</v>
        <stp/>
        <stp>##V3_BDHV12</stp>
        <stp>RCOM IN Equity</stp>
        <stp>TOT_DEBT_TO_TOT_EQY</stp>
        <stp>FY 2017</stp>
        <stp>FY 2017</stp>
        <stp>[FA1_ymffleas.xlsx]Liquidity!R16C11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" s="24"/>
      </tp>
      <tp>
        <v>136.88059999999999</v>
        <stp/>
        <stp>##V3_BDHV12</stp>
        <stp>RCOM IN Equity</stp>
        <stp>TOT_DEBT_TO_TOT_EQY</stp>
        <stp>FY 2016</stp>
        <stp>FY 2016</stp>
        <stp>[FA1_ymffleas.xlsx]Liquidity!R16C10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" s="24"/>
      </tp>
      <tp>
        <v>1517.9132999999999</v>
        <stp/>
        <stp>##V3_BDHV12</stp>
        <stp>RCOM IN Equity</stp>
        <stp>TOT_DEBT_TO_TOT_EQY</stp>
        <stp>FY 2018</stp>
        <stp>FY 2018</stp>
        <stp>[FA1_ymffleas.xlsx]Liquidity!R16C12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" s="24"/>
      </tp>
      <tp>
        <v>2.4100999999999999</v>
        <stp/>
        <stp>##V3_BDHV12</stp>
        <stp>RCOM IN Equity</stp>
        <stp>EBITDA_TO_CASH_INTEREST_PAID</stp>
        <stp>FY 2013</stp>
        <stp>FY 2013</stp>
        <stp>[FA1_ymffleas.xlsx]Credit!R20C7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0" s="23"/>
      </tp>
      <tp>
        <v>-720</v>
        <stp/>
        <stp>##V3_BDHV12</stp>
        <stp>RCOM IN Equity</stp>
        <stp>CF_OTHER_FINANCING_ACT_EXCL_FX</stp>
        <stp>FY 2018</stp>
        <stp>FY 2018</stp>
        <stp>[FA1_ymffleas.xlsx]Cash Flow - Standardized!R46C11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6" s="19"/>
      </tp>
      <tp>
        <v>-1640</v>
        <stp/>
        <stp>##V3_BDHV12</stp>
        <stp>RCOM IN Equity</stp>
        <stp>CF_OTHER_FINANCING_ACT_EXCL_FX</stp>
        <stp>FY 2017</stp>
        <stp>FY 2017</stp>
        <stp>[FA1_ymffleas.xlsx]Cash Flow - Standardized!R46C10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6" s="19"/>
      </tp>
      <tp>
        <v>-79.083399999999997</v>
        <stp/>
        <stp>##V3_BDHV12</stp>
        <stp>RCOM IN Equity</stp>
        <stp>CF_TO_FIRM_SEQUENTIAL_GROWTH</stp>
        <stp>FY 2011</stp>
        <stp>FY 2011</stp>
        <stp>[FA1_ymffleas.xlsx]Growth!R86C5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86" s="22"/>
      </tp>
      <tp t="s">
        <v>—</v>
        <stp/>
        <stp>##V3_BDHV12</stp>
        <stp>RCOM IN Equity</stp>
        <stp>GEO_GROW_DVD_PER_SH</stp>
        <stp>FY 2009</stp>
        <stp>FY 2009</stp>
        <stp>[FA1_ymffleas.xlsx]Dividend Summary!R7C3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7" s="31"/>
      </tp>
      <tp t="s">
        <v>—</v>
        <stp/>
        <stp>##V3_BDHV12</stp>
        <stp>RCOM IN Equity</stp>
        <stp>GEO_GROW_DVD_PER_SH</stp>
        <stp>FY 2010</stp>
        <stp>FY 2010</stp>
        <stp>[FA1_ymffleas.xlsx]Dividend Summary!R7C4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7" s="31"/>
      </tp>
      <tp t="s">
        <v>—</v>
        <stp/>
        <stp>##V3_BDHV12</stp>
        <stp>RCOM IN Equity</stp>
        <stp>GEO_GROW_DVD_PER_SH</stp>
        <stp>FY 2011</stp>
        <stp>FY 2011</stp>
        <stp>[FA1_ymffleas.xlsx]Dividend Summary!R7C5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7" s="31"/>
      </tp>
      <tp t="s">
        <v>—</v>
        <stp/>
        <stp>##V3_BDHV12</stp>
        <stp>RCOM IN Equity</stp>
        <stp>GEO_GROW_DVD_PER_SH</stp>
        <stp>FY 2012</stp>
        <stp>FY 2012</stp>
        <stp>[FA1_ymffleas.xlsx]Dividend Summary!R7C6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7" s="31"/>
      </tp>
      <tp>
        <v>-19.7258</v>
        <stp/>
        <stp>##V3_BDHV12</stp>
        <stp>RCOM IN Equity</stp>
        <stp>GEO_GROW_DVD_PER_SH</stp>
        <stp>FY 2013</stp>
        <stp>FY 2013</stp>
        <stp>[FA1_ymffleas.xlsx]Dividend Summary!R7C7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7" s="31"/>
      </tp>
      <tp>
        <v>-100</v>
        <stp/>
        <stp>##V3_BDHV12</stp>
        <stp>RCOM IN Equity</stp>
        <stp>GEO_GROW_DVD_PER_SH</stp>
        <stp>FY 2014</stp>
        <stp>FY 2014</stp>
        <stp>[FA1_ymffleas.xlsx]Dividend Summary!R7C8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7" s="31"/>
      </tp>
      <tp>
        <v>-100</v>
        <stp/>
        <stp>##V3_BDHV12</stp>
        <stp>RCOM IN Equity</stp>
        <stp>GEO_GROW_DVD_PER_SH</stp>
        <stp>FY 2015</stp>
        <stp>FY 2015</stp>
        <stp>[FA1_ymffleas.xlsx]Dividend Summary!R7C9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7" s="31"/>
      </tp>
      <tp>
        <v>-62.547800000000002</v>
        <stp/>
        <stp>##V3_BDHV12</stp>
        <stp>RCOM IN Equity</stp>
        <stp>DILUTED_EPS_BEF_XO_ITEMS_GROWTH</stp>
        <stp>FY 2018</stp>
        <stp>FY 2018</stp>
        <stp>[FA1_ymffleas.xlsx]Growth!R12C12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2" s="22"/>
      </tp>
      <tp>
        <v>-80.442300000000003</v>
        <stp/>
        <stp>##V3_BDHV12</stp>
        <stp>RCOM IN Equity</stp>
        <stp>DILUTED_EPS_BEF_XO_ITEMS_GROWTH</stp>
        <stp>FY 2017</stp>
        <stp>FY 2017</stp>
        <stp>[FA1_ymffleas.xlsx]Growth!R12C11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2" s="22"/>
      </tp>
      <tp>
        <v>-15.082000000000001</v>
        <stp/>
        <stp>##V3_BDHV12</stp>
        <stp>RCOM IN Equity</stp>
        <stp>DILUTED_EPS_BEF_XO_ITEMS_GROWTH</stp>
        <stp>FY 2016</stp>
        <stp>FY 2016</stp>
        <stp>[FA1_ymffleas.xlsx]Growth!R12C10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2" s="22"/>
      </tp>
      <tp>
        <v>21780</v>
        <stp/>
        <stp>##V3_BDHV12</stp>
        <stp>RCOM IN Equity</stp>
        <stp>ARD_INCR_DECR_IN_TRADE_OTHER_REC</stp>
        <stp>FY 2018</stp>
        <stp>FY 2018</stp>
        <stp>[FA1_ymffleas.xlsx]Cash Flow - As Reported!R31C12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1" s="20"/>
      </tp>
      <tp>
        <v>-18640</v>
        <stp/>
        <stp>##V3_BDHV12</stp>
        <stp>RCOM IN Equity</stp>
        <stp>ARD_INCR_DECR_IN_TRADE_OTHER_REC</stp>
        <stp>FY 2017</stp>
        <stp>FY 2017</stp>
        <stp>[FA1_ymffleas.xlsx]Cash Flow - As Reported!R31C11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1" s="20"/>
      </tp>
      <tp>
        <v>40120</v>
        <stp/>
        <stp>##V3_BDHV12</stp>
        <stp>RCOM IN Equity</stp>
        <stp>ARD_INCR_DECR_IN_TRADE_OTHER_REC</stp>
        <stp>FY 2016</stp>
        <stp>FY 2016</stp>
        <stp>[FA1_ymffleas.xlsx]Cash Flow - As Reported!R31C10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1" s="20"/>
      </tp>
      <tp>
        <v>-21000</v>
        <stp/>
        <stp>##V3_BDHV12</stp>
        <stp>RCOM IN Equity</stp>
        <stp>ARD_TOT_CASHFLOWS_FROM_INVESTING</stp>
        <stp>FY 2014</stp>
        <stp>FY 2014</stp>
        <stp>[FA1_ymffleas.xlsx]As Reported Summary!R28C8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8" s="30"/>
      </tp>
      <tp>
        <v>-31260</v>
        <stp/>
        <stp>##V3_BDHV12</stp>
        <stp>RCOM IN Equity</stp>
        <stp>ARD_TOT_CASHFLOWS_FROM_INVESTING</stp>
        <stp>FY 2015</stp>
        <stp>FY 2015</stp>
        <stp>[FA1_ymffleas.xlsx]As Reported Summary!R28C9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8" s="30"/>
      </tp>
      <tp>
        <v>-18600.5</v>
        <stp/>
        <stp>##V3_BDHV12</stp>
        <stp>RCOM IN Equity</stp>
        <stp>ARD_TOT_CASHFLOWS_FROM_INVESTING</stp>
        <stp>FY 2010</stp>
        <stp>FY 2010</stp>
        <stp>[FA1_ymffleas.xlsx]As Reported Summary!R28C4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8" s="30"/>
      </tp>
      <tp>
        <v>-64580</v>
        <stp/>
        <stp>##V3_BDHV12</stp>
        <stp>RCOM IN Equity</stp>
        <stp>ARD_TOT_CASHFLOWS_FROM_INVESTING</stp>
        <stp>FY 2011</stp>
        <stp>FY 2011</stp>
        <stp>[FA1_ymffleas.xlsx]As Reported Summary!R28C5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8" s="30"/>
      </tp>
      <tp>
        <v>-45710</v>
        <stp/>
        <stp>##V3_BDHV12</stp>
        <stp>RCOM IN Equity</stp>
        <stp>ARD_TOT_CASHFLOWS_FROM_INVESTING</stp>
        <stp>FY 2012</stp>
        <stp>FY 2012</stp>
        <stp>[FA1_ymffleas.xlsx]As Reported Summary!R28C6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8" s="30"/>
      </tp>
      <tp>
        <v>-20690</v>
        <stp/>
        <stp>##V3_BDHV12</stp>
        <stp>RCOM IN Equity</stp>
        <stp>ARD_TOT_CASHFLOWS_FROM_INVESTING</stp>
        <stp>FY 2013</stp>
        <stp>FY 2013</stp>
        <stp>[FA1_ymffleas.xlsx]As Reported Summary!R28C7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8" s="30"/>
      </tp>
      <tp>
        <v>-100079.4</v>
        <stp/>
        <stp>##V3_BDHV12</stp>
        <stp>RCOM IN Equity</stp>
        <stp>ARD_TOT_CASHFLOWS_FROM_INVESTING</stp>
        <stp>FY 2009</stp>
        <stp>FY 2009</stp>
        <stp>[FA1_ymffleas.xlsx]As Reported Summary!R28C3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8" s="30"/>
      </tp>
      <tp t="s">
        <v>—</v>
        <stp/>
        <stp>##V3_BDHV12</stp>
        <stp>RCOM IN Equity</stp>
        <stp>5_YEAR_AVERAGE_ADJUSTED_ROE</stp>
        <stp>FY 2010</stp>
        <stp>FY 2010</stp>
        <stp>[FA1_ymffleas.xlsx]DuPont Analysis!R21C4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1" s="27"/>
      </tp>
      <tp>
        <v>320</v>
        <stp/>
        <stp>##V3_BDHV12</stp>
        <stp>RCOM IN Equity</stp>
        <stp>ARDR_LT_INVEST</stp>
        <stp>FY 2018</stp>
        <stp>FY 2018</stp>
        <stp>[FA1_ymffleas.xlsx]Bal Sheet - As Reported!R67C12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7" s="17"/>
      </tp>
      <tp>
        <v>0</v>
        <stp/>
        <stp>##V3_BDHV12</stp>
        <stp>RCOM IN Equity</stp>
        <stp>ARDR_LT_INVEST</stp>
        <stp>FY 2017</stp>
        <stp>FY 2017</stp>
        <stp>[FA1_ymffleas.xlsx]Bal Sheet - As Reported!R67C11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7" s="17"/>
      </tp>
      <tp>
        <v>0</v>
        <stp/>
        <stp>##V3_BDHV12</stp>
        <stp>RCOM IN Equity</stp>
        <stp>ARDR_LT_INVEST</stp>
        <stp>FY 2016</stp>
        <stp>FY 2016</stp>
        <stp>[FA1_ymffleas.xlsx]Bal Sheet - As Reported!R67C10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7" s="17"/>
      </tp>
      <tp>
        <v>59.096699999999998</v>
        <stp/>
        <stp>##V3_BDHV12</stp>
        <stp>RCOM IN Equity</stp>
        <stp>CAP_EXPEND_TO_SALES</stp>
        <stp>FY 2009</stp>
        <stp>FY 2009</stp>
        <stp>[FA1_ymffleas.xlsx]CAPEX &amp; Depreciation!R12C3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2" s="28"/>
      </tp>
      <tp>
        <v>4150</v>
        <stp/>
        <stp>##V3_BDHV12</stp>
        <stp>RCOM IN Equity</stp>
        <stp>BS_INVENTORIES</stp>
        <stp>FY 2014</stp>
        <stp>FY 2014</stp>
        <stp>[FA1_ymffleas.xlsx]Bal Sheet - Standardized!R21C8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1" s="16"/>
      </tp>
      <tp>
        <v>4010</v>
        <stp/>
        <stp>##V3_BDHV12</stp>
        <stp>RCOM IN Equity</stp>
        <stp>BS_INVENTORIES</stp>
        <stp>FY 2015</stp>
        <stp>FY 2015</stp>
        <stp>[FA1_ymffleas.xlsx]Bal Sheet - Standardized!R21C9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1" s="16"/>
      </tp>
      <tp>
        <v>5446.3</v>
        <stp/>
        <stp>##V3_BDHV12</stp>
        <stp>RCOM IN Equity</stp>
        <stp>BS_INVENTORIES</stp>
        <stp>FY 2010</stp>
        <stp>FY 2010</stp>
        <stp>[FA1_ymffleas.xlsx]Bal Sheet - Standardized!R21C4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1" s="16"/>
      </tp>
      <tp>
        <v>5170</v>
        <stp/>
        <stp>##V3_BDHV12</stp>
        <stp>RCOM IN Equity</stp>
        <stp>BS_INVENTORIES</stp>
        <stp>FY 2011</stp>
        <stp>FY 2011</stp>
        <stp>[FA1_ymffleas.xlsx]Bal Sheet - Standardized!R21C5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1" s="16"/>
      </tp>
      <tp>
        <v>5660</v>
        <stp/>
        <stp>##V3_BDHV12</stp>
        <stp>RCOM IN Equity</stp>
        <stp>BS_INVENTORIES</stp>
        <stp>FY 2012</stp>
        <stp>FY 2012</stp>
        <stp>[FA1_ymffleas.xlsx]Bal Sheet - Standardized!R21C6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1" s="16"/>
      </tp>
      <tp>
        <v>4970</v>
        <stp/>
        <stp>##V3_BDHV12</stp>
        <stp>RCOM IN Equity</stp>
        <stp>BS_INVENTORIES</stp>
        <stp>FY 2013</stp>
        <stp>FY 2013</stp>
        <stp>[FA1_ymffleas.xlsx]Bal Sheet - Standardized!R21C7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1" s="16"/>
      </tp>
      <tp>
        <v>5427.2</v>
        <stp/>
        <stp>##V3_BDHV12</stp>
        <stp>RCOM IN Equity</stp>
        <stp>BS_INVENTORIES</stp>
        <stp>FY 2009</stp>
        <stp>FY 2009</stp>
        <stp>[FA1_ymffleas.xlsx]Bal Sheet - Standardized!R21C3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1" s="16"/>
      </tp>
      <tp t="s">
        <v>—</v>
        <stp/>
        <stp>##V3_BDHV12</stp>
        <stp>RCOM IN Equity</stp>
        <stp>ARDR_PENSION_POSTRETIRE_PROVS_ST</stp>
        <stp>FY 2016</stp>
        <stp>FY 2016</stp>
        <stp>[FA1_ymffleas.xlsx]Bal Sheet - As Reported!R179C10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9" s="17"/>
      </tp>
      <tp t="s">
        <v>—</v>
        <stp/>
        <stp>##V3_BDHV12</stp>
        <stp>RCOM IN Equity</stp>
        <stp>ARDR_PENSION_POSTRETIRE_PROVS_ST</stp>
        <stp>FY 2017</stp>
        <stp>FY 2017</stp>
        <stp>[FA1_ymffleas.xlsx]Bal Sheet - As Reported!R179C11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9" s="17"/>
      </tp>
      <tp t="s">
        <v>—</v>
        <stp/>
        <stp>##V3_BDHV12</stp>
        <stp>RCOM IN Equity</stp>
        <stp>ARDR_PENSION_POSTRETIRE_PROVS_ST</stp>
        <stp>FY 2018</stp>
        <stp>FY 2018</stp>
        <stp>[FA1_ymffleas.xlsx]Bal Sheet - As Reported!R179C12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9" s="17"/>
      </tp>
      <tp>
        <v>2.1612999999999998</v>
        <stp/>
        <stp>##V3_BDHV12</stp>
        <stp>RCOM IN Equity</stp>
        <stp>PX_TO_BOOK_RATIO</stp>
        <stp>FY 2018</stp>
        <stp>FY 2018</stp>
        <stp>[FA1_ymffleas.xlsx]Multiples!R11C11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1" s="6"/>
      </tp>
      <tp>
        <v>0.3337</v>
        <stp/>
        <stp>##V3_BDHV12</stp>
        <stp>RCOM IN Equity</stp>
        <stp>PX_TO_BOOK_RATIO</stp>
        <stp>FY 2017</stp>
        <stp>FY 2017</stp>
        <stp>[FA1_ymffleas.xlsx]Multiples!R11C10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1" s="6"/>
      </tp>
      <tp>
        <v>276760</v>
        <stp/>
        <stp>##V3_BDHV12</stp>
        <stp>RCOM IN Equity</stp>
        <stp>BS_CUR_LIAB</stp>
        <stp>FY 2016</stp>
        <stp>FY 2016</stp>
        <stp>[FA1_ymffleas.xlsx]GAAP Highlights!R17C10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" s="3"/>
      </tp>
      <tp>
        <v>360340</v>
        <stp/>
        <stp>##V3_BDHV12</stp>
        <stp>RCOM IN Equity</stp>
        <stp>BS_CUR_LIAB</stp>
        <stp>FY 2017</stp>
        <stp>FY 2017</stp>
        <stp>[FA1_ymffleas.xlsx]GAAP Highlights!R17C11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" s="3"/>
      </tp>
      <tp>
        <v>524780</v>
        <stp/>
        <stp>##V3_BDHV12</stp>
        <stp>RCOM IN Equity</stp>
        <stp>BS_CUR_LIAB</stp>
        <stp>FY 2018</stp>
        <stp>FY 2018</stp>
        <stp>[FA1_ymffleas.xlsx]GAAP Highlights!R17C12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" s="3"/>
      </tp>
      <tp>
        <v>5290</v>
        <stp/>
        <stp>##V3_BDHV12</stp>
        <stp>RCOM IN Equity</stp>
        <stp>BS_DEFERRED_TAX_LIABILITIES_LT</stp>
        <stp>FY 2015</stp>
        <stp>FY 2015</stp>
        <stp>[FA1_ymffleas.xlsx]Bal Sheet - Standardized!R123C9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3" s="16"/>
      </tp>
      <tp>
        <v>18030</v>
        <stp/>
        <stp>##V3_BDHV12</stp>
        <stp>RCOM IN Equity</stp>
        <stp>BS_DEFERRED_TAX_LIABILITIES_LT</stp>
        <stp>FY 2014</stp>
        <stp>FY 2014</stp>
        <stp>[FA1_ymffleas.xlsx]Bal Sheet - Standardized!R123C8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3" s="16"/>
      </tp>
      <tp>
        <v>281</v>
        <stp/>
        <stp>##V3_BDHV12</stp>
        <stp>RCOM IN Equity</stp>
        <stp>BS_DEFERRED_TAX_LIABILITIES_LT</stp>
        <stp>FY 2009</stp>
        <stp>FY 2009</stp>
        <stp>[FA1_ymffleas.xlsx]Bal Sheet - Standardized!R123C3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3" s="16"/>
      </tp>
      <tp>
        <v>13720</v>
        <stp/>
        <stp>##V3_BDHV12</stp>
        <stp>RCOM IN Equity</stp>
        <stp>BS_DEFERRED_TAX_LIABILITIES_LT</stp>
        <stp>FY 2013</stp>
        <stp>FY 2013</stp>
        <stp>[FA1_ymffleas.xlsx]Bal Sheet - Standardized!R123C7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3" s="16"/>
      </tp>
      <tp>
        <v>10180</v>
        <stp/>
        <stp>##V3_BDHV12</stp>
        <stp>RCOM IN Equity</stp>
        <stp>BS_DEFERRED_TAX_LIABILITIES_LT</stp>
        <stp>FY 2012</stp>
        <stp>FY 2012</stp>
        <stp>[FA1_ymffleas.xlsx]Bal Sheet - Standardized!R123C6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3" s="16"/>
      </tp>
      <tp>
        <v>3670</v>
        <stp/>
        <stp>##V3_BDHV12</stp>
        <stp>RCOM IN Equity</stp>
        <stp>BS_DEFERRED_TAX_LIABILITIES_LT</stp>
        <stp>FY 2011</stp>
        <stp>FY 2011</stp>
        <stp>[FA1_ymffleas.xlsx]Bal Sheet - Standardized!R123C5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3" s="16"/>
      </tp>
      <tp>
        <v>990.5</v>
        <stp/>
        <stp>##V3_BDHV12</stp>
        <stp>RCOM IN Equity</stp>
        <stp>BS_DEFERRED_TAX_LIABILITIES_LT</stp>
        <stp>FY 2010</stp>
        <stp>FY 2010</stp>
        <stp>[FA1_ymffleas.xlsx]Bal Sheet - Standardized!R123C4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3" s="16"/>
      </tp>
      <tp>
        <v>-0.27889999999999998</v>
        <stp/>
        <stp>##V3_BDHV12</stp>
        <stp>RCOM IN Equity</stp>
        <stp>SALES_GROWTH</stp>
        <stp>FY 2010</stp>
        <stp>FY 2010</stp>
        <stp>[FA1_ymffleas.xlsx]Adj Highlights!R13C3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C13" s="2"/>
      </tp>
      <tp t="s">
        <v>—</v>
        <stp/>
        <stp>##V3_BDHV12</stp>
        <stp>RCOM IN Equity</stp>
        <stp>EV_TO_T12M_CASH_FLOW_FIRM</stp>
        <stp>FY 2018</stp>
        <stp>FY 2018</stp>
        <stp>[FA1_ymffleas.xlsx]Enterprise Value!R20C11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0" s="5"/>
      </tp>
      <tp>
        <v>5.4699999999999999E-2</v>
        <stp/>
        <stp>##V3_BDHV12</stp>
        <stp>RCOM IN Equity</stp>
        <stp>QUICK_RATIO</stp>
        <stp>FY 2018</stp>
        <stp>FY 2018</stp>
        <stp>[FA1_ymffleas.xlsx]Liquidity!R8C12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" s="24"/>
      </tp>
      <tp>
        <v>0.16250000000000001</v>
        <stp/>
        <stp>##V3_BDHV12</stp>
        <stp>RCOM IN Equity</stp>
        <stp>QUICK_RATIO</stp>
        <stp>FY 2016</stp>
        <stp>FY 2016</stp>
        <stp>[FA1_ymffleas.xlsx]Liquidity!R8C10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" s="24"/>
      </tp>
      <tp>
        <v>0.12670000000000001</v>
        <stp/>
        <stp>##V3_BDHV12</stp>
        <stp>RCOM IN Equity</stp>
        <stp>QUICK_RATIO</stp>
        <stp>FY 2017</stp>
        <stp>FY 2017</stp>
        <stp>[FA1_ymffleas.xlsx]Liquidity!R8C11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" s="24"/>
      </tp>
      <tp>
        <v>0.74939999999999996</v>
        <stp/>
        <stp>##V3_BDHV12</stp>
        <stp>RCOM IN Equity</stp>
        <stp>EBITDA_SEQUENTIAL_GROWTH</stp>
        <stp>FY 2016</stp>
        <stp>FY 2016</stp>
        <stp>[FA1_ymffleas.xlsx]Growth!R61C10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61" s="22"/>
      </tp>
      <tp>
        <v>1.9072</v>
        <stp/>
        <stp>##V3_BDHV12</stp>
        <stp>RCOM IN Equity</stp>
        <stp>PROF_MARGIN</stp>
        <stp>FY 2017</stp>
        <stp>FY 2017</stp>
        <stp>[FA1_ymffleas.xlsx]Income - Adjusted!R126C10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J126" s="9"/>
      </tp>
      <tp>
        <v>10700</v>
        <stp/>
        <stp>##V3_BDHV12</stp>
        <stp>RCOM IN Equity</stp>
        <stp>IS_GENERAL_AND_ADMINISTRATIVE</stp>
        <stp>FY 2013</stp>
        <stp>FY 2013</stp>
        <stp>[FA1_ymffleas.xlsx]Income - Adjusted!R25C6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25" s="9"/>
      </tp>
      <tp>
        <v>11680</v>
        <stp/>
        <stp>##V3_BDHV12</stp>
        <stp>RCOM IN Equity</stp>
        <stp>IS_GENERAL_AND_ADMINISTRATIVE</stp>
        <stp>FY 2014</stp>
        <stp>FY 2014</stp>
        <stp>[FA1_ymffleas.xlsx]Income - Adjusted!R25C7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25" s="9"/>
      </tp>
      <tp>
        <v>10019.200000000001</v>
        <stp/>
        <stp>##V3_BDHV12</stp>
        <stp>RCOM IN Equity</stp>
        <stp>IS_GENERAL_AND_ADMINISTRATIVE</stp>
        <stp>FY 2011</stp>
        <stp>FY 2011</stp>
        <stp>[FA1_ymffleas.xlsx]Income - Adjusted!R25C4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25" s="9"/>
      </tp>
      <tp>
        <v>9070</v>
        <stp/>
        <stp>##V3_BDHV12</stp>
        <stp>RCOM IN Equity</stp>
        <stp>IS_GENERAL_AND_ADMINISTRATIVE</stp>
        <stp>FY 2012</stp>
        <stp>FY 2012</stp>
        <stp>[FA1_ymffleas.xlsx]Income - Adjusted!R25C5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25" s="9"/>
      </tp>
      <tp>
        <v>0</v>
        <stp/>
        <stp>##V3_BDHV12</stp>
        <stp>RCOM IN Equity</stp>
        <stp>BS_PFD_EQTY_&amp;_HYBRID_CPTL</stp>
        <stp>FY 2012</stp>
        <stp>FY 2012</stp>
        <stp>[FA1_ymffleas.xlsx]Bal Sheet - Standardized!R133C6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3" s="16"/>
      </tp>
      <tp>
        <v>0</v>
        <stp/>
        <stp>##V3_BDHV12</stp>
        <stp>RCOM IN Equity</stp>
        <stp>BS_PFD_EQTY_&amp;_HYBRID_CPTL</stp>
        <stp>FY 2013</stp>
        <stp>FY 2013</stp>
        <stp>[FA1_ymffleas.xlsx]Bal Sheet - Standardized!R133C7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3" s="16"/>
      </tp>
      <tp>
        <v>0</v>
        <stp/>
        <stp>##V3_BDHV12</stp>
        <stp>RCOM IN Equity</stp>
        <stp>BS_PFD_EQTY_&amp;_HYBRID_CPTL</stp>
        <stp>FY 2010</stp>
        <stp>FY 2010</stp>
        <stp>[FA1_ymffleas.xlsx]Bal Sheet - Standardized!R133C4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3" s="16"/>
      </tp>
      <tp>
        <v>0</v>
        <stp/>
        <stp>##V3_BDHV12</stp>
        <stp>RCOM IN Equity</stp>
        <stp>BS_PFD_EQTY_&amp;_HYBRID_CPTL</stp>
        <stp>FY 2011</stp>
        <stp>FY 2011</stp>
        <stp>[FA1_ymffleas.xlsx]Bal Sheet - Standardized!R133C5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3" s="16"/>
      </tp>
      <tp>
        <v>0</v>
        <stp/>
        <stp>##V3_BDHV12</stp>
        <stp>RCOM IN Equity</stp>
        <stp>BS_PFD_EQTY_&amp;_HYBRID_CPTL</stp>
        <stp>FY 2009</stp>
        <stp>FY 2009</stp>
        <stp>[FA1_ymffleas.xlsx]Bal Sheet - Standardized!R133C3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3" s="16"/>
      </tp>
      <tp>
        <v>0</v>
        <stp/>
        <stp>##V3_BDHV12</stp>
        <stp>RCOM IN Equity</stp>
        <stp>BS_PFD_EQTY_&amp;_HYBRID_CPTL</stp>
        <stp>FY 2014</stp>
        <stp>FY 2014</stp>
        <stp>[FA1_ymffleas.xlsx]Bal Sheet - Standardized!R133C8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3" s="16"/>
      </tp>
      <tp>
        <v>0</v>
        <stp/>
        <stp>##V3_BDHV12</stp>
        <stp>RCOM IN Equity</stp>
        <stp>BS_PFD_EQTY_&amp;_HYBRID_CPTL</stp>
        <stp>FY 2015</stp>
        <stp>FY 2015</stp>
        <stp>[FA1_ymffleas.xlsx]Bal Sheet - Standardized!R133C9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3" s="16"/>
      </tp>
      <tp>
        <v>10831.8</v>
        <stp/>
        <stp>##V3_BDHV12</stp>
        <stp>RCOM IN Equity</stp>
        <stp>IS_GENERAL_AND_ADMINISTRATIVE</stp>
        <stp>FY 2010</stp>
        <stp>FY 2010</stp>
        <stp>[FA1_ymffleas.xlsx]Income - Adjusted!R25C3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25" s="9"/>
      </tp>
      <tp>
        <v>0</v>
        <stp/>
        <stp>##V3_BDHV12</stp>
        <stp>RCOM IN Equity</stp>
        <stp>ARD_ST_INVEST</stp>
        <stp>FY 2018</stp>
        <stp>FY 2018</stp>
        <stp>[FA1_ymffleas.xlsx]Bal Sheet - As Reported!R44C12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4" s="17"/>
      </tp>
      <tp>
        <v>0</v>
        <stp/>
        <stp>##V3_BDHV12</stp>
        <stp>RCOM IN Equity</stp>
        <stp>ARD_ST_INVEST</stp>
        <stp>FY 2017</stp>
        <stp>FY 2017</stp>
        <stp>[FA1_ymffleas.xlsx]Bal Sheet - As Reported!R44C11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4" s="17"/>
      </tp>
      <tp>
        <v>0</v>
        <stp/>
        <stp>##V3_BDHV12</stp>
        <stp>RCOM IN Equity</stp>
        <stp>ARD_ST_INVEST</stp>
        <stp>FY 2016</stp>
        <stp>FY 2016</stp>
        <stp>[FA1_ymffleas.xlsx]Bal Sheet - As Reported!R44C10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4" s="17"/>
      </tp>
      <tp>
        <v>9120</v>
        <stp/>
        <stp>##V3_BDHV12</stp>
        <stp>RCOM IN Equity</stp>
        <stp>IS_GENERAL_AND_ADMINISTRATIVE</stp>
        <stp>FY 2015</stp>
        <stp>FY 2015</stp>
        <stp>[FA1_ymffleas.xlsx]Income - Adjusted!R25C8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25" s="9"/>
      </tp>
      <tp>
        <v>3030</v>
        <stp/>
        <stp>##V3_BDHV12</stp>
        <stp>RCOM IN Equity</stp>
        <stp>IS_GENERAL_AND_ADMINISTRATIVE</stp>
        <stp>FY 2016</stp>
        <stp>FY 2016</stp>
        <stp>[FA1_ymffleas.xlsx]Income - Adjusted!R25C9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25" s="9"/>
      </tp>
      <tp>
        <v>4.8506999999999998</v>
        <stp/>
        <stp>##V3_BDHV12</stp>
        <stp>RCOM IN Equity</stp>
        <stp>EBITDA_TO_CASH_INTEREST_PAID</stp>
        <stp>FY 2010</stp>
        <stp>FY 2010</stp>
        <stp>[FA1_ymffleas.xlsx]Credit!R20C4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0" s="23"/>
      </tp>
      <tp t="s">
        <v>—</v>
        <stp/>
        <stp>##V3_BDHV12</stp>
        <stp>RCOM IN Equity</stp>
        <stp>CF_TO_FIRM_SEQUENTIAL_GROWTH</stp>
        <stp>FY 2012</stp>
        <stp>FY 2012</stp>
        <stp>[FA1_ymffleas.xlsx]Growth!R86C6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86" s="22"/>
      </tp>
      <tp>
        <v>31100</v>
        <stp/>
        <stp>##V3_BDHV12</stp>
        <stp>RCOM IN Equity</stp>
        <stp>EBITDA</stp>
        <stp>FY 2018</stp>
        <stp>FY 2018</stp>
        <stp>[FA1_ymffleas.xlsx]Income - GAAP!R99C11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99" s="10"/>
      </tp>
      <tp t="s">
        <v>—</v>
        <stp/>
        <stp>##V3_BDHV12</stp>
        <stp>RCOM IN Equity</stp>
        <stp>EV_TO_T12M_FREE_CASH_FLOW_FIRM</stp>
        <stp>FY 2015</stp>
        <stp>FY 2015</stp>
        <stp>[FA1_ymffleas.xlsx]Enterprise Value!R21C8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1" s="5"/>
      </tp>
      <tp>
        <v>46610</v>
        <stp/>
        <stp>##V3_BDHV12</stp>
        <stp>RCOM IN Equity</stp>
        <stp>EBITDA</stp>
        <stp>FY 2017</stp>
        <stp>FY 2017</stp>
        <stp>[FA1_ymffleas.xlsx]Income - GAAP!R99C10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99" s="10"/>
      </tp>
      <tp>
        <v>140</v>
        <stp/>
        <stp>##V3_BDHV12</stp>
        <stp>RCOM IN Equity</stp>
        <stp>IS_CURRENT_INCOME_TAX_BENEFIT</stp>
        <stp>FY 2016</stp>
        <stp>FY 2016</stp>
        <stp>[FA1_ymffleas.xlsx]Income - GAAP!R57C9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7" s="10"/>
      </tp>
      <tp>
        <v>1140</v>
        <stp/>
        <stp>##V3_BDHV12</stp>
        <stp>RCOM IN Equity</stp>
        <stp>IS_CURRENT_INCOME_TAX_BENEFIT</stp>
        <stp>FY 2015</stp>
        <stp>FY 2015</stp>
        <stp>[FA1_ymffleas.xlsx]Income - GAAP!R57C8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7" s="10"/>
      </tp>
      <tp>
        <v>-1060</v>
        <stp/>
        <stp>##V3_BDHV12</stp>
        <stp>RCOM IN Equity</stp>
        <stp>IS_CURRENT_INCOME_TAX_BENEFIT</stp>
        <stp>FY 2012</stp>
        <stp>FY 2012</stp>
        <stp>[FA1_ymffleas.xlsx]Income - GAAP!R57C5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7" s="10"/>
      </tp>
      <tp>
        <v>-2800</v>
        <stp/>
        <stp>##V3_BDHV12</stp>
        <stp>RCOM IN Equity</stp>
        <stp>IS_CURRENT_INCOME_TAX_BENEFIT</stp>
        <stp>FY 2011</stp>
        <stp>FY 2011</stp>
        <stp>[FA1_ymffleas.xlsx]Income - GAAP!R57C4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7" s="10"/>
      </tp>
      <tp>
        <v>360</v>
        <stp/>
        <stp>##V3_BDHV12</stp>
        <stp>RCOM IN Equity</stp>
        <stp>IS_CURRENT_INCOME_TAX_BENEFIT</stp>
        <stp>FY 2014</stp>
        <stp>FY 2014</stp>
        <stp>[FA1_ymffleas.xlsx]Income - GAAP!R57C7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7" s="10"/>
      </tp>
      <tp>
        <v>710</v>
        <stp/>
        <stp>##V3_BDHV12</stp>
        <stp>RCOM IN Equity</stp>
        <stp>IS_CURRENT_INCOME_TAX_BENEFIT</stp>
        <stp>FY 2013</stp>
        <stp>FY 2013</stp>
        <stp>[FA1_ymffleas.xlsx]Income - GAAP!R57C6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7" s="10"/>
      </tp>
      <tp>
        <v>3725</v>
        <stp/>
        <stp>##V3_BDHV12</stp>
        <stp>RCOM IN Equity</stp>
        <stp>IS_CURRENT_INCOME_TAX_BENEFIT</stp>
        <stp>FY 2010</stp>
        <stp>FY 2010</stp>
        <stp>[FA1_ymffleas.xlsx]Income - GAAP!R57C3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7" s="10"/>
      </tp>
      <tp>
        <v>-21140</v>
        <stp/>
        <stp>##V3_BDHV12</stp>
        <stp>RCOM IN Equity</stp>
        <stp>TRAIL_12M_CAP_EXPEND</stp>
        <stp>FY 2013</stp>
        <stp>FY 2013</stp>
        <stp>[FA1_ymffleas.xlsx]Yield Analysis!R30C7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0" s="26"/>
      </tp>
      <tp>
        <v>-48500</v>
        <stp/>
        <stp>##V3_BDHV12</stp>
        <stp>RCOM IN Equity</stp>
        <stp>TRAIL_12M_CAP_EXPEND</stp>
        <stp>FY 2012</stp>
        <stp>FY 2012</stp>
        <stp>[FA1_ymffleas.xlsx]Yield Analysis!R30C6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0" s="26"/>
      </tp>
      <tp>
        <v>-103270</v>
        <stp/>
        <stp>##V3_BDHV12</stp>
        <stp>RCOM IN Equity</stp>
        <stp>TRAIL_12M_CAP_EXPEND</stp>
        <stp>FY 2011</stp>
        <stp>FY 2011</stp>
        <stp>[FA1_ymffleas.xlsx]Yield Analysis!R30C5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0" s="26"/>
      </tp>
      <tp>
        <v>-74960.3</v>
        <stp/>
        <stp>##V3_BDHV12</stp>
        <stp>RCOM IN Equity</stp>
        <stp>TRAIL_12M_CAP_EXPEND</stp>
        <stp>FY 2010</stp>
        <stp>FY 2010</stp>
        <stp>[FA1_ymffleas.xlsx]Yield Analysis!R30C4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0" s="26"/>
      </tp>
      <tp>
        <v>-122583.8</v>
        <stp/>
        <stp>##V3_BDHV12</stp>
        <stp>RCOM IN Equity</stp>
        <stp>TRAIL_12M_CAP_EXPEND</stp>
        <stp>FY 2009</stp>
        <stp>FY 2009</stp>
        <stp>[FA1_ymffleas.xlsx]Yield Analysis!R30C3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0" s="26"/>
      </tp>
      <tp>
        <v>-24960</v>
        <stp/>
        <stp>##V3_BDHV12</stp>
        <stp>RCOM IN Equity</stp>
        <stp>TRAIL_12M_CAP_EXPEND</stp>
        <stp>FY 2015</stp>
        <stp>FY 2015</stp>
        <stp>[FA1_ymffleas.xlsx]Yield Analysis!R30C9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0" s="26"/>
      </tp>
      <tp>
        <v>-21650</v>
        <stp/>
        <stp>##V3_BDHV12</stp>
        <stp>RCOM IN Equity</stp>
        <stp>TRAIL_12M_CAP_EXPEND</stp>
        <stp>FY 2014</stp>
        <stp>FY 2014</stp>
        <stp>[FA1_ymffleas.xlsx]Yield Analysis!R30C8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0" s="26"/>
      </tp>
      <tp>
        <v>0</v>
        <stp/>
        <stp>##V3_BDHV12</stp>
        <stp>RCOM IN Equity</stp>
        <stp>ST_DEFERRED_REVENUE</stp>
        <stp>FY 2009</stp>
        <stp>FY 2009</stp>
        <stp>[FA1_ymffleas.xlsx]Bal Sheet - Standardized!R95C3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5" s="16"/>
      </tp>
      <tp>
        <v>0</v>
        <stp/>
        <stp>##V3_BDHV12</stp>
        <stp>RCOM IN Equity</stp>
        <stp>ST_DEFERRED_REVENUE</stp>
        <stp>FY 2012</stp>
        <stp>FY 2012</stp>
        <stp>[FA1_ymffleas.xlsx]Bal Sheet - Standardized!R95C6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5" s="16"/>
      </tp>
      <tp>
        <v>0</v>
        <stp/>
        <stp>##V3_BDHV12</stp>
        <stp>RCOM IN Equity</stp>
        <stp>ST_DEFERRED_REVENUE</stp>
        <stp>FY 2013</stp>
        <stp>FY 2013</stp>
        <stp>[FA1_ymffleas.xlsx]Bal Sheet - Standardized!R95C7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5" s="16"/>
      </tp>
      <tp>
        <v>0</v>
        <stp/>
        <stp>##V3_BDHV12</stp>
        <stp>RCOM IN Equity</stp>
        <stp>ST_DEFERRED_REVENUE</stp>
        <stp>FY 2010</stp>
        <stp>FY 2010</stp>
        <stp>[FA1_ymffleas.xlsx]Bal Sheet - Standardized!R95C4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5" s="16"/>
      </tp>
      <tp>
        <v>0</v>
        <stp/>
        <stp>##V3_BDHV12</stp>
        <stp>RCOM IN Equity</stp>
        <stp>ST_DEFERRED_REVENUE</stp>
        <stp>FY 2011</stp>
        <stp>FY 2011</stp>
        <stp>[FA1_ymffleas.xlsx]Bal Sheet - Standardized!R95C5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5" s="16"/>
      </tp>
      <tp>
        <v>0</v>
        <stp/>
        <stp>##V3_BDHV12</stp>
        <stp>RCOM IN Equity</stp>
        <stp>ST_DEFERRED_REVENUE</stp>
        <stp>FY 2014</stp>
        <stp>FY 2014</stp>
        <stp>[FA1_ymffleas.xlsx]Bal Sheet - Standardized!R95C8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5" s="16"/>
      </tp>
      <tp>
        <v>0</v>
        <stp/>
        <stp>##V3_BDHV12</stp>
        <stp>RCOM IN Equity</stp>
        <stp>ST_DEFERRED_REVENUE</stp>
        <stp>FY 2015</stp>
        <stp>FY 2015</stp>
        <stp>[FA1_ymffleas.xlsx]Bal Sheet - Standardized!R95C9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5" s="16"/>
      </tp>
      <tp>
        <v>6.9744999999999999</v>
        <stp/>
        <stp>##V3_BDHV12</stp>
        <stp>RCOM IN Equity</stp>
        <stp>5_YEAR_AVERAGE_ADJUSTED_ROE</stp>
        <stp>FY 2013</stp>
        <stp>FY 2013</stp>
        <stp>[FA1_ymffleas.xlsx]DuPont Analysis!R21C7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1" s="27"/>
      </tp>
      <tp>
        <v>23.540199999999999</v>
        <stp/>
        <stp>##V3_BDHV12</stp>
        <stp>RCOM IN Equity</stp>
        <stp>ACCT_RCV_DAYS</stp>
        <stp>FY 2014</stp>
        <stp>FY 2014</stp>
        <stp>[FA1_ymffleas.xlsx]Working Capital!R7C8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7" s="25"/>
      </tp>
      <tp t="s">
        <v>—</v>
        <stp/>
        <stp>##V3_BDHV12</stp>
        <stp>RCOM IN Equity</stp>
        <stp>ARD_TOTAL_FIXED_ASSETS</stp>
        <stp>FY 2018</stp>
        <stp>FY 2018</stp>
        <stp>[FA1_ymffleas.xlsx]Bal Sheet - As Reported!R37C12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7" s="17"/>
      </tp>
      <tp t="s">
        <v>—</v>
        <stp/>
        <stp>##V3_BDHV12</stp>
        <stp>RCOM IN Equity</stp>
        <stp>ARD_TOTAL_FIXED_ASSETS</stp>
        <stp>FY 2017</stp>
        <stp>FY 2017</stp>
        <stp>[FA1_ymffleas.xlsx]Bal Sheet - As Reported!R37C11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7" s="17"/>
      </tp>
      <tp t="s">
        <v>—</v>
        <stp/>
        <stp>##V3_BDHV12</stp>
        <stp>RCOM IN Equity</stp>
        <stp>ARD_TOTAL_FIXED_ASSETS</stp>
        <stp>FY 2016</stp>
        <stp>FY 2016</stp>
        <stp>[FA1_ymffleas.xlsx]Bal Sheet - As Reported!R37C10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7" s="17"/>
      </tp>
      <tp>
        <v>0</v>
        <stp/>
        <stp>##V3_BDHV12</stp>
        <stp>RCOM IN Equity</stp>
        <stp>XO_GL_NET_OF_TAX</stp>
        <stp>FY 2016</stp>
        <stp>FY 2016</stp>
        <stp>[FA1_ymffleas.xlsx]Income - Adjusted!R89C9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9" s="9"/>
      </tp>
      <tp>
        <v>0</v>
        <stp/>
        <stp>##V3_BDHV12</stp>
        <stp>RCOM IN Equity</stp>
        <stp>XO_GL_NET_OF_TAX</stp>
        <stp>FY 2015</stp>
        <stp>FY 2015</stp>
        <stp>[FA1_ymffleas.xlsx]Income - Adjusted!R89C8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9" s="9"/>
      </tp>
      <tp>
        <v>0</v>
        <stp/>
        <stp>##V3_BDHV12</stp>
        <stp>RCOM IN Equity</stp>
        <stp>XO_GL_NET_OF_TAX</stp>
        <stp>FY 2010</stp>
        <stp>FY 2010</stp>
        <stp>[FA1_ymffleas.xlsx]Income - Adjusted!R89C3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9" s="9"/>
      </tp>
      <tp>
        <v>0</v>
        <stp/>
        <stp>##V3_BDHV12</stp>
        <stp>RCOM IN Equity</stp>
        <stp>XO_GL_NET_OF_TAX</stp>
        <stp>FY 2014</stp>
        <stp>FY 2014</stp>
        <stp>[FA1_ymffleas.xlsx]Income - Adjusted!R89C7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9" s="9"/>
      </tp>
      <tp>
        <v>0</v>
        <stp/>
        <stp>##V3_BDHV12</stp>
        <stp>RCOM IN Equity</stp>
        <stp>XO_GL_NET_OF_TAX</stp>
        <stp>FY 2013</stp>
        <stp>FY 2013</stp>
        <stp>[FA1_ymffleas.xlsx]Income - Adjusted!R89C6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9" s="9"/>
      </tp>
      <tp>
        <v>0</v>
        <stp/>
        <stp>##V3_BDHV12</stp>
        <stp>RCOM IN Equity</stp>
        <stp>XO_GL_NET_OF_TAX</stp>
        <stp>FY 2012</stp>
        <stp>FY 2012</stp>
        <stp>[FA1_ymffleas.xlsx]Income - Adjusted!R89C5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9" s="9"/>
      </tp>
      <tp>
        <v>0</v>
        <stp/>
        <stp>##V3_BDHV12</stp>
        <stp>RCOM IN Equity</stp>
        <stp>XO_GL_NET_OF_TAX</stp>
        <stp>FY 2011</stp>
        <stp>FY 2011</stp>
        <stp>[FA1_ymffleas.xlsx]Income - Adjusted!R89C4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9" s="9"/>
      </tp>
      <tp>
        <v>29280</v>
        <stp/>
        <stp>##V3_BDHV12</stp>
        <stp>RCOM IN Equity</stp>
        <stp>ARDR_CUSTOMER_DEPOSIT_ADVANCE_LT</stp>
        <stp>FY 2016</stp>
        <stp>FY 2016</stp>
        <stp>[FA1_ymffleas.xlsx]Bal Sheet - As Reported!R124C10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4" s="17"/>
      </tp>
      <tp>
        <v>1640</v>
        <stp/>
        <stp>##V3_BDHV12</stp>
        <stp>RCOM IN Equity</stp>
        <stp>ARDR_CUSTOMER_DEPOSIT_ADVANCE_LT</stp>
        <stp>FY 2017</stp>
        <stp>FY 2017</stp>
        <stp>[FA1_ymffleas.xlsx]Bal Sheet - As Reported!R124C11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4" s="17"/>
      </tp>
      <tp>
        <v>0</v>
        <stp/>
        <stp>##V3_BDHV12</stp>
        <stp>RCOM IN Equity</stp>
        <stp>ARDR_CUSTOMER_DEPOSIT_ADVANCE_LT</stp>
        <stp>FY 2018</stp>
        <stp>FY 2018</stp>
        <stp>[FA1_ymffleas.xlsx]Bal Sheet - As Reported!R124C12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4" s="17"/>
      </tp>
      <tp t="s">
        <v>—</v>
        <stp/>
        <stp>##V3_BDHV12</stp>
        <stp>RCOM IN Equity</stp>
        <stp>CASH_FLOW_TO_FIRM_1_YEAR_GROWTH</stp>
        <stp>FY 2014</stp>
        <stp>FY 2014</stp>
        <stp>[FA1_ymffleas.xlsx]Growth!R33C8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33" s="22"/>
      </tp>
      <tp>
        <v>-5.6855000000000002</v>
        <stp/>
        <stp>##V3_BDHV12</stp>
        <stp>RCOM IN Equity</stp>
        <stp>IS_DILUTED_EPS</stp>
        <stp>FY 2017</stp>
        <stp>FY 2017</stp>
        <stp>[FA1_ymffleas.xlsx]Reconciliation!R44C10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44" s="12"/>
      </tp>
      <tp>
        <v>0.50639999999999996</v>
        <stp/>
        <stp>##V3_BDHV12</stp>
        <stp>RCOM IN Equity</stp>
        <stp>AVERAGE_PRICE_TO_SALES_RATIO</stp>
        <stp>FY 2017</stp>
        <stp>FY 2017</stp>
        <stp>[FA1_ymffleas.xlsx]Multiples!R22C10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2" s="6"/>
      </tp>
      <tp>
        <v>131500.9</v>
        <stp/>
        <stp>##V3_BDHV12</stp>
        <stp>RCOM IN Equity</stp>
        <stp>ARDR_CAPEX_AS_REPORTED</stp>
        <stp>FY 2009</stp>
        <stp>FY 2009</stp>
        <stp>[FA1_ymffleas.xlsx]Income - As Reported!R134C3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4" s="11"/>
      </tp>
      <tp>
        <v>48319.8</v>
        <stp/>
        <stp>##V3_BDHV12</stp>
        <stp>RCOM IN Equity</stp>
        <stp>ARDR_CAPEX_AS_REPORTED</stp>
        <stp>FY 2010</stp>
        <stp>FY 2010</stp>
        <stp>[FA1_ymffleas.xlsx]Income - As Reported!R134C4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4" s="11"/>
      </tp>
      <tp>
        <v>99600</v>
        <stp/>
        <stp>##V3_BDHV12</stp>
        <stp>RCOM IN Equity</stp>
        <stp>ARDR_CAPEX_AS_REPORTED</stp>
        <stp>FY 2011</stp>
        <stp>FY 2011</stp>
        <stp>[FA1_ymffleas.xlsx]Income - As Reported!R134C5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4" s="11"/>
      </tp>
      <tp>
        <v>58480</v>
        <stp/>
        <stp>##V3_BDHV12</stp>
        <stp>RCOM IN Equity</stp>
        <stp>ARDR_CAPEX_AS_REPORTED</stp>
        <stp>FY 2012</stp>
        <stp>FY 2012</stp>
        <stp>[FA1_ymffleas.xlsx]Income - As Reported!R134C6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4" s="11"/>
      </tp>
      <tp>
        <v>39210</v>
        <stp/>
        <stp>##V3_BDHV12</stp>
        <stp>RCOM IN Equity</stp>
        <stp>ARDR_CAPEX_AS_REPORTED</stp>
        <stp>FY 2013</stp>
        <stp>FY 2013</stp>
        <stp>[FA1_ymffleas.xlsx]Income - As Reported!R134C7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4" s="11"/>
      </tp>
      <tp>
        <v>33420</v>
        <stp/>
        <stp>##V3_BDHV12</stp>
        <stp>RCOM IN Equity</stp>
        <stp>ARDR_CAPEX_AS_REPORTED</stp>
        <stp>FY 2014</stp>
        <stp>FY 2014</stp>
        <stp>[FA1_ymffleas.xlsx]Income - As Reported!R134C8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4" s="11"/>
      </tp>
      <tp>
        <v>16150</v>
        <stp/>
        <stp>##V3_BDHV12</stp>
        <stp>RCOM IN Equity</stp>
        <stp>ARDR_CAPEX_AS_REPORTED</stp>
        <stp>FY 2015</stp>
        <stp>FY 2015</stp>
        <stp>[FA1_ymffleas.xlsx]Income - As Reported!R134C9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4" s="11"/>
      </tp>
      <tp>
        <v>368340</v>
        <stp/>
        <stp>##V3_BDHV12</stp>
        <stp>RCOM IN Equity</stp>
        <stp>ARDR_ASSETS_HELD_SALE</stp>
        <stp>FY 2018</stp>
        <stp>FY 2018</stp>
        <stp>[FA1_ymffleas.xlsx]Bal Sheet - As Reported!R65C12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5" s="17"/>
      </tp>
      <tp t="s">
        <v>—</v>
        <stp/>
        <stp>##V3_BDHV12</stp>
        <stp>RCOM IN Equity</stp>
        <stp>ARDR_ASSETS_HELD_SALE</stp>
        <stp>FY 2016</stp>
        <stp>FY 2016</stp>
        <stp>[FA1_ymffleas.xlsx]Bal Sheet - As Reported!R65C10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5" s="17"/>
      </tp>
      <tp t="s">
        <v>—</v>
        <stp/>
        <stp>##V3_BDHV12</stp>
        <stp>RCOM IN Equity</stp>
        <stp>ARDR_ASSETS_HELD_SALE</stp>
        <stp>FY 2017</stp>
        <stp>FY 2017</stp>
        <stp>[FA1_ymffleas.xlsx]Bal Sheet - As Reported!R65C11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5" s="17"/>
      </tp>
      <tp>
        <v>0.50649999999999995</v>
        <stp/>
        <stp>##V3_BDHV12</stp>
        <stp>RCOM IN Equity</stp>
        <stp>TRAIL_12M_EPS</stp>
        <stp>FY 2017</stp>
        <stp>FY 2017</stp>
        <stp>[FA1_ymffleas.xlsx]Addl - Overview!R17C10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7" s="29"/>
      </tp>
      <tp>
        <v>0.18970000000000001</v>
        <stp/>
        <stp>##V3_BDHV12</stp>
        <stp>RCOM IN Equity</stp>
        <stp>TRAIL_12M_EPS</stp>
        <stp>FY 2018</stp>
        <stp>FY 2018</stp>
        <stp>[FA1_ymffleas.xlsx]Addl - Overview!R17C11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7" s="29"/>
      </tp>
      <tp t="s">
        <v>—</v>
        <stp/>
        <stp>##V3_BDHV12</stp>
        <stp>RCOM IN Equity</stp>
        <stp>IS_DEPR_EXP</stp>
        <stp>FY 2018</stp>
        <stp>FY 2018</stp>
        <stp>[FA1_ymffleas.xlsx]Income - GAAP!R110C11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0" s="10"/>
      </tp>
      <tp t="s">
        <v>—</v>
        <stp/>
        <stp>##V3_BDHV12</stp>
        <stp>RCOM IN Equity</stp>
        <stp>IS_DEPR_EXP</stp>
        <stp>FY 2017</stp>
        <stp>FY 2017</stp>
        <stp>[FA1_ymffleas.xlsx]Income - GAAP!R110C10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0" s="10"/>
      </tp>
      <tp>
        <v>0</v>
        <stp/>
        <stp>##V3_BDHV12</stp>
        <stp>RCOM IN Equity</stp>
        <stp>CF_CASH_FOR_ACQUIS_SUBSIDIARIES</stp>
        <stp>FY 2010</stp>
        <stp>FY 2010</stp>
        <stp>[FA1_ymffleas.xlsx]Cash Flow - Standardized!R31C3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1" s="19"/>
      </tp>
      <tp>
        <v>0</v>
        <stp/>
        <stp>##V3_BDHV12</stp>
        <stp>RCOM IN Equity</stp>
        <stp>CF_CASH_FOR_ACQUIS_SUBSIDIARIES</stp>
        <stp>FY 2011</stp>
        <stp>FY 2011</stp>
        <stp>[FA1_ymffleas.xlsx]Cash Flow - Standardized!R31C4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1" s="19"/>
      </tp>
      <tp>
        <v>0</v>
        <stp/>
        <stp>##V3_BDHV12</stp>
        <stp>RCOM IN Equity</stp>
        <stp>CF_CASH_FOR_ACQUIS_SUBSIDIARIES</stp>
        <stp>FY 2012</stp>
        <stp>FY 2012</stp>
        <stp>[FA1_ymffleas.xlsx]Cash Flow - Standardized!R31C5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1" s="19"/>
      </tp>
      <tp>
        <v>0</v>
        <stp/>
        <stp>##V3_BDHV12</stp>
        <stp>RCOM IN Equity</stp>
        <stp>CF_CASH_FOR_ACQUIS_SUBSIDIARIES</stp>
        <stp>FY 2013</stp>
        <stp>FY 2013</stp>
        <stp>[FA1_ymffleas.xlsx]Cash Flow - Standardized!R31C6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1" s="19"/>
      </tp>
      <tp>
        <v>0</v>
        <stp/>
        <stp>##V3_BDHV12</stp>
        <stp>RCOM IN Equity</stp>
        <stp>CF_CASH_FOR_ACQUIS_SUBSIDIARIES</stp>
        <stp>FY 2014</stp>
        <stp>FY 2014</stp>
        <stp>[FA1_ymffleas.xlsx]Cash Flow - Standardized!R31C7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1" s="19"/>
      </tp>
      <tp>
        <v>0</v>
        <stp/>
        <stp>##V3_BDHV12</stp>
        <stp>RCOM IN Equity</stp>
        <stp>CF_CASH_FOR_ACQUIS_SUBSIDIARIES</stp>
        <stp>FY 2015</stp>
        <stp>FY 2015</stp>
        <stp>[FA1_ymffleas.xlsx]Cash Flow - Standardized!R31C8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1" s="19"/>
      </tp>
      <tp>
        <v>0</v>
        <stp/>
        <stp>##V3_BDHV12</stp>
        <stp>RCOM IN Equity</stp>
        <stp>CF_CASH_FOR_ACQUIS_SUBSIDIARIES</stp>
        <stp>FY 2016</stp>
        <stp>FY 2016</stp>
        <stp>[FA1_ymffleas.xlsx]Cash Flow - Standardized!R31C9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1" s="19"/>
      </tp>
      <tp>
        <v>72760</v>
        <stp/>
        <stp>##V3_BDHV12</stp>
        <stp>RCOM IN Equity</stp>
        <stp>EBITDA</stp>
        <stp>FY 2016</stp>
        <stp>FY 2016</stp>
        <stp>[FA1_ymffleas.xlsx]Earnings!R30C10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30" s="4"/>
      </tp>
      <tp>
        <v>46610</v>
        <stp/>
        <stp>##V3_BDHV12</stp>
        <stp>RCOM IN Equity</stp>
        <stp>EBITDA</stp>
        <stp>FY 2017</stp>
        <stp>FY 2017</stp>
        <stp>[FA1_ymffleas.xlsx]Earnings!R30C11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30" s="4"/>
      </tp>
      <tp t="s">
        <v>—</v>
        <stp/>
        <stp>##V3_BDHV12</stp>
        <stp>RCOM IN Equity</stp>
        <stp>CF_NET_CASH_DISCONTINUED_OPS_INV</stp>
        <stp>FY 2017</stp>
        <stp>FY 2017</stp>
        <stp>[FA1_ymffleas.xlsx]Cash Flow - Standardized!R34C10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4" s="19"/>
      </tp>
      <tp t="s">
        <v>—</v>
        <stp/>
        <stp>##V3_BDHV12</stp>
        <stp>RCOM IN Equity</stp>
        <stp>CF_NET_CASH_DISCONTINUED_OPS_INV</stp>
        <stp>FY 2018</stp>
        <stp>FY 2018</stp>
        <stp>[FA1_ymffleas.xlsx]Cash Flow - Standardized!R34C11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4" s="19"/>
      </tp>
      <tp>
        <v>31100</v>
        <stp/>
        <stp>##V3_BDHV12</stp>
        <stp>RCOM IN Equity</stp>
        <stp>EBITDA</stp>
        <stp>FY 2018</stp>
        <stp>FY 2018</stp>
        <stp>[FA1_ymffleas.xlsx]Earnings!R30C12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L30" s="4"/>
      </tp>
      <tp t="s">
        <v>—</v>
        <stp/>
        <stp>##V3_BDHV12</stp>
        <stp>RCOM IN Equity</stp>
        <stp>IS_GAIN_LOSS_ON_INVESTMENTS</stp>
        <stp>FY 2017</stp>
        <stp>FY 2017</stp>
        <stp>[FA1_ymffleas.xlsx]Reconciliation!R30C10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0" s="12"/>
      </tp>
      <tp t="s">
        <v>—</v>
        <stp/>
        <stp>##V3_BDHV12</stp>
        <stp>RCOM IN Equity</stp>
        <stp>IS_GAIN_LOSS_ON_INVESTMENTS</stp>
        <stp>FY 2018</stp>
        <stp>FY 2018</stp>
        <stp>[FA1_ymffleas.xlsx]Reconciliation!R30C11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0" s="12"/>
      </tp>
      <tp>
        <v>-2210</v>
        <stp/>
        <stp>##V3_BDHV12</stp>
        <stp>RCOM IN Equity</stp>
        <stp>ARD_CASH_PAID_FOR_TAXES</stp>
        <stp>FY 2017</stp>
        <stp>FY 2017</stp>
        <stp>[FA1_ymffleas.xlsx]Cash Flow - As Reported!R15C11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" s="20"/>
      </tp>
      <tp t="s">
        <v>—</v>
        <stp/>
        <stp>##V3_BDHV12</stp>
        <stp>RCOM IN Equity</stp>
        <stp>ARD_CASH_PAID_FOR_TAXES</stp>
        <stp>FY 2016</stp>
        <stp>FY 2016</stp>
        <stp>[FA1_ymffleas.xlsx]Cash Flow - As Reported!R15C10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" s="20"/>
      </tp>
      <tp>
        <v>-620</v>
        <stp/>
        <stp>##V3_BDHV12</stp>
        <stp>RCOM IN Equity</stp>
        <stp>ARD_CASH_PAID_FOR_TAXES</stp>
        <stp>FY 2018</stp>
        <stp>FY 2018</stp>
        <stp>[FA1_ymffleas.xlsx]Cash Flow - As Reported!R15C12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" s="20"/>
      </tp>
      <tp t="s">
        <v>—</v>
        <stp/>
        <stp>##V3_BDHV12</stp>
        <stp>RCOM IN Equity</stp>
        <stp>CF_NET_CASH_DISCONTINUED_OPS_FIN</stp>
        <stp>FY 2017</stp>
        <stp>FY 2017</stp>
        <stp>[FA1_ymffleas.xlsx]Cash Flow - Standardized!R47C10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7" s="19"/>
      </tp>
      <tp t="s">
        <v>—</v>
        <stp/>
        <stp>##V3_BDHV12</stp>
        <stp>RCOM IN Equity</stp>
        <stp>CF_NET_CASH_DISCONTINUED_OPS_FIN</stp>
        <stp>FY 2018</stp>
        <stp>FY 2018</stp>
        <stp>[FA1_ymffleas.xlsx]Cash Flow - Standardized!R47C11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7" s="19"/>
      </tp>
      <tp>
        <v>10</v>
        <stp/>
        <stp>##V3_BDHV12</stp>
        <stp>RCOM IN Equity</stp>
        <stp>ARDR_OTHER_FINL_ASSETS_LT</stp>
        <stp>FY 2016</stp>
        <stp>FY 2016</stp>
        <stp>[FA1_ymffleas.xlsx]Bal Sheet - As Reported!R171C10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1" s="17"/>
      </tp>
      <tp>
        <v>580</v>
        <stp/>
        <stp>##V3_BDHV12</stp>
        <stp>RCOM IN Equity</stp>
        <stp>ARDR_OTHER_FINL_ASSETS_LT</stp>
        <stp>FY 2017</stp>
        <stp>FY 2017</stp>
        <stp>[FA1_ymffleas.xlsx]Bal Sheet - As Reported!R171C11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1" s="17"/>
      </tp>
      <tp>
        <v>130</v>
        <stp/>
        <stp>##V3_BDHV12</stp>
        <stp>RCOM IN Equity</stp>
        <stp>ARDR_OTHER_FINL_ASSETS_LT</stp>
        <stp>FY 2018</stp>
        <stp>FY 2018</stp>
        <stp>[FA1_ymffleas.xlsx]Bal Sheet - As Reported!R171C12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1" s="17"/>
      </tp>
      <tp>
        <v>1030</v>
        <stp/>
        <stp>##V3_BDHV12</stp>
        <stp>RCOM IN Equity</stp>
        <stp>ARDR_OTHER_FINL_ASSETS_ST</stp>
        <stp>FY 2017</stp>
        <stp>FY 2017</stp>
        <stp>[FA1_ymffleas.xlsx]Bal Sheet - As Reported!R157C11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57" s="17"/>
      </tp>
      <tp>
        <v>110</v>
        <stp/>
        <stp>##V3_BDHV12</stp>
        <stp>RCOM IN Equity</stp>
        <stp>ARDR_OTHER_FINL_ASSETS_ST</stp>
        <stp>FY 2016</stp>
        <stp>FY 2016</stp>
        <stp>[FA1_ymffleas.xlsx]Bal Sheet - As Reported!R157C10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57" s="17"/>
      </tp>
      <tp>
        <v>710</v>
        <stp/>
        <stp>##V3_BDHV12</stp>
        <stp>RCOM IN Equity</stp>
        <stp>ARDR_OTHER_FINL_ASSETS_ST</stp>
        <stp>FY 2018</stp>
        <stp>FY 2018</stp>
        <stp>[FA1_ymffleas.xlsx]Bal Sheet - As Reported!R157C12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57" s="17"/>
      </tp>
      <tp>
        <v>0</v>
        <stp/>
        <stp>##V3_BDHV12</stp>
        <stp>RCOM IN Equity</stp>
        <stp>CF_CASH_FOR_JOINT_VENTURES_ASSOC</stp>
        <stp>FY 2018</stp>
        <stp>FY 2018</stp>
        <stp>[FA1_ymffleas.xlsx]Cash Flow - Standardized!R32C11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2" s="19"/>
      </tp>
      <tp>
        <v>0</v>
        <stp/>
        <stp>##V3_BDHV12</stp>
        <stp>RCOM IN Equity</stp>
        <stp>CF_CASH_FOR_JOINT_VENTURES_ASSOC</stp>
        <stp>FY 2017</stp>
        <stp>FY 2017</stp>
        <stp>[FA1_ymffleas.xlsx]Cash Flow - Standardized!R32C10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2" s="19"/>
      </tp>
      <tp>
        <v>6.1497999999999999</v>
        <stp/>
        <stp>##V3_BDHV12</stp>
        <stp>RCOM IN Equity</stp>
        <stp>EBITDA_TO_CASH_INTEREST_PAID</stp>
        <stp>FY 2011</stp>
        <stp>FY 2011</stp>
        <stp>[FA1_ymffleas.xlsx]Credit!R20C5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0" s="23"/>
      </tp>
      <tp t="s">
        <v>—</v>
        <stp/>
        <stp>##V3_BDHV12</stp>
        <stp>RCOM IN Equity</stp>
        <stp>CF_TO_FIRM_SEQUENTIAL_GROWTH</stp>
        <stp>FY 2013</stp>
        <stp>FY 2013</stp>
        <stp>[FA1_ymffleas.xlsx]Growth!R86C7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86" s="22"/>
      </tp>
      <tp t="s">
        <v>—</v>
        <stp/>
        <stp>##V3_BDHV12</stp>
        <stp>RCOM IN Equity</stp>
        <stp>EV_TO_T12M_FREE_CASH_FLOW_FIRM</stp>
        <stp>FY 2016</stp>
        <stp>FY 2016</stp>
        <stp>[FA1_ymffleas.xlsx]Enterprise Value!R21C9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1" s="5"/>
      </tp>
      <tp>
        <v>38.299999999999997</v>
        <stp/>
        <stp>##V3_BDHV12</stp>
        <stp>RCOM IN Equity</stp>
        <stp>PX_OPEN</stp>
        <stp>FY 2018</stp>
        <stp>FY 2018</stp>
        <stp>[FA1_ymffleas.xlsx]Stock Value!R8C11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" s="8"/>
      </tp>
      <tp>
        <v>49.9</v>
        <stp/>
        <stp>##V3_BDHV12</stp>
        <stp>RCOM IN Equity</stp>
        <stp>PX_OPEN</stp>
        <stp>FY 2017</stp>
        <stp>FY 2017</stp>
        <stp>[FA1_ymffleas.xlsx]Stock Value!R8C10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" s="8"/>
      </tp>
      <tp>
        <v>31480</v>
        <stp/>
        <stp>##V3_BDHV12</stp>
        <stp>RCOM IN Equity</stp>
        <stp>T12_CFF</stp>
        <stp>FY 2017</stp>
        <stp>FY 2017</stp>
        <stp>[FA1_ymffleas.xlsx]Yield Analysis!R41C11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41" s="26"/>
      </tp>
      <tp>
        <v>4360</v>
        <stp/>
        <stp>##V3_BDHV12</stp>
        <stp>RCOM IN Equity</stp>
        <stp>T12_CFF</stp>
        <stp>FY 2016</stp>
        <stp>FY 2016</stp>
        <stp>[FA1_ymffleas.xlsx]Yield Analysis!R41C10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41" s="26"/>
      </tp>
      <tp>
        <v>5590</v>
        <stp/>
        <stp>##V3_BDHV12</stp>
        <stp>RCOM IN Equity</stp>
        <stp>T12_CFF</stp>
        <stp>FY 2018</stp>
        <stp>FY 2018</stp>
        <stp>[FA1_ymffleas.xlsx]Yield Analysis!R41C12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41" s="26"/>
      </tp>
      <tp>
        <v>4360</v>
        <stp/>
        <stp>##V3_BDHV12</stp>
        <stp>RCOM IN Equity</stp>
        <stp>T12_CFF</stp>
        <stp>FY 2016</stp>
        <stp>FY 2016</stp>
        <stp>[FA1_ymffleas.xlsx]Yield Analysis!R18C10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" s="26"/>
      </tp>
      <tp>
        <v>31480</v>
        <stp/>
        <stp>##V3_BDHV12</stp>
        <stp>RCOM IN Equity</stp>
        <stp>T12_CFF</stp>
        <stp>FY 2017</stp>
        <stp>FY 2017</stp>
        <stp>[FA1_ymffleas.xlsx]Yield Analysis!R18C11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" s="26"/>
      </tp>
      <tp>
        <v>5590</v>
        <stp/>
        <stp>##V3_BDHV12</stp>
        <stp>RCOM IN Equity</stp>
        <stp>T12_CFF</stp>
        <stp>FY 2018</stp>
        <stp>FY 2018</stp>
        <stp>[FA1_ymffleas.xlsx]Yield Analysis!R18C12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" s="26"/>
      </tp>
      <tp t="s">
        <v>—</v>
        <stp/>
        <stp>##V3_BDHV12</stp>
        <stp>RCOM IN Equity</stp>
        <stp>IS_EXPORT_SALES</stp>
        <stp>FY 2010</stp>
        <stp>FY 2010</stp>
        <stp>[FA1_ymffleas.xlsx]Income - Adjusted!R131C3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1" s="9"/>
      </tp>
      <tp t="s">
        <v>—</v>
        <stp/>
        <stp>##V3_BDHV12</stp>
        <stp>RCOM IN Equity</stp>
        <stp>IS_EXPORT_SALES</stp>
        <stp>FY 2011</stp>
        <stp>FY 2011</stp>
        <stp>[FA1_ymffleas.xlsx]Income - Adjusted!R131C4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1" s="9"/>
      </tp>
      <tp>
        <v>9990</v>
        <stp/>
        <stp>##V3_BDHV12</stp>
        <stp>RCOM IN Equity</stp>
        <stp>IS_EXPORT_SALES</stp>
        <stp>FY 2012</stp>
        <stp>FY 2012</stp>
        <stp>[FA1_ymffleas.xlsx]Income - Adjusted!R131C5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1" s="9"/>
      </tp>
      <tp t="s">
        <v>—</v>
        <stp/>
        <stp>##V3_BDHV12</stp>
        <stp>RCOM IN Equity</stp>
        <stp>IS_EXPORT_SALES</stp>
        <stp>FY 2013</stp>
        <stp>FY 2013</stp>
        <stp>[FA1_ymffleas.xlsx]Income - Adjusted!R131C6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1" s="9"/>
      </tp>
      <tp t="s">
        <v>—</v>
        <stp/>
        <stp>##V3_BDHV12</stp>
        <stp>RCOM IN Equity</stp>
        <stp>IS_EXPORT_SALES</stp>
        <stp>FY 2014</stp>
        <stp>FY 2014</stp>
        <stp>[FA1_ymffleas.xlsx]Income - Adjusted!R131C7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1" s="9"/>
      </tp>
      <tp t="s">
        <v>—</v>
        <stp/>
        <stp>##V3_BDHV12</stp>
        <stp>RCOM IN Equity</stp>
        <stp>IS_EXPORT_SALES</stp>
        <stp>FY 2015</stp>
        <stp>FY 2015</stp>
        <stp>[FA1_ymffleas.xlsx]Income - Adjusted!R131C8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1" s="9"/>
      </tp>
      <tp t="s">
        <v>—</v>
        <stp/>
        <stp>##V3_BDHV12</stp>
        <stp>RCOM IN Equity</stp>
        <stp>IS_EXPORT_SALES</stp>
        <stp>FY 2016</stp>
        <stp>FY 2016</stp>
        <stp>[FA1_ymffleas.xlsx]Income - Adjusted!R131C9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1" s="9"/>
      </tp>
      <tp>
        <v>-30</v>
        <stp/>
        <stp>##V3_BDHV12</stp>
        <stp>RCOM IN Equity</stp>
        <stp>ARD_PROF_BEFORE_TAX_MINORITY_INT</stp>
        <stp>FY 2018</stp>
        <stp>FY 2018</stp>
        <stp>[FA1_ymffleas.xlsx]Cash Flow - As Reported!R32C12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2" s="20"/>
      </tp>
      <tp>
        <v>1550</v>
        <stp/>
        <stp>##V3_BDHV12</stp>
        <stp>RCOM IN Equity</stp>
        <stp>ARD_PROF_BEFORE_TAX_MINORITY_INT</stp>
        <stp>FY 2017</stp>
        <stp>FY 2017</stp>
        <stp>[FA1_ymffleas.xlsx]Cash Flow - As Reported!R32C11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2" s="20"/>
      </tp>
      <tp>
        <v>2320</v>
        <stp/>
        <stp>##V3_BDHV12</stp>
        <stp>RCOM IN Equity</stp>
        <stp>ARD_PROF_BEFORE_TAX_MINORITY_INT</stp>
        <stp>FY 2016</stp>
        <stp>FY 2016</stp>
        <stp>[FA1_ymffleas.xlsx]Cash Flow - As Reported!R32C10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2" s="20"/>
      </tp>
      <tp t="s">
        <v>—</v>
        <stp/>
        <stp>##V3_BDHV12</stp>
        <stp>RCOM IN Equity</stp>
        <stp>5_YEAR_AVERAGE_ADJUSTED_ROE</stp>
        <stp>FY 2012</stp>
        <stp>FY 2012</stp>
        <stp>[FA1_ymffleas.xlsx]DuPont Analysis!R21C6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1" s="27"/>
      </tp>
      <tp>
        <v>65.668899999999994</v>
        <stp/>
        <stp>##V3_BDHV12</stp>
        <stp>RCOM IN Equity</stp>
        <stp>NET_DEBT_TO_SHRHLDR_EQTY</stp>
        <stp>FY 2009</stp>
        <stp>FY 2009</stp>
        <stp>[FA1_ymffleas.xlsx]Bal Sheet - Standardized!R168C3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8" s="16"/>
      </tp>
      <tp>
        <v>19.772300000000001</v>
        <stp/>
        <stp>##V3_BDHV12</stp>
        <stp>RCOM IN Equity</stp>
        <stp>ACCT_RCV_DAYS</stp>
        <stp>FY 2015</stp>
        <stp>FY 2015</stp>
        <stp>[FA1_ymffleas.xlsx]Working Capital!R7C9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7" s="25"/>
      </tp>
      <tp>
        <v>100.2099</v>
        <stp/>
        <stp>##V3_BDHV12</stp>
        <stp>RCOM IN Equity</stp>
        <stp>NET_DEBT_TO_SHRHLDR_EQTY</stp>
        <stp>FY 2012</stp>
        <stp>FY 2012</stp>
        <stp>[FA1_ymffleas.xlsx]Bal Sheet - Standardized!R168C6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8" s="16"/>
      </tp>
      <tp>
        <v>116.45699999999999</v>
        <stp/>
        <stp>##V3_BDHV12</stp>
        <stp>RCOM IN Equity</stp>
        <stp>NET_DEBT_TO_SHRHLDR_EQTY</stp>
        <stp>FY 2013</stp>
        <stp>FY 2013</stp>
        <stp>[FA1_ymffleas.xlsx]Bal Sheet - Standardized!R168C7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8" s="16"/>
      </tp>
      <tp>
        <v>3450</v>
        <stp/>
        <stp>##V3_BDHV12</stp>
        <stp>RCOM IN Equity</stp>
        <stp>ARDR_OTHER_PROV_FOR_LIAB_CHARGES</stp>
        <stp>FY 2017</stp>
        <stp>FY 2017</stp>
        <stp>[FA1_ymffleas.xlsx]Bal Sheet - As Reported!R149C11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9" s="17"/>
      </tp>
      <tp>
        <v>3270</v>
        <stp/>
        <stp>##V3_BDHV12</stp>
        <stp>RCOM IN Equity</stp>
        <stp>ARDR_OTHER_PROV_FOR_LIAB_CHARGES</stp>
        <stp>FY 2016</stp>
        <stp>FY 2016</stp>
        <stp>[FA1_ymffleas.xlsx]Bal Sheet - As Reported!R149C10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9" s="17"/>
      </tp>
      <tp>
        <v>3710</v>
        <stp/>
        <stp>##V3_BDHV12</stp>
        <stp>RCOM IN Equity</stp>
        <stp>ARDR_OTHER_PROV_FOR_LIAB_CHARGES</stp>
        <stp>FY 2018</stp>
        <stp>FY 2018</stp>
        <stp>[FA1_ymffleas.xlsx]Bal Sheet - As Reported!R149C12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9" s="17"/>
      </tp>
      <tp>
        <v>56.468600000000002</v>
        <stp/>
        <stp>##V3_BDHV12</stp>
        <stp>RCOM IN Equity</stp>
        <stp>NET_DEBT_TO_SHRHLDR_EQTY</stp>
        <stp>FY 2010</stp>
        <stp>FY 2010</stp>
        <stp>[FA1_ymffleas.xlsx]Bal Sheet - Standardized!R168C4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8" s="16"/>
      </tp>
      <tp>
        <v>81.680899999999994</v>
        <stp/>
        <stp>##V3_BDHV12</stp>
        <stp>RCOM IN Equity</stp>
        <stp>NET_DEBT_TO_SHRHLDR_EQTY</stp>
        <stp>FY 2011</stp>
        <stp>FY 2011</stp>
        <stp>[FA1_ymffleas.xlsx]Bal Sheet - Standardized!R168C5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8" s="16"/>
      </tp>
      <tp>
        <v>2488.9796999999999</v>
        <stp/>
        <stp>##V3_BDHV12</stp>
        <stp>RCOM IN Equity</stp>
        <stp>BS_SH_OUT</stp>
        <stp>FY 2017</stp>
        <stp>FY 2017</stp>
        <stp>[FA1_ymffleas.xlsx]Per Share!R6C10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" s="7"/>
      </tp>
      <tp>
        <v>2765.5331000000001</v>
        <stp/>
        <stp>##V3_BDHV12</stp>
        <stp>RCOM IN Equity</stp>
        <stp>BS_SH_OUT</stp>
        <stp>FY 2018</stp>
        <stp>FY 2018</stp>
        <stp>[FA1_ymffleas.xlsx]Per Share!R6C11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" s="7"/>
      </tp>
      <tp>
        <v>15280</v>
        <stp/>
        <stp>##V3_BDHV12</stp>
        <stp>RCOM IN Equity</stp>
        <stp>IS_DISCONTINUED_OPERATIONS</stp>
        <stp>FY 2017</stp>
        <stp>FY 2017</stp>
        <stp>[FA1_ymffleas.xlsx]Reconciliation!R35C10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5" s="12"/>
      </tp>
      <tp>
        <v>238880</v>
        <stp/>
        <stp>##V3_BDHV12</stp>
        <stp>RCOM IN Equity</stp>
        <stp>IS_DISCONTINUED_OPERATIONS</stp>
        <stp>FY 2018</stp>
        <stp>FY 2018</stp>
        <stp>[FA1_ymffleas.xlsx]Reconciliation!R35C11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5" s="12"/>
      </tp>
      <tp>
        <v>122.71980000000001</v>
        <stp/>
        <stp>##V3_BDHV12</stp>
        <stp>RCOM IN Equity</stp>
        <stp>NET_DEBT_TO_SHRHLDR_EQTY</stp>
        <stp>FY 2014</stp>
        <stp>FY 2014</stp>
        <stp>[FA1_ymffleas.xlsx]Bal Sheet - Standardized!R168C8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8" s="16"/>
      </tp>
      <tp t="s">
        <v>—</v>
        <stp/>
        <stp>##V3_BDHV12</stp>
        <stp>RCOM IN Equity</stp>
        <stp>CASH_FLOW_TO_FIRM_1_YEAR_GROWTH</stp>
        <stp>FY 2015</stp>
        <stp>FY 2015</stp>
        <stp>[FA1_ymffleas.xlsx]Growth!R33C9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33" s="22"/>
      </tp>
      <tp>
        <v>96.977699999999999</v>
        <stp/>
        <stp>##V3_BDHV12</stp>
        <stp>RCOM IN Equity</stp>
        <stp>NET_DEBT_TO_SHRHLDR_EQTY</stp>
        <stp>FY 2015</stp>
        <stp>FY 2015</stp>
        <stp>[FA1_ymffleas.xlsx]Bal Sheet - Standardized!R168C9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8" s="16"/>
      </tp>
      <tp>
        <v>-92.296599999999998</v>
        <stp/>
        <stp>##V3_BDHV12</stp>
        <stp>RCOM IN Equity</stp>
        <stp>IS_DILUTED_EPS</stp>
        <stp>FY 2018</stp>
        <stp>FY 2018</stp>
        <stp>[FA1_ymffleas.xlsx]Reconciliation!R44C11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44" s="12"/>
      </tp>
      <tp t="s">
        <v>—</v>
        <stp/>
        <stp>##V3_BDHV12</stp>
        <stp>RCOM IN Equity</stp>
        <stp>ARDR_STATUTORY_CAPITAL</stp>
        <stp>FY 2016</stp>
        <stp>FY 2016</stp>
        <stp>[FA1_ymffleas.xlsx]Bal Sheet - As Reported!R127C10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7" s="17"/>
      </tp>
      <tp t="s">
        <v>—</v>
        <stp/>
        <stp>##V3_BDHV12</stp>
        <stp>RCOM IN Equity</stp>
        <stp>ARDR_STATUTORY_CAPITAL</stp>
        <stp>FY 2017</stp>
        <stp>FY 2017</stp>
        <stp>[FA1_ymffleas.xlsx]Bal Sheet - As Reported!R127C11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7" s="17"/>
      </tp>
      <tp t="s">
        <v>—</v>
        <stp/>
        <stp>##V3_BDHV12</stp>
        <stp>RCOM IN Equity</stp>
        <stp>ARDR_STATUTORY_CAPITAL</stp>
        <stp>FY 2018</stp>
        <stp>FY 2018</stp>
        <stp>[FA1_ymffleas.xlsx]Bal Sheet - As Reported!R127C12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7" s="17"/>
      </tp>
      <tp>
        <v>27.752299999999998</v>
        <stp/>
        <stp>##V3_BDHV12</stp>
        <stp>RCOM IN Equity</stp>
        <stp>EBITDA_GROWTH</stp>
        <stp>FY 2009</stp>
        <stp>FY 2009</stp>
        <stp>[FA1_ymffleas.xlsx]Growth!R8C3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8" s="22"/>
      </tp>
      <tp>
        <v>0.88539999999999996</v>
        <stp/>
        <stp>##V3_BDHV12</stp>
        <stp>RCOM IN Equity</stp>
        <stp>AVERAGE_PRICE_TO_SALES_RATIO</stp>
        <stp>FY 2018</stp>
        <stp>FY 2018</stp>
        <stp>[FA1_ymffleas.xlsx]Multiples!R22C11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2" s="6"/>
      </tp>
      <tp t="s">
        <v>—</v>
        <stp/>
        <stp>##V3_BDHV12</stp>
        <stp>RCOM IN Equity</stp>
        <stp>CASH_CONVERSION_CYCLE</stp>
        <stp>FY 2009</stp>
        <stp>FY 2009</stp>
        <stp>[FA1_ymffleas.xlsx]Working Capital!R13C3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3" s="25"/>
      </tp>
      <tp>
        <v>4</v>
        <stp/>
        <stp>##V3_BDHV12</stp>
        <stp>RCOM IN Equity</stp>
        <stp>INDEPENDENT_DIRECTORS</stp>
        <stp>FY 2014</stp>
        <stp>FY 2014</stp>
        <stp>[FA1_ymffleas.xlsx]ESG - Overview!R23C8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3" s="34"/>
      </tp>
      <tp>
        <v>4</v>
        <stp/>
        <stp>##V3_BDHV12</stp>
        <stp>RCOM IN Equity</stp>
        <stp>INDEPENDENT_DIRECTORS</stp>
        <stp>FY 2015</stp>
        <stp>FY 2015</stp>
        <stp>[FA1_ymffleas.xlsx]ESG - Overview!R23C9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3" s="34"/>
      </tp>
      <tp>
        <v>-33.2761</v>
        <stp/>
        <stp>##V3_BDHV12</stp>
        <stp>RCOM IN Equity</stp>
        <stp>EBITDA_SEQUENTIAL_GROWTH</stp>
        <stp>FY 2018</stp>
        <stp>FY 2018</stp>
        <stp>[FA1_ymffleas.xlsx]Growth!R61C12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61" s="22"/>
      </tp>
      <tp>
        <v>4</v>
        <stp/>
        <stp>##V3_BDHV12</stp>
        <stp>RCOM IN Equity</stp>
        <stp>INDEPENDENT_DIRECTORS</stp>
        <stp>FY 2010</stp>
        <stp>FY 2010</stp>
        <stp>[FA1_ymffleas.xlsx]ESG - Overview!R23C4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3" s="34"/>
      </tp>
      <tp>
        <v>4</v>
        <stp/>
        <stp>##V3_BDHV12</stp>
        <stp>RCOM IN Equity</stp>
        <stp>INDEPENDENT_DIRECTORS</stp>
        <stp>FY 2011</stp>
        <stp>FY 2011</stp>
        <stp>[FA1_ymffleas.xlsx]ESG - Overview!R23C5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3" s="34"/>
      </tp>
      <tp>
        <v>4</v>
        <stp/>
        <stp>##V3_BDHV12</stp>
        <stp>RCOM IN Equity</stp>
        <stp>INDEPENDENT_DIRECTORS</stp>
        <stp>FY 2012</stp>
        <stp>FY 2012</stp>
        <stp>[FA1_ymffleas.xlsx]ESG - Overview!R23C6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3" s="34"/>
      </tp>
      <tp>
        <v>4</v>
        <stp/>
        <stp>##V3_BDHV12</stp>
        <stp>RCOM IN Equity</stp>
        <stp>INDEPENDENT_DIRECTORS</stp>
        <stp>FY 2013</stp>
        <stp>FY 2013</stp>
        <stp>[FA1_ymffleas.xlsx]ESG - Overview!R23C7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3" s="34"/>
      </tp>
      <tp>
        <v>4</v>
        <stp/>
        <stp>##V3_BDHV12</stp>
        <stp>RCOM IN Equity</stp>
        <stp>INDEPENDENT_DIRECTORS</stp>
        <stp>FY 2009</stp>
        <stp>FY 2009</stp>
        <stp>[FA1_ymffleas.xlsx]ESG - Overview!R23C3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3" s="34"/>
      </tp>
      <tp>
        <v>38880</v>
        <stp/>
        <stp>##V3_BDHV12</stp>
        <stp>RCOM IN Equity</stp>
        <stp>ARDR_DEFERRED_TAX_LIAB_LT</stp>
        <stp>FY 2016</stp>
        <stp>FY 2016</stp>
        <stp>[FA1_ymffleas.xlsx]Bal Sheet - As Reported!R108C10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8" s="17"/>
      </tp>
      <tp>
        <v>45500</v>
        <stp/>
        <stp>##V3_BDHV12</stp>
        <stp>RCOM IN Equity</stp>
        <stp>ARDR_DEFERRED_TAX_LIAB_LT</stp>
        <stp>FY 2017</stp>
        <stp>FY 2017</stp>
        <stp>[FA1_ymffleas.xlsx]Bal Sheet - As Reported!R108C11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8" s="17"/>
      </tp>
      <tp>
        <v>25170</v>
        <stp/>
        <stp>##V3_BDHV12</stp>
        <stp>RCOM IN Equity</stp>
        <stp>ARDR_DEFERRED_TAX_LIAB_LT</stp>
        <stp>FY 2018</stp>
        <stp>FY 2018</stp>
        <stp>[FA1_ymffleas.xlsx]Bal Sheet - As Reported!R108C12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08" s="17"/>
      </tp>
      <tp>
        <v>-5.8353999999999999</v>
        <stp/>
        <stp>##V3_BDHV12</stp>
        <stp>RCOM IN Equity</stp>
        <stp>IS_COMPREHENSIVE_INCOME_PER_SHR</stp>
        <stp>FY 2017</stp>
        <stp>FY 2017</stp>
        <stp>[FA1_ymffleas.xlsx]Comprehensive Income!R14C10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4" s="33"/>
      </tp>
      <tp>
        <v>92.463099999999997</v>
        <stp/>
        <stp>##V3_BDHV12</stp>
        <stp>RCOM IN Equity</stp>
        <stp>IS_COMPREHENSIVE_INCOME_PER_SHR</stp>
        <stp>FY 2018</stp>
        <stp>FY 2018</stp>
        <stp>[FA1_ymffleas.xlsx]Comprehensive Income!R14C11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4" s="33"/>
      </tp>
      <tp t="s">
        <v>—</v>
        <stp/>
        <stp>##V3_BDHV12</stp>
        <stp>RCOM IN Equity</stp>
        <stp>ARDR_DEFERRED_UNEARNED_REV_LT</stp>
        <stp>FY 2016</stp>
        <stp>FY 2016</stp>
        <stp>[FA1_ymffleas.xlsx]Bal Sheet - As Reported!R92C10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2" s="17"/>
      </tp>
      <tp t="s">
        <v>—</v>
        <stp/>
        <stp>##V3_BDHV12</stp>
        <stp>RCOM IN Equity</stp>
        <stp>ARDR_DEFERRED_UNEARNED_REV_LT</stp>
        <stp>FY 2017</stp>
        <stp>FY 2017</stp>
        <stp>[FA1_ymffleas.xlsx]Bal Sheet - As Reported!R92C11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2" s="17"/>
      </tp>
      <tp t="s">
        <v>—</v>
        <stp/>
        <stp>##V3_BDHV12</stp>
        <stp>RCOM IN Equity</stp>
        <stp>ARDR_DEFERRED_UNEARNED_REV_LT</stp>
        <stp>FY 2018</stp>
        <stp>FY 2018</stp>
        <stp>[FA1_ymffleas.xlsx]Bal Sheet - As Reported!R92C12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2" s="17"/>
      </tp>
      <tp>
        <v>0</v>
        <stp/>
        <stp>##V3_BDHV12</stp>
        <stp>RCOM IN Equity</stp>
        <stp>ARDR_CASH_ON_HAND</stp>
        <stp>FY 2018</stp>
        <stp>FY 2018</stp>
        <stp>[FA1_ymffleas.xlsx]Bal Sheet - As Reported!R164C12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4" s="17"/>
      </tp>
      <tp>
        <v>0</v>
        <stp/>
        <stp>##V3_BDHV12</stp>
        <stp>RCOM IN Equity</stp>
        <stp>ARDR_CASH_ON_HAND</stp>
        <stp>FY 2016</stp>
        <stp>FY 2016</stp>
        <stp>[FA1_ymffleas.xlsx]Bal Sheet - As Reported!R164C10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4" s="17"/>
      </tp>
      <tp>
        <v>0</v>
        <stp/>
        <stp>##V3_BDHV12</stp>
        <stp>RCOM IN Equity</stp>
        <stp>ARDR_CASH_ON_HAND</stp>
        <stp>FY 2017</stp>
        <stp>FY 2017</stp>
        <stp>[FA1_ymffleas.xlsx]Bal Sheet - As Reported!R164C11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4" s="17"/>
      </tp>
      <tp>
        <v>17.0077</v>
        <stp/>
        <stp>##V3_BDHV12</stp>
        <stp>RCOM IN Equity</stp>
        <stp>EV_TO_T12M_EBITDA</stp>
        <stp>FY 2018</stp>
        <stp>FY 2018</stp>
        <stp>[FA1_ymffleas.xlsx]Multiples!R41C11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41" s="6"/>
      </tp>
      <tp>
        <v>0</v>
        <stp/>
        <stp>##V3_BDHV12</stp>
        <stp>RCOM IN Equity</stp>
        <stp>CF_NET_CASH_DISCONTINUED_OPS_FIN</stp>
        <stp>FY 2010</stp>
        <stp>FY 2010</stp>
        <stp>[FA1_ymffleas.xlsx]Cash Flow - Standardized!R47C3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7" s="19"/>
      </tp>
      <tp>
        <v>0</v>
        <stp/>
        <stp>##V3_BDHV12</stp>
        <stp>RCOM IN Equity</stp>
        <stp>CF_NET_CASH_DISCONTINUED_OPS_FIN</stp>
        <stp>FY 2012</stp>
        <stp>FY 2012</stp>
        <stp>[FA1_ymffleas.xlsx]Cash Flow - Standardized!R47C5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7" s="19"/>
      </tp>
      <tp>
        <v>0</v>
        <stp/>
        <stp>##V3_BDHV12</stp>
        <stp>RCOM IN Equity</stp>
        <stp>CF_NET_CASH_DISCONTINUED_OPS_FIN</stp>
        <stp>FY 2011</stp>
        <stp>FY 2011</stp>
        <stp>[FA1_ymffleas.xlsx]Cash Flow - Standardized!R47C4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7" s="19"/>
      </tp>
      <tp>
        <v>0</v>
        <stp/>
        <stp>##V3_BDHV12</stp>
        <stp>RCOM IN Equity</stp>
        <stp>CF_NET_CASH_DISCONTINUED_OPS_FIN</stp>
        <stp>FY 2014</stp>
        <stp>FY 2014</stp>
        <stp>[FA1_ymffleas.xlsx]Cash Flow - Standardized!R47C7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7" s="19"/>
      </tp>
      <tp>
        <v>0</v>
        <stp/>
        <stp>##V3_BDHV12</stp>
        <stp>RCOM IN Equity</stp>
        <stp>CF_NET_CASH_DISCONTINUED_OPS_FIN</stp>
        <stp>FY 2013</stp>
        <stp>FY 2013</stp>
        <stp>[FA1_ymffleas.xlsx]Cash Flow - Standardized!R47C6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7" s="19"/>
      </tp>
      <tp>
        <v>0</v>
        <stp/>
        <stp>##V3_BDHV12</stp>
        <stp>RCOM IN Equity</stp>
        <stp>CF_NET_CASH_DISCONTINUED_OPS_FIN</stp>
        <stp>FY 2016</stp>
        <stp>FY 2016</stp>
        <stp>[FA1_ymffleas.xlsx]Cash Flow - Standardized!R47C9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7" s="19"/>
      </tp>
      <tp>
        <v>0</v>
        <stp/>
        <stp>##V3_BDHV12</stp>
        <stp>RCOM IN Equity</stp>
        <stp>CF_NET_CASH_DISCONTINUED_OPS_FIN</stp>
        <stp>FY 2015</stp>
        <stp>FY 2015</stp>
        <stp>[FA1_ymffleas.xlsx]Cash Flow - Standardized!R47C8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7" s="19"/>
      </tp>
      <tp>
        <v>-24.695699999999999</v>
        <stp/>
        <stp>##V3_BDHV12</stp>
        <stp>RCOM IN Equity</stp>
        <stp>GEO_GROW_OPER_INC</stp>
        <stp>FY 2017</stp>
        <stp>FY 2017</stp>
        <stp>[FA1_ymffleas.xlsx]Growth!R38C11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38" s="22"/>
      </tp>
      <tp>
        <v>-19.617000000000001</v>
        <stp/>
        <stp>##V3_BDHV12</stp>
        <stp>RCOM IN Equity</stp>
        <stp>IS_SALE_OF_INVESTMENTS_AFTER_TAX</stp>
        <stp>FY 2016</stp>
        <stp>FY 2016</stp>
        <stp>[FA1_ymffleas.xlsx]Reconciliation!R40C9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0" s="12"/>
      </tp>
      <tp>
        <v>-196.17</v>
        <stp/>
        <stp>##V3_BDHV12</stp>
        <stp>RCOM IN Equity</stp>
        <stp>IS_SALE_OF_INVESTMENTS_AFTER_TAX</stp>
        <stp>FY 2015</stp>
        <stp>FY 2015</stp>
        <stp>[FA1_ymffleas.xlsx]Reconciliation!R40C8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0" s="12"/>
      </tp>
      <tp>
        <v>-155.36500000000001</v>
        <stp/>
        <stp>##V3_BDHV12</stp>
        <stp>RCOM IN Equity</stp>
        <stp>IS_SALE_OF_INVESTMENTS_AFTER_TAX</stp>
        <stp>FY 2012</stp>
        <stp>FY 2012</stp>
        <stp>[FA1_ymffleas.xlsx]Reconciliation!R40C5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0" s="12"/>
      </tp>
      <tp>
        <v>-385.09199999999998</v>
        <stp/>
        <stp>##V3_BDHV12</stp>
        <stp>RCOM IN Equity</stp>
        <stp>IS_SALE_OF_INVESTMENTS_AFTER_TAX</stp>
        <stp>FY 2011</stp>
        <stp>FY 2011</stp>
        <stp>[FA1_ymffleas.xlsx]Reconciliation!R40C4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0" s="12"/>
      </tp>
      <tp>
        <v>-59.408999999999999</v>
        <stp/>
        <stp>##V3_BDHV12</stp>
        <stp>RCOM IN Equity</stp>
        <stp>IS_SALE_OF_INVESTMENTS_AFTER_TAX</stp>
        <stp>FY 2014</stp>
        <stp>FY 2014</stp>
        <stp>[FA1_ymffleas.xlsx]Reconciliation!R40C7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0" s="12"/>
      </tp>
      <tp>
        <v>-231.035</v>
        <stp/>
        <stp>##V3_BDHV12</stp>
        <stp>RCOM IN Equity</stp>
        <stp>IS_SALE_OF_INVESTMENTS_AFTER_TAX</stp>
        <stp>FY 2013</stp>
        <stp>FY 2013</stp>
        <stp>[FA1_ymffleas.xlsx]Reconciliation!R40C6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0" s="12"/>
      </tp>
      <tp>
        <v>-1382.8434999999999</v>
        <stp/>
        <stp>##V3_BDHV12</stp>
        <stp>RCOM IN Equity</stp>
        <stp>IS_SALE_OF_INVESTMENTS_AFTER_TAX</stp>
        <stp>FY 2010</stp>
        <stp>FY 2010</stp>
        <stp>[FA1_ymffleas.xlsx]Reconciliation!R40C3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0" s="12"/>
      </tp>
      <tp>
        <v>25.913699999999999</v>
        <stp/>
        <stp>##V3_BDHV12</stp>
        <stp>RCOM IN Equity</stp>
        <stp>CAP_EXPEND_TO_SALES</stp>
        <stp>FY 2012</stp>
        <stp>FY 2012</stp>
        <stp>[FA1_ymffleas.xlsx]CAPEX &amp; Depreciation!R12C6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2" s="28"/>
      </tp>
      <tp>
        <v>-0.68869999999999998</v>
        <stp/>
        <stp>##V3_BDHV12</stp>
        <stp>RCOM IN Equity</stp>
        <stp>CAP_EXPEND_RATIO</stp>
        <stp>FY 2018</stp>
        <stp>FY 2018</stp>
        <stp>[FA1_ymffleas.xlsx]Liquidity!R21C12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1" s="24"/>
      </tp>
      <tp>
        <v>-0.90820000000000001</v>
        <stp/>
        <stp>##V3_BDHV12</stp>
        <stp>RCOM IN Equity</stp>
        <stp>CAP_EXPEND_RATIO</stp>
        <stp>FY 2017</stp>
        <stp>FY 2017</stp>
        <stp>[FA1_ymffleas.xlsx]Liquidity!R21C11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1" s="24"/>
      </tp>
      <tp>
        <v>0.92769999999999997</v>
        <stp/>
        <stp>##V3_BDHV12</stp>
        <stp>RCOM IN Equity</stp>
        <stp>CAP_EXPEND_RATIO</stp>
        <stp>FY 2016</stp>
        <stp>FY 2016</stp>
        <stp>[FA1_ymffleas.xlsx]Liquidity!R21C10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1" s="24"/>
      </tp>
      <tp>
        <v>248152.6</v>
        <stp/>
        <stp>##V3_BDHV12</stp>
        <stp>RCOM IN Equity</stp>
        <stp>BS_OTHER_ASSETS_DEF_CHRG_OTHER</stp>
        <stp>FY 2009</stp>
        <stp>FY 2009</stp>
        <stp>[FA1_ymffleas.xlsx]Bal Sheet - Standardized!R53C3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53" s="16"/>
      </tp>
      <tp>
        <v>276480</v>
        <stp/>
        <stp>##V3_BDHV12</stp>
        <stp>RCOM IN Equity</stp>
        <stp>BS_OTHER_ASSETS_DEF_CHRG_OTHER</stp>
        <stp>FY 2013</stp>
        <stp>FY 2013</stp>
        <stp>[FA1_ymffleas.xlsx]Bal Sheet - Standardized!R53C7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53" s="16"/>
      </tp>
      <tp>
        <v>297280</v>
        <stp/>
        <stp>##V3_BDHV12</stp>
        <stp>RCOM IN Equity</stp>
        <stp>BS_OTHER_ASSETS_DEF_CHRG_OTHER</stp>
        <stp>FY 2012</stp>
        <stp>FY 2012</stp>
        <stp>[FA1_ymffleas.xlsx]Bal Sheet - Standardized!R53C6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53" s="16"/>
      </tp>
      <tp>
        <v>208160</v>
        <stp/>
        <stp>##V3_BDHV12</stp>
        <stp>RCOM IN Equity</stp>
        <stp>BS_OTHER_ASSETS_DEF_CHRG_OTHER</stp>
        <stp>FY 2011</stp>
        <stp>FY 2011</stp>
        <stp>[FA1_ymffleas.xlsx]Bal Sheet - Standardized!R53C5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53" s="16"/>
      </tp>
      <tp>
        <v>228427.8</v>
        <stp/>
        <stp>##V3_BDHV12</stp>
        <stp>RCOM IN Equity</stp>
        <stp>BS_OTHER_ASSETS_DEF_CHRG_OTHER</stp>
        <stp>FY 2010</stp>
        <stp>FY 2010</stp>
        <stp>[FA1_ymffleas.xlsx]Bal Sheet - Standardized!R53C4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53" s="16"/>
      </tp>
      <tp>
        <v>288290</v>
        <stp/>
        <stp>##V3_BDHV12</stp>
        <stp>RCOM IN Equity</stp>
        <stp>BS_OTHER_ASSETS_DEF_CHRG_OTHER</stp>
        <stp>FY 2015</stp>
        <stp>FY 2015</stp>
        <stp>[FA1_ymffleas.xlsx]Bal Sheet - Standardized!R53C9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53" s="16"/>
      </tp>
      <tp>
        <v>277890</v>
        <stp/>
        <stp>##V3_BDHV12</stp>
        <stp>RCOM IN Equity</stp>
        <stp>BS_OTHER_ASSETS_DEF_CHRG_OTHER</stp>
        <stp>FY 2014</stp>
        <stp>FY 2014</stp>
        <stp>[FA1_ymffleas.xlsx]Bal Sheet - Standardized!R53C8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53" s="16"/>
      </tp>
      <tp>
        <v>7.2919</v>
        <stp/>
        <stp>##V3_BDHV12</stp>
        <stp>RCOM IN Equity</stp>
        <stp>EV_TO_T12M_EBITDA</stp>
        <stp>FY 2015</stp>
        <stp>FY 2015</stp>
        <stp>[FA1_ymffleas.xlsx]Enterprise Value!R18C8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8" s="5"/>
      </tp>
      <tp t="s">
        <v>—</v>
        <stp/>
        <stp>##V3_BDHV12</stp>
        <stp>RCOM IN Equity</stp>
        <stp>IS_OTHER_INVESTMENT_INCOME_LOSS</stp>
        <stp>FY 2017</stp>
        <stp>FY 2017</stp>
        <stp>[FA1_ymffleas.xlsx]Income - Adjusted!R45C10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45" s="9"/>
      </tp>
      <tp t="s">
        <v>—</v>
        <stp/>
        <stp>##V3_BDHV12</stp>
        <stp>RCOM IN Equity</stp>
        <stp>IS_OTHER_INVESTMENT_INCOME_LOSS</stp>
        <stp>FY 2018</stp>
        <stp>FY 2018</stp>
        <stp>[FA1_ymffleas.xlsx]Income - Adjusted!R45C11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45" s="9"/>
      </tp>
      <tp>
        <v>3.0882999999999998</v>
        <stp/>
        <stp>##V3_BDHV12</stp>
        <stp>RCOM IN Equity</stp>
        <stp>SALES_GROWTH</stp>
        <stp>FY 2013</stp>
        <stp>FY 2013</stp>
        <stp>[FA1_ymffleas.xlsx]Adj Highlights!R13C6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F13" s="2"/>
      </tp>
      <tp>
        <v>-19.948499999999999</v>
        <stp/>
        <stp>##V3_BDHV12</stp>
        <stp>RCOM IN Equity</stp>
        <stp>EBITDA_GROWTH</stp>
        <stp>FY 2010</stp>
        <stp>FY 2010</stp>
        <stp>[FA1_ymffleas.xlsx]Growth!R8C4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8" s="22"/>
      </tp>
      <tp>
        <v>110300</v>
        <stp/>
        <stp>##V3_BDHV12</stp>
        <stp>RCOM IN Equity</stp>
        <stp>NET_CHNG_ST_DEBT</stp>
        <stp>FY 2018</stp>
        <stp>FY 2018</stp>
        <stp>[FA1_ymffleas.xlsx]Sources of Capital!R6C12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" s="32"/>
      </tp>
      <tp>
        <v>50200</v>
        <stp/>
        <stp>##V3_BDHV12</stp>
        <stp>RCOM IN Equity</stp>
        <stp>NET_CHNG_ST_DEBT</stp>
        <stp>FY 2016</stp>
        <stp>FY 2016</stp>
        <stp>[FA1_ymffleas.xlsx]Sources of Capital!R6C10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" s="32"/>
      </tp>
      <tp>
        <v>86800</v>
        <stp/>
        <stp>##V3_BDHV12</stp>
        <stp>RCOM IN Equity</stp>
        <stp>NET_CHNG_ST_DEBT</stp>
        <stp>FY 2017</stp>
        <stp>FY 2017</stp>
        <stp>[FA1_ymffleas.xlsx]Sources of Capital!R6C11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" s="32"/>
      </tp>
      <tp t="s">
        <v>—</v>
        <stp/>
        <stp>##V3_BDHV12</stp>
        <stp>RCOM IN Equity</stp>
        <stp>CASH_CONVERSION_CYCLE</stp>
        <stp>FY 2010</stp>
        <stp>FY 2010</stp>
        <stp>[FA1_ymffleas.xlsx]Working Capital!R13C4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3" s="25"/>
      </tp>
      <tp>
        <v>46610</v>
        <stp/>
        <stp>##V3_BDHV12</stp>
        <stp>RCOM IN Equity</stp>
        <stp>EBITDA</stp>
        <stp>FY 2017</stp>
        <stp>FY 2017</stp>
        <stp>[FA1_ymffleas.xlsx]Income - Adjusted!R121C10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21" s="9"/>
      </tp>
      <tp>
        <v>31100</v>
        <stp/>
        <stp>##V3_BDHV12</stp>
        <stp>RCOM IN Equity</stp>
        <stp>EBITDA</stp>
        <stp>FY 2018</stp>
        <stp>FY 2018</stp>
        <stp>[FA1_ymffleas.xlsx]Income - Adjusted!R121C11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21" s="9"/>
      </tp>
      <tp t="s">
        <v>—</v>
        <stp/>
        <stp>##V3_BDHV12</stp>
        <stp>RCOM IN Equity</stp>
        <stp>INVENT_TURN</stp>
        <stp>FY 2013</stp>
        <stp>FY 2013</stp>
        <stp>[FA1_ymffleas.xlsx]Working Capital!R8C7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8" s="25"/>
      </tp>
      <tp>
        <v>191.5514</v>
        <stp/>
        <stp>##V3_BDHV12</stp>
        <stp>RCOM IN Equity</stp>
        <stp>NET_DEBT_TO_EBIT</stp>
        <stp>FY 2018</stp>
        <stp>FY 2018</stp>
        <stp>[FA1_ymffleas.xlsx]Credit!R14C12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4" s="23"/>
      </tp>
      <tp>
        <v>35.1389</v>
        <stp/>
        <stp>##V3_BDHV12</stp>
        <stp>RCOM IN Equity</stp>
        <stp>ACCT_RCV_DAYS</stp>
        <stp>FY 2016</stp>
        <stp>FY 2016</stp>
        <stp>[FA1_ymffleas.xlsx]Working Capital!R7C10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7" s="25"/>
      </tp>
      <tp>
        <v>-19230</v>
        <stp/>
        <stp>##V3_BDHV12</stp>
        <stp>RCOM IN Equity</stp>
        <stp>ARD_TAX_ON_DISCONTINUED_OPS</stp>
        <stp>FY 2018</stp>
        <stp>FY 2018</stp>
        <stp>[FA1_ymffleas.xlsx]Income - As Reported!R63C12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3" s="11"/>
      </tp>
      <tp t="s">
        <v>—</v>
        <stp/>
        <stp>##V3_BDHV12</stp>
        <stp>RCOM IN Equity</stp>
        <stp>ARD_TAX_ON_DISCONTINUED_OPS</stp>
        <stp>FY 2016</stp>
        <stp>FY 2016</stp>
        <stp>[FA1_ymffleas.xlsx]Income - As Reported!R63C10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3" s="11"/>
      </tp>
      <tp>
        <v>-10140</v>
        <stp/>
        <stp>##V3_BDHV12</stp>
        <stp>RCOM IN Equity</stp>
        <stp>ARD_TAX_ON_DISCONTINUED_OPS</stp>
        <stp>FY 2017</stp>
        <stp>FY 2017</stp>
        <stp>[FA1_ymffleas.xlsx]Income - As Reported!R63C11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3" s="11"/>
      </tp>
      <tp>
        <v>0</v>
        <stp/>
        <stp>##V3_BDHV12</stp>
        <stp>RCOM IN Equity</stp>
        <stp>ARDR_AVG_EXER_PX_OPT_OUTSTANDING</stp>
        <stp>FY 2018</stp>
        <stp>FY 2018</stp>
        <stp>[FA1_ymffleas.xlsx]Bal Sheet - As Reported!R210C12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10" s="17"/>
      </tp>
      <tp>
        <v>628</v>
        <stp/>
        <stp>##V3_BDHV12</stp>
        <stp>RCOM IN Equity</stp>
        <stp>ARDR_AVG_EXER_PX_OPT_OUTSTANDING</stp>
        <stp>FY 2016</stp>
        <stp>FY 2016</stp>
        <stp>[FA1_ymffleas.xlsx]Bal Sheet - As Reported!R210C10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10" s="17"/>
      </tp>
      <tp>
        <v>623</v>
        <stp/>
        <stp>##V3_BDHV12</stp>
        <stp>RCOM IN Equity</stp>
        <stp>ARDR_AVG_EXER_PX_OPT_OUTSTANDING</stp>
        <stp>FY 2017</stp>
        <stp>FY 2017</stp>
        <stp>[FA1_ymffleas.xlsx]Bal Sheet - As Reported!R210C11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10" s="17"/>
      </tp>
      <tp t="s">
        <v>—</v>
        <stp/>
        <stp>##V3_BDHV12</stp>
        <stp>RCOM IN Equity</stp>
        <stp>NET_INCOME_TO_COMMON_5_YR_GROWTH</stp>
        <stp>FY 2018</stp>
        <stp>FY 2018</stp>
        <stp>[FA1_ymffleas.xlsx]Growth!R39C12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39" s="22"/>
      </tp>
      <tp>
        <v>-1.5758000000000001</v>
        <stp/>
        <stp>##V3_BDHV12</stp>
        <stp>RCOM IN Equity</stp>
        <stp>CASH_FLOW_PER_SH</stp>
        <stp>FY 2018</stp>
        <stp>FY 2018</stp>
        <stp>[FA1_ymffleas.xlsx]Per Share!R22C11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2" s="7"/>
      </tp>
      <tp>
        <v>-14.426399999999999</v>
        <stp/>
        <stp>##V3_BDHV12</stp>
        <stp>RCOM IN Equity</stp>
        <stp>CASH_FLOW_PER_SH</stp>
        <stp>FY 2017</stp>
        <stp>FY 2017</stp>
        <stp>[FA1_ymffleas.xlsx]Per Share!R22C10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2" s="7"/>
      </tp>
      <tp>
        <v>98036.800000000003</v>
        <stp/>
        <stp>##V3_BDHV12</stp>
        <stp>RCOM IN Equity</stp>
        <stp>OTHER_CURRENT_ASSETS_DETAILED</stp>
        <stp>FY 2010</stp>
        <stp>FY 2010</stp>
        <stp>[FA1_ymffleas.xlsx]Bal Sheet - Standardized!R31C4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1" s="16"/>
      </tp>
      <tp>
        <v>92750</v>
        <stp/>
        <stp>##V3_BDHV12</stp>
        <stp>RCOM IN Equity</stp>
        <stp>OTHER_CURRENT_ASSETS_DETAILED</stp>
        <stp>FY 2011</stp>
        <stp>FY 2011</stp>
        <stp>[FA1_ymffleas.xlsx]Bal Sheet - Standardized!R31C5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1" s="16"/>
      </tp>
      <tp>
        <v>90680</v>
        <stp/>
        <stp>##V3_BDHV12</stp>
        <stp>RCOM IN Equity</stp>
        <stp>OTHER_CURRENT_ASSETS_DETAILED</stp>
        <stp>FY 2012</stp>
        <stp>FY 2012</stp>
        <stp>[FA1_ymffleas.xlsx]Bal Sheet - Standardized!R31C6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1" s="16"/>
      </tp>
      <tp>
        <v>89080</v>
        <stp/>
        <stp>##V3_BDHV12</stp>
        <stp>RCOM IN Equity</stp>
        <stp>OTHER_CURRENT_ASSETS_DETAILED</stp>
        <stp>FY 2013</stp>
        <stp>FY 2013</stp>
        <stp>[FA1_ymffleas.xlsx]Bal Sheet - Standardized!R31C7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1" s="16"/>
      </tp>
      <tp>
        <v>116375.7</v>
        <stp/>
        <stp>##V3_BDHV12</stp>
        <stp>RCOM IN Equity</stp>
        <stp>OTHER_CURRENT_ASSETS_DETAILED</stp>
        <stp>FY 2009</stp>
        <stp>FY 2009</stp>
        <stp>[FA1_ymffleas.xlsx]Bal Sheet - Standardized!R31C3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1" s="16"/>
      </tp>
      <tp>
        <v>107260</v>
        <stp/>
        <stp>##V3_BDHV12</stp>
        <stp>RCOM IN Equity</stp>
        <stp>OTHER_CURRENT_ASSETS_DETAILED</stp>
        <stp>FY 2014</stp>
        <stp>FY 2014</stp>
        <stp>[FA1_ymffleas.xlsx]Bal Sheet - Standardized!R31C8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1" s="16"/>
      </tp>
      <tp>
        <v>145170</v>
        <stp/>
        <stp>##V3_BDHV12</stp>
        <stp>RCOM IN Equity</stp>
        <stp>OTHER_CURRENT_ASSETS_DETAILED</stp>
        <stp>FY 2015</stp>
        <stp>FY 2015</stp>
        <stp>[FA1_ymffleas.xlsx]Bal Sheet - Standardized!R31C9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1" s="16"/>
      </tp>
      <tp>
        <v>2160</v>
        <stp/>
        <stp>##V3_BDHV12</stp>
        <stp>RCOM IN Equity</stp>
        <stp>DISP_FXD_&amp;_INTANGIBLES_DETAILED</stp>
        <stp>FY 2012</stp>
        <stp>FY 2012</stp>
        <stp>[FA1_ymffleas.xlsx]Cash Flow - Standardized!R20C5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" s="19"/>
      </tp>
      <tp>
        <v>2060</v>
        <stp/>
        <stp>##V3_BDHV12</stp>
        <stp>RCOM IN Equity</stp>
        <stp>DISP_FXD_&amp;_INTANGIBLES_DETAILED</stp>
        <stp>FY 2011</stp>
        <stp>FY 2011</stp>
        <stp>[FA1_ymffleas.xlsx]Cash Flow - Standardized!R20C4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" s="19"/>
      </tp>
      <tp>
        <v>0</v>
        <stp/>
        <stp>##V3_BDHV12</stp>
        <stp>RCOM IN Equity</stp>
        <stp>DISP_FXD_&amp;_INTANGIBLES_DETAILED</stp>
        <stp>FY 2014</stp>
        <stp>FY 2014</stp>
        <stp>[FA1_ymffleas.xlsx]Cash Flow - Standardized!R20C7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" s="19"/>
      </tp>
      <tp>
        <v>0</v>
        <stp/>
        <stp>##V3_BDHV12</stp>
        <stp>RCOM IN Equity</stp>
        <stp>DISP_FXD_&amp;_INTANGIBLES_DETAILED</stp>
        <stp>FY 2013</stp>
        <stp>FY 2013</stp>
        <stp>[FA1_ymffleas.xlsx]Cash Flow - Standardized!R20C6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" s="19"/>
      </tp>
      <tp>
        <v>1.3</v>
        <stp/>
        <stp>##V3_BDHV12</stp>
        <stp>RCOM IN Equity</stp>
        <stp>DISP_FXD_&amp;_INTANGIBLES_DETAILED</stp>
        <stp>FY 2010</stp>
        <stp>FY 2010</stp>
        <stp>[FA1_ymffleas.xlsx]Cash Flow - Standardized!R20C3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" s="19"/>
      </tp>
      <tp>
        <v>0</v>
        <stp/>
        <stp>##V3_BDHV12</stp>
        <stp>RCOM IN Equity</stp>
        <stp>DISP_FXD_&amp;_INTANGIBLES_DETAILED</stp>
        <stp>FY 2016</stp>
        <stp>FY 2016</stp>
        <stp>[FA1_ymffleas.xlsx]Cash Flow - Standardized!R20C9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" s="19"/>
      </tp>
      <tp>
        <v>0</v>
        <stp/>
        <stp>##V3_BDHV12</stp>
        <stp>RCOM IN Equity</stp>
        <stp>DISP_FXD_&amp;_INTANGIBLES_DETAILED</stp>
        <stp>FY 2015</stp>
        <stp>FY 2015</stp>
        <stp>[FA1_ymffleas.xlsx]Cash Flow - Standardized!R20C8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" s="19"/>
      </tp>
      <tp>
        <v>16318.4</v>
        <stp/>
        <stp>##V3_BDHV12</stp>
        <stp>RCOM IN Equity</stp>
        <stp>INC_DEC_IN_OT_OP_AST_LIAB_DETAIL</stp>
        <stp>FY 2010</stp>
        <stp>FY 2010</stp>
        <stp>[FA1_ymffleas.xlsx]Cash Flow - Standardized!R14C3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" s="19"/>
      </tp>
      <tp>
        <v>-29440</v>
        <stp/>
        <stp>##V3_BDHV12</stp>
        <stp>RCOM IN Equity</stp>
        <stp>INC_DEC_IN_OT_OP_AST_LIAB_DETAIL</stp>
        <stp>FY 2013</stp>
        <stp>FY 2013</stp>
        <stp>[FA1_ymffleas.xlsx]Cash Flow - Standardized!R14C6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" s="19"/>
      </tp>
      <tp>
        <v>-220</v>
        <stp/>
        <stp>##V3_BDHV12</stp>
        <stp>RCOM IN Equity</stp>
        <stp>INC_DEC_IN_OT_OP_AST_LIAB_DETAIL</stp>
        <stp>FY 2014</stp>
        <stp>FY 2014</stp>
        <stp>[FA1_ymffleas.xlsx]Cash Flow - Standardized!R14C7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" s="19"/>
      </tp>
      <tp>
        <v>-60740</v>
        <stp/>
        <stp>##V3_BDHV12</stp>
        <stp>RCOM IN Equity</stp>
        <stp>INC_DEC_IN_OT_OP_AST_LIAB_DETAIL</stp>
        <stp>FY 2011</stp>
        <stp>FY 2011</stp>
        <stp>[FA1_ymffleas.xlsx]Cash Flow - Standardized!R14C4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" s="19"/>
      </tp>
      <tp>
        <v>-6250</v>
        <stp/>
        <stp>##V3_BDHV12</stp>
        <stp>RCOM IN Equity</stp>
        <stp>INC_DEC_IN_OT_OP_AST_LIAB_DETAIL</stp>
        <stp>FY 2012</stp>
        <stp>FY 2012</stp>
        <stp>[FA1_ymffleas.xlsx]Cash Flow - Standardized!R14C5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" s="19"/>
      </tp>
      <tp>
        <v>-38450</v>
        <stp/>
        <stp>##V3_BDHV12</stp>
        <stp>RCOM IN Equity</stp>
        <stp>INC_DEC_IN_OT_OP_AST_LIAB_DETAIL</stp>
        <stp>FY 2015</stp>
        <stp>FY 2015</stp>
        <stp>[FA1_ymffleas.xlsx]Cash Flow - Standardized!R14C8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" s="19"/>
      </tp>
      <tp>
        <v>67300</v>
        <stp/>
        <stp>##V3_BDHV12</stp>
        <stp>RCOM IN Equity</stp>
        <stp>INC_DEC_IN_OT_OP_AST_LIAB_DETAIL</stp>
        <stp>FY 2016</stp>
        <stp>FY 2016</stp>
        <stp>[FA1_ymffleas.xlsx]Cash Flow - Standardized!R14C9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" s="19"/>
      </tp>
      <tp>
        <v>11.661</v>
        <stp/>
        <stp>##V3_BDHV12</stp>
        <stp>RCOM IN Equity</stp>
        <stp>EV_TO_T12M_EBITDA</stp>
        <stp>FY 2017</stp>
        <stp>FY 2017</stp>
        <stp>[FA1_ymffleas.xlsx]Multiples!R41C10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41" s="6"/>
      </tp>
      <tp>
        <v>6.3383000000000003</v>
        <stp/>
        <stp>##V3_BDHV12</stp>
        <stp>RCOM IN Equity</stp>
        <stp>EBITDA_TO_CASH_INTEREST_PAID</stp>
        <stp>FY 2009</stp>
        <stp>FY 2009</stp>
        <stp>[FA1_ymffleas.xlsx]Credit!R20C3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0" s="23"/>
      </tp>
      <tp>
        <v>0</v>
        <stp/>
        <stp>##V3_BDHV12</stp>
        <stp>RCOM IN Equity</stp>
        <stp>IS_XO_ITEMS_&amp;_ACCTG_CHNG_DIL_SH</stp>
        <stp>FY 2017</stp>
        <stp>FY 2017</stp>
        <stp>[FA1_ymffleas.xlsx]Reconciliation!R46C10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6" s="12"/>
      </tp>
      <tp>
        <v>0</v>
        <stp/>
        <stp>##V3_BDHV12</stp>
        <stp>RCOM IN Equity</stp>
        <stp>IS_XO_ITEMS_&amp;_ACCTG_CHNG_DIL_SH</stp>
        <stp>FY 2018</stp>
        <stp>FY 2018</stp>
        <stp>[FA1_ymffleas.xlsx]Reconciliation!R46C11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6" s="12"/>
      </tp>
      <tp>
        <v>60.45</v>
        <stp/>
        <stp>##V3_BDHV12</stp>
        <stp>RCOM IN Equity</stp>
        <stp>PX_HIGH</stp>
        <stp>FY 2017</stp>
        <stp>FY 2017</stp>
        <stp>[FA1_ymffleas.xlsx]Stock Value!R9C10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" s="8"/>
      </tp>
      <tp t="s">
        <v>—</v>
        <stp/>
        <stp>##V3_BDHV12</stp>
        <stp>RCOM IN Equity</stp>
        <stp>LOW_PRICE_TO_FREE_CASH_FLOW</stp>
        <stp>FY 2017</stp>
        <stp>FY 2017</stp>
        <stp>[FA1_ymffleas.xlsx]Multiples!R34C10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34" s="6"/>
      </tp>
      <tp>
        <v>41.77</v>
        <stp/>
        <stp>##V3_BDHV12</stp>
        <stp>RCOM IN Equity</stp>
        <stp>PX_HIGH</stp>
        <stp>FY 2018</stp>
        <stp>FY 2018</stp>
        <stp>[FA1_ymffleas.xlsx]Stock Value!R9C11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" s="8"/>
      </tp>
      <tp t="s">
        <v>—</v>
        <stp/>
        <stp>##V3_BDHV12</stp>
        <stp>RCOM IN Equity</stp>
        <stp>LOW_PRICE_TO_FREE_CASH_FLOW</stp>
        <stp>FY 2018</stp>
        <stp>FY 2018</stp>
        <stp>[FA1_ymffleas.xlsx]Multiples!R34C11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34" s="6"/>
      </tp>
      <tp>
        <v>8.1989000000000001</v>
        <stp/>
        <stp>##V3_BDHV12</stp>
        <stp>RCOM IN Equity</stp>
        <stp>GEO_GROW_OPER_INC</stp>
        <stp>FY 2016</stp>
        <stp>FY 2016</stp>
        <stp>[FA1_ymffleas.xlsx]Growth!R38C10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38" s="22"/>
      </tp>
      <tp>
        <v>10.956799999999999</v>
        <stp/>
        <stp>##V3_BDHV12</stp>
        <stp>RCOM IN Equity</stp>
        <stp>CAP_EXPEND_TO_SALES</stp>
        <stp>FY 2013</stp>
        <stp>FY 2013</stp>
        <stp>[FA1_ymffleas.xlsx]CAPEX &amp; Depreciation!R12C7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2" s="28"/>
      </tp>
      <tp>
        <v>0.18970000000000001</v>
        <stp/>
        <stp>##V3_BDHV12</stp>
        <stp>RCOM IN Equity</stp>
        <stp>IS_EARN_BEF_XO_ITEMS_PER_SH</stp>
        <stp>FY 2018</stp>
        <stp>FY 2018</stp>
        <stp>[FA1_ymffleas.xlsx]Income - Adjusted!R111C11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11" s="9"/>
      </tp>
      <tp>
        <v>0.50649999999999995</v>
        <stp/>
        <stp>##V3_BDHV12</stp>
        <stp>RCOM IN Equity</stp>
        <stp>IS_EARN_BEF_XO_ITEMS_PER_SH</stp>
        <stp>FY 2017</stp>
        <stp>FY 2017</stp>
        <stp>[FA1_ymffleas.xlsx]Income - Adjusted!R111C10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11" s="9"/>
      </tp>
      <tp>
        <v>67.711699999999993</v>
        <stp/>
        <stp>##V3_BDHV12</stp>
        <stp>RCOM IN Equity</stp>
        <stp>EBITDA_TO_REVENUE</stp>
        <stp>FY 2018</stp>
        <stp>FY 2018</stp>
        <stp>[FA1_ymffleas.xlsx]Profitability!R13C12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3" s="21"/>
      </tp>
      <tp>
        <v>0.63519999999999999</v>
        <stp/>
        <stp>##V3_BDHV12</stp>
        <stp>RCOM IN Equity</stp>
        <stp>ARDR_OPTIONS_CANCELLED_FORFEITED</stp>
        <stp>FY 2016</stp>
        <stp>FY 2016</stp>
        <stp>[FA1_ymffleas.xlsx]Bal Sheet - As Reported!R197C10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7" s="17"/>
      </tp>
      <tp>
        <v>0.1009</v>
        <stp/>
        <stp>##V3_BDHV12</stp>
        <stp>RCOM IN Equity</stp>
        <stp>ARDR_OPTIONS_CANCELLED_FORFEITED</stp>
        <stp>FY 2017</stp>
        <stp>FY 2017</stp>
        <stp>[FA1_ymffleas.xlsx]Bal Sheet - As Reported!R197C11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7" s="17"/>
      </tp>
      <tp>
        <v>0.20799999999999999</v>
        <stp/>
        <stp>##V3_BDHV12</stp>
        <stp>RCOM IN Equity</stp>
        <stp>ARDR_OPTIONS_CANCELLED_FORFEITED</stp>
        <stp>FY 2018</stp>
        <stp>FY 2018</stp>
        <stp>[FA1_ymffleas.xlsx]Bal Sheet - As Reported!R197C12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7" s="17"/>
      </tp>
      <tp>
        <v>7.5518999999999998</v>
        <stp/>
        <stp>##V3_BDHV12</stp>
        <stp>RCOM IN Equity</stp>
        <stp>EV_TO_T12M_EBITDA</stp>
        <stp>FY 2016</stp>
        <stp>FY 2016</stp>
        <stp>[FA1_ymffleas.xlsx]Enterprise Value!R18C9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8" s="5"/>
      </tp>
      <tp>
        <v>145170</v>
        <stp/>
        <stp>##V3_BDHV12</stp>
        <stp>RCOM IN Equity</stp>
        <stp>BS_OTHER_CUR_ASSET_LESS_PREPAY</stp>
        <stp>FY 2015</stp>
        <stp>FY 2015</stp>
        <stp>[FA1_ymffleas.xlsx]Bal Sheet - Standardized!R39C9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9" s="16"/>
      </tp>
      <tp>
        <v>107260</v>
        <stp/>
        <stp>##V3_BDHV12</stp>
        <stp>RCOM IN Equity</stp>
        <stp>BS_OTHER_CUR_ASSET_LESS_PREPAY</stp>
        <stp>FY 2014</stp>
        <stp>FY 2014</stp>
        <stp>[FA1_ymffleas.xlsx]Bal Sheet - Standardized!R39C8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9" s="16"/>
      </tp>
      <tp>
        <v>92750</v>
        <stp/>
        <stp>##V3_BDHV12</stp>
        <stp>RCOM IN Equity</stp>
        <stp>BS_OTHER_CUR_ASSET_LESS_PREPAY</stp>
        <stp>FY 2011</stp>
        <stp>FY 2011</stp>
        <stp>[FA1_ymffleas.xlsx]Bal Sheet - Standardized!R39C5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9" s="16"/>
      </tp>
      <tp>
        <v>98036.800000000003</v>
        <stp/>
        <stp>##V3_BDHV12</stp>
        <stp>RCOM IN Equity</stp>
        <stp>BS_OTHER_CUR_ASSET_LESS_PREPAY</stp>
        <stp>FY 2010</stp>
        <stp>FY 2010</stp>
        <stp>[FA1_ymffleas.xlsx]Bal Sheet - Standardized!R39C4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9" s="16"/>
      </tp>
      <tp>
        <v>89080</v>
        <stp/>
        <stp>##V3_BDHV12</stp>
        <stp>RCOM IN Equity</stp>
        <stp>BS_OTHER_CUR_ASSET_LESS_PREPAY</stp>
        <stp>FY 2013</stp>
        <stp>FY 2013</stp>
        <stp>[FA1_ymffleas.xlsx]Bal Sheet - Standardized!R39C7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9" s="16"/>
      </tp>
      <tp>
        <v>90680</v>
        <stp/>
        <stp>##V3_BDHV12</stp>
        <stp>RCOM IN Equity</stp>
        <stp>BS_OTHER_CUR_ASSET_LESS_PREPAY</stp>
        <stp>FY 2012</stp>
        <stp>FY 2012</stp>
        <stp>[FA1_ymffleas.xlsx]Bal Sheet - Standardized!R39C6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9" s="16"/>
      </tp>
      <tp>
        <v>116375.7</v>
        <stp/>
        <stp>##V3_BDHV12</stp>
        <stp>RCOM IN Equity</stp>
        <stp>BS_OTHER_CUR_ASSET_LESS_PREPAY</stp>
        <stp>FY 2009</stp>
        <stp>FY 2009</stp>
        <stp>[FA1_ymffleas.xlsx]Bal Sheet - Standardized!R39C3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9" s="16"/>
      </tp>
      <tp>
        <v>8.5311000000000003</v>
        <stp/>
        <stp>##V3_BDHV12</stp>
        <stp>RCOM IN Equity</stp>
        <stp>SALES_GROWTH</stp>
        <stp>FY 2014</stp>
        <stp>FY 2014</stp>
        <stp>[FA1_ymffleas.xlsx]Adj Highlights!R13C7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G13" s="2"/>
      </tp>
      <tp>
        <v>19.844799999999999</v>
        <stp/>
        <stp>##V3_BDHV12</stp>
        <stp>RCOM IN Equity</stp>
        <stp>EBITDA_GROWTH</stp>
        <stp>FY 2011</stp>
        <stp>FY 2011</stp>
        <stp>[FA1_ymffleas.xlsx]Growth!R8C5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8" s="22"/>
      </tp>
      <tp t="s">
        <v>—</v>
        <stp/>
        <stp>##V3_BDHV12</stp>
        <stp>RCOM IN Equity</stp>
        <stp>CASH_CONVERSION_CYCLE</stp>
        <stp>FY 2011</stp>
        <stp>FY 2011</stp>
        <stp>[FA1_ymffleas.xlsx]Working Capital!R13C5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3" s="25"/>
      </tp>
      <tp>
        <v>0.17169999999999999</v>
        <stp/>
        <stp>##V3_BDHV12</stp>
        <stp>RCOM IN Equity</stp>
        <stp>INVENT_TURN</stp>
        <stp>FY 2012</stp>
        <stp>FY 2012</stp>
        <stp>[FA1_ymffleas.xlsx]Working Capital!R8C6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8" s="25"/>
      </tp>
      <tp>
        <v>173.53370000000001</v>
        <stp/>
        <stp>##V3_BDHV12</stp>
        <stp>RCOM IN Equity</stp>
        <stp>ACCT_RCV_DAYS</stp>
        <stp>FY 2017</stp>
        <stp>FY 2017</stp>
        <stp>[FA1_ymffleas.xlsx]Working Capital!R7C11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7" s="25"/>
      </tp>
      <tp>
        <v>-14030</v>
        <stp/>
        <stp>##V3_BDHV12</stp>
        <stp>RCOM IN Equity</stp>
        <stp>EARN_FOR_COMMON</stp>
        <stp>FY 2017</stp>
        <stp>FY 2017</stp>
        <stp>[FA1_ymffleas.xlsx]Income - Adjusted!R103C10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103" s="9"/>
      </tp>
      <tp>
        <v>-238390</v>
        <stp/>
        <stp>##V3_BDHV12</stp>
        <stp>RCOM IN Equity</stp>
        <stp>EARN_FOR_COMMON</stp>
        <stp>FY 2018</stp>
        <stp>FY 2018</stp>
        <stp>[FA1_ymffleas.xlsx]Income - Adjusted!R103C11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103" s="9"/>
      </tp>
      <tp t="s">
        <v>—</v>
        <stp/>
        <stp>##V3_BDHV12</stp>
        <stp>RCOM IN Equity</stp>
        <stp>NET_INCOME_TO_COMMON_5_YR_GROWTH</stp>
        <stp>FY 2017</stp>
        <stp>FY 2017</stp>
        <stp>[FA1_ymffleas.xlsx]Growth!R39C11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39" s="22"/>
      </tp>
      <tp>
        <v>0</v>
        <stp/>
        <stp>##V3_BDHV12</stp>
        <stp>RCOM IN Equity</stp>
        <stp>CF_INCR_INVEST</stp>
        <stp>FY 2017</stp>
        <stp>FY 2017</stp>
        <stp>[FA1_ymffleas.xlsx]Cash Flow - Standardized!R28C10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8" s="19"/>
      </tp>
      <tp>
        <v>0</v>
        <stp/>
        <stp>##V3_BDHV12</stp>
        <stp>RCOM IN Equity</stp>
        <stp>CF_INCR_INVEST</stp>
        <stp>FY 2018</stp>
        <stp>FY 2018</stp>
        <stp>[FA1_ymffleas.xlsx]Cash Flow - Standardized!R28C11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8" s="19"/>
      </tp>
      <tp>
        <v>0</v>
        <stp/>
        <stp>##V3_BDHV12</stp>
        <stp>RCOM IN Equity</stp>
        <stp>CF_DECR_INVEST</stp>
        <stp>FY 2018</stp>
        <stp>FY 2018</stp>
        <stp>[FA1_ymffleas.xlsx]Cash Flow - Standardized!R27C11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7" s="19"/>
      </tp>
      <tp>
        <v>0</v>
        <stp/>
        <stp>##V3_BDHV12</stp>
        <stp>RCOM IN Equity</stp>
        <stp>CF_DECR_INVEST</stp>
        <stp>FY 2017</stp>
        <stp>FY 2017</stp>
        <stp>[FA1_ymffleas.xlsx]Cash Flow - Standardized!R27C10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7" s="19"/>
      </tp>
      <tp>
        <v>1120</v>
        <stp/>
        <stp>##V3_BDHV12</stp>
        <stp>RCOM IN Equity</stp>
        <stp>ARDR_PREPAID_EXPENSES_LT</stp>
        <stp>FY 2014</stp>
        <stp>FY 2014</stp>
        <stp>[FA1_ymffleas.xlsx]Bal Sheet - As Reported!R123C8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3" s="17"/>
      </tp>
      <tp>
        <v>1460</v>
        <stp/>
        <stp>##V3_BDHV12</stp>
        <stp>RCOM IN Equity</stp>
        <stp>ARDR_PREPAID_EXPENSES_LT</stp>
        <stp>FY 2015</stp>
        <stp>FY 2015</stp>
        <stp>[FA1_ymffleas.xlsx]Bal Sheet - As Reported!R123C9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3" s="17"/>
      </tp>
      <tp t="s">
        <v>—</v>
        <stp/>
        <stp>##V3_BDHV12</stp>
        <stp>RCOM IN Equity</stp>
        <stp>ARDR_PREPAID_EXPENSES_LT</stp>
        <stp>FY 2009</stp>
        <stp>FY 2009</stp>
        <stp>[FA1_ymffleas.xlsx]Bal Sheet - As Reported!R123C3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3" s="17"/>
      </tp>
      <tp t="s">
        <v>—</v>
        <stp/>
        <stp>##V3_BDHV12</stp>
        <stp>RCOM IN Equity</stp>
        <stp>ARDR_PREPAID_EXPENSES_LT</stp>
        <stp>FY 2010</stp>
        <stp>FY 2010</stp>
        <stp>[FA1_ymffleas.xlsx]Bal Sheet - As Reported!R123C4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3" s="17"/>
      </tp>
      <tp>
        <v>340</v>
        <stp/>
        <stp>##V3_BDHV12</stp>
        <stp>RCOM IN Equity</stp>
        <stp>ARDR_PREPAID_EXPENSES_LT</stp>
        <stp>FY 2011</stp>
        <stp>FY 2011</stp>
        <stp>[FA1_ymffleas.xlsx]Bal Sheet - As Reported!R123C5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3" s="17"/>
      </tp>
      <tp>
        <v>1130</v>
        <stp/>
        <stp>##V3_BDHV12</stp>
        <stp>RCOM IN Equity</stp>
        <stp>ARDR_PREPAID_EXPENSES_LT</stp>
        <stp>FY 2012</stp>
        <stp>FY 2012</stp>
        <stp>[FA1_ymffleas.xlsx]Bal Sheet - As Reported!R123C6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3" s="17"/>
      </tp>
      <tp>
        <v>1230</v>
        <stp/>
        <stp>##V3_BDHV12</stp>
        <stp>RCOM IN Equity</stp>
        <stp>ARDR_PREPAID_EXPENSES_LT</stp>
        <stp>FY 2013</stp>
        <stp>FY 2013</stp>
        <stp>[FA1_ymffleas.xlsx]Bal Sheet - As Reported!R123C7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3" s="17"/>
      </tp>
      <tp>
        <v>-3964.2705999999998</v>
        <stp/>
        <stp>##V3_BDHV12</stp>
        <stp>RCOM IN Equity</stp>
        <stp>TRAIL_12M_FREE_CASH_FLOW_FIRM</stp>
        <stp>FY 2015</stp>
        <stp>FY 2015</stp>
        <stp>[FA1_ymffleas.xlsx]Yield Analysis!R32C9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32" s="26"/>
      </tp>
      <tp t="s">
        <v>—</v>
        <stp/>
        <stp>##V3_BDHV12</stp>
        <stp>RCOM IN Equity</stp>
        <stp>TRAIL_12M_FREE_CASH_FLOW_FIRM</stp>
        <stp>FY 2014</stp>
        <stp>FY 2014</stp>
        <stp>[FA1_ymffleas.xlsx]Yield Analysis!R32C8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32" s="26"/>
      </tp>
      <tp>
        <v>60710</v>
        <stp/>
        <stp>##V3_BDHV12</stp>
        <stp>RCOM IN Equity</stp>
        <stp>CF_INCR_CAP_STOCK</stp>
        <stp>FY 2015</stp>
        <stp>FY 2015</stp>
        <stp>[FA1_ymffleas.xlsx]Cash Flow - Standardized!R44C8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4" s="19"/>
      </tp>
      <tp>
        <v>0</v>
        <stp/>
        <stp>##V3_BDHV12</stp>
        <stp>RCOM IN Equity</stp>
        <stp>CF_INCR_CAP_STOCK</stp>
        <stp>FY 2016</stp>
        <stp>FY 2016</stp>
        <stp>[FA1_ymffleas.xlsx]Cash Flow - Standardized!R44C9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4" s="19"/>
      </tp>
      <tp>
        <v>0</v>
        <stp/>
        <stp>##V3_BDHV12</stp>
        <stp>RCOM IN Equity</stp>
        <stp>CF_INCR_CAP_STOCK</stp>
        <stp>FY 2010</stp>
        <stp>FY 2010</stp>
        <stp>[FA1_ymffleas.xlsx]Cash Flow - Standardized!R44C3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4" s="19"/>
      </tp>
      <tp>
        <v>0</v>
        <stp/>
        <stp>##V3_BDHV12</stp>
        <stp>RCOM IN Equity</stp>
        <stp>CF_INCR_CAP_STOCK</stp>
        <stp>FY 2013</stp>
        <stp>FY 2013</stp>
        <stp>[FA1_ymffleas.xlsx]Cash Flow - Standardized!R44C6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4" s="19"/>
      </tp>
      <tp>
        <v>0</v>
        <stp/>
        <stp>##V3_BDHV12</stp>
        <stp>RCOM IN Equity</stp>
        <stp>CF_INCR_CAP_STOCK</stp>
        <stp>FY 2014</stp>
        <stp>FY 2014</stp>
        <stp>[FA1_ymffleas.xlsx]Cash Flow - Standardized!R44C7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4" s="19"/>
      </tp>
      <tp>
        <v>0</v>
        <stp/>
        <stp>##V3_BDHV12</stp>
        <stp>RCOM IN Equity</stp>
        <stp>CF_INCR_CAP_STOCK</stp>
        <stp>FY 2011</stp>
        <stp>FY 2011</stp>
        <stp>[FA1_ymffleas.xlsx]Cash Flow - Standardized!R44C4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4" s="19"/>
      </tp>
      <tp>
        <v>0</v>
        <stp/>
        <stp>##V3_BDHV12</stp>
        <stp>RCOM IN Equity</stp>
        <stp>CF_INCR_CAP_STOCK</stp>
        <stp>FY 2012</stp>
        <stp>FY 2012</stp>
        <stp>[FA1_ymffleas.xlsx]Cash Flow - Standardized!R44C5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4" s="19"/>
      </tp>
      <tp t="s">
        <v>—</v>
        <stp/>
        <stp>##V3_BDHV12</stp>
        <stp>RCOM IN Equity</stp>
        <stp>TRAIL_12M_FREE_CASH_FLOW_FIRM</stp>
        <stp>FY 2009</stp>
        <stp>FY 2009</stp>
        <stp>[FA1_ymffleas.xlsx]Yield Analysis!R32C3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32" s="26"/>
      </tp>
      <tp>
        <v>-83601.3514</v>
        <stp/>
        <stp>##V3_BDHV12</stp>
        <stp>RCOM IN Equity</stp>
        <stp>TRAIL_12M_FREE_CASH_FLOW_FIRM</stp>
        <stp>FY 2011</stp>
        <stp>FY 2011</stp>
        <stp>[FA1_ymffleas.xlsx]Yield Analysis!R32C5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32" s="26"/>
      </tp>
      <tp>
        <v>19073.505099999998</v>
        <stp/>
        <stp>##V3_BDHV12</stp>
        <stp>RCOM IN Equity</stp>
        <stp>TRAIL_12M_FREE_CASH_FLOW_FIRM</stp>
        <stp>FY 2010</stp>
        <stp>FY 2010</stp>
        <stp>[FA1_ymffleas.xlsx]Yield Analysis!R32C4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32" s="26"/>
      </tp>
      <tp>
        <v>13236.809800000001</v>
        <stp/>
        <stp>##V3_BDHV12</stp>
        <stp>RCOM IN Equity</stp>
        <stp>TRAIL_12M_FREE_CASH_FLOW_FIRM</stp>
        <stp>FY 2013</stp>
        <stp>FY 2013</stp>
        <stp>[FA1_ymffleas.xlsx]Yield Analysis!R32C7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32" s="26"/>
      </tp>
      <tp t="s">
        <v>—</v>
        <stp/>
        <stp>##V3_BDHV12</stp>
        <stp>RCOM IN Equity</stp>
        <stp>TRAIL_12M_FREE_CASH_FLOW_FIRM</stp>
        <stp>FY 2012</stp>
        <stp>FY 2012</stp>
        <stp>[FA1_ymffleas.xlsx]Yield Analysis!R32C6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32" s="26"/>
      </tp>
      <tp t="s">
        <v>—</v>
        <stp/>
        <stp>##V3_BDHV12</stp>
        <stp>RCOM IN Equity</stp>
        <stp>5_YEAR_AVERAGE_ADJUSTED_ROE</stp>
        <stp>FY 2009</stp>
        <stp>FY 2009</stp>
        <stp>[FA1_ymffleas.xlsx]DuPont Analysis!R21C3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1" s="27"/>
      </tp>
      <tp>
        <v>36.238900000000001</v>
        <stp/>
        <stp>##V3_BDHV12</stp>
        <stp>RCOM IN Equity</stp>
        <stp>CAP_EXPEND_TO_SALES</stp>
        <stp>FY 2010</stp>
        <stp>FY 2010</stp>
        <stp>[FA1_ymffleas.xlsx]CAPEX &amp; Depreciation!R12C4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2" s="28"/>
      </tp>
      <tp>
        <v>71.116900000000001</v>
        <stp/>
        <stp>##V3_BDHV12</stp>
        <stp>RCOM IN Equity</stp>
        <stp>EBITDA_TO_REVENUE</stp>
        <stp>FY 2017</stp>
        <stp>FY 2017</stp>
        <stp>[FA1_ymffleas.xlsx]Profitability!R13C11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3" s="21"/>
      </tp>
      <tp>
        <v>-4070</v>
        <stp/>
        <stp>##V3_BDHV12</stp>
        <stp>RCOM IN Equity</stp>
        <stp>CF_CASH_FROM_OPER</stp>
        <stp>FY 2018</stp>
        <stp>FY 2018</stp>
        <stp>[FA1_ymffleas.xlsx]Cash Flow - Standardized!R16C11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" s="19"/>
      </tp>
      <tp>
        <v>-35600</v>
        <stp/>
        <stp>##V3_BDHV12</stp>
        <stp>RCOM IN Equity</stp>
        <stp>CF_CASH_FROM_OPER</stp>
        <stp>FY 2017</stp>
        <stp>FY 2017</stp>
        <stp>[FA1_ymffleas.xlsx]Cash Flow - Standardized!R16C10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" s="19"/>
      </tp>
      <tp t="s">
        <v>—</v>
        <stp/>
        <stp>##V3_BDHV12</stp>
        <stp>RCOM IN Equity</stp>
        <stp>ARDR_NON_OP_PROF_LOSS_DISP_FIXED</stp>
        <stp>FY 2010</stp>
        <stp>FY 2010</stp>
        <stp>[FA1_ymffleas.xlsx]Income - As Reported!R101C4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1" s="11"/>
      </tp>
      <tp t="s">
        <v>—</v>
        <stp/>
        <stp>##V3_BDHV12</stp>
        <stp>RCOM IN Equity</stp>
        <stp>ARDR_NON_OP_PROF_LOSS_DISP_FIXED</stp>
        <stp>FY 2011</stp>
        <stp>FY 2011</stp>
        <stp>[FA1_ymffleas.xlsx]Income - As Reported!R101C5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1" s="11"/>
      </tp>
      <tp>
        <v>-70</v>
        <stp/>
        <stp>##V3_BDHV12</stp>
        <stp>RCOM IN Equity</stp>
        <stp>ARDR_NON_OP_PROF_LOSS_DISP_FIXED</stp>
        <stp>FY 2012</stp>
        <stp>FY 2012</stp>
        <stp>[FA1_ymffleas.xlsx]Income - As Reported!R101C6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1" s="11"/>
      </tp>
      <tp t="s">
        <v>—</v>
        <stp/>
        <stp>##V3_BDHV12</stp>
        <stp>RCOM IN Equity</stp>
        <stp>ARDR_NON_OP_PROF_LOSS_DISP_FIXED</stp>
        <stp>FY 2013</stp>
        <stp>FY 2013</stp>
        <stp>[FA1_ymffleas.xlsx]Income - As Reported!R101C7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1" s="11"/>
      </tp>
      <tp t="s">
        <v>—</v>
        <stp/>
        <stp>##V3_BDHV12</stp>
        <stp>RCOM IN Equity</stp>
        <stp>ARDR_NON_OP_PROF_LOSS_DISP_FIXED</stp>
        <stp>FY 2009</stp>
        <stp>FY 2009</stp>
        <stp>[FA1_ymffleas.xlsx]Income - As Reported!R101C3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1" s="11"/>
      </tp>
      <tp t="s">
        <v>—</v>
        <stp/>
        <stp>##V3_BDHV12</stp>
        <stp>RCOM IN Equity</stp>
        <stp>ARDR_NON_OP_PROF_LOSS_DISP_FIXED</stp>
        <stp>FY 2014</stp>
        <stp>FY 2014</stp>
        <stp>[FA1_ymffleas.xlsx]Income - As Reported!R101C8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1" s="11"/>
      </tp>
      <tp t="s">
        <v>—</v>
        <stp/>
        <stp>##V3_BDHV12</stp>
        <stp>RCOM IN Equity</stp>
        <stp>ARDR_NON_OP_PROF_LOSS_DISP_FIXED</stp>
        <stp>FY 2015</stp>
        <stp>FY 2015</stp>
        <stp>[FA1_ymffleas.xlsx]Income - As Reported!R101C9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1" s="11"/>
      </tp>
      <tp>
        <v>-74960.3</v>
        <stp/>
        <stp>##V3_BDHV12</stp>
        <stp>RCOM IN Equity</stp>
        <stp>ACQUIS_FXD_&amp;_INTANG_DETAILED</stp>
        <stp>FY 2010</stp>
        <stp>FY 2010</stp>
        <stp>[FA1_ymffleas.xlsx]Cash Flow - Standardized!R23C3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3" s="19"/>
      </tp>
      <tp>
        <v>-48500</v>
        <stp/>
        <stp>##V3_BDHV12</stp>
        <stp>RCOM IN Equity</stp>
        <stp>ACQUIS_FXD_&amp;_INTANG_DETAILED</stp>
        <stp>FY 2012</stp>
        <stp>FY 2012</stp>
        <stp>[FA1_ymffleas.xlsx]Cash Flow - Standardized!R23C5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3" s="19"/>
      </tp>
      <tp>
        <v>-103270</v>
        <stp/>
        <stp>##V3_BDHV12</stp>
        <stp>RCOM IN Equity</stp>
        <stp>ACQUIS_FXD_&amp;_INTANG_DETAILED</stp>
        <stp>FY 2011</stp>
        <stp>FY 2011</stp>
        <stp>[FA1_ymffleas.xlsx]Cash Flow - Standardized!R23C4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3" s="19"/>
      </tp>
      <tp>
        <v>-21650</v>
        <stp/>
        <stp>##V3_BDHV12</stp>
        <stp>RCOM IN Equity</stp>
        <stp>ACQUIS_FXD_&amp;_INTANG_DETAILED</stp>
        <stp>FY 2014</stp>
        <stp>FY 2014</stp>
        <stp>[FA1_ymffleas.xlsx]Cash Flow - Standardized!R23C7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3" s="19"/>
      </tp>
      <tp>
        <v>-21140</v>
        <stp/>
        <stp>##V3_BDHV12</stp>
        <stp>RCOM IN Equity</stp>
        <stp>ACQUIS_FXD_&amp;_INTANG_DETAILED</stp>
        <stp>FY 2013</stp>
        <stp>FY 2013</stp>
        <stp>[FA1_ymffleas.xlsx]Cash Flow - Standardized!R23C6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3" s="19"/>
      </tp>
      <tp>
        <v>-153300</v>
        <stp/>
        <stp>##V3_BDHV12</stp>
        <stp>RCOM IN Equity</stp>
        <stp>ACQUIS_FXD_&amp;_INTANG_DETAILED</stp>
        <stp>FY 2016</stp>
        <stp>FY 2016</stp>
        <stp>[FA1_ymffleas.xlsx]Cash Flow - Standardized!R23C9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3" s="19"/>
      </tp>
      <tp>
        <v>-24960</v>
        <stp/>
        <stp>##V3_BDHV12</stp>
        <stp>RCOM IN Equity</stp>
        <stp>ACQUIS_FXD_&amp;_INTANG_DETAILED</stp>
        <stp>FY 2015</stp>
        <stp>FY 2015</stp>
        <stp>[FA1_ymffleas.xlsx]Cash Flow - Standardized!R23C8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3" s="19"/>
      </tp>
      <tp>
        <v>6.7873000000000001</v>
        <stp/>
        <stp>##V3_BDHV12</stp>
        <stp>RCOM IN Equity</stp>
        <stp>SALES_GROWTH</stp>
        <stp>FY 2011</stp>
        <stp>FY 2011</stp>
        <stp>[FA1_ymffleas.xlsx]Adj Highlights!R13C4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D13" s="2"/>
      </tp>
      <tp>
        <v>-30.8142</v>
        <stp/>
        <stp>##V3_BDHV12</stp>
        <stp>RCOM IN Equity</stp>
        <stp>EBITDA_GROWTH</stp>
        <stp>FY 2012</stp>
        <stp>FY 2012</stp>
        <stp>[FA1_ymffleas.xlsx]Growth!R8C6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8" s="22"/>
      </tp>
      <tp>
        <v>-3259.5394999999999</v>
        <stp/>
        <stp>##V3_BDHV12</stp>
        <stp>RCOM IN Equity</stp>
        <stp>CASH_CONVERSION_CYCLE</stp>
        <stp>FY 2012</stp>
        <stp>FY 2012</stp>
        <stp>[FA1_ymffleas.xlsx]Working Capital!R13C6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3" s="25"/>
      </tp>
      <tp>
        <v>65540</v>
        <stp/>
        <stp>##V3_BDHV12</stp>
        <stp>RCOM IN Equity</stp>
        <stp>SALES_REV_TURN</stp>
        <stp>FY 2017</stp>
        <stp>FY 2017</stp>
        <stp>[FA1_ymffleas.xlsx]Adj Highlights!R12C10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2" s="2"/>
      </tp>
      <tp>
        <v>45930</v>
        <stp/>
        <stp>##V3_BDHV12</stp>
        <stp>RCOM IN Equity</stp>
        <stp>SALES_REV_TURN</stp>
        <stp>FY 2018</stp>
        <stp>FY 2018</stp>
        <stp>[FA1_ymffleas.xlsx]Adj Highlights!R12C11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2" s="2"/>
      </tp>
      <tp t="s">
        <v>—</v>
        <stp/>
        <stp>##V3_BDHV12</stp>
        <stp>RCOM IN Equity</stp>
        <stp>INVENT_TURN</stp>
        <stp>FY 2011</stp>
        <stp>FY 2011</stp>
        <stp>[FA1_ymffleas.xlsx]Working Capital!R8C5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8" s="25"/>
      </tp>
      <tp>
        <v>15.165699999999999</v>
        <stp/>
        <stp>##V3_BDHV12</stp>
        <stp>RCOM IN Equity</stp>
        <stp>NET_DEBT_TO_EBIT</stp>
        <stp>FY 2016</stp>
        <stp>FY 2016</stp>
        <stp>[FA1_ymffleas.xlsx]Credit!R14C10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4" s="23"/>
      </tp>
      <tp>
        <v>213.9299</v>
        <stp/>
        <stp>##V3_BDHV12</stp>
        <stp>RCOM IN Equity</stp>
        <stp>ACCT_RCV_DAYS</stp>
        <stp>FY 2018</stp>
        <stp>FY 2018</stp>
        <stp>[FA1_ymffleas.xlsx]Working Capital!R7C12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7" s="25"/>
      </tp>
      <tp>
        <v>-32.4086</v>
        <stp/>
        <stp>##V3_BDHV12</stp>
        <stp>RCOM IN Equity</stp>
        <stp>5Y_GEO_GROWTH_DILUTED_EPS</stp>
        <stp>FY 2015</stp>
        <stp>FY 2015</stp>
        <stp>[FA1_ymffleas.xlsx]Growth!R40C9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40" s="22"/>
      </tp>
      <tp>
        <v>6270</v>
        <stp/>
        <stp>##V3_BDHV12</stp>
        <stp>RCOM IN Equity</stp>
        <stp>INC_DEC_IN_OT_OP_AST_LIAB_DETAIL</stp>
        <stp>FY 2018</stp>
        <stp>FY 2018</stp>
        <stp>[FA1_ymffleas.xlsx]Cash Flow - Standardized!R14C11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" s="19"/>
      </tp>
      <tp>
        <v>-61440</v>
        <stp/>
        <stp>##V3_BDHV12</stp>
        <stp>RCOM IN Equity</stp>
        <stp>INC_DEC_IN_OT_OP_AST_LIAB_DETAIL</stp>
        <stp>FY 2017</stp>
        <stp>FY 2017</stp>
        <stp>[FA1_ymffleas.xlsx]Cash Flow - Standardized!R14C10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" s="19"/>
      </tp>
      <tp>
        <v>-13.8301</v>
        <stp/>
        <stp>##V3_BDHV12</stp>
        <stp>RCOM IN Equity</stp>
        <stp>NET_INCOME_TO_COMMON_5_YR_GROWTH</stp>
        <stp>FY 2016</stp>
        <stp>FY 2016</stp>
        <stp>[FA1_ymffleas.xlsx]Growth!R39C10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39" s="22"/>
      </tp>
      <tp>
        <v>650</v>
        <stp/>
        <stp>##V3_BDHV12</stp>
        <stp>RCOM IN Equity</stp>
        <stp>CF_CHANGE_IN_INVENTORIES</stp>
        <stp>FY 2018</stp>
        <stp>FY 2018</stp>
        <stp>[FA1_ymffleas.xlsx]Cash Flow - Standardized!R12C11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" s="19"/>
      </tp>
      <tp>
        <v>-270</v>
        <stp/>
        <stp>##V3_BDHV12</stp>
        <stp>RCOM IN Equity</stp>
        <stp>CF_CHANGE_IN_INVENTORIES</stp>
        <stp>FY 2017</stp>
        <stp>FY 2017</stp>
        <stp>[FA1_ymffleas.xlsx]Cash Flow - Standardized!R12C10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" s="19"/>
      </tp>
      <tp>
        <v>0</v>
        <stp/>
        <stp>##V3_BDHV12</stp>
        <stp>RCOM IN Equity</stp>
        <stp>CF_CASH_FOR_DIVESTITURES</stp>
        <stp>FY 2018</stp>
        <stp>FY 2018</stp>
        <stp>[FA1_ymffleas.xlsx]Cash Flow - Standardized!R30C11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0" s="19"/>
      </tp>
      <tp>
        <v>0</v>
        <stp/>
        <stp>##V3_BDHV12</stp>
        <stp>RCOM IN Equity</stp>
        <stp>CF_CASH_FOR_DIVESTITURES</stp>
        <stp>FY 2017</stp>
        <stp>FY 2017</stp>
        <stp>[FA1_ymffleas.xlsx]Cash Flow - Standardized!R30C10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0" s="19"/>
      </tp>
      <tp>
        <v>-14.535299999999999</v>
        <stp/>
        <stp>##V3_BDHV12</stp>
        <stp>RCOM IN Equity</stp>
        <stp>FREE_CASH_FLOW_YIELD</stp>
        <stp>FY 2015</stp>
        <stp>FY 2015</stp>
        <stp>[FA1_ymffleas.xlsx]Yield Analysis!R11C9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1" s="26"/>
      </tp>
      <tp>
        <v>6.4085000000000001</v>
        <stp/>
        <stp>##V3_BDHV12</stp>
        <stp>RCOM IN Equity</stp>
        <stp>FREE_CASH_FLOW_YIELD</stp>
        <stp>FY 2014</stp>
        <stp>FY 2014</stp>
        <stp>[FA1_ymffleas.xlsx]Yield Analysis!R11C8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1" s="26"/>
      </tp>
      <tp>
        <v>-6.5183</v>
        <stp/>
        <stp>##V3_BDHV12</stp>
        <stp>RCOM IN Equity</stp>
        <stp>FREE_CASH_FLOW_YIELD</stp>
        <stp>FY 2013</stp>
        <stp>FY 2013</stp>
        <stp>[FA1_ymffleas.xlsx]Yield Analysis!R11C7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1" s="26"/>
      </tp>
      <tp>
        <v>-4.4789000000000003</v>
        <stp/>
        <stp>##V3_BDHV12</stp>
        <stp>RCOM IN Equity</stp>
        <stp>FREE_CASH_FLOW_YIELD</stp>
        <stp>FY 2012</stp>
        <stp>FY 2012</stp>
        <stp>[FA1_ymffleas.xlsx]Yield Analysis!R11C6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1" s="26"/>
      </tp>
      <tp>
        <v>-41.653100000000002</v>
        <stp/>
        <stp>##V3_BDHV12</stp>
        <stp>RCOM IN Equity</stp>
        <stp>FREE_CASH_FLOW_YIELD</stp>
        <stp>FY 2011</stp>
        <stp>FY 2011</stp>
        <stp>[FA1_ymffleas.xlsx]Yield Analysis!R11C5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1" s="26"/>
      </tp>
      <tp>
        <v>1.9374</v>
        <stp/>
        <stp>##V3_BDHV12</stp>
        <stp>RCOM IN Equity</stp>
        <stp>FREE_CASH_FLOW_YIELD</stp>
        <stp>FY 2010</stp>
        <stp>FY 2010</stp>
        <stp>[FA1_ymffleas.xlsx]Yield Analysis!R11C4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1" s="26"/>
      </tp>
      <tp>
        <v>0.70240000000000002</v>
        <stp/>
        <stp>##V3_BDHV12</stp>
        <stp>RCOM IN Equity</stp>
        <stp>ARDR_OPTIONS_OUTSTANDING_END_PER</stp>
        <stp>FY 2016</stp>
        <stp>FY 2016</stp>
        <stp>[FA1_ymffleas.xlsx]Bal Sheet - As Reported!R146C10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46" s="17"/>
      </tp>
      <tp>
        <v>-19.7517</v>
        <stp/>
        <stp>##V3_BDHV12</stp>
        <stp>RCOM IN Equity</stp>
        <stp>FREE_CASH_FLOW_YIELD</stp>
        <stp>FY 2009</stp>
        <stp>FY 2009</stp>
        <stp>[FA1_ymffleas.xlsx]Yield Analysis!R11C3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1" s="26"/>
      </tp>
      <tp>
        <v>0.60160000000000002</v>
        <stp/>
        <stp>##V3_BDHV12</stp>
        <stp>RCOM IN Equity</stp>
        <stp>ARDR_OPTIONS_OUTSTANDING_END_PER</stp>
        <stp>FY 2017</stp>
        <stp>FY 2017</stp>
        <stp>[FA1_ymffleas.xlsx]Bal Sheet - As Reported!R146C11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46" s="17"/>
      </tp>
      <tp>
        <v>0.39350000000000002</v>
        <stp/>
        <stp>##V3_BDHV12</stp>
        <stp>RCOM IN Equity</stp>
        <stp>ARDR_OPTIONS_OUTSTANDING_END_PER</stp>
        <stp>FY 2018</stp>
        <stp>FY 2018</stp>
        <stp>[FA1_ymffleas.xlsx]Bal Sheet - As Reported!R146C12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46" s="17"/>
      </tp>
      <tp t="s">
        <v>—</v>
        <stp/>
        <stp>##V3_BDHV12</stp>
        <stp>RCOM IN Equity</stp>
        <stp>ARDR_BASIC_EPS</stp>
        <stp>FY 2009</stp>
        <stp>FY 2009</stp>
        <stp>[FA1_ymffleas.xlsx]Income - As Reported!R80C3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0" s="11"/>
      </tp>
      <tp>
        <v>4.5</v>
        <stp/>
        <stp>##V3_BDHV12</stp>
        <stp>RCOM IN Equity</stp>
        <stp>ARDR_BASIC_EPS</stp>
        <stp>FY 2012</stp>
        <stp>FY 2012</stp>
        <stp>[FA1_ymffleas.xlsx]Income - As Reported!R80C6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0" s="11"/>
      </tp>
      <tp>
        <v>3.26</v>
        <stp/>
        <stp>##V3_BDHV12</stp>
        <stp>RCOM IN Equity</stp>
        <stp>ARDR_BASIC_EPS</stp>
        <stp>FY 2013</stp>
        <stp>FY 2013</stp>
        <stp>[FA1_ymffleas.xlsx]Income - As Reported!R80C7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0" s="11"/>
      </tp>
      <tp t="s">
        <v>—</v>
        <stp/>
        <stp>##V3_BDHV12</stp>
        <stp>RCOM IN Equity</stp>
        <stp>ARDR_BASIC_EPS</stp>
        <stp>FY 2010</stp>
        <stp>FY 2010</stp>
        <stp>[FA1_ymffleas.xlsx]Income - As Reported!R80C4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0" s="11"/>
      </tp>
      <tp t="s">
        <v>—</v>
        <stp/>
        <stp>##V3_BDHV12</stp>
        <stp>RCOM IN Equity</stp>
        <stp>CF_TO_FIRM_SEQUENTIAL_GROWTH</stp>
        <stp>FY 2009</stp>
        <stp>FY 2009</stp>
        <stp>[FA1_ymffleas.xlsx]Growth!R86C3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86" s="22"/>
      </tp>
      <tp t="s">
        <v>—</v>
        <stp/>
        <stp>##V3_BDHV12</stp>
        <stp>RCOM IN Equity</stp>
        <stp>ARDR_BASIC_EPS</stp>
        <stp>FY 2011</stp>
        <stp>FY 2011</stp>
        <stp>[FA1_ymffleas.xlsx]Income - As Reported!R80C5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0" s="11"/>
      </tp>
      <tp>
        <v>2582.8681000000001</v>
        <stp/>
        <stp>##V3_BDHV12</stp>
        <stp>RCOM IN Equity</stp>
        <stp>IS_AVG_NUM_SH_FOR_EPS</stp>
        <stp>FY 2018</stp>
        <stp>FY 2018</stp>
        <stp>[FA1_ymffleas.xlsx]Comprehensive Income!R16C11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" s="33"/>
      </tp>
      <tp>
        <v>2467.7006999999999</v>
        <stp/>
        <stp>##V3_BDHV12</stp>
        <stp>RCOM IN Equity</stp>
        <stp>IS_AVG_NUM_SH_FOR_EPS</stp>
        <stp>FY 2017</stp>
        <stp>FY 2017</stp>
        <stp>[FA1_ymffleas.xlsx]Comprehensive Income!R16C10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" s="33"/>
      </tp>
      <tp>
        <v>5.07</v>
        <stp/>
        <stp>##V3_BDHV12</stp>
        <stp>RCOM IN Equity</stp>
        <stp>ARDR_BASIC_EPS</stp>
        <stp>FY 2014</stp>
        <stp>FY 2014</stp>
        <stp>[FA1_ymffleas.xlsx]Income - As Reported!R80C8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0" s="11"/>
      </tp>
      <tp>
        <v>3.05</v>
        <stp/>
        <stp>##V3_BDHV12</stp>
        <stp>RCOM IN Equity</stp>
        <stp>ARDR_BASIC_EPS</stp>
        <stp>FY 2015</stp>
        <stp>FY 2015</stp>
        <stp>[FA1_ymffleas.xlsx]Income - As Reported!R80C9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0" s="11"/>
      </tp>
      <tp>
        <v>820</v>
        <stp/>
        <stp>##V3_BDHV12</stp>
        <stp>RCOM IN Equity</stp>
        <stp>ARD_CHANGE_IN_INVENTORIES</stp>
        <stp>FY 2014</stp>
        <stp>FY 2014</stp>
        <stp>[FA1_ymffleas.xlsx]Cash Flow - As Reported!R12C8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" s="20"/>
      </tp>
      <tp>
        <v>140</v>
        <stp/>
        <stp>##V3_BDHV12</stp>
        <stp>RCOM IN Equity</stp>
        <stp>ARD_CHANGE_IN_INVENTORIES</stp>
        <stp>FY 2015</stp>
        <stp>FY 2015</stp>
        <stp>[FA1_ymffleas.xlsx]Cash Flow - As Reported!R12C9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" s="20"/>
      </tp>
      <tp>
        <v>-1338.6</v>
        <stp/>
        <stp>##V3_BDHV12</stp>
        <stp>RCOM IN Equity</stp>
        <stp>ARD_CHANGE_IN_INVENTORIES</stp>
        <stp>FY 2009</stp>
        <stp>FY 2009</stp>
        <stp>[FA1_ymffleas.xlsx]Cash Flow - As Reported!R12C3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" s="20"/>
      </tp>
      <tp>
        <v>-19.100000000000001</v>
        <stp/>
        <stp>##V3_BDHV12</stp>
        <stp>RCOM IN Equity</stp>
        <stp>ARD_CHANGE_IN_INVENTORIES</stp>
        <stp>FY 2010</stp>
        <stp>FY 2010</stp>
        <stp>[FA1_ymffleas.xlsx]Cash Flow - As Reported!R12C4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" s="20"/>
      </tp>
      <tp>
        <v>270</v>
        <stp/>
        <stp>##V3_BDHV12</stp>
        <stp>RCOM IN Equity</stp>
        <stp>ARD_CHANGE_IN_INVENTORIES</stp>
        <stp>FY 2011</stp>
        <stp>FY 2011</stp>
        <stp>[FA1_ymffleas.xlsx]Cash Flow - As Reported!R12C5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" s="20"/>
      </tp>
      <tp>
        <v>-490</v>
        <stp/>
        <stp>##V3_BDHV12</stp>
        <stp>RCOM IN Equity</stp>
        <stp>ARD_CHANGE_IN_INVENTORIES</stp>
        <stp>FY 2012</stp>
        <stp>FY 2012</stp>
        <stp>[FA1_ymffleas.xlsx]Cash Flow - As Reported!R12C6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" s="20"/>
      </tp>
      <tp>
        <v>700</v>
        <stp/>
        <stp>##V3_BDHV12</stp>
        <stp>RCOM IN Equity</stp>
        <stp>ARD_CHANGE_IN_INVENTORIES</stp>
        <stp>FY 2013</stp>
        <stp>FY 2013</stp>
        <stp>[FA1_ymffleas.xlsx]Cash Flow - As Reported!R12C7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" s="20"/>
      </tp>
      <tp>
        <v>28670</v>
        <stp/>
        <stp>##V3_BDHV12</stp>
        <stp>RCOM IN Equity</stp>
        <stp>ARD_DEPRECIATION_AMORT_IMPAIRMNT</stp>
        <stp>FY 2018</stp>
        <stp>FY 2018</stp>
        <stp>[FA1_ymffleas.xlsx]Cash Flow - As Reported!R24C12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4" s="20"/>
      </tp>
      <tp>
        <v>42210</v>
        <stp/>
        <stp>##V3_BDHV12</stp>
        <stp>RCOM IN Equity</stp>
        <stp>ARD_DEPRECIATION_AMORT_IMPAIRMNT</stp>
        <stp>FY 2017</stp>
        <stp>FY 2017</stp>
        <stp>[FA1_ymffleas.xlsx]Cash Flow - As Reported!R24C11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4" s="20"/>
      </tp>
      <tp>
        <v>44840</v>
        <stp/>
        <stp>##V3_BDHV12</stp>
        <stp>RCOM IN Equity</stp>
        <stp>ARD_DEPRECIATION_AMORT_IMPAIRMNT</stp>
        <stp>FY 2016</stp>
        <stp>FY 2016</stp>
        <stp>[FA1_ymffleas.xlsx]Cash Flow - As Reported!R24C10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4" s="20"/>
      </tp>
      <tp>
        <v>39.610100000000003</v>
        <stp/>
        <stp>##V3_BDHV12</stp>
        <stp>RCOM IN Equity</stp>
        <stp>CASH_FLOW_PER_SH</stp>
        <stp>FY 2010</stp>
        <stp>FY 2010</stp>
        <stp>[FA1_ymffleas.xlsx]Addl - Overview!R34C3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4" s="29"/>
      </tp>
      <tp>
        <v>6.6375000000000002</v>
        <stp/>
        <stp>##V3_BDHV12</stp>
        <stp>RCOM IN Equity</stp>
        <stp>CASH_FLOW_PER_SH</stp>
        <stp>FY 2013</stp>
        <stp>FY 2013</stp>
        <stp>[FA1_ymffleas.xlsx]Addl - Overview!R34C6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4" s="29"/>
      </tp>
      <tp>
        <v>18.7498</v>
        <stp/>
        <stp>##V3_BDHV12</stp>
        <stp>RCOM IN Equity</stp>
        <stp>CASH_FLOW_PER_SH</stp>
        <stp>FY 2014</stp>
        <stp>FY 2014</stp>
        <stp>[FA1_ymffleas.xlsx]Addl - Overview!R34C7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4" s="29"/>
      </tp>
      <tp>
        <v>5.1936999999999998</v>
        <stp/>
        <stp>##V3_BDHV12</stp>
        <stp>RCOM IN Equity</stp>
        <stp>CASH_FLOW_PER_SH</stp>
        <stp>FY 2011</stp>
        <stp>FY 2011</stp>
        <stp>[FA1_ymffleas.xlsx]Addl - Overview!R34C4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4" s="29"/>
      </tp>
      <tp>
        <v>19.7333</v>
        <stp/>
        <stp>##V3_BDHV12</stp>
        <stp>RCOM IN Equity</stp>
        <stp>CASH_FLOW_PER_SH</stp>
        <stp>FY 2012</stp>
        <stp>FY 2012</stp>
        <stp>[FA1_ymffleas.xlsx]Addl - Overview!R34C5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4" s="29"/>
      </tp>
      <tp>
        <v>8512.7999999999993</v>
        <stp/>
        <stp>##V3_BDHV12</stp>
        <stp>RCOM IN Equity</stp>
        <stp>BS_ACCTS_REC_EXCL_NOTES_REC</stp>
        <stp>FY 2009</stp>
        <stp>FY 2009</stp>
        <stp>[FA1_ymffleas.xlsx]Bal Sheet - Standardized!R15C3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5" s="16"/>
      </tp>
      <tp>
        <v>13380</v>
        <stp/>
        <stp>##V3_BDHV12</stp>
        <stp>RCOM IN Equity</stp>
        <stp>BS_ACCTS_REC_EXCL_NOTES_REC</stp>
        <stp>FY 2011</stp>
        <stp>FY 2011</stp>
        <stp>[FA1_ymffleas.xlsx]Bal Sheet - Standardized!R15C5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5" s="16"/>
      </tp>
      <tp>
        <v>9904.4</v>
        <stp/>
        <stp>##V3_BDHV12</stp>
        <stp>RCOM IN Equity</stp>
        <stp>BS_ACCTS_REC_EXCL_NOTES_REC</stp>
        <stp>FY 2010</stp>
        <stp>FY 2010</stp>
        <stp>[FA1_ymffleas.xlsx]Bal Sheet - Standardized!R15C4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5" s="16"/>
      </tp>
      <tp>
        <v>15740</v>
        <stp/>
        <stp>##V3_BDHV12</stp>
        <stp>RCOM IN Equity</stp>
        <stp>BS_ACCTS_REC_EXCL_NOTES_REC</stp>
        <stp>FY 2013</stp>
        <stp>FY 2013</stp>
        <stp>[FA1_ymffleas.xlsx]Bal Sheet - Standardized!R15C7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5" s="16"/>
      </tp>
      <tp>
        <v>18420</v>
        <stp/>
        <stp>##V3_BDHV12</stp>
        <stp>RCOM IN Equity</stp>
        <stp>BS_ACCTS_REC_EXCL_NOTES_REC</stp>
        <stp>FY 2012</stp>
        <stp>FY 2012</stp>
        <stp>[FA1_ymffleas.xlsx]Bal Sheet - Standardized!R15C6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5" s="16"/>
      </tp>
      <tp>
        <v>11940</v>
        <stp/>
        <stp>##V3_BDHV12</stp>
        <stp>RCOM IN Equity</stp>
        <stp>BS_ACCTS_REC_EXCL_NOTES_REC</stp>
        <stp>FY 2015</stp>
        <stp>FY 2015</stp>
        <stp>[FA1_ymffleas.xlsx]Bal Sheet - Standardized!R15C9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5" s="16"/>
      </tp>
      <tp>
        <v>11270</v>
        <stp/>
        <stp>##V3_BDHV12</stp>
        <stp>RCOM IN Equity</stp>
        <stp>BS_ACCTS_REC_EXCL_NOTES_REC</stp>
        <stp>FY 2014</stp>
        <stp>FY 2014</stp>
        <stp>[FA1_ymffleas.xlsx]Bal Sheet - Standardized!R15C8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5" s="16"/>
      </tp>
      <tp>
        <v>2.0823</v>
        <stp/>
        <stp>##V3_BDHV12</stp>
        <stp>RCOM IN Equity</stp>
        <stp>CASH_FLOW_PER_SH</stp>
        <stp>FY 2015</stp>
        <stp>FY 2015</stp>
        <stp>[FA1_ymffleas.xlsx]Addl - Overview!R34C8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4" s="29"/>
      </tp>
      <tp>
        <v>-35.0105</v>
        <stp/>
        <stp>##V3_BDHV12</stp>
        <stp>RCOM IN Equity</stp>
        <stp>GEO_GROW_OPER_INC</stp>
        <stp>FY 2018</stp>
        <stp>FY 2018</stp>
        <stp>[FA1_ymffleas.xlsx]Growth!R38C12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38" s="22"/>
      </tp>
      <tp>
        <v>57.628500000000003</v>
        <stp/>
        <stp>##V3_BDHV12</stp>
        <stp>RCOM IN Equity</stp>
        <stp>CASH_FLOW_PER_SH</stp>
        <stp>FY 2016</stp>
        <stp>FY 2016</stp>
        <stp>[FA1_ymffleas.xlsx]Addl - Overview!R34C9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4" s="29"/>
      </tp>
      <tp t="s">
        <v>—</v>
        <stp/>
        <stp>##V3_BDHV12</stp>
        <stp>RCOM IN Equity</stp>
        <stp>ARD_GAIN_LOSS_SALES_FIXED_ASSETS</stp>
        <stp>FY 2016</stp>
        <stp>FY 2016</stp>
        <stp>[FA1_ymffleas.xlsx]Cash Flow - As Reported!R22C10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2" s="20"/>
      </tp>
      <tp t="s">
        <v>—</v>
        <stp/>
        <stp>##V3_BDHV12</stp>
        <stp>RCOM IN Equity</stp>
        <stp>ARD_GAIN_LOSS_SALES_FIXED_ASSETS</stp>
        <stp>FY 2017</stp>
        <stp>FY 2017</stp>
        <stp>[FA1_ymffleas.xlsx]Cash Flow - As Reported!R22C11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2" s="20"/>
      </tp>
      <tp t="s">
        <v>—</v>
        <stp/>
        <stp>##V3_BDHV12</stp>
        <stp>RCOM IN Equity</stp>
        <stp>ARD_GAIN_LOSS_SALES_FIXED_ASSETS</stp>
        <stp>FY 2018</stp>
        <stp>FY 2018</stp>
        <stp>[FA1_ymffleas.xlsx]Cash Flow - As Reported!R22C12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2" s="20"/>
      </tp>
      <tp>
        <v>46.751800000000003</v>
        <stp/>
        <stp>##V3_BDHV12</stp>
        <stp>RCOM IN Equity</stp>
        <stp>CAP_EXPEND_TO_SALES</stp>
        <stp>FY 2011</stp>
        <stp>FY 2011</stp>
        <stp>[FA1_ymffleas.xlsx]CAPEX &amp; Depreciation!R12C5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2" s="28"/>
      </tp>
      <tp t="s">
        <v>—</v>
        <stp/>
        <stp>##V3_BDHV12</stp>
        <stp>RCOM IN Equity</stp>
        <stp>ARDR_PROGRAM_RIGHT_FILM_NON_CURR</stp>
        <stp>FY 2017</stp>
        <stp>FY 2017</stp>
        <stp>[FA1_ymffleas.xlsx]Bal Sheet - As Reported!R172C11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72" s="17"/>
      </tp>
      <tp t="s">
        <v>—</v>
        <stp/>
        <stp>##V3_BDHV12</stp>
        <stp>RCOM IN Equity</stp>
        <stp>ARDR_PROGRAM_RIGHT_FILM_NON_CURR</stp>
        <stp>FY 2016</stp>
        <stp>FY 2016</stp>
        <stp>[FA1_ymffleas.xlsx]Bal Sheet - As Reported!R172C10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72" s="17"/>
      </tp>
      <tp t="s">
        <v>—</v>
        <stp/>
        <stp>##V3_BDHV12</stp>
        <stp>RCOM IN Equity</stp>
        <stp>ARDR_PROGRAM_RIGHT_FILM_NON_CURR</stp>
        <stp>FY 2018</stp>
        <stp>FY 2018</stp>
        <stp>[FA1_ymffleas.xlsx]Bal Sheet - As Reported!R172C12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72" s="17"/>
      </tp>
      <tp>
        <v>33.390099999999997</v>
        <stp/>
        <stp>##V3_BDHV12</stp>
        <stp>RCOM IN Equity</stp>
        <stp>EBITDA_TO_REVENUE</stp>
        <stp>FY 2016</stp>
        <stp>FY 2016</stp>
        <stp>[FA1_ymffleas.xlsx]Profitability!R13C10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3" s="21"/>
      </tp>
      <tp>
        <v>100</v>
        <stp/>
        <stp>##V3_BDHV12</stp>
        <stp>RCOM IN Equity</stp>
        <stp>ARDR_OPRB_EXPENSE_INCOME</stp>
        <stp>FY 2017</stp>
        <stp>FY 2017</stp>
        <stp>[FA1_ymffleas.xlsx]Bal Sheet - As Reported!R208C11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08" s="17"/>
      </tp>
      <tp>
        <v>90</v>
        <stp/>
        <stp>##V3_BDHV12</stp>
        <stp>RCOM IN Equity</stp>
        <stp>ARDR_OPRB_EXPENSE_INCOME</stp>
        <stp>FY 2016</stp>
        <stp>FY 2016</stp>
        <stp>[FA1_ymffleas.xlsx]Bal Sheet - As Reported!R208C10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08" s="17"/>
      </tp>
      <tp>
        <v>100</v>
        <stp/>
        <stp>##V3_BDHV12</stp>
        <stp>RCOM IN Equity</stp>
        <stp>ARDR_OPRB_EXPENSE_INCOME</stp>
        <stp>FY 2018</stp>
        <stp>FY 2018</stp>
        <stp>[FA1_ymffleas.xlsx]Bal Sheet - As Reported!R208C12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08" s="17"/>
      </tp>
      <tp>
        <v>-34.389400000000002</v>
        <stp/>
        <stp>##V3_BDHV12</stp>
        <stp>RCOM IN Equity</stp>
        <stp>ACCOUNTS_RECEIVABLE_GROWTH</stp>
        <stp>FY 2018</stp>
        <stp>FY 2018</stp>
        <stp>[FA1_ymffleas.xlsx]Growth!R16C12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" s="22"/>
      </tp>
      <tp>
        <v>9.0573999999999995</v>
        <stp/>
        <stp>##V3_BDHV12</stp>
        <stp>RCOM IN Equity</stp>
        <stp>ACCOUNTS_RECEIVABLE_GROWTH</stp>
        <stp>FY 2017</stp>
        <stp>FY 2017</stp>
        <stp>[FA1_ymffleas.xlsx]Growth!R16C11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" s="22"/>
      </tp>
      <tp>
        <v>149.66499999999999</v>
        <stp/>
        <stp>##V3_BDHV12</stp>
        <stp>RCOM IN Equity</stp>
        <stp>ACCOUNTS_RECEIVABLE_GROWTH</stp>
        <stp>FY 2016</stp>
        <stp>FY 2016</stp>
        <stp>[FA1_ymffleas.xlsx]Growth!R16C10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" s="22"/>
      </tp>
      <tp>
        <v>-14030</v>
        <stp/>
        <stp>##V3_BDHV12</stp>
        <stp>RCOM IN Equity</stp>
        <stp>EARN_FOR_COMMON</stp>
        <stp>FY 2017</stp>
        <stp>FY 2017</stp>
        <stp>[FA1_ymffleas.xlsx]Income - GAAP!R81C10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81" s="10"/>
      </tp>
      <tp>
        <v>-238390</v>
        <stp/>
        <stp>##V3_BDHV12</stp>
        <stp>RCOM IN Equity</stp>
        <stp>EARN_FOR_COMMON</stp>
        <stp>FY 2018</stp>
        <stp>FY 2018</stp>
        <stp>[FA1_ymffleas.xlsx]Income - GAAP!R81C11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81" s="10"/>
      </tp>
      <tp>
        <v>-15.27</v>
        <stp/>
        <stp>##V3_BDHV12</stp>
        <stp>RCOM IN Equity</stp>
        <stp>SALES_GROWTH</stp>
        <stp>FY 2012</stp>
        <stp>FY 2012</stp>
        <stp>[FA1_ymffleas.xlsx]Adj Highlights!R13C5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E13" s="2"/>
      </tp>
      <tp>
        <v>2.5194000000000001</v>
        <stp/>
        <stp>##V3_BDHV12</stp>
        <stp>RCOM IN Equity</stp>
        <stp>EBITDA_GROWTH</stp>
        <stp>FY 2013</stp>
        <stp>FY 2013</stp>
        <stp>[FA1_ymffleas.xlsx]Growth!R8C7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8" s="22"/>
      </tp>
      <tp>
        <v>0.50649999999999995</v>
        <stp/>
        <stp>##V3_BDHV12</stp>
        <stp>RCOM IN Equity</stp>
        <stp>IS_EARN_BEF_XO_ITEMS_PER_SH</stp>
        <stp>FY 2017</stp>
        <stp>FY 2017</stp>
        <stp>[FA1_ymffleas.xlsx]Per Share!R15C10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5" s="7"/>
      </tp>
      <tp>
        <v>0.18970000000000001</v>
        <stp/>
        <stp>##V3_BDHV12</stp>
        <stp>RCOM IN Equity</stp>
        <stp>IS_EARN_BEF_XO_ITEMS_PER_SH</stp>
        <stp>FY 2018</stp>
        <stp>FY 2018</stp>
        <stp>[FA1_ymffleas.xlsx]Per Share!R15C11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5" s="7"/>
      </tp>
      <tp t="s">
        <v>—</v>
        <stp/>
        <stp>##V3_BDHV12</stp>
        <stp>RCOM IN Equity</stp>
        <stp>CASH_CONVERSION_CYCLE</stp>
        <stp>FY 2013</stp>
        <stp>FY 2013</stp>
        <stp>[FA1_ymffleas.xlsx]Working Capital!R13C7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3" s="25"/>
      </tp>
      <tp t="s">
        <v>—</v>
        <stp/>
        <stp>##V3_BDHV12</stp>
        <stp>RCOM IN Equity</stp>
        <stp>ARDR_FOREIGN_LOANS_OTHER_LOANS</stp>
        <stp>FY 2017</stp>
        <stp>FY 2017</stp>
        <stp>[FA1_ymffleas.xlsx]Bal Sheet - As Reported!R185C11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5" s="17"/>
      </tp>
      <tp t="s">
        <v>—</v>
        <stp/>
        <stp>##V3_BDHV12</stp>
        <stp>RCOM IN Equity</stp>
        <stp>ARDR_FOREIGN_LOANS_OTHER_LOANS</stp>
        <stp>FY 2016</stp>
        <stp>FY 2016</stp>
        <stp>[FA1_ymffleas.xlsx]Bal Sheet - As Reported!R185C10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5" s="17"/>
      </tp>
      <tp t="s">
        <v>—</v>
        <stp/>
        <stp>##V3_BDHV12</stp>
        <stp>RCOM IN Equity</stp>
        <stp>ARDR_FOREIGN_LOANS_OTHER_LOANS</stp>
        <stp>FY 2018</stp>
        <stp>FY 2018</stp>
        <stp>[FA1_ymffleas.xlsx]Bal Sheet - As Reported!R185C12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5" s="17"/>
      </tp>
      <tp t="s">
        <v>—</v>
        <stp/>
        <stp>##V3_BDHV12</stp>
        <stp>RCOM IN Equity</stp>
        <stp>INVENT_TURN</stp>
        <stp>FY 2010</stp>
        <stp>FY 2010</stp>
        <stp>[FA1_ymffleas.xlsx]Working Capital!R8C4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8" s="25"/>
      </tp>
      <tp>
        <v>100.95229999999999</v>
        <stp/>
        <stp>##V3_BDHV12</stp>
        <stp>RCOM IN Equity</stp>
        <stp>NET_DEBT_TO_EBIT</stp>
        <stp>FY 2017</stp>
        <stp>FY 2017</stp>
        <stp>[FA1_ymffleas.xlsx]Credit!R14C11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4" s="23"/>
      </tp>
      <tp>
        <v>1560</v>
        <stp/>
        <stp>##V3_BDHV12</stp>
        <stp>RCOM IN Equity</stp>
        <stp>IS_NET_INTEREST_EXPENSE</stp>
        <stp>FY 2018</stp>
        <stp>FY 2018</stp>
        <stp>[FA1_ymffleas.xlsx]Income - GAAP!R39C11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9" s="10"/>
      </tp>
      <tp>
        <v>2000</v>
        <stp/>
        <stp>##V3_BDHV12</stp>
        <stp>RCOM IN Equity</stp>
        <stp>IS_NET_INTEREST_EXPENSE</stp>
        <stp>FY 2017</stp>
        <stp>FY 2017</stp>
        <stp>[FA1_ymffleas.xlsx]Income - GAAP!R39C10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9" s="10"/>
      </tp>
      <tp>
        <v>-28.973800000000001</v>
        <stp/>
        <stp>##V3_BDHV12</stp>
        <stp>RCOM IN Equity</stp>
        <stp>5Y_GEO_GROWTH_DILUTED_EPS</stp>
        <stp>FY 2014</stp>
        <stp>FY 2014</stp>
        <stp>[FA1_ymffleas.xlsx]Growth!R40C8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40" s="22"/>
      </tp>
      <tp t="s">
        <v>—</v>
        <stp/>
        <stp>##V3_BDHV12</stp>
        <stp>RCOM IN Equity</stp>
        <stp>ARDR_NOTES_PAYABLE_LT</stp>
        <stp>FY 2018</stp>
        <stp>FY 2018</stp>
        <stp>[FA1_ymffleas.xlsx]Bal Sheet - As Reported!R88C12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88" s="17"/>
      </tp>
      <tp t="s">
        <v>—</v>
        <stp/>
        <stp>##V3_BDHV12</stp>
        <stp>RCOM IN Equity</stp>
        <stp>ARDR_NOTES_PAYABLE_LT</stp>
        <stp>FY 2017</stp>
        <stp>FY 2017</stp>
        <stp>[FA1_ymffleas.xlsx]Bal Sheet - As Reported!R88C11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88" s="17"/>
      </tp>
      <tp t="s">
        <v>—</v>
        <stp/>
        <stp>##V3_BDHV12</stp>
        <stp>RCOM IN Equity</stp>
        <stp>ARDR_NOTES_PAYABLE_LT</stp>
        <stp>FY 2016</stp>
        <stp>FY 2016</stp>
        <stp>[FA1_ymffleas.xlsx]Bal Sheet - As Reported!R88C10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88" s="17"/>
      </tp>
      <tp>
        <v>6</v>
        <stp/>
        <stp>##V3_BDHV12</stp>
        <stp>RCOM IN Equity</stp>
        <stp>INDEPENDENT_DIRECTORS</stp>
        <stp>FY 2018</stp>
        <stp>FY 2018</stp>
        <stp>[FA1_ymffleas.xlsx]ESG - Overview!R23C12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3" s="34"/>
      </tp>
      <tp>
        <v>4</v>
        <stp/>
        <stp>##V3_BDHV12</stp>
        <stp>RCOM IN Equity</stp>
        <stp>INDEPENDENT_DIRECTORS</stp>
        <stp>FY 2016</stp>
        <stp>FY 2016</stp>
        <stp>[FA1_ymffleas.xlsx]ESG - Overview!R23C10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3" s="34"/>
      </tp>
      <tp>
        <v>4</v>
        <stp/>
        <stp>##V3_BDHV12</stp>
        <stp>RCOM IN Equity</stp>
        <stp>INDEPENDENT_DIRECTORS</stp>
        <stp>FY 2017</stp>
        <stp>FY 2017</stp>
        <stp>[FA1_ymffleas.xlsx]ESG - Overview!R23C11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3" s="34"/>
      </tp>
      <tp>
        <v>-30</v>
        <stp/>
        <stp>##V3_BDHV12</stp>
        <stp>RCOM IN Equity</stp>
        <stp>PRETAX_INC</stp>
        <stp>FY 2018</stp>
        <stp>FY 2018</stp>
        <stp>[FA1_ymffleas.xlsx]Earnings!R39C12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39" s="4"/>
      </tp>
      <tp>
        <v>1550</v>
        <stp/>
        <stp>##V3_BDHV12</stp>
        <stp>RCOM IN Equity</stp>
        <stp>PRETAX_INC</stp>
        <stp>FY 2017</stp>
        <stp>FY 2017</stp>
        <stp>[FA1_ymffleas.xlsx]Earnings!R39C11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9" s="4"/>
      </tp>
      <tp>
        <v>2320</v>
        <stp/>
        <stp>##V3_BDHV12</stp>
        <stp>RCOM IN Equity</stp>
        <stp>PRETAX_INC</stp>
        <stp>FY 2016</stp>
        <stp>FY 2016</stp>
        <stp>[FA1_ymffleas.xlsx]Earnings!R39C10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9" s="4"/>
      </tp>
      <tp>
        <v>-931.5</v>
        <stp/>
        <stp>##V3_BDHV12</stp>
        <stp>RCOM IN Equity</stp>
        <stp>ARDR_OTHER_FINANCE_INCOME</stp>
        <stp>FY 2010</stp>
        <stp>FY 2010</stp>
        <stp>[FA1_ymffleas.xlsx]Income - As Reported!R120C4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0" s="11"/>
      </tp>
      <tp t="s">
        <v>—</v>
        <stp/>
        <stp>##V3_BDHV12</stp>
        <stp>RCOM IN Equity</stp>
        <stp>ARDR_OTHER_FINANCE_INCOME</stp>
        <stp>FY 2011</stp>
        <stp>FY 2011</stp>
        <stp>[FA1_ymffleas.xlsx]Income - As Reported!R120C5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0" s="11"/>
      </tp>
      <tp t="s">
        <v>—</v>
        <stp/>
        <stp>##V3_BDHV12</stp>
        <stp>RCOM IN Equity</stp>
        <stp>ARDR_OTHER_FINANCE_INCOME</stp>
        <stp>FY 2012</stp>
        <stp>FY 2012</stp>
        <stp>[FA1_ymffleas.xlsx]Income - As Reported!R120C6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0" s="11"/>
      </tp>
      <tp t="s">
        <v>—</v>
        <stp/>
        <stp>##V3_BDHV12</stp>
        <stp>RCOM IN Equity</stp>
        <stp>ARDR_OTHER_FINANCE_INCOME</stp>
        <stp>FY 2013</stp>
        <stp>FY 2013</stp>
        <stp>[FA1_ymffleas.xlsx]Income - As Reported!R120C7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0" s="11"/>
      </tp>
      <tp>
        <v>-15780.6</v>
        <stp/>
        <stp>##V3_BDHV12</stp>
        <stp>RCOM IN Equity</stp>
        <stp>ARDR_OTHER_FINANCE_INCOME</stp>
        <stp>FY 2009</stp>
        <stp>FY 2009</stp>
        <stp>[FA1_ymffleas.xlsx]Income - As Reported!R120C3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0" s="11"/>
      </tp>
      <tp t="s">
        <v>—</v>
        <stp/>
        <stp>##V3_BDHV12</stp>
        <stp>RCOM IN Equity</stp>
        <stp>ARDR_OTHER_FINANCE_INCOME</stp>
        <stp>FY 2014</stp>
        <stp>FY 2014</stp>
        <stp>[FA1_ymffleas.xlsx]Income - As Reported!R120C8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0" s="11"/>
      </tp>
      <tp t="s">
        <v>—</v>
        <stp/>
        <stp>##V3_BDHV12</stp>
        <stp>RCOM IN Equity</stp>
        <stp>ARDR_OTHER_FINANCE_INCOME</stp>
        <stp>FY 2015</stp>
        <stp>FY 2015</stp>
        <stp>[FA1_ymffleas.xlsx]Income - As Reported!R120C9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0" s="11"/>
      </tp>
      <tp>
        <v>0</v>
        <stp/>
        <stp>##V3_BDHV12</stp>
        <stp>RCOM IN Equity</stp>
        <stp>CF_DISPOSAL_OF_INTANGIBLE_ASSETS</stp>
        <stp>FY 2018</stp>
        <stp>FY 2018</stp>
        <stp>[FA1_ymffleas.xlsx]Cash Flow - Standardized!R22C11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2" s="19"/>
      </tp>
      <tp>
        <v>0</v>
        <stp/>
        <stp>##V3_BDHV12</stp>
        <stp>RCOM IN Equity</stp>
        <stp>CF_DISPOSAL_OF_INTANGIBLE_ASSETS</stp>
        <stp>FY 2017</stp>
        <stp>FY 2017</stp>
        <stp>[FA1_ymffleas.xlsx]Cash Flow - Standardized!R22C10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2" s="19"/>
      </tp>
      <tp>
        <v>2460</v>
        <stp/>
        <stp>##V3_BDHV12</stp>
        <stp>RCOM IN Equity</stp>
        <stp>IS_NONOP_INCOME_LOSS</stp>
        <stp>FY 2018</stp>
        <stp>FY 2018</stp>
        <stp>[FA1_ymffleas.xlsx]Income - Adjusted!R37C11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37" s="9"/>
      </tp>
      <tp>
        <v>1430</v>
        <stp/>
        <stp>##V3_BDHV12</stp>
        <stp>RCOM IN Equity</stp>
        <stp>ARD_PROVISION_DOUBTFUL_ACCT_CF</stp>
        <stp>FY 2017</stp>
        <stp>FY 2017</stp>
        <stp>[FA1_ymffleas.xlsx]Cash Flow - As Reported!R9C11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" s="20"/>
      </tp>
      <tp>
        <v>1360</v>
        <stp/>
        <stp>##V3_BDHV12</stp>
        <stp>RCOM IN Equity</stp>
        <stp>ARD_PROVISION_DOUBTFUL_ACCT_CF</stp>
        <stp>FY 2016</stp>
        <stp>FY 2016</stp>
        <stp>[FA1_ymffleas.xlsx]Cash Flow - As Reported!R9C10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" s="20"/>
      </tp>
      <tp>
        <v>3990</v>
        <stp/>
        <stp>##V3_BDHV12</stp>
        <stp>RCOM IN Equity</stp>
        <stp>ARD_PROVISION_DOUBTFUL_ACCT_CF</stp>
        <stp>FY 2018</stp>
        <stp>FY 2018</stp>
        <stp>[FA1_ymffleas.xlsx]Cash Flow - As Reported!R9C12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" s="20"/>
      </tp>
      <tp>
        <v>2850</v>
        <stp/>
        <stp>##V3_BDHV12</stp>
        <stp>RCOM IN Equity</stp>
        <stp>IS_NONOP_INCOME_LOSS</stp>
        <stp>FY 2017</stp>
        <stp>FY 2017</stp>
        <stp>[FA1_ymffleas.xlsx]Income - Adjusted!R37C10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37" s="9"/>
      </tp>
      <tp>
        <v>1.7759</v>
        <stp/>
        <stp>##V3_BDHV12</stp>
        <stp>RCOM IN Equity</stp>
        <stp>5_YEAR_AVERAGE_ADJUSTED_ROE</stp>
        <stp>FY 2017</stp>
        <stp>FY 2017</stp>
        <stp>[FA1_ymffleas.xlsx]DuPont Analysis!R21C11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1" s="27"/>
      </tp>
      <tp t="s">
        <v>—</v>
        <stp/>
        <stp>##V3_BDHV12</stp>
        <stp>RCOM IN Equity</stp>
        <stp>5Y_GEO_GROWTH_DILUTED_EPS</stp>
        <stp>FY 2017</stp>
        <stp>FY 2017</stp>
        <stp>[FA1_ymffleas.xlsx]Growth!R40C11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40" s="22"/>
      </tp>
      <tp>
        <v>19.426200000000001</v>
        <stp/>
        <stp>##V3_BDHV12</stp>
        <stp>RCOM IN Equity</stp>
        <stp>PE_RATIO</stp>
        <stp>FY 2015</stp>
        <stp>FY 2015</stp>
        <stp>[FA1_ymffleas.xlsx]Addl - Overview!R18C8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8" s="29"/>
      </tp>
      <tp>
        <v>19.305</v>
        <stp/>
        <stp>##V3_BDHV12</stp>
        <stp>RCOM IN Equity</stp>
        <stp>PE_RATIO</stp>
        <stp>FY 2016</stp>
        <stp>FY 2016</stp>
        <stp>[FA1_ymffleas.xlsx]Addl - Overview!R18C9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8" s="29"/>
      </tp>
      <tp>
        <v>7.5355999999999996</v>
        <stp/>
        <stp>##V3_BDHV12</stp>
        <stp>RCOM IN Equity</stp>
        <stp>PE_RATIO</stp>
        <stp>FY 2010</stp>
        <stp>FY 2010</stp>
        <stp>[FA1_ymffleas.xlsx]Addl - Overview!R18C3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8" s="29"/>
      </tp>
      <tp t="s">
        <v>—</v>
        <stp/>
        <stp>##V3_BDHV12</stp>
        <stp>RCOM IN Equity</stp>
        <stp>IS_AMORT_OF_TOT_INTANG_P_BAS_SH</stp>
        <stp>FY 2017</stp>
        <stp>FY 2017</stp>
        <stp>[FA1_ymffleas.xlsx]SBC &amp; Amort!R27C11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7" s="13"/>
      </tp>
      <tp>
        <v>16.963200000000001</v>
        <stp/>
        <stp>##V3_BDHV12</stp>
        <stp>RCOM IN Equity</stp>
        <stp>PE_RATIO</stp>
        <stp>FY 2013</stp>
        <stp>FY 2013</stp>
        <stp>[FA1_ymffleas.xlsx]Addl - Overview!R18C6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8" s="29"/>
      </tp>
      <tp t="s">
        <v>—</v>
        <stp/>
        <stp>##V3_BDHV12</stp>
        <stp>RCOM IN Equity</stp>
        <stp>IS_AMORT_OF_TOT_INTANG_P_BAS_SH</stp>
        <stp>FY 2016</stp>
        <stp>FY 2016</stp>
        <stp>[FA1_ymffleas.xlsx]SBC &amp; Amort!R27C10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7" s="13"/>
      </tp>
      <tp>
        <v>25.424099999999999</v>
        <stp/>
        <stp>##V3_BDHV12</stp>
        <stp>RCOM IN Equity</stp>
        <stp>PE_RATIO</stp>
        <stp>FY 2014</stp>
        <stp>FY 2014</stp>
        <stp>[FA1_ymffleas.xlsx]Addl - Overview!R18C7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8" s="29"/>
      </tp>
      <tp>
        <v>16.5199</v>
        <stp/>
        <stp>##V3_BDHV12</stp>
        <stp>RCOM IN Equity</stp>
        <stp>PE_RATIO</stp>
        <stp>FY 2011</stp>
        <stp>FY 2011</stp>
        <stp>[FA1_ymffleas.xlsx]Addl - Overview!R18C4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8" s="29"/>
      </tp>
      <tp t="s">
        <v>—</v>
        <stp/>
        <stp>##V3_BDHV12</stp>
        <stp>RCOM IN Equity</stp>
        <stp>IS_AMORT_OF_TOT_INTANG_P_BAS_SH</stp>
        <stp>FY 2018</stp>
        <stp>FY 2018</stp>
        <stp>[FA1_ymffleas.xlsx]SBC &amp; Amort!R27C12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7" s="13"/>
      </tp>
      <tp>
        <v>18.677800000000001</v>
        <stp/>
        <stp>##V3_BDHV12</stp>
        <stp>RCOM IN Equity</stp>
        <stp>PE_RATIO</stp>
        <stp>FY 2012</stp>
        <stp>FY 2012</stp>
        <stp>[FA1_ymffleas.xlsx]Addl - Overview!R18C5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8" s="29"/>
      </tp>
      <tp t="s">
        <v>—</v>
        <stp/>
        <stp>##V3_BDHV12</stp>
        <stp>RCOM IN Equity</stp>
        <stp>ARDR_FINAL_DIVIDEND_PER_SHARE</stp>
        <stp>FY 2009</stp>
        <stp>FY 2009</stp>
        <stp>[FA1_ymffleas.xlsx]Income - As Reported!R104C3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04" s="11"/>
      </tp>
      <tp t="s">
        <v>—</v>
        <stp/>
        <stp>##V3_BDHV12</stp>
        <stp>RCOM IN Equity</stp>
        <stp>ARDR_FINAL_DIVIDEND_PER_SHARE</stp>
        <stp>FY 2011</stp>
        <stp>FY 2011</stp>
        <stp>[FA1_ymffleas.xlsx]Income - As Reported!R104C5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04" s="11"/>
      </tp>
      <tp t="s">
        <v>—</v>
        <stp/>
        <stp>##V3_BDHV12</stp>
        <stp>RCOM IN Equity</stp>
        <stp>ARDR_FINAL_DIVIDEND_PER_SHARE</stp>
        <stp>FY 2010</stp>
        <stp>FY 2010</stp>
        <stp>[FA1_ymffleas.xlsx]Income - As Reported!R104C4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04" s="11"/>
      </tp>
      <tp t="s">
        <v>—</v>
        <stp/>
        <stp>##V3_BDHV12</stp>
        <stp>RCOM IN Equity</stp>
        <stp>ARDR_FINAL_DIVIDEND_PER_SHARE</stp>
        <stp>FY 2013</stp>
        <stp>FY 2013</stp>
        <stp>[FA1_ymffleas.xlsx]Income - As Reported!R104C7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04" s="11"/>
      </tp>
      <tp t="s">
        <v>—</v>
        <stp/>
        <stp>##V3_BDHV12</stp>
        <stp>RCOM IN Equity</stp>
        <stp>ARDR_FINAL_DIVIDEND_PER_SHARE</stp>
        <stp>FY 2012</stp>
        <stp>FY 2012</stp>
        <stp>[FA1_ymffleas.xlsx]Income - As Reported!R104C6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04" s="11"/>
      </tp>
      <tp t="s">
        <v>—</v>
        <stp/>
        <stp>##V3_BDHV12</stp>
        <stp>RCOM IN Equity</stp>
        <stp>ARDR_FINAL_DIVIDEND_PER_SHARE</stp>
        <stp>FY 2015</stp>
        <stp>FY 2015</stp>
        <stp>[FA1_ymffleas.xlsx]Income - As Reported!R104C9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04" s="11"/>
      </tp>
      <tp t="s">
        <v>—</v>
        <stp/>
        <stp>##V3_BDHV12</stp>
        <stp>RCOM IN Equity</stp>
        <stp>ARDR_FINAL_DIVIDEND_PER_SHARE</stp>
        <stp>FY 2014</stp>
        <stp>FY 2014</stp>
        <stp>[FA1_ymffleas.xlsx]Income - As Reported!R104C8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04" s="11"/>
      </tp>
      <tp>
        <v>-21.4068</v>
        <stp/>
        <stp>##V3_BDHV12</stp>
        <stp>RCOM IN Equity</stp>
        <stp>PROF_MARGIN</stp>
        <stp>FY 2017</stp>
        <stp>FY 2017</stp>
        <stp>[FA1_ymffleas.xlsx]Income - GAAP!R104C10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04" s="10"/>
      </tp>
      <tp t="s">
        <v>—</v>
        <stp/>
        <stp>##V3_BDHV12</stp>
        <stp>RCOM IN Equity</stp>
        <stp>ARDR_OTH_OPER_INC_DIV_INC_NON_OP</stp>
        <stp>FY 2010</stp>
        <stp>FY 2010</stp>
        <stp>[FA1_ymffleas.xlsx]Income - As Reported!R103C4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3" s="11"/>
      </tp>
      <tp t="s">
        <v>—</v>
        <stp/>
        <stp>##V3_BDHV12</stp>
        <stp>RCOM IN Equity</stp>
        <stp>ARDR_OTH_OPER_INC_DIV_INC_NON_OP</stp>
        <stp>FY 2011</stp>
        <stp>FY 2011</stp>
        <stp>[FA1_ymffleas.xlsx]Income - As Reported!R103C5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3" s="11"/>
      </tp>
      <tp>
        <v>0</v>
        <stp/>
        <stp>##V3_BDHV12</stp>
        <stp>RCOM IN Equity</stp>
        <stp>ARDR_OTH_OPER_INC_DIV_INC_NON_OP</stp>
        <stp>FY 2012</stp>
        <stp>FY 2012</stp>
        <stp>[FA1_ymffleas.xlsx]Income - As Reported!R103C6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3" s="11"/>
      </tp>
      <tp t="s">
        <v>—</v>
        <stp/>
        <stp>##V3_BDHV12</stp>
        <stp>RCOM IN Equity</stp>
        <stp>ARDR_OTH_OPER_INC_DIV_INC_NON_OP</stp>
        <stp>FY 2013</stp>
        <stp>FY 2013</stp>
        <stp>[FA1_ymffleas.xlsx]Income - As Reported!R103C7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3" s="11"/>
      </tp>
      <tp t="s">
        <v>—</v>
        <stp/>
        <stp>##V3_BDHV12</stp>
        <stp>RCOM IN Equity</stp>
        <stp>ARDR_OTH_OPER_INC_DIV_INC_NON_OP</stp>
        <stp>FY 2009</stp>
        <stp>FY 2009</stp>
        <stp>[FA1_ymffleas.xlsx]Income - As Reported!R103C3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3" s="11"/>
      </tp>
      <tp t="s">
        <v>—</v>
        <stp/>
        <stp>##V3_BDHV12</stp>
        <stp>RCOM IN Equity</stp>
        <stp>ARDR_OTH_OPER_INC_DIV_INC_NON_OP</stp>
        <stp>FY 2014</stp>
        <stp>FY 2014</stp>
        <stp>[FA1_ymffleas.xlsx]Income - As Reported!R103C8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3" s="11"/>
      </tp>
      <tp t="s">
        <v>—</v>
        <stp/>
        <stp>##V3_BDHV12</stp>
        <stp>RCOM IN Equity</stp>
        <stp>ARDR_OTH_OPER_INC_DIV_INC_NON_OP</stp>
        <stp>FY 2015</stp>
        <stp>FY 2015</stp>
        <stp>[FA1_ymffleas.xlsx]Income - As Reported!R103C9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3" s="11"/>
      </tp>
      <tp>
        <v>30180</v>
        <stp/>
        <stp>##V3_BDHV12</stp>
        <stp>RCOM IN Equity</stp>
        <stp>CF_ACT_CASH_PAID_FOR_INT_DEBT</stp>
        <stp>FY 2014</stp>
        <stp>FY 2014</stp>
        <stp>[FA1_ymffleas.xlsx]Credit!R24C8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4" s="23"/>
      </tp>
      <tp t="s">
        <v>—</v>
        <stp/>
        <stp>##V3_BDHV12</stp>
        <stp>RCOM IN Equity</stp>
        <stp>CF_ACT_CASH_PAID_FOR_INT_DEBT</stp>
        <stp>FY 2015</stp>
        <stp>FY 2015</stp>
        <stp>[FA1_ymffleas.xlsx]Credit!R24C9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4" s="23"/>
      </tp>
      <tp>
        <v>14408.4</v>
        <stp/>
        <stp>##V3_BDHV12</stp>
        <stp>RCOM IN Equity</stp>
        <stp>CF_ACT_CASH_PAID_FOR_INT_DEBT</stp>
        <stp>FY 2010</stp>
        <stp>FY 2010</stp>
        <stp>[FA1_ymffleas.xlsx]Credit!R24C4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4" s="23"/>
      </tp>
      <tp>
        <v>13620</v>
        <stp/>
        <stp>##V3_BDHV12</stp>
        <stp>RCOM IN Equity</stp>
        <stp>CF_ACT_CASH_PAID_FOR_INT_DEBT</stp>
        <stp>FY 2011</stp>
        <stp>FY 2011</stp>
        <stp>[FA1_ymffleas.xlsx]Credit!R24C5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4" s="23"/>
      </tp>
      <tp>
        <v>17180</v>
        <stp/>
        <stp>##V3_BDHV12</stp>
        <stp>RCOM IN Equity</stp>
        <stp>CF_ACT_CASH_PAID_FOR_INT_DEBT</stp>
        <stp>FY 2012</stp>
        <stp>FY 2012</stp>
        <stp>[FA1_ymffleas.xlsx]Credit!R24C6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4" s="23"/>
      </tp>
      <tp>
        <v>24650</v>
        <stp/>
        <stp>##V3_BDHV12</stp>
        <stp>RCOM IN Equity</stp>
        <stp>CF_ACT_CASH_PAID_FOR_INT_DEBT</stp>
        <stp>FY 2013</stp>
        <stp>FY 2013</stp>
        <stp>[FA1_ymffleas.xlsx]Credit!R24C7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4" s="23"/>
      </tp>
      <tp>
        <v>13774.4</v>
        <stp/>
        <stp>##V3_BDHV12</stp>
        <stp>RCOM IN Equity</stp>
        <stp>CF_ACT_CASH_PAID_FOR_INT_DEBT</stp>
        <stp>FY 2009</stp>
        <stp>FY 2009</stp>
        <stp>[FA1_ymffleas.xlsx]Credit!R24C3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4" s="23"/>
      </tp>
      <tp>
        <v>6.7808000000000002</v>
        <stp/>
        <stp>##V3_BDHV12</stp>
        <stp>RCOM IN Equity</stp>
        <stp>EV_TO_T12M_EBITDA</stp>
        <stp>FY 2011</stp>
        <stp>FY 2011</stp>
        <stp>[FA1_ymffleas.xlsx]Enterprise Value!R18C4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18" s="5"/>
      </tp>
      <tp>
        <v>1290</v>
        <stp/>
        <stp>##V3_BDHV12</stp>
        <stp>RCOM IN Equity</stp>
        <stp>ARDR_TIME_DEP_MTY_LESS_THAN_3M</stp>
        <stp>FY 2016</stp>
        <stp>FY 2016</stp>
        <stp>[FA1_ymffleas.xlsx]Bal Sheet - As Reported!R143C10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3" s="17"/>
      </tp>
      <tp>
        <v>400</v>
        <stp/>
        <stp>##V3_BDHV12</stp>
        <stp>RCOM IN Equity</stp>
        <stp>ARDR_TIME_DEP_MTY_LESS_THAN_3M</stp>
        <stp>FY 2017</stp>
        <stp>FY 2017</stp>
        <stp>[FA1_ymffleas.xlsx]Bal Sheet - As Reported!R143C11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3" s="17"/>
      </tp>
      <tp>
        <v>330</v>
        <stp/>
        <stp>##V3_BDHV12</stp>
        <stp>RCOM IN Equity</stp>
        <stp>ARDR_TIME_DEP_MTY_LESS_THAN_3M</stp>
        <stp>FY 2018</stp>
        <stp>FY 2018</stp>
        <stp>[FA1_ymffleas.xlsx]Bal Sheet - As Reported!R143C12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3" s="17"/>
      </tp>
      <tp>
        <v>12.8766</v>
        <stp/>
        <stp>##V3_BDHV12</stp>
        <stp>RCOM IN Equity</stp>
        <stp>EBITDA_GROWTH</stp>
        <stp>FY 2014</stp>
        <stp>FY 2014</stp>
        <stp>[FA1_ymffleas.xlsx]Growth!R8C8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8" s="22"/>
      </tp>
      <tp t="s">
        <v>—</v>
        <stp/>
        <stp>##V3_BDHV12</stp>
        <stp>RCOM IN Equity</stp>
        <stp>CASH_CONVERSION_CYCLE</stp>
        <stp>FY 2014</stp>
        <stp>FY 2014</stp>
        <stp>[FA1_ymffleas.xlsx]Working Capital!R13C8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3" s="25"/>
      </tp>
      <tp>
        <v>-32.473999999999997</v>
        <stp/>
        <stp>##V3_BDHV12</stp>
        <stp>RCOM IN Equity</stp>
        <stp>5Y_GEO_GROWTH_DILUTED_EPS</stp>
        <stp>FY 2013</stp>
        <stp>FY 2013</stp>
        <stp>[FA1_ymffleas.xlsx]Growth!R40C7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40" s="22"/>
      </tp>
      <tp>
        <v>64.099999999999994</v>
        <stp/>
        <stp>##V3_BDHV12</stp>
        <stp>RCOM IN Equity</stp>
        <stp>BEST_GROSS_MARGIN</stp>
        <stp>FY 2015</stp>
        <stp>FY 2015</stp>
        <stp>[FA1_ymffleas.xlsx]Earnings!R33C9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3" s="4"/>
      </tp>
      <tp>
        <v>32.1</v>
        <stp/>
        <stp>##V3_BDHV12</stp>
        <stp>RCOM IN Equity</stp>
        <stp>BEST_GROSS_MARGIN</stp>
        <stp>FY 2014</stp>
        <stp>FY 2014</stp>
        <stp>[FA1_ymffleas.xlsx]Earnings!R33C8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3" s="4"/>
      </tp>
      <tp>
        <v>134320</v>
        <stp/>
        <stp>##V3_BDHV12</stp>
        <stp>RCOM IN Equity</stp>
        <stp>BS_PURE_RETAINED_EARNINGS</stp>
        <stp>FY 2014</stp>
        <stp>FY 2014</stp>
        <stp>[FA1_ymffleas.xlsx]Bal Sheet - Standardized!R143C8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3" s="16"/>
      </tp>
      <tp>
        <v>141460</v>
        <stp/>
        <stp>##V3_BDHV12</stp>
        <stp>RCOM IN Equity</stp>
        <stp>BS_PURE_RETAINED_EARNINGS</stp>
        <stp>FY 2015</stp>
        <stp>FY 2015</stp>
        <stp>[FA1_ymffleas.xlsx]Bal Sheet - Standardized!R143C9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3" s="16"/>
      </tp>
      <tp>
        <v>56313.2</v>
        <stp/>
        <stp>##V3_BDHV12</stp>
        <stp>RCOM IN Equity</stp>
        <stp>BS_PURE_RETAINED_EARNINGS</stp>
        <stp>FY 2009</stp>
        <stp>FY 2009</stp>
        <stp>[FA1_ymffleas.xlsx]Bal Sheet - Standardized!R143C3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3" s="16"/>
      </tp>
      <tp>
        <v>39.133000000000003</v>
        <stp/>
        <stp>##V3_BDHV12</stp>
        <stp>RCOM IN Equity</stp>
        <stp>BEST_GROSS_MARGIN</stp>
        <stp>FY 2013</stp>
        <stp>FY 2013</stp>
        <stp>[FA1_ymffleas.xlsx]Earnings!R33C7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3" s="4"/>
      </tp>
      <tp>
        <v>122210</v>
        <stp/>
        <stp>##V3_BDHV12</stp>
        <stp>RCOM IN Equity</stp>
        <stp>BS_PURE_RETAINED_EARNINGS</stp>
        <stp>FY 2012</stp>
        <stp>FY 2012</stp>
        <stp>[FA1_ymffleas.xlsx]Bal Sheet - Standardized!R143C6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3" s="16"/>
      </tp>
      <tp>
        <v>125640</v>
        <stp/>
        <stp>##V3_BDHV12</stp>
        <stp>RCOM IN Equity</stp>
        <stp>BS_PURE_RETAINED_EARNINGS</stp>
        <stp>FY 2013</stp>
        <stp>FY 2013</stp>
        <stp>[FA1_ymffleas.xlsx]Bal Sheet - Standardized!R143C7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3" s="16"/>
      </tp>
      <tp>
        <v>99667.8</v>
        <stp/>
        <stp>##V3_BDHV12</stp>
        <stp>RCOM IN Equity</stp>
        <stp>BS_PURE_RETAINED_EARNINGS</stp>
        <stp>FY 2010</stp>
        <stp>FY 2010</stp>
        <stp>[FA1_ymffleas.xlsx]Bal Sheet - Standardized!R143C4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3" s="16"/>
      </tp>
      <tp>
        <v>114440</v>
        <stp/>
        <stp>##V3_BDHV12</stp>
        <stp>RCOM IN Equity</stp>
        <stp>BS_PURE_RETAINED_EARNINGS</stp>
        <stp>FY 2011</stp>
        <stp>FY 2011</stp>
        <stp>[FA1_ymffleas.xlsx]Bal Sheet - Standardized!R143C5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3" s="16"/>
      </tp>
      <tp>
        <v>27.4</v>
        <stp/>
        <stp>##V3_BDHV12</stp>
        <stp>RCOM IN Equity</stp>
        <stp>BEST_GROSS_MARGIN</stp>
        <stp>FY 2012</stp>
        <stp>FY 2012</stp>
        <stp>[FA1_ymffleas.xlsx]Earnings!R33C6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3" s="4"/>
      </tp>
      <tp>
        <v>46.3</v>
        <stp/>
        <stp>##V3_BDHV12</stp>
        <stp>RCOM IN Equity</stp>
        <stp>BEST_GROSS_MARGIN</stp>
        <stp>FY 2011</stp>
        <stp>FY 2011</stp>
        <stp>[FA1_ymffleas.xlsx]Earnings!R33C5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3" s="4"/>
      </tp>
      <tp>
        <v>35.6</v>
        <stp/>
        <stp>##V3_BDHV12</stp>
        <stp>RCOM IN Equity</stp>
        <stp>BEST_GROSS_MARGIN</stp>
        <stp>FY 2010</stp>
        <stp>FY 2010</stp>
        <stp>[FA1_ymffleas.xlsx]Earnings!R33C4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3" s="4"/>
      </tp>
      <tp t="s">
        <v>—</v>
        <stp/>
        <stp>##V3_BDHV12</stp>
        <stp>RCOM IN Equity</stp>
        <stp>BEST_GROSS_MARGIN</stp>
        <stp>FY 2009</stp>
        <stp>FY 2009</stp>
        <stp>[FA1_ymffleas.xlsx]Earnings!R33C3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3" s="4"/>
      </tp>
      <tp t="s">
        <v>—</v>
        <stp/>
        <stp>##V3_BDHV12</stp>
        <stp>RCOM IN Equity</stp>
        <stp>FREE_CASH_FLOW_SEQUENTIAL_GROWTH</stp>
        <stp>FY 2018</stp>
        <stp>FY 2018</stp>
        <stp>[FA1_ymffleas.xlsx]Growth!R85C12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5" s="22"/>
      </tp>
      <tp t="s">
        <v>—</v>
        <stp/>
        <stp>##V3_BDHV12</stp>
        <stp>RCOM IN Equity</stp>
        <stp>FREE_CASH_FLOW_SEQUENTIAL_GROWTH</stp>
        <stp>FY 2016</stp>
        <stp>FY 2016</stp>
        <stp>[FA1_ymffleas.xlsx]Growth!R85C10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5" s="22"/>
      </tp>
      <tp t="s">
        <v>—</v>
        <stp/>
        <stp>##V3_BDHV12</stp>
        <stp>RCOM IN Equity</stp>
        <stp>FREE_CASH_FLOW_SEQUENTIAL_GROWTH</stp>
        <stp>FY 2017</stp>
        <stp>FY 2017</stp>
        <stp>[FA1_ymffleas.xlsx]Growth!R85C11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5" s="22"/>
      </tp>
      <tp>
        <v>3320</v>
        <stp/>
        <stp>##V3_BDHV12</stp>
        <stp>RCOM IN Equity</stp>
        <stp>MINORITY_NONCONTROLLING_INTEREST</stp>
        <stp>FY 2018</stp>
        <stp>FY 2018</stp>
        <stp>[FA1_ymffleas.xlsx]Enterprise Value!R9C11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" s="5"/>
      </tp>
      <tp>
        <v>4000</v>
        <stp/>
        <stp>##V3_BDHV12</stp>
        <stp>RCOM IN Equity</stp>
        <stp>MINORITY_NONCONTROLLING_INTEREST</stp>
        <stp>FY 2017</stp>
        <stp>FY 2017</stp>
        <stp>[FA1_ymffleas.xlsx]Enterprise Value!R9C10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" s="5"/>
      </tp>
      <tp>
        <v>72100</v>
        <stp/>
        <stp>##V3_BDHV12</stp>
        <stp>RCOM IN Equity</stp>
        <stp>EBITDA</stp>
        <stp>FY 2015</stp>
        <stp>FY 2015</stp>
        <stp>[FA1_ymffleas.xlsx]Earnings!R30C9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30" s="4"/>
      </tp>
      <tp>
        <v>67260</v>
        <stp/>
        <stp>##V3_BDHV12</stp>
        <stp>RCOM IN Equity</stp>
        <stp>EBITDA</stp>
        <stp>FY 2014</stp>
        <stp>FY 2014</stp>
        <stp>[FA1_ymffleas.xlsx]Earnings!R30C8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30" s="4"/>
      </tp>
      <tp>
        <v>0.18970000000000001</v>
        <stp/>
        <stp>##V3_BDHV12</stp>
        <stp>RCOM IN Equity</stp>
        <stp>IS_DIL_EPS_CONT_OPS</stp>
        <stp>FY 2018</stp>
        <stp>FY 2018</stp>
        <stp>[FA1_ymffleas.xlsx]Income - GAAP!R95C11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95" s="10"/>
      </tp>
      <tp>
        <v>2.2957999999999998</v>
        <stp/>
        <stp>##V3_BDHV12</stp>
        <stp>RCOM IN Equity</stp>
        <stp>5_YEAR_AVERAGE_ADJUSTED_ROE</stp>
        <stp>FY 2016</stp>
        <stp>FY 2016</stp>
        <stp>[FA1_ymffleas.xlsx]DuPont Analysis!R21C10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1" s="27"/>
      </tp>
      <tp>
        <v>0.50649999999999995</v>
        <stp/>
        <stp>##V3_BDHV12</stp>
        <stp>RCOM IN Equity</stp>
        <stp>IS_DIL_EPS_CONT_OPS</stp>
        <stp>FY 2017</stp>
        <stp>FY 2017</stp>
        <stp>[FA1_ymffleas.xlsx]Income - GAAP!R95C10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95" s="10"/>
      </tp>
      <tp>
        <v>514.18269999999995</v>
        <stp/>
        <stp>##V3_BDHV12</stp>
        <stp>RCOM IN Equity</stp>
        <stp>CAPEX_SEQUENTIAL_GROWTH</stp>
        <stp>FY 2016</stp>
        <stp>FY 2016</stp>
        <stp>[FA1_ymffleas.xlsx]Growth!R83C10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3" s="22"/>
      </tp>
      <tp>
        <v>83760.800000000003</v>
        <stp/>
        <stp>##V3_BDHV12</stp>
        <stp>RCOM IN Equity</stp>
        <stp>EBITDA</stp>
        <stp>FY 2011</stp>
        <stp>FY 2011</stp>
        <stp>[FA1_ymffleas.xlsx]Earnings!R30C5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30" s="4"/>
      </tp>
      <tp>
        <v>31.7684</v>
        <stp/>
        <stp>##V3_BDHV12</stp>
        <stp>RCOM IN Equity</stp>
        <stp>EV_TO_T12M_FREE_CASH_FLOW_FIRM</stp>
        <stp>FY 2010</stp>
        <stp>FY 2010</stp>
        <stp>[FA1_ymffleas.xlsx]Enterprise Value!R21C3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21" s="5"/>
      </tp>
      <tp>
        <v>-74.429199999999994</v>
        <stp/>
        <stp>##V3_BDHV12</stp>
        <stp>RCOM IN Equity</stp>
        <stp>CAPEX_SEQUENTIAL_GROWTH</stp>
        <stp>FY 2017</stp>
        <stp>FY 2017</stp>
        <stp>[FA1_ymffleas.xlsx]Growth!R83C11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3" s="22"/>
      </tp>
      <tp>
        <v>72955</v>
        <stp/>
        <stp>##V3_BDHV12</stp>
        <stp>RCOM IN Equity</stp>
        <stp>EBITDA</stp>
        <stp>FY 2010</stp>
        <stp>FY 2010</stp>
        <stp>[FA1_ymffleas.xlsx]Earnings!R30C4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30" s="4"/>
      </tp>
      <tp>
        <v>-16.144600000000001</v>
        <stp/>
        <stp>##V3_BDHV12</stp>
        <stp>RCOM IN Equity</stp>
        <stp>5Y_GEO_GROWTH_DILUTED_EPS</stp>
        <stp>FY 2016</stp>
        <stp>FY 2016</stp>
        <stp>[FA1_ymffleas.xlsx]Growth!R40C10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40" s="22"/>
      </tp>
      <tp>
        <v>-84.923500000000004</v>
        <stp/>
        <stp>##V3_BDHV12</stp>
        <stp>RCOM IN Equity</stp>
        <stp>CAPEX_SEQUENTIAL_GROWTH</stp>
        <stp>FY 2018</stp>
        <stp>FY 2018</stp>
        <stp>[FA1_ymffleas.xlsx]Growth!R83C12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3" s="22"/>
      </tp>
      <tp>
        <v>59710</v>
        <stp/>
        <stp>##V3_BDHV12</stp>
        <stp>RCOM IN Equity</stp>
        <stp>EBITDA</stp>
        <stp>FY 2013</stp>
        <stp>FY 2013</stp>
        <stp>[FA1_ymffleas.xlsx]Earnings!R30C7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30" s="4"/>
      </tp>
      <tp>
        <v>61650</v>
        <stp/>
        <stp>##V3_BDHV12</stp>
        <stp>RCOM IN Equity</stp>
        <stp>EBITDA</stp>
        <stp>FY 2012</stp>
        <stp>FY 2012</stp>
        <stp>[FA1_ymffleas.xlsx]Earnings!R30C6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30" s="4"/>
      </tp>
      <tp>
        <v>87307.4</v>
        <stp/>
        <stp>##V3_BDHV12</stp>
        <stp>RCOM IN Equity</stp>
        <stp>EBITDA</stp>
        <stp>FY 2009</stp>
        <stp>FY 2009</stp>
        <stp>[FA1_ymffleas.xlsx]Earnings!R30C3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30" s="4"/>
      </tp>
      <tp>
        <v>650</v>
        <stp/>
        <stp>##V3_BDHV12</stp>
        <stp>RCOM IN Equity</stp>
        <stp>ARD_CHANGE_IN_INVENTORIES</stp>
        <stp>FY 2018</stp>
        <stp>FY 2018</stp>
        <stp>[FA1_ymffleas.xlsx]Cash Flow - As Reported!R12C12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" s="20"/>
      </tp>
      <tp>
        <v>1930</v>
        <stp/>
        <stp>##V3_BDHV12</stp>
        <stp>RCOM IN Equity</stp>
        <stp>ARD_CHANGE_IN_INVENTORIES</stp>
        <stp>FY 2016</stp>
        <stp>FY 2016</stp>
        <stp>[FA1_ymffleas.xlsx]Cash Flow - As Reported!R12C10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" s="20"/>
      </tp>
      <tp>
        <v>-270</v>
        <stp/>
        <stp>##V3_BDHV12</stp>
        <stp>RCOM IN Equity</stp>
        <stp>ARD_CHANGE_IN_INVENTORIES</stp>
        <stp>FY 2017</stp>
        <stp>FY 2017</stp>
        <stp>[FA1_ymffleas.xlsx]Cash Flow - As Reported!R12C11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" s="20"/>
      </tp>
      <tp>
        <v>45.5</v>
        <stp/>
        <stp>##V3_BDHV12</stp>
        <stp>RCOM IN Equity</stp>
        <stp>PX_LOW</stp>
        <stp>FY 2016</stp>
        <stp>FY 2016</stp>
        <stp>[FA1_ymffleas.xlsx]Multiples!R53C9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53" s="6"/>
      </tp>
      <tp>
        <v>56.75</v>
        <stp/>
        <stp>##V3_BDHV12</stp>
        <stp>RCOM IN Equity</stp>
        <stp>PX_LOW</stp>
        <stp>FY 2015</stp>
        <stp>FY 2015</stp>
        <stp>[FA1_ymffleas.xlsx]Multiples!R53C8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53" s="6"/>
      </tp>
      <tp>
        <v>60.8</v>
        <stp/>
        <stp>##V3_BDHV12</stp>
        <stp>RCOM IN Equity</stp>
        <stp>PX_LOW</stp>
        <stp>FY 2012</stp>
        <stp>FY 2012</stp>
        <stp>[FA1_ymffleas.xlsx]Multiples!R53C5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53" s="6"/>
      </tp>
      <tp t="s">
        <v>—</v>
        <stp/>
        <stp>##V3_BDHV12</stp>
        <stp>RCOM IN Equity</stp>
        <stp>COMMUNITY_SPENDING</stp>
        <stp>FY 2011</stp>
        <stp>FY 2011</stp>
        <stp>[FA1_ymffleas.xlsx]ESG - Overview!R18C5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8" s="34"/>
      </tp>
      <tp t="s">
        <v>—</v>
        <stp/>
        <stp>##V3_BDHV12</stp>
        <stp>RCOM IN Equity</stp>
        <stp>COMMUNITY_SPENDING</stp>
        <stp>FY 2010</stp>
        <stp>FY 2010</stp>
        <stp>[FA1_ymffleas.xlsx]ESG - Overview!R18C4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8" s="34"/>
      </tp>
      <tp t="s">
        <v>—</v>
        <stp/>
        <stp>##V3_BDHV12</stp>
        <stp>RCOM IN Equity</stp>
        <stp>COMMUNITY_SPENDING</stp>
        <stp>FY 2013</stp>
        <stp>FY 2013</stp>
        <stp>[FA1_ymffleas.xlsx]ESG - Overview!R18C7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8" s="34"/>
      </tp>
      <tp t="s">
        <v>—</v>
        <stp/>
        <stp>##V3_BDHV12</stp>
        <stp>RCOM IN Equity</stp>
        <stp>COMMUNITY_SPENDING</stp>
        <stp>FY 2012</stp>
        <stp>FY 2012</stp>
        <stp>[FA1_ymffleas.xlsx]ESG - Overview!R18C6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8" s="34"/>
      </tp>
      <tp t="s">
        <v>—</v>
        <stp/>
        <stp>##V3_BDHV12</stp>
        <stp>RCOM IN Equity</stp>
        <stp>COMMUNITY_SPENDING</stp>
        <stp>FY 2009</stp>
        <stp>FY 2009</stp>
        <stp>[FA1_ymffleas.xlsx]ESG - Overview!R18C3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8" s="34"/>
      </tp>
      <tp t="s">
        <v>—</v>
        <stp/>
        <stp>##V3_BDHV12</stp>
        <stp>RCOM IN Equity</stp>
        <stp>COMMUNITY_SPENDING</stp>
        <stp>FY 2015</stp>
        <stp>FY 2015</stp>
        <stp>[FA1_ymffleas.xlsx]ESG - Overview!R18C9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8" s="34"/>
      </tp>
      <tp t="s">
        <v>—</v>
        <stp/>
        <stp>##V3_BDHV12</stp>
        <stp>RCOM IN Equity</stp>
        <stp>COMMUNITY_SPENDING</stp>
        <stp>FY 2014</stp>
        <stp>FY 2014</stp>
        <stp>[FA1_ymffleas.xlsx]ESG - Overview!R18C8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8" s="34"/>
      </tp>
      <tp>
        <v>74.650000000000006</v>
        <stp/>
        <stp>##V3_BDHV12</stp>
        <stp>RCOM IN Equity</stp>
        <stp>PX_LOW</stp>
        <stp>FY 2011</stp>
        <stp>FY 2011</stp>
        <stp>[FA1_ymffleas.xlsx]Multiples!R53C4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53" s="6"/>
      </tp>
      <tp>
        <v>54.55</v>
        <stp/>
        <stp>##V3_BDHV12</stp>
        <stp>RCOM IN Equity</stp>
        <stp>PX_LOW</stp>
        <stp>FY 2014</stp>
        <stp>FY 2014</stp>
        <stp>[FA1_ymffleas.xlsx]Multiples!R53C7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53" s="6"/>
      </tp>
      <tp>
        <v>-32632.400000000001</v>
        <stp/>
        <stp>##V3_BDHV12</stp>
        <stp>RCOM IN Equity</stp>
        <stp>CF_NET_CHG_IN_ST_DBT_&amp;_CPTL_LEAS</stp>
        <stp>FY 2010</stp>
        <stp>FY 2010</stp>
        <stp>[FA1_ymffleas.xlsx]Cash Flow - Standardized!R40C3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0" s="19"/>
      </tp>
      <tp>
        <v>32680</v>
        <stp/>
        <stp>##V3_BDHV12</stp>
        <stp>RCOM IN Equity</stp>
        <stp>CF_NET_CHG_IN_ST_DBT_&amp;_CPTL_LEAS</stp>
        <stp>FY 2013</stp>
        <stp>FY 2013</stp>
        <stp>[FA1_ymffleas.xlsx]Cash Flow - Standardized!R40C6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0" s="19"/>
      </tp>
      <tp>
        <v>1320</v>
        <stp/>
        <stp>##V3_BDHV12</stp>
        <stp>RCOM IN Equity</stp>
        <stp>CF_NET_CHG_IN_ST_DBT_&amp;_CPTL_LEAS</stp>
        <stp>FY 2014</stp>
        <stp>FY 2014</stp>
        <stp>[FA1_ymffleas.xlsx]Cash Flow - Standardized!R40C7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0" s="19"/>
      </tp>
      <tp>
        <v>26840</v>
        <stp/>
        <stp>##V3_BDHV12</stp>
        <stp>RCOM IN Equity</stp>
        <stp>CF_NET_CHG_IN_ST_DBT_&amp;_CPTL_LEAS</stp>
        <stp>FY 2011</stp>
        <stp>FY 2011</stp>
        <stp>[FA1_ymffleas.xlsx]Cash Flow - Standardized!R40C4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0" s="19"/>
      </tp>
      <tp>
        <v>-52110</v>
        <stp/>
        <stp>##V3_BDHV12</stp>
        <stp>RCOM IN Equity</stp>
        <stp>CF_NET_CHG_IN_ST_DBT_&amp;_CPTL_LEAS</stp>
        <stp>FY 2012</stp>
        <stp>FY 2012</stp>
        <stp>[FA1_ymffleas.xlsx]Cash Flow - Standardized!R40C5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0" s="19"/>
      </tp>
      <tp>
        <v>-35150</v>
        <stp/>
        <stp>##V3_BDHV12</stp>
        <stp>RCOM IN Equity</stp>
        <stp>CF_NET_CHG_IN_ST_DBT_&amp;_CPTL_LEAS</stp>
        <stp>FY 2015</stp>
        <stp>FY 2015</stp>
        <stp>[FA1_ymffleas.xlsx]Cash Flow - Standardized!R40C8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0" s="19"/>
      </tp>
      <tp>
        <v>28010</v>
        <stp/>
        <stp>##V3_BDHV12</stp>
        <stp>RCOM IN Equity</stp>
        <stp>CF_NET_CHG_IN_ST_DBT_&amp;_CPTL_LEAS</stp>
        <stp>FY 2016</stp>
        <stp>FY 2016</stp>
        <stp>[FA1_ymffleas.xlsx]Cash Flow - Standardized!R40C9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0" s="19"/>
      </tp>
      <tp>
        <v>46.55</v>
        <stp/>
        <stp>##V3_BDHV12</stp>
        <stp>RCOM IN Equity</stp>
        <stp>PX_LOW</stp>
        <stp>FY 2013</stp>
        <stp>FY 2013</stp>
        <stp>[FA1_ymffleas.xlsx]Multiples!R53C6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53" s="6"/>
      </tp>
      <tp>
        <v>266053.065</v>
        <stp/>
        <stp>##V3_BDHV12</stp>
        <stp>RCOM IN Equity</stp>
        <stp>HISTORICAL_MARKET_CAP</stp>
        <stp>FY 2014</stp>
        <stp>FY 2014</stp>
        <stp>[FA1_ymffleas.xlsx]Addl - Overview!R11C7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1" s="29"/>
      </tp>
      <tp>
        <v>114140.6865</v>
        <stp/>
        <stp>##V3_BDHV12</stp>
        <stp>RCOM IN Equity</stp>
        <stp>HISTORICAL_MARKET_CAP</stp>
        <stp>FY 2013</stp>
        <stp>FY 2013</stp>
        <stp>[FA1_ymffleas.xlsx]Addl - Overview!R11C6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1" s="29"/>
      </tp>
      <tp>
        <v>173481.45929999999</v>
        <stp/>
        <stp>##V3_BDHV12</stp>
        <stp>RCOM IN Equity</stp>
        <stp>HISTORICAL_MARKET_CAP</stp>
        <stp>FY 2012</stp>
        <stp>FY 2012</stp>
        <stp>[FA1_ymffleas.xlsx]Addl - Overview!R11C5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1" s="29"/>
      </tp>
      <tp>
        <v>222192.49369999999</v>
        <stp/>
        <stp>##V3_BDHV12</stp>
        <stp>RCOM IN Equity</stp>
        <stp>HISTORICAL_MARKET_CAP</stp>
        <stp>FY 2011</stp>
        <stp>FY 2011</stp>
        <stp>[FA1_ymffleas.xlsx]Addl - Overview!R11C4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1" s="29"/>
      </tp>
      <tp>
        <v>350781.36839999998</v>
        <stp/>
        <stp>##V3_BDHV12</stp>
        <stp>RCOM IN Equity</stp>
        <stp>HISTORICAL_MARKET_CAP</stp>
        <stp>FY 2010</stp>
        <stp>FY 2010</stp>
        <stp>[FA1_ymffleas.xlsx]Addl - Overview!R11C3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1" s="29"/>
      </tp>
      <tp>
        <v>124448.98729999999</v>
        <stp/>
        <stp>##V3_BDHV12</stp>
        <stp>RCOM IN Equity</stp>
        <stp>HISTORICAL_MARKET_CAP</stp>
        <stp>FY 2016</stp>
        <stp>FY 2016</stp>
        <stp>[FA1_ymffleas.xlsx]Addl - Overview!R11C9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1" s="29"/>
      </tp>
      <tp>
        <v>147472.04990000001</v>
        <stp/>
        <stp>##V3_BDHV12</stp>
        <stp>RCOM IN Equity</stp>
        <stp>HISTORICAL_MARKET_CAP</stp>
        <stp>FY 2015</stp>
        <stp>FY 2015</stp>
        <stp>[FA1_ymffleas.xlsx]Addl - Overview!R11C8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1" s="29"/>
      </tp>
      <tp>
        <v>154</v>
        <stp/>
        <stp>##V3_BDHV12</stp>
        <stp>RCOM IN Equity</stp>
        <stp>PX_LOW</stp>
        <stp>FY 2010</stp>
        <stp>FY 2010</stp>
        <stp>[FA1_ymffleas.xlsx]Multiples!R53C3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53" s="6"/>
      </tp>
      <tp>
        <v>-56.184800000000003</v>
        <stp/>
        <stp>##V3_BDHV12</stp>
        <stp>RCOM IN Equity</stp>
        <stp>SHORT_TERM_DEBT_1_YEAR_GROWTH</stp>
        <stp>FY 2012</stp>
        <stp>FY 2012</stp>
        <stp>[FA1_ymffleas.xlsx]Growth!R24C6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4" s="22"/>
      </tp>
      <tp>
        <v>38.570799999999998</v>
        <stp/>
        <stp>##V3_BDHV12</stp>
        <stp>RCOM IN Equity</stp>
        <stp>LT_DEBT_TO_TOT_CAP</stp>
        <stp>FY 2016</stp>
        <stp>FY 2016</stp>
        <stp>[FA1_ymffleas.xlsx]Credit!R29C10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9" s="23"/>
      </tp>
      <tp t="s">
        <v>—</v>
        <stp/>
        <stp>##V3_BDHV12</stp>
        <stp>RCOM IN Equity</stp>
        <stp>ARD_NET_CURRENT_ASSETS</stp>
        <stp>FY 2016</stp>
        <stp>FY 2016</stp>
        <stp>[FA1_ymffleas.xlsx]Bal Sheet - As Reported!R57C10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7" s="17"/>
      </tp>
      <tp t="s">
        <v>—</v>
        <stp/>
        <stp>##V3_BDHV12</stp>
        <stp>RCOM IN Equity</stp>
        <stp>ARD_NET_CURRENT_ASSETS</stp>
        <stp>FY 2017</stp>
        <stp>FY 2017</stp>
        <stp>[FA1_ymffleas.xlsx]Bal Sheet - As Reported!R57C11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7" s="17"/>
      </tp>
      <tp t="s">
        <v>—</v>
        <stp/>
        <stp>##V3_BDHV12</stp>
        <stp>RCOM IN Equity</stp>
        <stp>ARD_NET_CURRENT_ASSETS</stp>
        <stp>FY 2018</stp>
        <stp>FY 2018</stp>
        <stp>[FA1_ymffleas.xlsx]Bal Sheet - As Reported!R57C12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7" s="17"/>
      </tp>
      <tp>
        <v>48.654299999999999</v>
        <stp/>
        <stp>##V3_BDHV12</stp>
        <stp>RCOM IN Equity</stp>
        <stp>SHORT_TERM_DEBT_1_YEAR_GROWTH</stp>
        <stp>FY 2013</stp>
        <stp>FY 2013</stp>
        <stp>[FA1_ymffleas.xlsx]Growth!R24C7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4" s="22"/>
      </tp>
      <tp t="s">
        <v>—</v>
        <stp/>
        <stp>##V3_BDHV12</stp>
        <stp>RCOM IN Equity</stp>
        <stp>SHORT_TERM_DEBT_5_YEAR_GROWTH</stp>
        <stp>FY 2009</stp>
        <stp>FY 2009</stp>
        <stp>[FA1_ymffleas.xlsx]Growth!R51C3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51" s="22"/>
      </tp>
      <tp>
        <v>30.186599999999999</v>
        <stp/>
        <stp>##V3_BDHV12</stp>
        <stp>RCOM IN Equity</stp>
        <stp>LT_DEBT_TO_TOT_CAP</stp>
        <stp>FY 2017</stp>
        <stp>FY 2017</stp>
        <stp>[FA1_ymffleas.xlsx]Credit!R29C11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9" s="23"/>
      </tp>
      <tp>
        <v>-11.8604</v>
        <stp/>
        <stp>##V3_BDHV12</stp>
        <stp>RCOM IN Equity</stp>
        <stp>SHORT_TERM_DEBT_1_YEAR_GROWTH</stp>
        <stp>FY 2010</stp>
        <stp>FY 2010</stp>
        <stp>[FA1_ymffleas.xlsx]Growth!R24C4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4" s="22"/>
      </tp>
      <tp>
        <v>25.933599999999998</v>
        <stp/>
        <stp>##V3_BDHV12</stp>
        <stp>RCOM IN Equity</stp>
        <stp>LT_DEBT_TO_TOT_CAP</stp>
        <stp>FY 2018</stp>
        <stp>FY 2018</stp>
        <stp>[FA1_ymffleas.xlsx]Credit!R29C12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9" s="23"/>
      </tp>
      <tp>
        <v>88.825999999999993</v>
        <stp/>
        <stp>##V3_BDHV12</stp>
        <stp>RCOM IN Equity</stp>
        <stp>SHORT_TERM_DEBT_1_YEAR_GROWTH</stp>
        <stp>FY 2011</stp>
        <stp>FY 2011</stp>
        <stp>[FA1_ymffleas.xlsx]Growth!R24C5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4" s="22"/>
      </tp>
      <tp>
        <v>31.441600000000001</v>
        <stp/>
        <stp>##V3_BDHV12</stp>
        <stp>RCOM IN Equity</stp>
        <stp>ACCT_RCV_DAYS</stp>
        <stp>FY 2009</stp>
        <stp>FY 2009</stp>
        <stp>[FA1_ymffleas.xlsx]Working Capital!R7C3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7" s="25"/>
      </tp>
      <tp t="s">
        <v>—</v>
        <stp/>
        <stp>##V3_BDHV12</stp>
        <stp>RCOM IN Equity</stp>
        <stp>SHORT_TERM_DEBT_5_YEAR_GROWTH</stp>
        <stp>FY 2012</stp>
        <stp>FY 2012</stp>
        <stp>[FA1_ymffleas.xlsx]Growth!R51C6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51" s="22"/>
      </tp>
      <tp>
        <v>1.3486</v>
        <stp/>
        <stp>##V3_BDHV12</stp>
        <stp>RCOM IN Equity</stp>
        <stp>SHORT_TERM_DEBT_1_YEAR_GROWTH</stp>
        <stp>FY 2009</stp>
        <stp>FY 2009</stp>
        <stp>[FA1_ymffleas.xlsx]Growth!R24C3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4" s="22"/>
      </tp>
      <tp>
        <v>1.8991</v>
        <stp/>
        <stp>##V3_BDHV12</stp>
        <stp>RCOM IN Equity</stp>
        <stp>SHORT_TERM_DEBT_5_YEAR_GROWTH</stp>
        <stp>FY 2013</stp>
        <stp>FY 2013</stp>
        <stp>[FA1_ymffleas.xlsx]Growth!R51C7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51" s="22"/>
      </tp>
      <tp t="s">
        <v>—</v>
        <stp/>
        <stp>##V3_BDHV12</stp>
        <stp>RCOM IN Equity</stp>
        <stp>SHORT_TERM_DEBT_5_YEAR_GROWTH</stp>
        <stp>FY 2010</stp>
        <stp>FY 2010</stp>
        <stp>[FA1_ymffleas.xlsx]Growth!R51C4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51" s="22"/>
      </tp>
      <tp t="s">
        <v>—</v>
        <stp/>
        <stp>##V3_BDHV12</stp>
        <stp>RCOM IN Equity</stp>
        <stp>SHORT_TERM_DEBT_5_YEAR_GROWTH</stp>
        <stp>FY 2011</stp>
        <stp>FY 2011</stp>
        <stp>[FA1_ymffleas.xlsx]Growth!R51C5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51" s="22"/>
      </tp>
      <tp>
        <v>3.4782999999999999</v>
        <stp/>
        <stp>##V3_BDHV12</stp>
        <stp>RCOM IN Equity</stp>
        <stp>SHORT_TERM_DEBT_5_YEAR_GROWTH</stp>
        <stp>FY 2014</stp>
        <stp>FY 2014</stp>
        <stp>[FA1_ymffleas.xlsx]Growth!R51C8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51" s="22"/>
      </tp>
      <tp>
        <v>-1.9487999999999999</v>
        <stp/>
        <stp>##V3_BDHV12</stp>
        <stp>RCOM IN Equity</stp>
        <stp>SHORT_TERM_DEBT_5_YEAR_GROWTH</stp>
        <stp>FY 2015</stp>
        <stp>FY 2015</stp>
        <stp>[FA1_ymffleas.xlsx]Growth!R51C9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51" s="22"/>
      </tp>
      <tp t="s">
        <v>—</v>
        <stp/>
        <stp>##V3_BDHV12</stp>
        <stp>RCOM IN Equity</stp>
        <stp>CASH_FLOW_TO_FIRM_1_YEAR_GROWTH</stp>
        <stp>FY 2009</stp>
        <stp>FY 2009</stp>
        <stp>[FA1_ymffleas.xlsx]Growth!R33C3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33" s="22"/>
      </tp>
      <tp>
        <v>-519.029</v>
        <stp/>
        <stp>##V3_BDHV12</stp>
        <stp>RCOM IN Equity</stp>
        <stp>PROF_MARGIN</stp>
        <stp>FY 2018</stp>
        <stp>FY 2018</stp>
        <stp>[FA1_ymffleas.xlsx]Income - GAAP!R104C11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04" s="10"/>
      </tp>
      <tp>
        <v>0</v>
        <stp/>
        <stp>##V3_BDHV12</stp>
        <stp>RCOM IN Equity</stp>
        <stp>EQY_DPS</stp>
        <stp>FY 2018</stp>
        <stp>FY 2018</stp>
        <stp>[FA1_ymffleas.xlsx]Income - GAAP!R106C11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06" s="10"/>
      </tp>
      <tp>
        <v>0</v>
        <stp/>
        <stp>##V3_BDHV12</stp>
        <stp>RCOM IN Equity</stp>
        <stp>EQY_DPS</stp>
        <stp>FY 2017</stp>
        <stp>FY 2017</stp>
        <stp>[FA1_ymffleas.xlsx]Income - GAAP!R106C10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06" s="10"/>
      </tp>
      <tp>
        <v>9.4490999999999996</v>
        <stp/>
        <stp>##V3_BDHV12</stp>
        <stp>RCOM IN Equity</stp>
        <stp>SHORT_TERM_DEBT_1_YEAR_GROWTH</stp>
        <stp>FY 2014</stp>
        <stp>FY 2014</stp>
        <stp>[FA1_ymffleas.xlsx]Growth!R24C8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4" s="22"/>
      </tp>
      <tp>
        <v>-32.673099999999998</v>
        <stp/>
        <stp>##V3_BDHV12</stp>
        <stp>RCOM IN Equity</stp>
        <stp>SHORT_TERM_DEBT_1_YEAR_GROWTH</stp>
        <stp>FY 2015</stp>
        <stp>FY 2015</stp>
        <stp>[FA1_ymffleas.xlsx]Growth!R24C9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4" s="22"/>
      </tp>
      <tp>
        <v>6549.2</v>
        <stp/>
        <stp>##V3_BDHV12</stp>
        <stp>RCOM IN Equity</stp>
        <stp>MINORITY_NONCONTROLLING_INTEREST</stp>
        <stp>FY 2009</stp>
        <stp>FY 2009</stp>
        <stp>[FA1_ymffleas.xlsx]Bal Sheet - Standardized!R149C3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9" s="16"/>
      </tp>
      <tp>
        <v>8240</v>
        <stp/>
        <stp>##V3_BDHV12</stp>
        <stp>RCOM IN Equity</stp>
        <stp>MINORITY_NONCONTROLLING_INTEREST</stp>
        <stp>FY 2011</stp>
        <stp>FY 2011</stp>
        <stp>[FA1_ymffleas.xlsx]Bal Sheet - Standardized!R149C5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9" s="16"/>
      </tp>
      <tp>
        <v>6583.9</v>
        <stp/>
        <stp>##V3_BDHV12</stp>
        <stp>RCOM IN Equity</stp>
        <stp>MINORITY_NONCONTROLLING_INTEREST</stp>
        <stp>FY 2010</stp>
        <stp>FY 2010</stp>
        <stp>[FA1_ymffleas.xlsx]Bal Sheet - Standardized!R149C4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9" s="16"/>
      </tp>
      <tp>
        <v>7250</v>
        <stp/>
        <stp>##V3_BDHV12</stp>
        <stp>RCOM IN Equity</stp>
        <stp>MINORITY_NONCONTROLLING_INTEREST</stp>
        <stp>FY 2013</stp>
        <stp>FY 2013</stp>
        <stp>[FA1_ymffleas.xlsx]Bal Sheet - Standardized!R149C7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9" s="16"/>
      </tp>
      <tp>
        <v>8600</v>
        <stp/>
        <stp>##V3_BDHV12</stp>
        <stp>RCOM IN Equity</stp>
        <stp>MINORITY_NONCONTROLLING_INTEREST</stp>
        <stp>FY 2012</stp>
        <stp>FY 2012</stp>
        <stp>[FA1_ymffleas.xlsx]Bal Sheet - Standardized!R149C6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9" s="16"/>
      </tp>
      <tp>
        <v>5120</v>
        <stp/>
        <stp>##V3_BDHV12</stp>
        <stp>RCOM IN Equity</stp>
        <stp>MINORITY_NONCONTROLLING_INTEREST</stp>
        <stp>FY 2015</stp>
        <stp>FY 2015</stp>
        <stp>[FA1_ymffleas.xlsx]Bal Sheet - Standardized!R149C9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9" s="16"/>
      </tp>
      <tp>
        <v>7430</v>
        <stp/>
        <stp>##V3_BDHV12</stp>
        <stp>RCOM IN Equity</stp>
        <stp>MINORITY_NONCONTROLLING_INTEREST</stp>
        <stp>FY 2014</stp>
        <stp>FY 2014</stp>
        <stp>[FA1_ymffleas.xlsx]Bal Sheet - Standardized!R149C8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9" s="16"/>
      </tp>
      <tp>
        <v>790</v>
        <stp/>
        <stp>##V3_BDHV12</stp>
        <stp>RCOM IN Equity</stp>
        <stp>BS_CURR_RENTAL_EXPENSE</stp>
        <stp>FY 2018</stp>
        <stp>FY 2018</stp>
        <stp>[FA1_ymffleas.xlsx]Income - Adjusted!R133C11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33" s="9"/>
      </tp>
      <tp>
        <v>250</v>
        <stp/>
        <stp>##V3_BDHV12</stp>
        <stp>RCOM IN Equity</stp>
        <stp>BS_CURR_RENTAL_EXPENSE</stp>
        <stp>FY 2017</stp>
        <stp>FY 2017</stp>
        <stp>[FA1_ymffleas.xlsx]Income - Adjusted!R133C10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33" s="9"/>
      </tp>
      <tp>
        <v>2080</v>
        <stp/>
        <stp>##V3_BDHV12</stp>
        <stp>RCOM IN Equity</stp>
        <stp>ARDR_INVENTORY</stp>
        <stp>FY 2016</stp>
        <stp>FY 2016</stp>
        <stp>[FA1_ymffleas.xlsx]Bal Sheet - As Reported!R63C10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3" s="17"/>
      </tp>
      <tp>
        <v>2350</v>
        <stp/>
        <stp>##V3_BDHV12</stp>
        <stp>RCOM IN Equity</stp>
        <stp>ARDR_INVENTORY</stp>
        <stp>FY 2017</stp>
        <stp>FY 2017</stp>
        <stp>[FA1_ymffleas.xlsx]Bal Sheet - As Reported!R63C11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3" s="17"/>
      </tp>
      <tp>
        <v>790</v>
        <stp/>
        <stp>##V3_BDHV12</stp>
        <stp>RCOM IN Equity</stp>
        <stp>ARDR_INVENTORY</stp>
        <stp>FY 2018</stp>
        <stp>FY 2018</stp>
        <stp>[FA1_ymffleas.xlsx]Bal Sheet - As Reported!R63C12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3" s="17"/>
      </tp>
      <tp>
        <v>9.5671999999999997</v>
        <stp/>
        <stp>##V3_BDHV12</stp>
        <stp>RCOM IN Equity</stp>
        <stp>EV_TO_T12M_EBITDA</stp>
        <stp>FY 2012</stp>
        <stp>FY 2012</stp>
        <stp>[FA1_ymffleas.xlsx]Enterprise Value!R18C5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18" s="5"/>
      </tp>
      <tp t="s">
        <v>—</v>
        <stp/>
        <stp>##V3_BDHV12</stp>
        <stp>RCOM IN Equity</stp>
        <stp>ARDR_FOREIGN_EXCHANGE_EARNINGS</stp>
        <stp>FY 2009</stp>
        <stp>FY 2009</stp>
        <stp>[FA1_ymffleas.xlsx]Income - As Reported!R123C3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3" s="11"/>
      </tp>
      <tp t="s">
        <v>—</v>
        <stp/>
        <stp>##V3_BDHV12</stp>
        <stp>RCOM IN Equity</stp>
        <stp>ARDR_FOREIGN_EXCHANGE_EARNINGS</stp>
        <stp>FY 2011</stp>
        <stp>FY 2011</stp>
        <stp>[FA1_ymffleas.xlsx]Income - As Reported!R123C5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3" s="11"/>
      </tp>
      <tp t="s">
        <v>—</v>
        <stp/>
        <stp>##V3_BDHV12</stp>
        <stp>RCOM IN Equity</stp>
        <stp>ARDR_FOREIGN_EXCHANGE_EARNINGS</stp>
        <stp>FY 2010</stp>
        <stp>FY 2010</stp>
        <stp>[FA1_ymffleas.xlsx]Income - As Reported!R123C4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3" s="11"/>
      </tp>
      <tp t="s">
        <v>—</v>
        <stp/>
        <stp>##V3_BDHV12</stp>
        <stp>RCOM IN Equity</stp>
        <stp>ARDR_FOREIGN_EXCHANGE_EARNINGS</stp>
        <stp>FY 2013</stp>
        <stp>FY 2013</stp>
        <stp>[FA1_ymffleas.xlsx]Income - As Reported!R123C7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3" s="11"/>
      </tp>
      <tp>
        <v>9990</v>
        <stp/>
        <stp>##V3_BDHV12</stp>
        <stp>RCOM IN Equity</stp>
        <stp>ARDR_FOREIGN_EXCHANGE_EARNINGS</stp>
        <stp>FY 2012</stp>
        <stp>FY 2012</stp>
        <stp>[FA1_ymffleas.xlsx]Income - As Reported!R123C6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3" s="11"/>
      </tp>
      <tp t="s">
        <v>—</v>
        <stp/>
        <stp>##V3_BDHV12</stp>
        <stp>RCOM IN Equity</stp>
        <stp>ARDR_FOREIGN_EXCHANGE_EARNINGS</stp>
        <stp>FY 2015</stp>
        <stp>FY 2015</stp>
        <stp>[FA1_ymffleas.xlsx]Income - As Reported!R123C9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3" s="11"/>
      </tp>
      <tp t="s">
        <v>—</v>
        <stp/>
        <stp>##V3_BDHV12</stp>
        <stp>RCOM IN Equity</stp>
        <stp>ARDR_FOREIGN_EXCHANGE_EARNINGS</stp>
        <stp>FY 2014</stp>
        <stp>FY 2014</stp>
        <stp>[FA1_ymffleas.xlsx]Income - As Reported!R123C8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3" s="11"/>
      </tp>
      <tp t="s">
        <v>—</v>
        <stp/>
        <stp>##V3_BDHV12</stp>
        <stp>RCOM IN Equity</stp>
        <stp>IS_SH_PRO_EQY_MT_INV_NET_OF_TAX</stp>
        <stp>FY 2017</stp>
        <stp>FY 2017</stp>
        <stp>[FA1_ymffleas.xlsx]Income - GAAP!R63C10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63" s="10"/>
      </tp>
      <tp t="s">
        <v>—</v>
        <stp/>
        <stp>##V3_BDHV12</stp>
        <stp>RCOM IN Equity</stp>
        <stp>IS_SH_PRO_EQY_MT_INV_NET_OF_TAX</stp>
        <stp>FY 2018</stp>
        <stp>FY 2018</stp>
        <stp>[FA1_ymffleas.xlsx]Income - GAAP!R63C11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63" s="10"/>
      </tp>
      <tp>
        <v>-800.73389999999995</v>
        <stp/>
        <stp>##V3_BDHV12</stp>
        <stp>RCOM IN Equity</stp>
        <stp>INCR_IN_LIAB_PCT_OF_TOT</stp>
        <stp>FY 2015</stp>
        <stp>FY 2015</stp>
        <stp>[FA1_ymffleas.xlsx]Sources of Capital!R10C9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0" s="32"/>
      </tp>
      <tp>
        <v>285.99639999999999</v>
        <stp/>
        <stp>##V3_BDHV12</stp>
        <stp>RCOM IN Equity</stp>
        <stp>INCR_IN_LIAB_PCT_OF_TOT</stp>
        <stp>FY 2014</stp>
        <stp>FY 2014</stp>
        <stp>[FA1_ymffleas.xlsx]Sources of Capital!R10C8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0" s="32"/>
      </tp>
      <tp>
        <v>-23.907800000000002</v>
        <stp/>
        <stp>##V3_BDHV12</stp>
        <stp>RCOM IN Equity</stp>
        <stp>INCR_IN_LIAB_PCT_OF_TOT</stp>
        <stp>FY 2013</stp>
        <stp>FY 2013</stp>
        <stp>[FA1_ymffleas.xlsx]Sources of Capital!R10C7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0" s="32"/>
      </tp>
      <tp>
        <v>-69.528099999999995</v>
        <stp/>
        <stp>##V3_BDHV12</stp>
        <stp>RCOM IN Equity</stp>
        <stp>INCR_IN_LIAB_PCT_OF_TOT</stp>
        <stp>FY 2012</stp>
        <stp>FY 2012</stp>
        <stp>[FA1_ymffleas.xlsx]Sources of Capital!R10C6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0" s="32"/>
      </tp>
      <tp>
        <v>225.14240000000001</v>
        <stp/>
        <stp>##V3_BDHV12</stp>
        <stp>RCOM IN Equity</stp>
        <stp>INCR_IN_LIAB_PCT_OF_TOT</stp>
        <stp>FY 2011</stp>
        <stp>FY 2011</stp>
        <stp>[FA1_ymffleas.xlsx]Sources of Capital!R10C5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0" s="32"/>
      </tp>
      <tp>
        <v>111.2445</v>
        <stp/>
        <stp>##V3_BDHV12</stp>
        <stp>RCOM IN Equity</stp>
        <stp>INCR_IN_LIAB_PCT_OF_TOT</stp>
        <stp>FY 2010</stp>
        <stp>FY 2010</stp>
        <stp>[FA1_ymffleas.xlsx]Sources of Capital!R10C4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0" s="32"/>
      </tp>
      <tp>
        <v>53.619900000000001</v>
        <stp/>
        <stp>##V3_BDHV12</stp>
        <stp>RCOM IN Equity</stp>
        <stp>INCR_IN_LIAB_PCT_OF_TOT</stp>
        <stp>FY 2009</stp>
        <stp>FY 2009</stp>
        <stp>[FA1_ymffleas.xlsx]Sources of Capital!R10C3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0" s="32"/>
      </tp>
      <tp>
        <v>7.4560000000000004</v>
        <stp/>
        <stp>##V3_BDHV12</stp>
        <stp>RCOM IN Equity</stp>
        <stp>EBITDA_GROWTH</stp>
        <stp>FY 2015</stp>
        <stp>FY 2015</stp>
        <stp>[FA1_ymffleas.xlsx]Growth!R8C9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8" s="22"/>
      </tp>
      <tp t="s">
        <v>—</v>
        <stp/>
        <stp>##V3_BDHV12</stp>
        <stp>RCOM IN Equity</stp>
        <stp>CASH_CONVERSION_CYCLE</stp>
        <stp>FY 2015</stp>
        <stp>FY 2015</stp>
        <stp>[FA1_ymffleas.xlsx]Working Capital!R13C9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3" s="25"/>
      </tp>
      <tp>
        <v>12.8674</v>
        <stp/>
        <stp>##V3_BDHV12</stp>
        <stp>RCOM IN Equity</stp>
        <stp>CAP_EXPEND_TO_SALES</stp>
        <stp>FY 2018</stp>
        <stp>FY 2018</stp>
        <stp>[FA1_ymffleas.xlsx]CAPEX &amp; Depreciation!R12C12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2" s="28"/>
      </tp>
      <tp>
        <v>-680</v>
        <stp/>
        <stp>##V3_BDHV12</stp>
        <stp>RCOM IN Equity</stp>
        <stp>MIN_NONCONTROL_INTEREST_CREDITS</stp>
        <stp>FY 2018</stp>
        <stp>FY 2018</stp>
        <stp>[FA1_ymffleas.xlsx]Income - GAAP!R75C11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75" s="10"/>
      </tp>
      <tp>
        <v>1200</v>
        <stp/>
        <stp>##V3_BDHV12</stp>
        <stp>RCOM IN Equity</stp>
        <stp>MIN_NONCONTROL_INTEREST_CREDITS</stp>
        <stp>FY 2017</stp>
        <stp>FY 2017</stp>
        <stp>[FA1_ymffleas.xlsx]Income - GAAP!R75C10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75" s="10"/>
      </tp>
      <tp t="s">
        <v>—</v>
        <stp/>
        <stp>##V3_BDHV12</stp>
        <stp>RCOM IN Equity</stp>
        <stp>5Y_GEO_GROWTH_DILUTED_EPS</stp>
        <stp>FY 2012</stp>
        <stp>FY 2012</stp>
        <stp>[FA1_ymffleas.xlsx]Growth!R40C6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40" s="22"/>
      </tp>
      <tp>
        <v>-30</v>
        <stp/>
        <stp>##V3_BDHV12</stp>
        <stp>RCOM IN Equity</stp>
        <stp>PRETAX_INC</stp>
        <stp>FY 2018</stp>
        <stp>FY 2018</stp>
        <stp>[FA1_ymffleas.xlsx]Reconciliation!R31C11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31" s="12"/>
      </tp>
      <tp>
        <v>1550</v>
        <stp/>
        <stp>##V3_BDHV12</stp>
        <stp>RCOM IN Equity</stp>
        <stp>PRETAX_INC</stp>
        <stp>FY 2017</stp>
        <stp>FY 2017</stp>
        <stp>[FA1_ymffleas.xlsx]Reconciliation!R31C10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31" s="12"/>
      </tp>
      <tp>
        <v>44840</v>
        <stp/>
        <stp>##V3_BDHV12</stp>
        <stp>RCOM IN Equity</stp>
        <stp>CF_DEPR_AMORT</stp>
        <stp>FY 2016</stp>
        <stp>FY 2016</stp>
        <stp>[FA1_ymffleas.xlsx]Cash Flow - Standardized!R8C9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" s="19"/>
      </tp>
      <tp>
        <v>38170</v>
        <stp/>
        <stp>##V3_BDHV12</stp>
        <stp>RCOM IN Equity</stp>
        <stp>CF_DEPR_AMORT</stp>
        <stp>FY 2015</stp>
        <stp>FY 2015</stp>
        <stp>[FA1_ymffleas.xlsx]Cash Flow - Standardized!R8C8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" s="19"/>
      </tp>
      <tp>
        <v>37465.1</v>
        <stp/>
        <stp>##V3_BDHV12</stp>
        <stp>RCOM IN Equity</stp>
        <stp>CF_DEPR_AMORT</stp>
        <stp>FY 2010</stp>
        <stp>FY 2010</stp>
        <stp>[FA1_ymffleas.xlsx]Cash Flow - Standardized!R8C3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" s="19"/>
      </tp>
      <tp>
        <v>39780</v>
        <stp/>
        <stp>##V3_BDHV12</stp>
        <stp>RCOM IN Equity</stp>
        <stp>CF_DEPR_AMORT</stp>
        <stp>FY 2012</stp>
        <stp>FY 2012</stp>
        <stp>[FA1_ymffleas.xlsx]Cash Flow - Standardized!R8C5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" s="19"/>
      </tp>
      <tp>
        <v>65040</v>
        <stp/>
        <stp>##V3_BDHV12</stp>
        <stp>RCOM IN Equity</stp>
        <stp>CF_DEPR_AMORT</stp>
        <stp>FY 2011</stp>
        <stp>FY 2011</stp>
        <stp>[FA1_ymffleas.xlsx]Cash Flow - Standardized!R8C4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" s="19"/>
      </tp>
      <tp>
        <v>45350</v>
        <stp/>
        <stp>##V3_BDHV12</stp>
        <stp>RCOM IN Equity</stp>
        <stp>CF_DEPR_AMORT</stp>
        <stp>FY 2014</stp>
        <stp>FY 2014</stp>
        <stp>[FA1_ymffleas.xlsx]Cash Flow - Standardized!R8C7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" s="19"/>
      </tp>
      <tp>
        <v>38450</v>
        <stp/>
        <stp>##V3_BDHV12</stp>
        <stp>RCOM IN Equity</stp>
        <stp>CF_DEPR_AMORT</stp>
        <stp>FY 2013</stp>
        <stp>FY 2013</stp>
        <stp>[FA1_ymffleas.xlsx]Cash Flow - Standardized!R8C6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" s="19"/>
      </tp>
      <tp>
        <v>45930</v>
        <stp/>
        <stp>##V3_BDHV12</stp>
        <stp>RCOM IN Equity</stp>
        <stp>SALES_REV_TURN</stp>
        <stp>FY 2018</stp>
        <stp>FY 2018</stp>
        <stp>[FA1_ymffleas.xlsx]Earnings!R11C12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L11" s="4"/>
      </tp>
      <tp>
        <v>65540</v>
        <stp/>
        <stp>##V3_BDHV12</stp>
        <stp>RCOM IN Equity</stp>
        <stp>SALES_REV_TURN</stp>
        <stp>FY 2017</stp>
        <stp>FY 2017</stp>
        <stp>[FA1_ymffleas.xlsx]Earnings!R11C11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1" s="4"/>
      </tp>
      <tp>
        <v>217430</v>
        <stp/>
        <stp>##V3_BDHV12</stp>
        <stp>RCOM IN Equity</stp>
        <stp>SALES_REV_TURN</stp>
        <stp>FY 2016</stp>
        <stp>FY 2016</stp>
        <stp>[FA1_ymffleas.xlsx]Earnings!R11C10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1" s="4"/>
      </tp>
      <tp>
        <v>1.61E-2</v>
        <stp/>
        <stp>##V3_BDHV12</stp>
        <stp>RCOM IN Equity</stp>
        <stp>SHAREHOLDER_YIELD_EX_DEBT</stp>
        <stp>FY 2016</stp>
        <stp>FY 2016</stp>
        <stp>[FA1_ymffleas.xlsx]Yield Analysis!R26C10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6" s="26"/>
      </tp>
      <tp>
        <v>2.1000000000000001E-2</v>
        <stp/>
        <stp>##V3_BDHV12</stp>
        <stp>RCOM IN Equity</stp>
        <stp>SHAREHOLDER_YIELD_EX_DEBT</stp>
        <stp>FY 2017</stp>
        <stp>FY 2017</stp>
        <stp>[FA1_ymffleas.xlsx]Yield Analysis!R26C11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6" s="26"/>
      </tp>
      <tp t="s">
        <v>—</v>
        <stp/>
        <stp>##V3_BDHV12</stp>
        <stp>RCOM IN Equity</stp>
        <stp>SHAREHOLDER_YIELD_EX_DEBT</stp>
        <stp>FY 2018</stp>
        <stp>FY 2018</stp>
        <stp>[FA1_ymffleas.xlsx]Yield Analysis!R26C12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26" s="26"/>
      </tp>
      <tp>
        <v>206850.5</v>
        <stp/>
        <stp>##V3_BDHV12</stp>
        <stp>RCOM IN Equity</stp>
        <stp>SALES_REV_TURN</stp>
        <stp>FY 2010</stp>
        <stp>FY 2010</stp>
        <stp>[FA1_ymffleas.xlsx]Earnings!R11C4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D11" s="4"/>
      </tp>
      <tp>
        <v>220890</v>
        <stp/>
        <stp>##V3_BDHV12</stp>
        <stp>RCOM IN Equity</stp>
        <stp>SALES_REV_TURN</stp>
        <stp>FY 2011</stp>
        <stp>FY 2011</stp>
        <stp>[FA1_ymffleas.xlsx]Earnings!R11C5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E11" s="4"/>
      </tp>
      <tp>
        <v>187160</v>
        <stp/>
        <stp>##V3_BDHV12</stp>
        <stp>RCOM IN Equity</stp>
        <stp>SALES_REV_TURN</stp>
        <stp>FY 2012</stp>
        <stp>FY 2012</stp>
        <stp>[FA1_ymffleas.xlsx]Earnings!R11C6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F11" s="4"/>
      </tp>
      <tp>
        <v>192940</v>
        <stp/>
        <stp>##V3_BDHV12</stp>
        <stp>RCOM IN Equity</stp>
        <stp>SALES_REV_TURN</stp>
        <stp>FY 2013</stp>
        <stp>FY 2013</stp>
        <stp>[FA1_ymffleas.xlsx]Earnings!R11C7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G11" s="4"/>
      </tp>
      <tp>
        <v>207429.1</v>
        <stp/>
        <stp>##V3_BDHV12</stp>
        <stp>RCOM IN Equity</stp>
        <stp>SALES_REV_TURN</stp>
        <stp>FY 2009</stp>
        <stp>FY 2009</stp>
        <stp>[FA1_ymffleas.xlsx]Earnings!R11C3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C11" s="4"/>
      </tp>
      <tp>
        <v>34570</v>
        <stp/>
        <stp>##V3_BDHV12</stp>
        <stp>RCOM IN Equity</stp>
        <stp>ARDR_OTHER_NONCURRENT_ASSET</stp>
        <stp>FY 2018</stp>
        <stp>FY 2018</stp>
        <stp>[FA1_ymffleas.xlsx]Bal Sheet - As Reported!R79C12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9" s="17"/>
      </tp>
      <tp>
        <v>85650</v>
        <stp/>
        <stp>##V3_BDHV12</stp>
        <stp>RCOM IN Equity</stp>
        <stp>ARDR_OTHER_NONCURRENT_ASSET</stp>
        <stp>FY 2017</stp>
        <stp>FY 2017</stp>
        <stp>[FA1_ymffleas.xlsx]Bal Sheet - As Reported!R79C11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9" s="17"/>
      </tp>
      <tp>
        <v>95100</v>
        <stp/>
        <stp>##V3_BDHV12</stp>
        <stp>RCOM IN Equity</stp>
        <stp>ARDR_OTHER_NONCURRENT_ASSET</stp>
        <stp>FY 2016</stp>
        <stp>FY 2016</stp>
        <stp>[FA1_ymffleas.xlsx]Bal Sheet - As Reported!R79C10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9" s="17"/>
      </tp>
      <tp>
        <v>209400</v>
        <stp/>
        <stp>##V3_BDHV12</stp>
        <stp>RCOM IN Equity</stp>
        <stp>SALES_REV_TURN</stp>
        <stp>FY 2014</stp>
        <stp>FY 2014</stp>
        <stp>[FA1_ymffleas.xlsx]Earnings!R11C8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H11" s="4"/>
      </tp>
      <tp>
        <v>214230</v>
        <stp/>
        <stp>##V3_BDHV12</stp>
        <stp>RCOM IN Equity</stp>
        <stp>SALES_REV_TURN</stp>
        <stp>FY 2015</stp>
        <stp>FY 2015</stp>
        <stp>[FA1_ymffleas.xlsx]Earnings!R11C9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I11" s="4"/>
      </tp>
      <tp>
        <v>-219.62299999999999</v>
        <stp/>
        <stp>##V3_BDHV12</stp>
        <stp>RCOM IN Equity</stp>
        <stp>NET_CHANGE_IN_CASH_SEQ_GROWTH</stp>
        <stp>FY 2010</stp>
        <stp>FY 2010</stp>
        <stp>[FA1_ymffleas.xlsx]Growth!R84C4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4" s="22"/>
      </tp>
      <tp t="s">
        <v>—</v>
        <stp/>
        <stp>##V3_BDHV12</stp>
        <stp>RCOM IN Equity</stp>
        <stp>NET_CHANGE_IN_CASH_SEQ_GROWTH</stp>
        <stp>FY 2011</stp>
        <stp>FY 2011</stp>
        <stp>[FA1_ymffleas.xlsx]Growth!R84C5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4" s="22"/>
      </tp>
      <tp>
        <v>-206.64689999999999</v>
        <stp/>
        <stp>##V3_BDHV12</stp>
        <stp>RCOM IN Equity</stp>
        <stp>NET_CHANGE_IN_CASH_SEQ_GROWTH</stp>
        <stp>FY 2012</stp>
        <stp>FY 2012</stp>
        <stp>[FA1_ymffleas.xlsx]Growth!R84C6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4" s="22"/>
      </tp>
      <tp t="s">
        <v>—</v>
        <stp/>
        <stp>##V3_BDHV12</stp>
        <stp>RCOM IN Equity</stp>
        <stp>NET_CHANGE_IN_CASH_SEQ_GROWTH</stp>
        <stp>FY 2013</stp>
        <stp>FY 2013</stp>
        <stp>[FA1_ymffleas.xlsx]Growth!R84C7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4" s="22"/>
      </tp>
      <tp t="s">
        <v>—</v>
        <stp/>
        <stp>##V3_BDHV12</stp>
        <stp>RCOM IN Equity</stp>
        <stp>NET_CHANGE_IN_CASH_SEQ_GROWTH</stp>
        <stp>FY 2009</stp>
        <stp>FY 2009</stp>
        <stp>[FA1_ymffleas.xlsx]Growth!R84C3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4" s="22"/>
      </tp>
      <tp>
        <v>-225.4144</v>
        <stp/>
        <stp>##V3_BDHV12</stp>
        <stp>RCOM IN Equity</stp>
        <stp>NET_CHANGE_IN_CASH_SEQ_GROWTH</stp>
        <stp>FY 2014</stp>
        <stp>FY 2014</stp>
        <stp>[FA1_ymffleas.xlsx]Growth!R84C8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4" s="22"/>
      </tp>
      <tp t="s">
        <v>—</v>
        <stp/>
        <stp>##V3_BDHV12</stp>
        <stp>RCOM IN Equity</stp>
        <stp>NET_CHANGE_IN_CASH_SEQ_GROWTH</stp>
        <stp>FY 2015</stp>
        <stp>FY 2015</stp>
        <stp>[FA1_ymffleas.xlsx]Growth!R84C9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4" s="22"/>
      </tp>
      <tp>
        <v>189850</v>
        <stp/>
        <stp>##V3_BDHV12</stp>
        <stp>RCOM IN Equity</stp>
        <stp>ARD_TOT_NONCURRENT_LIABILITIES</stp>
        <stp>FY 2018</stp>
        <stp>FY 2018</stp>
        <stp>[FA1_ymffleas.xlsx]Bal Sheet - As Reported!R16C12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" s="17"/>
      </tp>
      <tp>
        <v>439130</v>
        <stp/>
        <stp>##V3_BDHV12</stp>
        <stp>RCOM IN Equity</stp>
        <stp>ARD_TOT_NONCURRENT_LIABILITIES</stp>
        <stp>FY 2016</stp>
        <stp>FY 2016</stp>
        <stp>[FA1_ymffleas.xlsx]Bal Sheet - As Reported!R16C10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" s="17"/>
      </tp>
      <tp>
        <v>347280</v>
        <stp/>
        <stp>##V3_BDHV12</stp>
        <stp>RCOM IN Equity</stp>
        <stp>ARD_TOT_NONCURRENT_LIABILITIES</stp>
        <stp>FY 2017</stp>
        <stp>FY 2017</stp>
        <stp>[FA1_ymffleas.xlsx]Bal Sheet - As Reported!R16C11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" s="17"/>
      </tp>
      <tp>
        <v>10.3391</v>
        <stp/>
        <stp>##V3_BDHV12</stp>
        <stp>RCOM IN Equity</stp>
        <stp>CAP_EXPEND_TO_SALES</stp>
        <stp>FY 2014</stp>
        <stp>FY 2014</stp>
        <stp>[FA1_ymffleas.xlsx]CAPEX &amp; Depreciation!R12C8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12" s="28"/>
      </tp>
      <tp t="s">
        <v>—</v>
        <stp/>
        <stp>##V3_BDHV12</stp>
        <stp>RCOM IN Equity</stp>
        <stp>TRAIL_12M_FREE_CASH_FLOW_FIRM</stp>
        <stp>FY 2018</stp>
        <stp>FY 2018</stp>
        <stp>[FA1_ymffleas.xlsx]Enterprise Value!R33C11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3" s="5"/>
      </tp>
      <tp t="s">
        <v>—</v>
        <stp/>
        <stp>##V3_BDHV12</stp>
        <stp>RCOM IN Equity</stp>
        <stp>TRAIL_12M_FREE_CASH_FLOW_FIRM</stp>
        <stp>FY 2017</stp>
        <stp>FY 2017</stp>
        <stp>[FA1_ymffleas.xlsx]Enterprise Value!R33C10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3" s="5"/>
      </tp>
      <tp>
        <v>1540</v>
        <stp/>
        <stp>##V3_BDHV12</stp>
        <stp>RCOM IN Equity</stp>
        <stp>ARDR_PREPAID_EXPENSES_LT</stp>
        <stp>FY 2016</stp>
        <stp>FY 2016</stp>
        <stp>[FA1_ymffleas.xlsx]Bal Sheet - As Reported!R123C10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23" s="17"/>
      </tp>
      <tp>
        <v>1420</v>
        <stp/>
        <stp>##V3_BDHV12</stp>
        <stp>RCOM IN Equity</stp>
        <stp>ARDR_PREPAID_EXPENSES_LT</stp>
        <stp>FY 2017</stp>
        <stp>FY 2017</stp>
        <stp>[FA1_ymffleas.xlsx]Bal Sheet - As Reported!R123C11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23" s="17"/>
      </tp>
      <tp>
        <v>1030</v>
        <stp/>
        <stp>##V3_BDHV12</stp>
        <stp>RCOM IN Equity</stp>
        <stp>ARDR_PREPAID_EXPENSES_LT</stp>
        <stp>FY 2018</stp>
        <stp>FY 2018</stp>
        <stp>[FA1_ymffleas.xlsx]Bal Sheet - As Reported!R123C12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23" s="17"/>
      </tp>
      <tp>
        <v>-74800</v>
        <stp/>
        <stp>##V3_BDHV12</stp>
        <stp>RCOM IN Equity</stp>
        <stp>CF_FREE_CASH_FLOW</stp>
        <stp>FY 2017</stp>
        <stp>FY 2017</stp>
        <stp>[FA1_ymffleas.xlsx]Cash Flow - Standardized!R61C10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1" s="19"/>
      </tp>
      <tp>
        <v>-9980</v>
        <stp/>
        <stp>##V3_BDHV12</stp>
        <stp>RCOM IN Equity</stp>
        <stp>CF_FREE_CASH_FLOW</stp>
        <stp>FY 2018</stp>
        <stp>FY 2018</stp>
        <stp>[FA1_ymffleas.xlsx]Cash Flow - Standardized!R61C11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1" s="19"/>
      </tp>
      <tp>
        <v>8.8207000000000004</v>
        <stp/>
        <stp>##V3_BDHV12</stp>
        <stp>RCOM IN Equity</stp>
        <stp>EV_TO_T12M_EBITDA</stp>
        <stp>FY 2013</stp>
        <stp>FY 2013</stp>
        <stp>[FA1_ymffleas.xlsx]Enterprise Value!R18C6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18" s="5"/>
      </tp>
      <tp>
        <v>2.3066</v>
        <stp/>
        <stp>##V3_BDHV12</stp>
        <stp>RCOM IN Equity</stp>
        <stp>SALES_GROWTH</stp>
        <stp>FY 2015</stp>
        <stp>FY 2015</stp>
        <stp>[FA1_ymffleas.xlsx]Adj Highlights!R13C8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H13" s="2"/>
      </tp>
      <tp>
        <v>31100</v>
        <stp/>
        <stp>##V3_BDHV12</stp>
        <stp>RCOM IN Equity</stp>
        <stp>EBITDA</stp>
        <stp>FY 2018</stp>
        <stp>FY 2018</stp>
        <stp>[FA1_ymffleas.xlsx]Adj Highlights!R16C11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6" s="2"/>
      </tp>
      <tp>
        <v>46610</v>
        <stp/>
        <stp>##V3_BDHV12</stp>
        <stp>RCOM IN Equity</stp>
        <stp>EBITDA</stp>
        <stp>FY 2017</stp>
        <stp>FY 2017</stp>
        <stp>[FA1_ymffleas.xlsx]Adj Highlights!R16C10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6" s="2"/>
      </tp>
      <tp t="s">
        <v>—</v>
        <stp/>
        <stp>##V3_BDHV12</stp>
        <stp>RCOM IN Equity</stp>
        <stp>INVENT_TURN</stp>
        <stp>FY 2015</stp>
        <stp>FY 2015</stp>
        <stp>[FA1_ymffleas.xlsx]Working Capital!R8C9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8" s="25"/>
      </tp>
      <tp>
        <v>59.8108</v>
        <stp/>
        <stp>##V3_BDHV12</stp>
        <stp>RCOM IN Equity</stp>
        <stp>CAP_EXPEND_TO_SALES</stp>
        <stp>FY 2017</stp>
        <stp>FY 2017</stp>
        <stp>[FA1_ymffleas.xlsx]CAPEX &amp; Depreciation!R12C11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2" s="28"/>
      </tp>
      <tp t="s">
        <v>—</v>
        <stp/>
        <stp>##V3_BDHV12</stp>
        <stp>RCOM IN Equity</stp>
        <stp>5Y_GEO_GROWTH_DILUTED_EPS</stp>
        <stp>FY 2011</stp>
        <stp>FY 2011</stp>
        <stp>[FA1_ymffleas.xlsx]Growth!R40C5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40" s="22"/>
      </tp>
      <tp>
        <v>1390</v>
        <stp/>
        <stp>##V3_BDHV12</stp>
        <stp>RCOM IN Equity</stp>
        <stp>ARDR_ADVERTISING_EXPENSES</stp>
        <stp>FY 2015</stp>
        <stp>FY 2015</stp>
        <stp>[FA1_ymffleas.xlsx]Income - As Reported!R127C9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27" s="11"/>
      </tp>
      <tp>
        <v>1640</v>
        <stp/>
        <stp>##V3_BDHV12</stp>
        <stp>RCOM IN Equity</stp>
        <stp>ARDR_ADVERTISING_EXPENSES</stp>
        <stp>FY 2014</stp>
        <stp>FY 2014</stp>
        <stp>[FA1_ymffleas.xlsx]Income - As Reported!R127C8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27" s="11"/>
      </tp>
      <tp>
        <v>1840</v>
        <stp/>
        <stp>##V3_BDHV12</stp>
        <stp>RCOM IN Equity</stp>
        <stp>ARDR_ADVERTISING_EXPENSES</stp>
        <stp>FY 2011</stp>
        <stp>FY 2011</stp>
        <stp>[FA1_ymffleas.xlsx]Income - As Reported!R127C5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27" s="11"/>
      </tp>
      <tp>
        <v>2273.5</v>
        <stp/>
        <stp>##V3_BDHV12</stp>
        <stp>RCOM IN Equity</stp>
        <stp>ARDR_ADVERTISING_EXPENSES</stp>
        <stp>FY 2010</stp>
        <stp>FY 2010</stp>
        <stp>[FA1_ymffleas.xlsx]Income - As Reported!R127C4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27" s="11"/>
      </tp>
      <tp>
        <v>1630</v>
        <stp/>
        <stp>##V3_BDHV12</stp>
        <stp>RCOM IN Equity</stp>
        <stp>ARDR_ADVERTISING_EXPENSES</stp>
        <stp>FY 2013</stp>
        <stp>FY 2013</stp>
        <stp>[FA1_ymffleas.xlsx]Income - As Reported!R127C7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27" s="11"/>
      </tp>
      <tp>
        <v>1270</v>
        <stp/>
        <stp>##V3_BDHV12</stp>
        <stp>RCOM IN Equity</stp>
        <stp>ARDR_ADVERTISING_EXPENSES</stp>
        <stp>FY 2012</stp>
        <stp>FY 2012</stp>
        <stp>[FA1_ymffleas.xlsx]Income - As Reported!R127C6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27" s="11"/>
      </tp>
      <tp>
        <v>3866.5</v>
        <stp/>
        <stp>##V3_BDHV12</stp>
        <stp>RCOM IN Equity</stp>
        <stp>ARDR_ADVERTISING_EXPENSES</stp>
        <stp>FY 2009</stp>
        <stp>FY 2009</stp>
        <stp>[FA1_ymffleas.xlsx]Income - As Reported!R127C3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27" s="11"/>
      </tp>
      <tp>
        <v>0.19239999999999999</v>
        <stp/>
        <stp>##V3_BDHV12</stp>
        <stp>RCOM IN Equity</stp>
        <stp>DILUTED_EPS_EX_STK_BASED_COMP</stp>
        <stp>FY 2018</stp>
        <stp>FY 2018</stp>
        <stp>[FA1_ymffleas.xlsx]SBC &amp; Amort!R8C12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8" s="13"/>
      </tp>
      <tp>
        <v>0.50649999999999995</v>
        <stp/>
        <stp>##V3_BDHV12</stp>
        <stp>RCOM IN Equity</stp>
        <stp>DILUTED_EPS_EX_STK_BASED_COMP</stp>
        <stp>FY 2017</stp>
        <stp>FY 2017</stp>
        <stp>[FA1_ymffleas.xlsx]SBC &amp; Amort!R8C11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8" s="13"/>
      </tp>
      <tp>
        <v>2.0196999999999998</v>
        <stp/>
        <stp>##V3_BDHV12</stp>
        <stp>RCOM IN Equity</stp>
        <stp>DILUTED_EPS_EX_STK_BASED_COMP</stp>
        <stp>FY 2016</stp>
        <stp>FY 2016</stp>
        <stp>[FA1_ymffleas.xlsx]SBC &amp; Amort!R8C10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8" s="13"/>
      </tp>
      <tp>
        <v>7360</v>
        <stp/>
        <stp>##V3_BDHV12</stp>
        <stp>RCOM IN Equity</stp>
        <stp>CASH_AND_MARKETABLE_SECURITIES</stp>
        <stp>FY 2018</stp>
        <stp>FY 2018</stp>
        <stp>[FA1_ymffleas.xlsx]GAAP Highlights!R14C12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4" s="3"/>
      </tp>
      <tp>
        <v>15170</v>
        <stp/>
        <stp>##V3_BDHV12</stp>
        <stp>RCOM IN Equity</stp>
        <stp>CASH_AND_MARKETABLE_SECURITIES</stp>
        <stp>FY 2016</stp>
        <stp>FY 2016</stp>
        <stp>[FA1_ymffleas.xlsx]GAAP Highlights!R14C10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4" s="3"/>
      </tp>
      <tp>
        <v>13140</v>
        <stp/>
        <stp>##V3_BDHV12</stp>
        <stp>RCOM IN Equity</stp>
        <stp>CASH_AND_MARKETABLE_SECURITIES</stp>
        <stp>FY 2017</stp>
        <stp>FY 2017</stp>
        <stp>[FA1_ymffleas.xlsx]GAAP Highlights!R14C11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4" s="3"/>
      </tp>
      <tp>
        <v>79920</v>
        <stp/>
        <stp>##V3_BDHV12</stp>
        <stp>RCOM IN Equity</stp>
        <stp>ARD_OTHER_CURRENT_LIABILITIES</stp>
        <stp>FY 2018</stp>
        <stp>FY 2018</stp>
        <stp>[FA1_ymffleas.xlsx]Bal Sheet - As Reported!R54C12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4" s="17"/>
      </tp>
      <tp>
        <v>23740</v>
        <stp/>
        <stp>##V3_BDHV12</stp>
        <stp>RCOM IN Equity</stp>
        <stp>ARD_OTHER_CURRENT_LIABILITIES</stp>
        <stp>FY 2016</stp>
        <stp>FY 2016</stp>
        <stp>[FA1_ymffleas.xlsx]Bal Sheet - As Reported!R54C10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4" s="17"/>
      </tp>
      <tp>
        <v>17640</v>
        <stp/>
        <stp>##V3_BDHV12</stp>
        <stp>RCOM IN Equity</stp>
        <stp>ARD_OTHER_CURRENT_LIABILITIES</stp>
        <stp>FY 2017</stp>
        <stp>FY 2017</stp>
        <stp>[FA1_ymffleas.xlsx]Bal Sheet - As Reported!R54C11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4" s="17"/>
      </tp>
      <tp>
        <v>0</v>
        <stp/>
        <stp>##V3_BDHV12</stp>
        <stp>RCOM IN Equity</stp>
        <stp>CF_ACQUISITION_OF_INTANG_ASSETS</stp>
        <stp>FY 2010</stp>
        <stp>FY 2010</stp>
        <stp>[FA1_ymffleas.xlsx]Cash Flow - Standardized!R25C3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5" s="19"/>
      </tp>
      <tp>
        <v>0</v>
        <stp/>
        <stp>##V3_BDHV12</stp>
        <stp>RCOM IN Equity</stp>
        <stp>CF_ACQUISITION_OF_INTANG_ASSETS</stp>
        <stp>FY 2011</stp>
        <stp>FY 2011</stp>
        <stp>[FA1_ymffleas.xlsx]Cash Flow - Standardized!R25C4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5" s="19"/>
      </tp>
      <tp>
        <v>0</v>
        <stp/>
        <stp>##V3_BDHV12</stp>
        <stp>RCOM IN Equity</stp>
        <stp>CF_ACQUISITION_OF_INTANG_ASSETS</stp>
        <stp>FY 2012</stp>
        <stp>FY 2012</stp>
        <stp>[FA1_ymffleas.xlsx]Cash Flow - Standardized!R25C5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5" s="19"/>
      </tp>
      <tp>
        <v>0</v>
        <stp/>
        <stp>##V3_BDHV12</stp>
        <stp>RCOM IN Equity</stp>
        <stp>CF_ACQUISITION_OF_INTANG_ASSETS</stp>
        <stp>FY 2013</stp>
        <stp>FY 2013</stp>
        <stp>[FA1_ymffleas.xlsx]Cash Flow - Standardized!R25C6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5" s="19"/>
      </tp>
      <tp>
        <v>0</v>
        <stp/>
        <stp>##V3_BDHV12</stp>
        <stp>RCOM IN Equity</stp>
        <stp>CF_ACQUISITION_OF_INTANG_ASSETS</stp>
        <stp>FY 2014</stp>
        <stp>FY 2014</stp>
        <stp>[FA1_ymffleas.xlsx]Cash Flow - Standardized!R25C7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5" s="19"/>
      </tp>
      <tp>
        <v>0</v>
        <stp/>
        <stp>##V3_BDHV12</stp>
        <stp>RCOM IN Equity</stp>
        <stp>CF_ACQUISITION_OF_INTANG_ASSETS</stp>
        <stp>FY 2015</stp>
        <stp>FY 2015</stp>
        <stp>[FA1_ymffleas.xlsx]Cash Flow - Standardized!R25C8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5" s="19"/>
      </tp>
      <tp>
        <v>0</v>
        <stp/>
        <stp>##V3_BDHV12</stp>
        <stp>RCOM IN Equity</stp>
        <stp>CF_ACQUISITION_OF_INTANG_ASSETS</stp>
        <stp>FY 2016</stp>
        <stp>FY 2016</stp>
        <stp>[FA1_ymffleas.xlsx]Cash Flow - Standardized!R25C9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5" s="19"/>
      </tp>
      <tp>
        <v>6390</v>
        <stp/>
        <stp>##V3_BDHV12</stp>
        <stp>RCOM IN Equity</stp>
        <stp>EARN_FOR_COMMON</stp>
        <stp>FY 2016</stp>
        <stp>FY 2016</stp>
        <stp>[FA1_ymffleas.xlsx]GAAP Highlights!R8C10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8" s="3"/>
      </tp>
      <tp>
        <v>-14030</v>
        <stp/>
        <stp>##V3_BDHV12</stp>
        <stp>RCOM IN Equity</stp>
        <stp>EARN_FOR_COMMON</stp>
        <stp>FY 2017</stp>
        <stp>FY 2017</stp>
        <stp>[FA1_ymffleas.xlsx]GAAP Highlights!R8C11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8" s="3"/>
      </tp>
      <tp>
        <v>-238390</v>
        <stp/>
        <stp>##V3_BDHV12</stp>
        <stp>RCOM IN Equity</stp>
        <stp>EARN_FOR_COMMON</stp>
        <stp>FY 2018</stp>
        <stp>FY 2018</stp>
        <stp>[FA1_ymffleas.xlsx]GAAP Highlights!R8C12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8" s="3"/>
      </tp>
      <tp t="s">
        <v>—</v>
        <stp/>
        <stp>##V3_BDHV12</stp>
        <stp>RCOM IN Equity</stp>
        <stp>PX_TO_FREE_CASH_FLOW</stp>
        <stp>FY 2018</stp>
        <stp>FY 2018</stp>
        <stp>[FA1_ymffleas.xlsx]Cash Flow - Standardized!R65C11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65" s="19"/>
      </tp>
      <tp t="s">
        <v>—</v>
        <stp/>
        <stp>##V3_BDHV12</stp>
        <stp>RCOM IN Equity</stp>
        <stp>PX_TO_FREE_CASH_FLOW</stp>
        <stp>FY 2017</stp>
        <stp>FY 2017</stp>
        <stp>[FA1_ymffleas.xlsx]Cash Flow - Standardized!R65C10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65" s="19"/>
      </tp>
      <tp>
        <v>1.4571000000000001</v>
        <stp/>
        <stp>##V3_BDHV12</stp>
        <stp>RCOM IN Equity</stp>
        <stp>5_YEAR_AVERAGE_ADJUSTED_ROE</stp>
        <stp>FY 2018</stp>
        <stp>FY 2018</stp>
        <stp>[FA1_ymffleas.xlsx]DuPont Analysis!R21C12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21" s="27"/>
      </tp>
      <tp>
        <v>-10</v>
        <stp/>
        <stp>##V3_BDHV12</stp>
        <stp>RCOM IN Equity</stp>
        <stp>IS_OTHER_COMPREHENSIVE_INCOME</stp>
        <stp>FY 2016</stp>
        <stp>FY 2016</stp>
        <stp>[FA1_ymffleas.xlsx]Comprehensive Income!R9C9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" s="33"/>
      </tp>
      <tp t="s">
        <v>—</v>
        <stp/>
        <stp>##V3_BDHV12</stp>
        <stp>RCOM IN Equity</stp>
        <stp>IS_OTHER_COMPREHENSIVE_INCOME</stp>
        <stp>FY 2015</stp>
        <stp>FY 2015</stp>
        <stp>[FA1_ymffleas.xlsx]Comprehensive Income!R9C8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" s="33"/>
      </tp>
      <tp t="s">
        <v>—</v>
        <stp/>
        <stp>##V3_BDHV12</stp>
        <stp>RCOM IN Equity</stp>
        <stp>IS_OTHER_COMPREHENSIVE_INCOME</stp>
        <stp>FY 2014</stp>
        <stp>FY 2014</stp>
        <stp>[FA1_ymffleas.xlsx]Comprehensive Income!R9C7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" s="33"/>
      </tp>
      <tp t="s">
        <v>—</v>
        <stp/>
        <stp>##V3_BDHV12</stp>
        <stp>RCOM IN Equity</stp>
        <stp>IS_OTHER_COMPREHENSIVE_INCOME</stp>
        <stp>FY 2013</stp>
        <stp>FY 2013</stp>
        <stp>[FA1_ymffleas.xlsx]Comprehensive Income!R9C6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" s="33"/>
      </tp>
      <tp t="s">
        <v>—</v>
        <stp/>
        <stp>##V3_BDHV12</stp>
        <stp>RCOM IN Equity</stp>
        <stp>IS_OTHER_COMPREHENSIVE_INCOME</stp>
        <stp>FY 2012</stp>
        <stp>FY 2012</stp>
        <stp>[FA1_ymffleas.xlsx]Comprehensive Income!R9C5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" s="33"/>
      </tp>
      <tp t="s">
        <v>—</v>
        <stp/>
        <stp>##V3_BDHV12</stp>
        <stp>RCOM IN Equity</stp>
        <stp>IS_OTHER_COMPREHENSIVE_INCOME</stp>
        <stp>FY 2011</stp>
        <stp>FY 2011</stp>
        <stp>[FA1_ymffleas.xlsx]Comprehensive Income!R9C4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" s="33"/>
      </tp>
      <tp t="s">
        <v>—</v>
        <stp/>
        <stp>##V3_BDHV12</stp>
        <stp>RCOM IN Equity</stp>
        <stp>IS_OTHER_COMPREHENSIVE_INCOME</stp>
        <stp>FY 2010</stp>
        <stp>FY 2010</stp>
        <stp>[FA1_ymffleas.xlsx]Comprehensive Income!R9C3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" s="33"/>
      </tp>
      <tp t="s">
        <v>—</v>
        <stp/>
        <stp>##V3_BDHV12</stp>
        <stp>RCOM IN Equity</stp>
        <stp>5Y_GEO_GROWTH_DILUTED_EPS</stp>
        <stp>FY 2018</stp>
        <stp>FY 2018</stp>
        <stp>[FA1_ymffleas.xlsx]Growth!R40C12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40" s="22"/>
      </tp>
      <tp>
        <v>3260</v>
        <stp/>
        <stp>##V3_BDHV12</stp>
        <stp>RCOM IN Equity</stp>
        <stp>IS_INC_TAX_EXP</stp>
        <stp>FY 2015</stp>
        <stp>FY 2015</stp>
        <stp>[FA1_ymffleas.xlsx]Income - GAAP!R55C8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55" s="10"/>
      </tp>
      <tp t="s">
        <v>—</v>
        <stp/>
        <stp>##V3_BDHV12</stp>
        <stp>RCOM IN Equity</stp>
        <stp>IS_AMORT_OF_TOT_INTANG_AFT_TAX</stp>
        <stp>FY 2015</stp>
        <stp>FY 2015</stp>
        <stp>[FA1_ymffleas.xlsx]SBC &amp; Amort!R26C9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6" s="13"/>
      </tp>
      <tp t="s">
        <v>—</v>
        <stp/>
        <stp>##V3_BDHV12</stp>
        <stp>RCOM IN Equity</stp>
        <stp>IS_AMORT_OF_TOT_INTANG_AFT_TAX</stp>
        <stp>FY 2014</stp>
        <stp>FY 2014</stp>
        <stp>[FA1_ymffleas.xlsx]SBC &amp; Amort!R26C8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6" s="13"/>
      </tp>
      <tp>
        <v>18646.560000000001</v>
        <stp/>
        <stp>##V3_BDHV12</stp>
        <stp>RCOM IN Equity</stp>
        <stp>IS_AMORT_OF_TOT_INTANG_AFT_TAX</stp>
        <stp>FY 2011</stp>
        <stp>FY 2011</stp>
        <stp>[FA1_ymffleas.xlsx]SBC &amp; Amort!R26C5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6" s="13"/>
      </tp>
      <tp>
        <v>3808.5129999999999</v>
        <stp/>
        <stp>##V3_BDHV12</stp>
        <stp>RCOM IN Equity</stp>
        <stp>IS_AMORT_OF_TOT_INTANG_AFT_TAX</stp>
        <stp>FY 2010</stp>
        <stp>FY 2010</stp>
        <stp>[FA1_ymffleas.xlsx]SBC &amp; Amort!R26C4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6" s="13"/>
      </tp>
      <tp>
        <v>12786.137000000001</v>
        <stp/>
        <stp>##V3_BDHV12</stp>
        <stp>RCOM IN Equity</stp>
        <stp>IS_AMORT_OF_TOT_INTANG_AFT_TAX</stp>
        <stp>FY 2013</stp>
        <stp>FY 2013</stp>
        <stp>[FA1_ymffleas.xlsx]SBC &amp; Amort!R26C7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6" s="13"/>
      </tp>
      <tp>
        <v>13314.105</v>
        <stp/>
        <stp>##V3_BDHV12</stp>
        <stp>RCOM IN Equity</stp>
        <stp>IS_AMORT_OF_TOT_INTANG_AFT_TAX</stp>
        <stp>FY 2012</stp>
        <stp>FY 2012</stp>
        <stp>[FA1_ymffleas.xlsx]SBC &amp; Amort!R26C6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6" s="13"/>
      </tp>
      <tp>
        <v>2204.7339999999999</v>
        <stp/>
        <stp>##V3_BDHV12</stp>
        <stp>RCOM IN Equity</stp>
        <stp>IS_AMORT_OF_TOT_INTANG_AFT_TAX</stp>
        <stp>FY 2009</stp>
        <stp>FY 2009</stp>
        <stp>[FA1_ymffleas.xlsx]SBC &amp; Amort!R26C3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6" s="13"/>
      </tp>
      <tp>
        <v>-41.176499999999997</v>
        <stp/>
        <stp>##V3_BDHV12</stp>
        <stp>RCOM IN Equity</stp>
        <stp>DPS_SEQUENTIAL_GROWTH</stp>
        <stp>FY 2011</stp>
        <stp>FY 2011</stp>
        <stp>[FA1_ymffleas.xlsx]Growth!R67C5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67" s="22"/>
      </tp>
      <tp>
        <v>45.661999999999999</v>
        <stp/>
        <stp>##V3_BDHV12</stp>
        <stp>RCOM IN Equity</stp>
        <stp>BPS_SEQUENTIAL_GROWTH</stp>
        <stp>FY 2009</stp>
        <stp>FY 2009</stp>
        <stp>[FA1_ymffleas.xlsx]Growth!R80C3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0" s="22"/>
      </tp>
      <tp>
        <v>-4280</v>
        <stp/>
        <stp>##V3_BDHV12</stp>
        <stp>RCOM IN Equity</stp>
        <stp>IS_INC_TAX_EXP</stp>
        <stp>FY 2016</stp>
        <stp>FY 2016</stp>
        <stp>[FA1_ymffleas.xlsx]Income - GAAP!R55C9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55" s="10"/>
      </tp>
      <tp>
        <v>6.25</v>
        <stp/>
        <stp>##V3_BDHV12</stp>
        <stp>RCOM IN Equity</stp>
        <stp>DPS_SEQUENTIAL_GROWTH</stp>
        <stp>FY 2010</stp>
        <stp>FY 2010</stp>
        <stp>[FA1_ymffleas.xlsx]Growth!R67C4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67" s="22"/>
      </tp>
      <tp>
        <v>22.139800000000001</v>
        <stp/>
        <stp>##V3_BDHV12</stp>
        <stp>RCOM IN Equity</stp>
        <stp>CFO_SEQUENTIAL_GROWTH</stp>
        <stp>FY 2009</stp>
        <stp>FY 2009</stp>
        <stp>[FA1_ymffleas.xlsx]Growth!R82C3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82" s="22"/>
      </tp>
      <tp>
        <v>0</v>
        <stp/>
        <stp>##V3_BDHV12</stp>
        <stp>RCOM IN Equity</stp>
        <stp>ARD_PROVISION_FOR_LT_INVESTMENTS</stp>
        <stp>FY 2017</stp>
        <stp>FY 2017</stp>
        <stp>[FA1_ymffleas.xlsx]Cash Flow - As Reported!R26C11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6" s="20"/>
      </tp>
      <tp t="s">
        <v>—</v>
        <stp/>
        <stp>##V3_BDHV12</stp>
        <stp>RCOM IN Equity</stp>
        <stp>ARD_PROVISION_FOR_LT_INVESTMENTS</stp>
        <stp>FY 2016</stp>
        <stp>FY 2016</stp>
        <stp>[FA1_ymffleas.xlsx]Cash Flow - As Reported!R26C10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6" s="20"/>
      </tp>
      <tp>
        <v>212550</v>
        <stp/>
        <stp>##V3_BDHV12</stp>
        <stp>RCOM IN Equity</stp>
        <stp>ARD_PROVISION_FOR_LT_INVESTMENTS</stp>
        <stp>FY 2018</stp>
        <stp>FY 2018</stp>
        <stp>[FA1_ymffleas.xlsx]Cash Flow - As Reported!R26C12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6" s="20"/>
      </tp>
      <tp>
        <v>0</v>
        <stp/>
        <stp>##V3_BDHV12</stp>
        <stp>RCOM IN Equity</stp>
        <stp>DPS_SEQUENTIAL_GROWTH</stp>
        <stp>FY 2013</stp>
        <stp>FY 2013</stp>
        <stp>[FA1_ymffleas.xlsx]Growth!R67C7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67" s="22"/>
      </tp>
      <tp>
        <v>0.38869999999999999</v>
        <stp/>
        <stp>##V3_BDHV12</stp>
        <stp>RCOM IN Equity</stp>
        <stp>PX_TO_BOOK_RATIO</stp>
        <stp>FY 2015</stp>
        <stp>FY 2015</stp>
        <stp>[FA1_ymffleas.xlsx]Addl - Overview!R29C8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29" s="29"/>
      </tp>
      <tp>
        <v>-50</v>
        <stp/>
        <stp>##V3_BDHV12</stp>
        <stp>RCOM IN Equity</stp>
        <stp>DPS_SEQUENTIAL_GROWTH</stp>
        <stp>FY 2012</stp>
        <stp>FY 2012</stp>
        <stp>[FA1_ymffleas.xlsx]Growth!R67C6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67" s="22"/>
      </tp>
      <tp>
        <v>0.39400000000000002</v>
        <stp/>
        <stp>##V3_BDHV12</stp>
        <stp>RCOM IN Equity</stp>
        <stp>PX_TO_BOOK_RATIO</stp>
        <stp>FY 2016</stp>
        <stp>FY 2016</stp>
        <stp>[FA1_ymffleas.xlsx]Addl - Overview!R29C9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29" s="29"/>
      </tp>
      <tp>
        <v>-6.7389999999999999</v>
        <stp/>
        <stp>##V3_BDHV12</stp>
        <stp>RCOM IN Equity</stp>
        <stp>BPS_SEQUENTIAL_GROWTH</stp>
        <stp>FY 2013</stp>
        <stp>FY 2013</stp>
        <stp>[FA1_ymffleas.xlsx]Growth!R80C7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0" s="22"/>
      </tp>
      <tp>
        <v>279.94400000000002</v>
        <stp/>
        <stp>##V3_BDHV12</stp>
        <stp>RCOM IN Equity</stp>
        <stp>CFO_SEQUENTIAL_GROWTH</stp>
        <stp>FY 2012</stp>
        <stp>FY 2012</stp>
        <stp>[FA1_ymffleas.xlsx]Growth!R82C6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2" s="22"/>
      </tp>
      <tp>
        <v>-10.378</v>
        <stp/>
        <stp>##V3_BDHV12</stp>
        <stp>RCOM IN Equity</stp>
        <stp>BPS_SEQUENTIAL_GROWTH</stp>
        <stp>FY 2012</stp>
        <stp>FY 2012</stp>
        <stp>[FA1_ymffleas.xlsx]Growth!R80C6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80" s="22"/>
      </tp>
      <tp>
        <v>-66.363900000000001</v>
        <stp/>
        <stp>##V3_BDHV12</stp>
        <stp>RCOM IN Equity</stp>
        <stp>CFO_SEQUENTIAL_GROWTH</stp>
        <stp>FY 2013</stp>
        <stp>FY 2013</stp>
        <stp>[FA1_ymffleas.xlsx]Growth!R82C7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82" s="22"/>
      </tp>
      <tp>
        <v>2.59</v>
        <stp/>
        <stp>##V3_BDHV12</stp>
        <stp>RCOM IN Equity</stp>
        <stp>IS_DIL_EPS_BEF_XO</stp>
        <stp>FY 2016</stp>
        <stp>FY 2016</stp>
        <stp>[FA1_ymffleas.xlsx]Income - Adjusted!R116C9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16" s="9"/>
      </tp>
      <tp>
        <v>6.6666999999999996</v>
        <stp/>
        <stp>##V3_BDHV12</stp>
        <stp>RCOM IN Equity</stp>
        <stp>DPS_SEQUENTIAL_GROWTH</stp>
        <stp>FY 2009</stp>
        <stp>FY 2009</stp>
        <stp>[FA1_ymffleas.xlsx]Growth!R67C3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67" s="22"/>
      </tp>
      <tp>
        <v>-6.5995999999999997</v>
        <stp/>
        <stp>##V3_BDHV12</stp>
        <stp>RCOM IN Equity</stp>
        <stp>BPS_SEQUENTIAL_GROWTH</stp>
        <stp>FY 2011</stp>
        <stp>FY 2011</stp>
        <stp>[FA1_ymffleas.xlsx]Growth!R80C5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0" s="22"/>
      </tp>
      <tp>
        <v>59.366399999999999</v>
        <stp/>
        <stp>##V3_BDHV12</stp>
        <stp>RCOM IN Equity</stp>
        <stp>CFO_SEQUENTIAL_GROWTH</stp>
        <stp>FY 2010</stp>
        <stp>FY 2010</stp>
        <stp>[FA1_ymffleas.xlsx]Growth!R82C4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2" s="22"/>
      </tp>
      <tp>
        <v>3.05</v>
        <stp/>
        <stp>##V3_BDHV12</stp>
        <stp>RCOM IN Equity</stp>
        <stp>IS_DIL_EPS_BEF_XO</stp>
        <stp>FY 2015</stp>
        <stp>FY 2015</stp>
        <stp>[FA1_ymffleas.xlsx]Income - Adjusted!R116C8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16" s="9"/>
      </tp>
      <tp>
        <v>2.5550999999999999</v>
        <stp/>
        <stp>##V3_BDHV12</stp>
        <stp>RCOM IN Equity</stp>
        <stp>BPS_SEQUENTIAL_GROWTH</stp>
        <stp>FY 2010</stp>
        <stp>FY 2010</stp>
        <stp>[FA1_ymffleas.xlsx]Growth!R80C4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80" s="22"/>
      </tp>
      <tp>
        <v>-86.887900000000002</v>
        <stp/>
        <stp>##V3_BDHV12</stp>
        <stp>RCOM IN Equity</stp>
        <stp>CFO_SEQUENTIAL_GROWTH</stp>
        <stp>FY 2011</stp>
        <stp>FY 2011</stp>
        <stp>[FA1_ymffleas.xlsx]Growth!R82C5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82" s="22"/>
      </tp>
      <tp>
        <v>5.07</v>
        <stp/>
        <stp>##V3_BDHV12</stp>
        <stp>RCOM IN Equity</stp>
        <stp>IS_DIL_EPS_BEF_XO</stp>
        <stp>FY 2014</stp>
        <stp>FY 2014</stp>
        <stp>[FA1_ymffleas.xlsx]Income - Adjusted!R116C7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16" s="9"/>
      </tp>
      <tp>
        <v>0</v>
        <stp/>
        <stp>##V3_BDHV12</stp>
        <stp>RCOM IN Equity</stp>
        <stp>ARD_OTHER_FINANCIAL_LIAB_LT</stp>
        <stp>FY 2018</stp>
        <stp>FY 2018</stp>
        <stp>[FA1_ymffleas.xlsx]Bal Sheet - As Reported!R25C12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5" s="17"/>
      </tp>
      <tp>
        <v>4590</v>
        <stp/>
        <stp>##V3_BDHV12</stp>
        <stp>RCOM IN Equity</stp>
        <stp>ARD_OTHER_FINANCIAL_LIAB_LT</stp>
        <stp>FY 2017</stp>
        <stp>FY 2017</stp>
        <stp>[FA1_ymffleas.xlsx]Bal Sheet - As Reported!R25C11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5" s="17"/>
      </tp>
      <tp>
        <v>5170</v>
        <stp/>
        <stp>##V3_BDHV12</stp>
        <stp>RCOM IN Equity</stp>
        <stp>ARD_OTHER_FINANCIAL_LIAB_LT</stp>
        <stp>FY 2016</stp>
        <stp>FY 2016</stp>
        <stp>[FA1_ymffleas.xlsx]Bal Sheet - As Reported!R25C10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5" s="17"/>
      </tp>
      <tp>
        <v>127730</v>
        <stp/>
        <stp>##V3_BDHV12</stp>
        <stp>RCOM IN Equity</stp>
        <stp>ARD_OTHER_FINANCIAL_LIAB_ST</stp>
        <stp>FY 2018</stp>
        <stp>FY 2018</stp>
        <stp>[FA1_ymffleas.xlsx]Bal Sheet - As Reported!R60C12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0" s="17"/>
      </tp>
      <tp>
        <v>173910</v>
        <stp/>
        <stp>##V3_BDHV12</stp>
        <stp>RCOM IN Equity</stp>
        <stp>ARD_OTHER_FINANCIAL_LIAB_ST</stp>
        <stp>FY 2017</stp>
        <stp>FY 2017</stp>
        <stp>[FA1_ymffleas.xlsx]Bal Sheet - As Reported!R60C11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0" s="17"/>
      </tp>
      <tp>
        <v>123990</v>
        <stp/>
        <stp>##V3_BDHV12</stp>
        <stp>RCOM IN Equity</stp>
        <stp>ARD_OTHER_FINANCIAL_LIAB_ST</stp>
        <stp>FY 2016</stp>
        <stp>FY 2016</stp>
        <stp>[FA1_ymffleas.xlsx]Bal Sheet - As Reported!R60C10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0" s="17"/>
      </tp>
      <tp>
        <v>3.26</v>
        <stp/>
        <stp>##V3_BDHV12</stp>
        <stp>RCOM IN Equity</stp>
        <stp>IS_DIL_EPS_BEF_XO</stp>
        <stp>FY 2013</stp>
        <stp>FY 2013</stp>
        <stp>[FA1_ymffleas.xlsx]Income - Adjusted!R116C6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16" s="9"/>
      </tp>
      <tp>
        <v>0.80900000000000005</v>
        <stp/>
        <stp>##V3_BDHV12</stp>
        <stp>RCOM IN Equity</stp>
        <stp>PX_TO_BOOK_RATIO</stp>
        <stp>FY 2010</stp>
        <stp>FY 2010</stp>
        <stp>[FA1_ymffleas.xlsx]Addl - Overview!R29C3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29" s="29"/>
      </tp>
      <tp>
        <v>4.41</v>
        <stp/>
        <stp>##V3_BDHV12</stp>
        <stp>RCOM IN Equity</stp>
        <stp>IS_DIL_EPS_BEF_XO</stp>
        <stp>FY 2012</stp>
        <stp>FY 2012</stp>
        <stp>[FA1_ymffleas.xlsx]Income - Adjusted!R116C5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16" s="9"/>
      </tp>
      <tp>
        <v>-4.0766</v>
        <stp/>
        <stp>##V3_BDHV12</stp>
        <stp>RCOM IN Equity</stp>
        <stp>BPS_SEQUENTIAL_GROWTH</stp>
        <stp>FY 2015</stp>
        <stp>FY 2015</stp>
        <stp>[FA1_ymffleas.xlsx]Growth!R80C9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0" s="22"/>
      </tp>
      <tp>
        <v>182.48179999999999</v>
        <stp/>
        <stp>##V3_BDHV12</stp>
        <stp>RCOM IN Equity</stp>
        <stp>CFO_SEQUENTIAL_GROWTH</stp>
        <stp>FY 2014</stp>
        <stp>FY 2014</stp>
        <stp>[FA1_ymffleas.xlsx]Growth!R82C8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2" s="22"/>
      </tp>
      <tp>
        <v>6.2465999999999999</v>
        <stp/>
        <stp>##V3_BDHV12</stp>
        <stp>RCOM IN Equity</stp>
        <stp>IS_DIL_EPS_BEF_XO</stp>
        <stp>FY 2011</stp>
        <stp>FY 2011</stp>
        <stp>[FA1_ymffleas.xlsx]Income - Adjusted!R116C4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16" s="9"/>
      </tp>
      <tp>
        <v>4453.8999999999996</v>
        <stp/>
        <stp>##V3_BDHV12</stp>
        <stp>RCOM IN Equity</stp>
        <stp>IS_INC_TAX_EXP</stp>
        <stp>FY 2010</stp>
        <stp>FY 2010</stp>
        <stp>[FA1_ymffleas.xlsx]Income - GAAP!R55C3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55" s="10"/>
      </tp>
      <tp t="s">
        <v>—</v>
        <stp/>
        <stp>##V3_BDHV12</stp>
        <stp>RCOM IN Equity</stp>
        <stp>ARD_PROV_DOUBTFUL_DEBT_WRITEBACK</stp>
        <stp>FY 2016</stp>
        <stp>FY 2016</stp>
        <stp>[FA1_ymffleas.xlsx]Cash Flow - As Reported!R36C10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36" s="20"/>
      </tp>
      <tp>
        <v>-30</v>
        <stp/>
        <stp>##V3_BDHV12</stp>
        <stp>RCOM IN Equity</stp>
        <stp>ARD_PROV_DOUBTFUL_DEBT_WRITEBACK</stp>
        <stp>FY 2017</stp>
        <stp>FY 2017</stp>
        <stp>[FA1_ymffleas.xlsx]Cash Flow - As Reported!R36C11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36" s="20"/>
      </tp>
      <tp>
        <v>-3470</v>
        <stp/>
        <stp>##V3_BDHV12</stp>
        <stp>RCOM IN Equity</stp>
        <stp>ARD_PROV_DOUBTFUL_DEBT_WRITEBACK</stp>
        <stp>FY 2018</stp>
        <stp>FY 2018</stp>
        <stp>[FA1_ymffleas.xlsx]Cash Flow - As Reported!R36C12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36" s="20"/>
      </tp>
      <tp>
        <v>-3.1137000000000001</v>
        <stp/>
        <stp>##V3_BDHV12</stp>
        <stp>RCOM IN Equity</stp>
        <stp>BPS_SEQUENTIAL_GROWTH</stp>
        <stp>FY 2014</stp>
        <stp>FY 2014</stp>
        <stp>[FA1_ymffleas.xlsx]Growth!R80C8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80" s="22"/>
      </tp>
      <tp>
        <v>-87.441900000000004</v>
        <stp/>
        <stp>##V3_BDHV12</stp>
        <stp>RCOM IN Equity</stp>
        <stp>CFO_SEQUENTIAL_GROWTH</stp>
        <stp>FY 2015</stp>
        <stp>FY 2015</stp>
        <stp>[FA1_ymffleas.xlsx]Growth!R82C9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82" s="22"/>
      </tp>
      <tp>
        <v>21.619299999999999</v>
        <stp/>
        <stp>##V3_BDHV12</stp>
        <stp>RCOM IN Equity</stp>
        <stp>IS_DIL_EPS_BEF_XO</stp>
        <stp>FY 2010</stp>
        <stp>FY 2010</stp>
        <stp>[FA1_ymffleas.xlsx]Income - Adjusted!R116C3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16" s="9"/>
      </tp>
      <tp>
        <v>120</v>
        <stp/>
        <stp>##V3_BDHV12</stp>
        <stp>RCOM IN Equity</stp>
        <stp>IS_INC_TAX_EXP</stp>
        <stp>FY 2011</stp>
        <stp>FY 2011</stp>
        <stp>[FA1_ymffleas.xlsx]Income - GAAP!R55C4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55" s="10"/>
      </tp>
      <tp t="s">
        <v>—</v>
        <stp/>
        <stp>##V3_BDHV12</stp>
        <stp>RCOM IN Equity</stp>
        <stp>DPS_SEQUENTIAL_GROWTH</stp>
        <stp>FY 2015</stp>
        <stp>FY 2015</stp>
        <stp>[FA1_ymffleas.xlsx]Growth!R67C9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67" s="22"/>
      </tp>
      <tp>
        <v>0.3372</v>
        <stp/>
        <stp>##V3_BDHV12</stp>
        <stp>RCOM IN Equity</stp>
        <stp>PX_TO_BOOK_RATIO</stp>
        <stp>FY 2013</stp>
        <stp>FY 2013</stp>
        <stp>[FA1_ymffleas.xlsx]Addl - Overview!R29C6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29" s="29"/>
      </tp>
      <tp>
        <v>-1060</v>
        <stp/>
        <stp>##V3_BDHV12</stp>
        <stp>RCOM IN Equity</stp>
        <stp>IS_INC_TAX_EXP</stp>
        <stp>FY 2012</stp>
        <stp>FY 2012</stp>
        <stp>[FA1_ymffleas.xlsx]Income - GAAP!R55C5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55" s="10"/>
      </tp>
      <tp>
        <v>-100</v>
        <stp/>
        <stp>##V3_BDHV12</stp>
        <stp>RCOM IN Equity</stp>
        <stp>DPS_SEQUENTIAL_GROWTH</stp>
        <stp>FY 2014</stp>
        <stp>FY 2014</stp>
        <stp>[FA1_ymffleas.xlsx]Growth!R67C8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67" s="22"/>
      </tp>
      <tp>
        <v>0.81120000000000003</v>
        <stp/>
        <stp>##V3_BDHV12</stp>
        <stp>RCOM IN Equity</stp>
        <stp>PX_TO_BOOK_RATIO</stp>
        <stp>FY 2014</stp>
        <stp>FY 2014</stp>
        <stp>[FA1_ymffleas.xlsx]Addl - Overview!R29C7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29" s="29"/>
      </tp>
      <tp>
        <v>710</v>
        <stp/>
        <stp>##V3_BDHV12</stp>
        <stp>RCOM IN Equity</stp>
        <stp>IS_INC_TAX_EXP</stp>
        <stp>FY 2013</stp>
        <stp>FY 2013</stp>
        <stp>[FA1_ymffleas.xlsx]Income - GAAP!R55C6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55" s="10"/>
      </tp>
      <tp>
        <v>0.54859999999999998</v>
        <stp/>
        <stp>##V3_BDHV12</stp>
        <stp>RCOM IN Equity</stp>
        <stp>PX_TO_BOOK_RATIO</stp>
        <stp>FY 2011</stp>
        <stp>FY 2011</stp>
        <stp>[FA1_ymffleas.xlsx]Addl - Overview!R29C4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29" s="29"/>
      </tp>
      <tp>
        <v>-10210</v>
        <stp/>
        <stp>##V3_BDHV12</stp>
        <stp>RCOM IN Equity</stp>
        <stp>IS_INC_TAX_EXP</stp>
        <stp>FY 2014</stp>
        <stp>FY 2014</stp>
        <stp>[FA1_ymffleas.xlsx]Income - GAAP!R55C7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55" s="10"/>
      </tp>
      <tp>
        <v>0.47799999999999998</v>
        <stp/>
        <stp>##V3_BDHV12</stp>
        <stp>RCOM IN Equity</stp>
        <stp>PX_TO_BOOK_RATIO</stp>
        <stp>FY 2012</stp>
        <stp>FY 2012</stp>
        <stp>[FA1_ymffleas.xlsx]Addl - Overview!R29C5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29" s="29"/>
      </tp>
      <tp>
        <v>11.651</v>
        <stp/>
        <stp>##V3_BDHV12</stp>
        <stp>RCOM IN Equity</stp>
        <stp>CAP_EXPEND_TO_SALES</stp>
        <stp>FY 2015</stp>
        <stp>FY 2015</stp>
        <stp>[FA1_ymffleas.xlsx]CAPEX &amp; Depreciation!R12C9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12" s="28"/>
      </tp>
      <tp>
        <v>130070</v>
        <stp/>
        <stp>##V3_BDHV12</stp>
        <stp>RCOM IN Equity</stp>
        <stp>ARD_TOTAL_CUR_ASSETS</stp>
        <stp>FY 2017</stp>
        <stp>FY 2017</stp>
        <stp>[FA1_ymffleas.xlsx]As Reported Summary!R16C11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" s="30"/>
      </tp>
      <tp>
        <v>117610</v>
        <stp/>
        <stp>##V3_BDHV12</stp>
        <stp>RCOM IN Equity</stp>
        <stp>ARD_TOTAL_CUR_ASSETS</stp>
        <stp>FY 2016</stp>
        <stp>FY 2016</stp>
        <stp>[FA1_ymffleas.xlsx]As Reported Summary!R16C10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" s="30"/>
      </tp>
      <tp>
        <v>454590</v>
        <stp/>
        <stp>##V3_BDHV12</stp>
        <stp>RCOM IN Equity</stp>
        <stp>ARD_TOTAL_CUR_ASSETS</stp>
        <stp>FY 2018</stp>
        <stp>FY 2018</stp>
        <stp>[FA1_ymffleas.xlsx]As Reported Summary!R16C12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" s="30"/>
      </tp>
      <tp>
        <v>0</v>
        <stp/>
        <stp>##V3_BDHV12</stp>
        <stp>RCOM IN Equity</stp>
        <stp>ARD_CURRENT_TAXATION_ADJ</stp>
        <stp>FY 2014</stp>
        <stp>FY 2014</stp>
        <stp>[FA1_ymffleas.xlsx]Income - As Reported!R36C8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6" s="11"/>
      </tp>
      <tp>
        <v>60</v>
        <stp/>
        <stp>##V3_BDHV12</stp>
        <stp>RCOM IN Equity</stp>
        <stp>ARD_CURRENT_TAXATION_ADJ</stp>
        <stp>FY 2015</stp>
        <stp>FY 2015</stp>
        <stp>[FA1_ymffleas.xlsx]Income - As Reported!R36C9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6" s="11"/>
      </tp>
      <tp t="s">
        <v>—</v>
        <stp/>
        <stp>##V3_BDHV12</stp>
        <stp>RCOM IN Equity</stp>
        <stp>ARD_CURRENT_TAXATION_ADJ</stp>
        <stp>FY 2009</stp>
        <stp>FY 2009</stp>
        <stp>[FA1_ymffleas.xlsx]Income - As Reported!R36C3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6" s="11"/>
      </tp>
      <tp t="s">
        <v>—</v>
        <stp/>
        <stp>##V3_BDHV12</stp>
        <stp>RCOM IN Equity</stp>
        <stp>ARD_CURRENT_TAXATION_ADJ</stp>
        <stp>FY 2010</stp>
        <stp>FY 2010</stp>
        <stp>[FA1_ymffleas.xlsx]Income - As Reported!R36C4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6" s="11"/>
      </tp>
      <tp t="s">
        <v>—</v>
        <stp/>
        <stp>##V3_BDHV12</stp>
        <stp>RCOM IN Equity</stp>
        <stp>ARD_CURRENT_TAXATION_ADJ</stp>
        <stp>FY 2011</stp>
        <stp>FY 2011</stp>
        <stp>[FA1_ymffleas.xlsx]Income - As Reported!R36C5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6" s="11"/>
      </tp>
      <tp t="s">
        <v>—</v>
        <stp/>
        <stp>##V3_BDHV12</stp>
        <stp>RCOM IN Equity</stp>
        <stp>ARD_CURRENT_TAXATION_ADJ</stp>
        <stp>FY 2012</stp>
        <stp>FY 2012</stp>
        <stp>[FA1_ymffleas.xlsx]Income - As Reported!R36C6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6" s="11"/>
      </tp>
      <tp t="s">
        <v>—</v>
        <stp/>
        <stp>##V3_BDHV12</stp>
        <stp>RCOM IN Equity</stp>
        <stp>ARD_CURRENT_TAXATION_ADJ</stp>
        <stp>FY 2013</stp>
        <stp>FY 2013</stp>
        <stp>[FA1_ymffleas.xlsx]Income - As Reported!R36C7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6" s="11"/>
      </tp>
      <tp t="s">
        <v>—</v>
        <stp/>
        <stp>##V3_BDHV12</stp>
        <stp>RCOM IN Equity</stp>
        <stp>ARDR_OTH_OPER_INC_INT_INC_NON_OP</stp>
        <stp>FY 2015</stp>
        <stp>FY 2015</stp>
        <stp>[FA1_ymffleas.xlsx]Income - As Reported!R102C9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2" s="11"/>
      </tp>
      <tp t="s">
        <v>—</v>
        <stp/>
        <stp>##V3_BDHV12</stp>
        <stp>RCOM IN Equity</stp>
        <stp>ARDR_OTH_OPER_INC_INT_INC_NON_OP</stp>
        <stp>FY 2014</stp>
        <stp>FY 2014</stp>
        <stp>[FA1_ymffleas.xlsx]Income - As Reported!R102C8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2" s="11"/>
      </tp>
      <tp t="s">
        <v>—</v>
        <stp/>
        <stp>##V3_BDHV12</stp>
        <stp>RCOM IN Equity</stp>
        <stp>ARDR_OTH_OPER_INC_INT_INC_NON_OP</stp>
        <stp>FY 2009</stp>
        <stp>FY 2009</stp>
        <stp>[FA1_ymffleas.xlsx]Income - As Reported!R102C3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2" s="11"/>
      </tp>
      <tp t="s">
        <v>—</v>
        <stp/>
        <stp>##V3_BDHV12</stp>
        <stp>RCOM IN Equity</stp>
        <stp>ARDR_OTH_OPER_INC_INT_INC_NON_OP</stp>
        <stp>FY 2011</stp>
        <stp>FY 2011</stp>
        <stp>[FA1_ymffleas.xlsx]Income - As Reported!R102C5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2" s="11"/>
      </tp>
      <tp t="s">
        <v>—</v>
        <stp/>
        <stp>##V3_BDHV12</stp>
        <stp>RCOM IN Equity</stp>
        <stp>ARDR_OTH_OPER_INC_INT_INC_NON_OP</stp>
        <stp>FY 2010</stp>
        <stp>FY 2010</stp>
        <stp>[FA1_ymffleas.xlsx]Income - As Reported!R102C4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2" s="11"/>
      </tp>
      <tp t="s">
        <v>—</v>
        <stp/>
        <stp>##V3_BDHV12</stp>
        <stp>RCOM IN Equity</stp>
        <stp>ARDR_OTH_OPER_INC_INT_INC_NON_OP</stp>
        <stp>FY 2013</stp>
        <stp>FY 2013</stp>
        <stp>[FA1_ymffleas.xlsx]Income - As Reported!R102C7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2" s="11"/>
      </tp>
      <tp>
        <v>-400</v>
        <stp/>
        <stp>##V3_BDHV12</stp>
        <stp>RCOM IN Equity</stp>
        <stp>ARDR_OTH_OPER_INC_INT_INC_NON_OP</stp>
        <stp>FY 2012</stp>
        <stp>FY 2012</stp>
        <stp>[FA1_ymffleas.xlsx]Income - As Reported!R102C6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2" s="11"/>
      </tp>
      <tp>
        <v>10.2158</v>
        <stp/>
        <stp>##V3_BDHV12</stp>
        <stp>RCOM IN Equity</stp>
        <stp>EV_TO_T12M_EBITDA</stp>
        <stp>FY 2014</stp>
        <stp>FY 2014</stp>
        <stp>[FA1_ymffleas.xlsx]Enterprise Value!R18C7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18" s="5"/>
      </tp>
      <tp>
        <v>1.4937</v>
        <stp/>
        <stp>##V3_BDHV12</stp>
        <stp>RCOM IN Equity</stp>
        <stp>SALES_GROWTH</stp>
        <stp>FY 2016</stp>
        <stp>FY 2016</stp>
        <stp>[FA1_ymffleas.xlsx]Adj Highlights!R13C9</stp>
        <stp>Currency=INR</stp>
        <stp>Period=FY</stp>
        <stp>BEST_FPERIOD_OVERRIDE=FY</stp>
        <stp>FILING_STATUS=MR</stp>
        <stp>EQY_CONSOLIDATED=Y</stp>
        <stp>FA_ADJUSTED=Adjusted</stp>
        <stp>Sort=A</stp>
        <stp>Dates=H</stp>
        <stp>DateFormat=P</stp>
        <stp>Fill=—</stp>
        <stp>Direction=H</stp>
        <stp>UseDPDF=Y</stp>
        <tr r="I13" s="2"/>
      </tp>
      <tp t="s">
        <v>—</v>
        <stp/>
        <stp>##V3_BDHV12</stp>
        <stp>RCOM IN Equity</stp>
        <stp>INVENT_TURN</stp>
        <stp>FY 2014</stp>
        <stp>FY 2014</stp>
        <stp>[FA1_ymffleas.xlsx]Working Capital!R8C8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8" s="25"/>
      </tp>
      <tp>
        <v>70.505499999999998</v>
        <stp/>
        <stp>##V3_BDHV12</stp>
        <stp>RCOM IN Equity</stp>
        <stp>CAP_EXPEND_TO_SALES</stp>
        <stp>FY 2016</stp>
        <stp>FY 2016</stp>
        <stp>[FA1_ymffleas.xlsx]CAPEX &amp; Depreciation!R12C10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2" s="28"/>
      </tp>
      <tp t="s">
        <v>—</v>
        <stp/>
        <stp>##V3_BDHV12</stp>
        <stp>RCOM IN Equity</stp>
        <stp>5Y_GEO_GROWTH_DILUTED_EPS</stp>
        <stp>FY 2010</stp>
        <stp>FY 2010</stp>
        <stp>[FA1_ymffleas.xlsx]Growth!R40C4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40" s="22"/>
      </tp>
      <tp>
        <v>-20</v>
        <stp/>
        <stp>##V3_BDHV12</stp>
        <stp>RCOM IN Equity</stp>
        <stp>ARD_DIVIDEND_PD</stp>
        <stp>FY 2016</stp>
        <stp>FY 2016</stp>
        <stp>[FA1_ymffleas.xlsx]Cash Flow - As Reported!R53C10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3" s="20"/>
      </tp>
      <tp>
        <v>-20</v>
        <stp/>
        <stp>##V3_BDHV12</stp>
        <stp>RCOM IN Equity</stp>
        <stp>ARD_DIVIDEND_PD</stp>
        <stp>FY 2017</stp>
        <stp>FY 2017</stp>
        <stp>[FA1_ymffleas.xlsx]Cash Flow - As Reported!R53C11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3" s="20"/>
      </tp>
      <tp>
        <v>0</v>
        <stp/>
        <stp>##V3_BDHV12</stp>
        <stp>RCOM IN Equity</stp>
        <stp>ARD_DIVIDEND_PD</stp>
        <stp>FY 2018</stp>
        <stp>FY 2018</stp>
        <stp>[FA1_ymffleas.xlsx]Cash Flow - As Reported!R53C12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3" s="20"/>
      </tp>
      <tp>
        <v>40</v>
        <stp/>
        <stp>##V3_BDHV12</stp>
        <stp>RCOM IN Equity</stp>
        <stp>IS_OTHER_COMPREHENSIVE_INCOME</stp>
        <stp>FY 2018</stp>
        <stp>FY 2018</stp>
        <stp>[FA1_ymffleas.xlsx]Comprehensive Income!R9C11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" s="33"/>
      </tp>
      <tp>
        <v>-10</v>
        <stp/>
        <stp>##V3_BDHV12</stp>
        <stp>RCOM IN Equity</stp>
        <stp>IS_OTHER_COMPREHENSIVE_INCOME</stp>
        <stp>FY 2017</stp>
        <stp>FY 2017</stp>
        <stp>[FA1_ymffleas.xlsx]Comprehensive Income!R9C10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" s="33"/>
      </tp>
      <tp>
        <v>2510</v>
        <stp/>
        <stp>##V3_BDHV12</stp>
        <stp>RCOM IN Equity</stp>
        <stp>CF_NET_CHNG_CASH</stp>
        <stp>FY 2017</stp>
        <stp>FY 2017</stp>
        <stp>[FA1_ymffleas.xlsx]Cash Flow - Standardized!R52C10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2" s="19"/>
      </tp>
      <tp>
        <v>-2080</v>
        <stp/>
        <stp>##V3_BDHV12</stp>
        <stp>RCOM IN Equity</stp>
        <stp>CF_NET_CHNG_CASH</stp>
        <stp>FY 2018</stp>
        <stp>FY 2018</stp>
        <stp>[FA1_ymffleas.xlsx]Cash Flow - Standardized!R52C11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2" s="19"/>
      </tp>
      <tp t="s">
        <v>—</v>
        <stp/>
        <stp>##V3_BDHV12</stp>
        <stp>RCOM IN Equity</stp>
        <stp>CF_TO_FIRM_SEQUENTIAL_GROWTH</stp>
        <stp>FY 2014</stp>
        <stp>FY 2014</stp>
        <stp>[FA1_ymffleas.xlsx]Growth!R86C8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86" s="22"/>
      </tp>
      <tp t="s">
        <v>—</v>
        <stp/>
        <stp>##V3_BDHV12</stp>
        <stp>RCOM IN Equity</stp>
        <stp>EBITA</stp>
        <stp>FY 2017</stp>
        <stp>FY 2017</stp>
        <stp>[FA1_ymffleas.xlsx]Income - GAAP!R101C10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101" s="10"/>
      </tp>
      <tp>
        <v>39.589700000000001</v>
        <stp/>
        <stp>##V3_BDHV12</stp>
        <stp>RCOM IN Equity</stp>
        <stp>EV_TO_T12M_FREE_CASH_FLOW_FIRM</stp>
        <stp>FY 2013</stp>
        <stp>FY 2013</stp>
        <stp>[FA1_ymffleas.xlsx]Enterprise Value!R21C6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21" s="5"/>
      </tp>
      <tp t="s">
        <v>—</v>
        <stp/>
        <stp>##V3_BDHV12</stp>
        <stp>RCOM IN Equity</stp>
        <stp>EBITA</stp>
        <stp>FY 2018</stp>
        <stp>FY 2018</stp>
        <stp>[FA1_ymffleas.xlsx]Income - GAAP!R101C11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101" s="10"/>
      </tp>
      <tp>
        <v>600</v>
        <stp/>
        <stp>##V3_BDHV12</stp>
        <stp>RCOM IN Equity</stp>
        <stp>ARDR_LEASEHOLD_IMPROVEMENTS</stp>
        <stp>FY 2018</stp>
        <stp>FY 2018</stp>
        <stp>[FA1_ymffleas.xlsx]Bal Sheet - As Reported!R69C12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69" s="17"/>
      </tp>
      <tp>
        <v>670</v>
        <stp/>
        <stp>##V3_BDHV12</stp>
        <stp>RCOM IN Equity</stp>
        <stp>ARDR_LEASEHOLD_IMPROVEMENTS</stp>
        <stp>FY 2017</stp>
        <stp>FY 2017</stp>
        <stp>[FA1_ymffleas.xlsx]Bal Sheet - As Reported!R69C11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69" s="17"/>
      </tp>
      <tp>
        <v>790</v>
        <stp/>
        <stp>##V3_BDHV12</stp>
        <stp>RCOM IN Equity</stp>
        <stp>ARDR_LEASEHOLD_IMPROVEMENTS</stp>
        <stp>FY 2016</stp>
        <stp>FY 2016</stp>
        <stp>[FA1_ymffleas.xlsx]Bal Sheet - As Reported!R69C10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69" s="17"/>
      </tp>
      <tp t="s">
        <v>—</v>
        <stp/>
        <stp>##V3_BDHV12</stp>
        <stp>RCOM IN Equity</stp>
        <stp>EBITA</stp>
        <stp>FY 2017</stp>
        <stp>FY 2017</stp>
        <stp>[FA1_ymffleas.xlsx]Income - Adjusted!R123C10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123" s="9"/>
      </tp>
      <tp t="s">
        <v>—</v>
        <stp/>
        <stp>##V3_BDHV12</stp>
        <stp>RCOM IN Equity</stp>
        <stp>EBITA</stp>
        <stp>FY 2018</stp>
        <stp>FY 2018</stp>
        <stp>[FA1_ymffleas.xlsx]Income - Adjusted!R123C11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123" s="9"/>
      </tp>
      <tp>
        <v>0</v>
        <stp/>
        <stp>##V3_BDHV12</stp>
        <stp>RCOM IN Equity</stp>
        <stp>CF_NT_CSH_RCVD_PD_FOR_ACQUIS_DIV</stp>
        <stp>FY 2015</stp>
        <stp>FY 2015</stp>
        <stp>[FA1_ymffleas.xlsx]Cash Flow - Standardized!R29C8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9" s="19"/>
      </tp>
      <tp>
        <v>0</v>
        <stp/>
        <stp>##V3_BDHV12</stp>
        <stp>RCOM IN Equity</stp>
        <stp>CF_NT_CSH_RCVD_PD_FOR_ACQUIS_DIV</stp>
        <stp>FY 2016</stp>
        <stp>FY 2016</stp>
        <stp>[FA1_ymffleas.xlsx]Cash Flow - Standardized!R29C9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9" s="19"/>
      </tp>
      <tp>
        <v>0</v>
        <stp/>
        <stp>##V3_BDHV12</stp>
        <stp>RCOM IN Equity</stp>
        <stp>CF_NT_CSH_RCVD_PD_FOR_ACQUIS_DIV</stp>
        <stp>FY 2010</stp>
        <stp>FY 2010</stp>
        <stp>[FA1_ymffleas.xlsx]Cash Flow - Standardized!R29C3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9" s="19"/>
      </tp>
      <tp>
        <v>0</v>
        <stp/>
        <stp>##V3_BDHV12</stp>
        <stp>RCOM IN Equity</stp>
        <stp>CF_NT_CSH_RCVD_PD_FOR_ACQUIS_DIV</stp>
        <stp>FY 2011</stp>
        <stp>FY 2011</stp>
        <stp>[FA1_ymffleas.xlsx]Cash Flow - Standardized!R29C4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9" s="19"/>
      </tp>
      <tp>
        <v>0</v>
        <stp/>
        <stp>##V3_BDHV12</stp>
        <stp>RCOM IN Equity</stp>
        <stp>CF_NT_CSH_RCVD_PD_FOR_ACQUIS_DIV</stp>
        <stp>FY 2012</stp>
        <stp>FY 2012</stp>
        <stp>[FA1_ymffleas.xlsx]Cash Flow - Standardized!R29C5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9" s="19"/>
      </tp>
      <tp>
        <v>0</v>
        <stp/>
        <stp>##V3_BDHV12</stp>
        <stp>RCOM IN Equity</stp>
        <stp>CF_NT_CSH_RCVD_PD_FOR_ACQUIS_DIV</stp>
        <stp>FY 2013</stp>
        <stp>FY 2013</stp>
        <stp>[FA1_ymffleas.xlsx]Cash Flow - Standardized!R29C6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9" s="19"/>
      </tp>
      <tp>
        <v>0</v>
        <stp/>
        <stp>##V3_BDHV12</stp>
        <stp>RCOM IN Equity</stp>
        <stp>CF_NT_CSH_RCVD_PD_FOR_ACQUIS_DIV</stp>
        <stp>FY 2014</stp>
        <stp>FY 2014</stp>
        <stp>[FA1_ymffleas.xlsx]Cash Flow - Standardized!R29C7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9" s="19"/>
      </tp>
      <tp>
        <v>0</v>
        <stp/>
        <stp>##V3_BDHV12</stp>
        <stp>RCOM IN Equity</stp>
        <stp>CF_DECR_CAP_STOCK</stp>
        <stp>FY 2015</stp>
        <stp>FY 2015</stp>
        <stp>[FA1_ymffleas.xlsx]Cash Flow - Standardized!R45C8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45" s="19"/>
      </tp>
      <tp>
        <v>0</v>
        <stp/>
        <stp>##V3_BDHV12</stp>
        <stp>RCOM IN Equity</stp>
        <stp>CF_DECR_CAP_STOCK</stp>
        <stp>FY 2016</stp>
        <stp>FY 2016</stp>
        <stp>[FA1_ymffleas.xlsx]Cash Flow - Standardized!R45C9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45" s="19"/>
      </tp>
      <tp>
        <v>0</v>
        <stp/>
        <stp>##V3_BDHV12</stp>
        <stp>RCOM IN Equity</stp>
        <stp>CF_DECR_CAP_STOCK</stp>
        <stp>FY 2010</stp>
        <stp>FY 2010</stp>
        <stp>[FA1_ymffleas.xlsx]Cash Flow - Standardized!R45C3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45" s="19"/>
      </tp>
      <tp>
        <v>0</v>
        <stp/>
        <stp>##V3_BDHV12</stp>
        <stp>RCOM IN Equity</stp>
        <stp>CF_DECR_CAP_STOCK</stp>
        <stp>FY 2013</stp>
        <stp>FY 2013</stp>
        <stp>[FA1_ymffleas.xlsx]Cash Flow - Standardized!R45C6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45" s="19"/>
      </tp>
      <tp>
        <v>0</v>
        <stp/>
        <stp>##V3_BDHV12</stp>
        <stp>RCOM IN Equity</stp>
        <stp>CF_DECR_CAP_STOCK</stp>
        <stp>FY 2014</stp>
        <stp>FY 2014</stp>
        <stp>[FA1_ymffleas.xlsx]Cash Flow - Standardized!R45C7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45" s="19"/>
      </tp>
      <tp>
        <v>0</v>
        <stp/>
        <stp>##V3_BDHV12</stp>
        <stp>RCOM IN Equity</stp>
        <stp>CF_DECR_CAP_STOCK</stp>
        <stp>FY 2011</stp>
        <stp>FY 2011</stp>
        <stp>[FA1_ymffleas.xlsx]Cash Flow - Standardized!R45C4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45" s="19"/>
      </tp>
      <tp>
        <v>0</v>
        <stp/>
        <stp>##V3_BDHV12</stp>
        <stp>RCOM IN Equity</stp>
        <stp>CF_DECR_CAP_STOCK</stp>
        <stp>FY 2012</stp>
        <stp>FY 2012</stp>
        <stp>[FA1_ymffleas.xlsx]Cash Flow - Standardized!R45C5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45" s="19"/>
      </tp>
      <tp>
        <v>0</v>
        <stp/>
        <stp>##V3_BDHV12</stp>
        <stp>RCOM IN Equity</stp>
        <stp>IS_OTHER_OPER_INC_NONGAAP_ADJUST</stp>
        <stp>FY 2013</stp>
        <stp>FY 2013</stp>
        <stp>[FA1_ymffleas.xlsx]Reconciliation!R10C6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" s="12"/>
      </tp>
      <tp>
        <v>0</v>
        <stp/>
        <stp>##V3_BDHV12</stp>
        <stp>RCOM IN Equity</stp>
        <stp>IS_OTHER_OPER_INC_NONGAAP_ADJUST</stp>
        <stp>FY 2014</stp>
        <stp>FY 2014</stp>
        <stp>[FA1_ymffleas.xlsx]Reconciliation!R10C7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" s="12"/>
      </tp>
      <tp>
        <v>0</v>
        <stp/>
        <stp>##V3_BDHV12</stp>
        <stp>RCOM IN Equity</stp>
        <stp>IS_OTHER_OPER_INC_NONGAAP_ADJUST</stp>
        <stp>FY 2011</stp>
        <stp>FY 2011</stp>
        <stp>[FA1_ymffleas.xlsx]Reconciliation!R10C4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" s="12"/>
      </tp>
      <tp>
        <v>0</v>
        <stp/>
        <stp>##V3_BDHV12</stp>
        <stp>RCOM IN Equity</stp>
        <stp>IS_OTHER_OPER_INC_NONGAAP_ADJUST</stp>
        <stp>FY 2012</stp>
        <stp>FY 2012</stp>
        <stp>[FA1_ymffleas.xlsx]Reconciliation!R10C5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" s="12"/>
      </tp>
      <tp>
        <v>0</v>
        <stp/>
        <stp>##V3_BDHV12</stp>
        <stp>RCOM IN Equity</stp>
        <stp>IS_OTHER_OPER_INC_NONGAAP_ADJUST</stp>
        <stp>FY 2010</stp>
        <stp>FY 2010</stp>
        <stp>[FA1_ymffleas.xlsx]Reconciliation!R10C3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" s="12"/>
      </tp>
      <tp>
        <v>0</v>
        <stp/>
        <stp>##V3_BDHV12</stp>
        <stp>RCOM IN Equity</stp>
        <stp>IS_OTHER_OPER_INC_NONGAAP_ADJUST</stp>
        <stp>FY 2015</stp>
        <stp>FY 2015</stp>
        <stp>[FA1_ymffleas.xlsx]Reconciliation!R10C8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" s="12"/>
      </tp>
      <tp>
        <v>0</v>
        <stp/>
        <stp>##V3_BDHV12</stp>
        <stp>RCOM IN Equity</stp>
        <stp>IS_OTHER_OPER_INC_NONGAAP_ADJUST</stp>
        <stp>FY 2016</stp>
        <stp>FY 2016</stp>
        <stp>[FA1_ymffleas.xlsx]Reconciliation!R10C9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" s="12"/>
      </tp>
      <tp>
        <v>-24960</v>
        <stp/>
        <stp>##V3_BDHV12</stp>
        <stp>RCOM IN Equity</stp>
        <stp>CF_PURCHASE_OF_FIXED_PROD_ASSETS</stp>
        <stp>FY 2015</stp>
        <stp>FY 2015</stp>
        <stp>[FA1_ymffleas.xlsx]Cash Flow - Standardized!R24C8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4" s="19"/>
      </tp>
      <tp>
        <v>-153300</v>
        <stp/>
        <stp>##V3_BDHV12</stp>
        <stp>RCOM IN Equity</stp>
        <stp>CF_PURCHASE_OF_FIXED_PROD_ASSETS</stp>
        <stp>FY 2016</stp>
        <stp>FY 2016</stp>
        <stp>[FA1_ymffleas.xlsx]Cash Flow - Standardized!R24C9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4" s="19"/>
      </tp>
      <tp>
        <v>-74960.3</v>
        <stp/>
        <stp>##V3_BDHV12</stp>
        <stp>RCOM IN Equity</stp>
        <stp>CF_PURCHASE_OF_FIXED_PROD_ASSETS</stp>
        <stp>FY 2010</stp>
        <stp>FY 2010</stp>
        <stp>[FA1_ymffleas.xlsx]Cash Flow - Standardized!R24C3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4" s="19"/>
      </tp>
      <tp>
        <v>-103270</v>
        <stp/>
        <stp>##V3_BDHV12</stp>
        <stp>RCOM IN Equity</stp>
        <stp>CF_PURCHASE_OF_FIXED_PROD_ASSETS</stp>
        <stp>FY 2011</stp>
        <stp>FY 2011</stp>
        <stp>[FA1_ymffleas.xlsx]Cash Flow - Standardized!R24C4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4" s="19"/>
      </tp>
      <tp>
        <v>-48500</v>
        <stp/>
        <stp>##V3_BDHV12</stp>
        <stp>RCOM IN Equity</stp>
        <stp>CF_PURCHASE_OF_FIXED_PROD_ASSETS</stp>
        <stp>FY 2012</stp>
        <stp>FY 2012</stp>
        <stp>[FA1_ymffleas.xlsx]Cash Flow - Standardized!R24C5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4" s="19"/>
      </tp>
      <tp>
        <v>-21140</v>
        <stp/>
        <stp>##V3_BDHV12</stp>
        <stp>RCOM IN Equity</stp>
        <stp>CF_PURCHASE_OF_FIXED_PROD_ASSETS</stp>
        <stp>FY 2013</stp>
        <stp>FY 2013</stp>
        <stp>[FA1_ymffleas.xlsx]Cash Flow - Standardized!R24C6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4" s="19"/>
      </tp>
      <tp>
        <v>-21650</v>
        <stp/>
        <stp>##V3_BDHV12</stp>
        <stp>RCOM IN Equity</stp>
        <stp>CF_PURCHASE_OF_FIXED_PROD_ASSETS</stp>
        <stp>FY 2014</stp>
        <stp>FY 2014</stp>
        <stp>[FA1_ymffleas.xlsx]Cash Flow - Standardized!R24C7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4" s="19"/>
      </tp>
      <tp>
        <v>2.5255000000000001</v>
        <stp/>
        <stp>##V3_BDHV12</stp>
        <stp>RCOM IN Equity</stp>
        <stp>5_YEAR_AVERAGE_ADJUSTED_ROE</stp>
        <stp>FY 2015</stp>
        <stp>FY 2015</stp>
        <stp>[FA1_ymffleas.xlsx]DuPont Analysis!R21C9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1" s="27"/>
      </tp>
      <tp>
        <v>31.0932</v>
        <stp/>
        <stp>##V3_BDHV12</stp>
        <stp>RCOM IN Equity</stp>
        <stp>ACCT_RCV_DAYS</stp>
        <stp>FY 2012</stp>
        <stp>FY 2012</stp>
        <stp>[FA1_ymffleas.xlsx]Working Capital!R7C6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7" s="25"/>
      </tp>
      <tp>
        <v>99010</v>
        <stp/>
        <stp>##V3_BDHV12</stp>
        <stp>RCOM IN Equity</stp>
        <stp>ARDR_RETAINED_EARN_ACC_DEFICIT</stp>
        <stp>FY 2016</stp>
        <stp>FY 2016</stp>
        <stp>[FA1_ymffleas.xlsx]Bal Sheet - As Reported!R97C10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97" s="17"/>
      </tp>
      <tp>
        <v>84980</v>
        <stp/>
        <stp>##V3_BDHV12</stp>
        <stp>RCOM IN Equity</stp>
        <stp>ARDR_RETAINED_EARN_ACC_DEFICIT</stp>
        <stp>FY 2017</stp>
        <stp>FY 2017</stp>
        <stp>[FA1_ymffleas.xlsx]Bal Sheet - As Reported!R97C11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97" s="17"/>
      </tp>
      <tp>
        <v>-153410</v>
        <stp/>
        <stp>##V3_BDHV12</stp>
        <stp>RCOM IN Equity</stp>
        <stp>ARDR_RETAINED_EARN_ACC_DEFICIT</stp>
        <stp>FY 2018</stp>
        <stp>FY 2018</stp>
        <stp>[FA1_ymffleas.xlsx]Bal Sheet - As Reported!R97C12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97" s="17"/>
      </tp>
      <tp t="s">
        <v>—</v>
        <stp/>
        <stp>##V3_BDHV12</stp>
        <stp>RCOM IN Equity</stp>
        <stp>CASH_FLOW_TO_FIRM_1_YEAR_GROWTH</stp>
        <stp>FY 2012</stp>
        <stp>FY 2012</stp>
        <stp>[FA1_ymffleas.xlsx]Growth!R33C6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F33" s="22"/>
      </tp>
      <tp>
        <v>30974</v>
        <stp/>
        <stp>##V3_BDHV12</stp>
        <stp>RCOM IN Equity</stp>
        <stp>NUM_OF_EMPLOYEES</stp>
        <stp>FY 2010</stp>
        <stp>FY 2010</stp>
        <stp>[FA1_ymffleas.xlsx]Bal Sheet - Standardized!R172C4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72" s="16"/>
      </tp>
      <tp>
        <v>28065</v>
        <stp/>
        <stp>##V3_BDHV12</stp>
        <stp>RCOM IN Equity</stp>
        <stp>NUM_OF_EMPLOYEES</stp>
        <stp>FY 2011</stp>
        <stp>FY 2011</stp>
        <stp>[FA1_ymffleas.xlsx]Bal Sheet - Standardized!R172C5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72" s="16"/>
      </tp>
      <tp>
        <v>24460</v>
        <stp/>
        <stp>##V3_BDHV12</stp>
        <stp>RCOM IN Equity</stp>
        <stp>NUM_OF_EMPLOYEES</stp>
        <stp>FY 2012</stp>
        <stp>FY 2012</stp>
        <stp>[FA1_ymffleas.xlsx]Bal Sheet - Standardized!R172C6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72" s="16"/>
      </tp>
      <tp>
        <v>18653</v>
        <stp/>
        <stp>##V3_BDHV12</stp>
        <stp>RCOM IN Equity</stp>
        <stp>NUM_OF_EMPLOYEES</stp>
        <stp>FY 2013</stp>
        <stp>FY 2013</stp>
        <stp>[FA1_ymffleas.xlsx]Bal Sheet - Standardized!R172C7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72" s="16"/>
      </tp>
      <tp t="s">
        <v>—</v>
        <stp/>
        <stp>##V3_BDHV12</stp>
        <stp>RCOM IN Equity</stp>
        <stp>ARDR_OTHER_OPERATING_INC</stp>
        <stp>FY 2009</stp>
        <stp>FY 2009</stp>
        <stp>[FA1_ymffleas.xlsx]Income - As Reported!R76C3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76" s="11"/>
      </tp>
      <tp>
        <v>9610</v>
        <stp/>
        <stp>##V3_BDHV12</stp>
        <stp>RCOM IN Equity</stp>
        <stp>ARDR_OTHER_OPERATING_INC</stp>
        <stp>FY 2012</stp>
        <stp>FY 2012</stp>
        <stp>[FA1_ymffleas.xlsx]Income - As Reported!R76C6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76" s="11"/>
      </tp>
      <tp t="s">
        <v>—</v>
        <stp/>
        <stp>##V3_BDHV12</stp>
        <stp>RCOM IN Equity</stp>
        <stp>ARDR_OTHER_OPERATING_INC</stp>
        <stp>FY 2013</stp>
        <stp>FY 2013</stp>
        <stp>[FA1_ymffleas.xlsx]Income - As Reported!R76C7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76" s="11"/>
      </tp>
      <tp t="s">
        <v>—</v>
        <stp/>
        <stp>##V3_BDHV12</stp>
        <stp>RCOM IN Equity</stp>
        <stp>ARDR_OTHER_OPERATING_INC</stp>
        <stp>FY 2010</stp>
        <stp>FY 2010</stp>
        <stp>[FA1_ymffleas.xlsx]Income - As Reported!R76C4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76" s="11"/>
      </tp>
      <tp t="s">
        <v>—</v>
        <stp/>
        <stp>##V3_BDHV12</stp>
        <stp>RCOM IN Equity</stp>
        <stp>ARDR_OTHER_OPERATING_INC</stp>
        <stp>FY 2011</stp>
        <stp>FY 2011</stp>
        <stp>[FA1_ymffleas.xlsx]Income - As Reported!R76C5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76" s="11"/>
      </tp>
      <tp t="s">
        <v>—</v>
        <stp/>
        <stp>##V3_BDHV12</stp>
        <stp>RCOM IN Equity</stp>
        <stp>ARDR_OTHER_OPERATING_INC</stp>
        <stp>FY 2014</stp>
        <stp>FY 2014</stp>
        <stp>[FA1_ymffleas.xlsx]Income - As Reported!R76C8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76" s="11"/>
      </tp>
      <tp t="s">
        <v>—</v>
        <stp/>
        <stp>##V3_BDHV12</stp>
        <stp>RCOM IN Equity</stp>
        <stp>ARDR_OTHER_OPERATING_INC</stp>
        <stp>FY 2015</stp>
        <stp>FY 2015</stp>
        <stp>[FA1_ymffleas.xlsx]Income - As Reported!R76C9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76" s="11"/>
      </tp>
      <tp>
        <v>1.8383</v>
        <stp/>
        <stp>##V3_BDHV12</stp>
        <stp>RCOM IN Equity</stp>
        <stp>SUSTAIN_GROWTH_RT</stp>
        <stp>FY 2016</stp>
        <stp>FY 2016</stp>
        <stp>[FA1_ymffleas.xlsx]Profitability!R24C10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24" s="21"/>
      </tp>
      <tp>
        <v>37150</v>
        <stp/>
        <stp>##V3_BDHV12</stp>
        <stp>RCOM IN Equity</stp>
        <stp>NUM_OF_EMPLOYEES</stp>
        <stp>FY 2009</stp>
        <stp>FY 2009</stp>
        <stp>[FA1_ymffleas.xlsx]Bal Sheet - Standardized!R172C3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72" s="16"/>
      </tp>
      <tp>
        <v>300</v>
        <stp/>
        <stp>##V3_BDHV12</stp>
        <stp>RCOM IN Equity</stp>
        <stp>ARDR_EQY_INVEST_ASSOC_AFFILIATES</stp>
        <stp>FY 2016</stp>
        <stp>FY 2016</stp>
        <stp>[FA1_ymffleas.xlsx]Bal Sheet - As Reported!R169C10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9" s="17"/>
      </tp>
      <tp>
        <v>320</v>
        <stp/>
        <stp>##V3_BDHV12</stp>
        <stp>RCOM IN Equity</stp>
        <stp>ARDR_EQY_INVEST_ASSOC_AFFILIATES</stp>
        <stp>FY 2017</stp>
        <stp>FY 2017</stp>
        <stp>[FA1_ymffleas.xlsx]Bal Sheet - As Reported!R169C11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9" s="17"/>
      </tp>
      <tp>
        <v>210</v>
        <stp/>
        <stp>##V3_BDHV12</stp>
        <stp>RCOM IN Equity</stp>
        <stp>ARDR_EQY_INVEST_ASSOC_AFFILIATES</stp>
        <stp>FY 2018</stp>
        <stp>FY 2018</stp>
        <stp>[FA1_ymffleas.xlsx]Bal Sheet - As Reported!R169C12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9" s="17"/>
      </tp>
      <tp t="s">
        <v>—</v>
        <stp/>
        <stp>##V3_BDHV12</stp>
        <stp>RCOM IN Equity</stp>
        <stp>NUM_OF_EMPLOYEES</stp>
        <stp>FY 2014</stp>
        <stp>FY 2014</stp>
        <stp>[FA1_ymffleas.xlsx]Bal Sheet - Standardized!R172C8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72" s="16"/>
      </tp>
      <tp t="s">
        <v>—</v>
        <stp/>
        <stp>##V3_BDHV12</stp>
        <stp>RCOM IN Equity</stp>
        <stp>NUM_OF_EMPLOYEES</stp>
        <stp>FY 2015</stp>
        <stp>FY 2015</stp>
        <stp>[FA1_ymffleas.xlsx]Bal Sheet - Standardized!R172C9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72" s="16"/>
      </tp>
      <tp>
        <v>1250</v>
        <stp/>
        <stp>##V3_BDHV12</stp>
        <stp>RCOM IN Equity</stp>
        <stp>EARN_FOR_COMMON</stp>
        <stp>FY 2017</stp>
        <stp>FY 2017</stp>
        <stp>[FA1_ymffleas.xlsx]Reconciliation!R41C10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J41" s="12"/>
      </tp>
      <tp>
        <v>490</v>
        <stp/>
        <stp>##V3_BDHV12</stp>
        <stp>RCOM IN Equity</stp>
        <stp>EARN_FOR_COMMON</stp>
        <stp>FY 2018</stp>
        <stp>FY 2018</stp>
        <stp>[FA1_ymffleas.xlsx]Reconciliation!R41C11</stp>
        <stp>Currency=INR</stp>
        <stp>Period=FY</stp>
        <stp>BEST_FPERIOD_OVERRIDE=FY</stp>
        <stp>FILING_STATUS=MR</stp>
        <stp>EQY_CONSOLIDATED=Y</stp>
        <stp>SCALING_FORMAT=MLN</stp>
        <stp>FA_ADJUSTED=Adjusted</stp>
        <stp>Sort=A</stp>
        <stp>Dates=H</stp>
        <stp>DateFormat=P</stp>
        <stp>Fill=—</stp>
        <stp>Direction=H</stp>
        <stp>UseDPDF=Y</stp>
        <tr r="K41" s="12"/>
      </tp>
      <tp>
        <v>2.3650000000000002</v>
        <stp/>
        <stp>##V3_BDHV12</stp>
        <stp>RCOM IN Equity</stp>
        <stp>PRETAX_INC_TO_NET_SALES</stp>
        <stp>FY 2017</stp>
        <stp>FY 2017</stp>
        <stp>[FA1_ymffleas.xlsx]Profitability!R16C11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6" s="21"/>
      </tp>
      <tp t="s">
        <v>—</v>
        <stp/>
        <stp>##V3_BDHV12</stp>
        <stp>RCOM IN Equity</stp>
        <stp>ARDR_PLANT_AND_EQUIPMENT_GROSS</stp>
        <stp>FY 2018</stp>
        <stp>FY 2018</stp>
        <stp>[FA1_ymffleas.xlsx]Bal Sheet - As Reported!R162C12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62" s="17"/>
      </tp>
      <tp t="s">
        <v>—</v>
        <stp/>
        <stp>##V3_BDHV12</stp>
        <stp>RCOM IN Equity</stp>
        <stp>ARDR_PLANT_AND_EQUIPMENT_GROSS</stp>
        <stp>FY 2016</stp>
        <stp>FY 2016</stp>
        <stp>[FA1_ymffleas.xlsx]Bal Sheet - As Reported!R162C10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62" s="17"/>
      </tp>
      <tp t="s">
        <v>—</v>
        <stp/>
        <stp>##V3_BDHV12</stp>
        <stp>RCOM IN Equity</stp>
        <stp>ARDR_PLANT_AND_EQUIPMENT_GROSS</stp>
        <stp>FY 2017</stp>
        <stp>FY 2017</stp>
        <stp>[FA1_ymffleas.xlsx]Bal Sheet - As Reported!R162C11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62" s="17"/>
      </tp>
      <tp t="s">
        <v>—</v>
        <stp/>
        <stp>##V3_BDHV12</stp>
        <stp>RCOM IN Equity</stp>
        <stp>5Y_GEO_GROWTH_DILUTED_EPS</stp>
        <stp>FY 2009</stp>
        <stp>FY 2009</stp>
        <stp>[FA1_ymffleas.xlsx]Growth!R40C3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40" s="22"/>
      </tp>
      <tp>
        <v>456840</v>
        <stp/>
        <stp>##V3_BDHV12</stp>
        <stp>RCOM IN Equity</stp>
        <stp>OTHER_NON_CASH_ADJ_LESS_DETAILED</stp>
        <stp>FY 2018</stp>
        <stp>FY 2018</stp>
        <stp>[FA1_ymffleas.xlsx]Cash Flow - Standardized!R10C11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0" s="19"/>
      </tp>
      <tp>
        <v>23350</v>
        <stp/>
        <stp>##V3_BDHV12</stp>
        <stp>RCOM IN Equity</stp>
        <stp>OTHER_NON_CASH_ADJ_LESS_DETAILED</stp>
        <stp>FY 2017</stp>
        <stp>FY 2017</stp>
        <stp>[FA1_ymffleas.xlsx]Cash Flow - Standardized!R10C10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0" s="19"/>
      </tp>
      <tp>
        <v>-30</v>
        <stp/>
        <stp>##V3_BDHV12</stp>
        <stp>RCOM IN Equity</stp>
        <stp>PRETAX_INC</stp>
        <stp>FY 2018</stp>
        <stp>FY 2018</stp>
        <stp>[FA1_ymffleas.xlsx]Income - Adjusted!R75C11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75" s="9"/>
      </tp>
      <tp>
        <v>1550</v>
        <stp/>
        <stp>##V3_BDHV12</stp>
        <stp>RCOM IN Equity</stp>
        <stp>PRETAX_INC</stp>
        <stp>FY 2017</stp>
        <stp>FY 2017</stp>
        <stp>[FA1_ymffleas.xlsx]Income - Adjusted!R75C10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75" s="9"/>
      </tp>
      <tp>
        <v>880</v>
        <stp/>
        <stp>##V3_BDHV12</stp>
        <stp>RCOM IN Equity</stp>
        <stp>IS_PROVISION_DOUBTFUL_ACCOUNTS</stp>
        <stp>FY 2017</stp>
        <stp>FY 2017</stp>
        <stp>[FA1_ymffleas.xlsx]Income - GAAP!R31C10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1" s="10"/>
      </tp>
      <tp t="s">
        <v>—</v>
        <stp/>
        <stp>##V3_BDHV12</stp>
        <stp>RCOM IN Equity</stp>
        <stp>CF_TO_FIRM_SEQUENTIAL_GROWTH</stp>
        <stp>FY 2015</stp>
        <stp>FY 2015</stp>
        <stp>[FA1_ymffleas.xlsx]Growth!R86C9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86" s="22"/>
      </tp>
      <tp>
        <v>450</v>
        <stp/>
        <stp>##V3_BDHV12</stp>
        <stp>RCOM IN Equity</stp>
        <stp>IS_PROVISION_DOUBTFUL_ACCOUNTS</stp>
        <stp>FY 2018</stp>
        <stp>FY 2018</stp>
        <stp>[FA1_ymffleas.xlsx]Income - GAAP!R31C11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1" s="10"/>
      </tp>
      <tp t="s">
        <v>—</v>
        <stp/>
        <stp>##V3_BDHV12</stp>
        <stp>RCOM IN Equity</stp>
        <stp>EV_TO_T12M_FREE_CASH_FLOW_FIRM</stp>
        <stp>FY 2014</stp>
        <stp>FY 2014</stp>
        <stp>[FA1_ymffleas.xlsx]Enterprise Value!R21C7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21" s="5"/>
      </tp>
      <tp>
        <v>2.4125000000000001</v>
        <stp/>
        <stp>##V3_BDHV12</stp>
        <stp>RCOM IN Equity</stp>
        <stp>TOT_CAP_EXPEND_GROWTH</stp>
        <stp>FY 2014</stp>
        <stp>FY 2014</stp>
        <stp>[FA1_ymffleas.xlsx]Growth!R31C8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31" s="22"/>
      </tp>
      <tp>
        <v>15.2887</v>
        <stp/>
        <stp>##V3_BDHV12</stp>
        <stp>RCOM IN Equity</stp>
        <stp>TOT_CAP_EXPEND_GROWTH</stp>
        <stp>FY 2015</stp>
        <stp>FY 2015</stp>
        <stp>[FA1_ymffleas.xlsx]Growth!R31C9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31" s="22"/>
      </tp>
      <tp>
        <v>-29.5212</v>
        <stp/>
        <stp>##V3_BDHV12</stp>
        <stp>RCOM IN Equity</stp>
        <stp>TOT_CAP_EXPEND_GROWTH</stp>
        <stp>FY 2009</stp>
        <stp>FY 2009</stp>
        <stp>[FA1_ymffleas.xlsx]Growth!R31C3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31" s="22"/>
      </tp>
      <tp>
        <v>-53.035699999999999</v>
        <stp/>
        <stp>##V3_BDHV12</stp>
        <stp>RCOM IN Equity</stp>
        <stp>TOT_CAP_EXPEND_GROWTH</stp>
        <stp>FY 2012</stp>
        <stp>FY 2012</stp>
        <stp>[FA1_ymffleas.xlsx]Growth!R31C6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31" s="22"/>
      </tp>
      <tp>
        <v>-56.412399999999998</v>
        <stp/>
        <stp>##V3_BDHV12</stp>
        <stp>RCOM IN Equity</stp>
        <stp>TOT_CAP_EXPEND_GROWTH</stp>
        <stp>FY 2013</stp>
        <stp>FY 2013</stp>
        <stp>[FA1_ymffleas.xlsx]Growth!R31C7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31" s="22"/>
      </tp>
      <tp>
        <v>-38.849800000000002</v>
        <stp/>
        <stp>##V3_BDHV12</stp>
        <stp>RCOM IN Equity</stp>
        <stp>TOT_CAP_EXPEND_GROWTH</stp>
        <stp>FY 2010</stp>
        <stp>FY 2010</stp>
        <stp>[FA1_ymffleas.xlsx]Growth!R31C4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31" s="22"/>
      </tp>
      <tp>
        <v>37.766300000000001</v>
        <stp/>
        <stp>##V3_BDHV12</stp>
        <stp>RCOM IN Equity</stp>
        <stp>TOT_CAP_EXPEND_GROWTH</stp>
        <stp>FY 2011</stp>
        <stp>FY 2011</stp>
        <stp>[FA1_ymffleas.xlsx]Growth!R31C5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31" s="22"/>
      </tp>
      <tp>
        <v>4.3376999999999999</v>
        <stp/>
        <stp>##V3_BDHV12</stp>
        <stp>RCOM IN Equity</stp>
        <stp>5_YEAR_AVERAGE_ADJUSTED_ROE</stp>
        <stp>FY 2014</stp>
        <stp>FY 2014</stp>
        <stp>[FA1_ymffleas.xlsx]DuPont Analysis!R21C8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1" s="27"/>
      </tp>
      <tp>
        <v>32.311599999999999</v>
        <stp/>
        <stp>##V3_BDHV12</stp>
        <stp>RCOM IN Equity</stp>
        <stp>ACCT_RCV_DAYS</stp>
        <stp>FY 2013</stp>
        <stp>FY 2013</stp>
        <stp>[FA1_ymffleas.xlsx]Working Capital!R7C7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7" s="25"/>
      </tp>
      <tp>
        <v>80</v>
        <stp/>
        <stp>##V3_BDHV12</stp>
        <stp>RCOM IN Equity</stp>
        <stp>ARDR_FAIR_VAL_POST_RETIRE_ASSETS</stp>
        <stp>FY 2018</stp>
        <stp>FY 2018</stp>
        <stp>[FA1_ymffleas.xlsx]Bal Sheet - As Reported!R115C12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15" s="17"/>
      </tp>
      <tp>
        <v>100</v>
        <stp/>
        <stp>##V3_BDHV12</stp>
        <stp>RCOM IN Equity</stp>
        <stp>ARDR_FAIR_VAL_POST_RETIRE_ASSETS</stp>
        <stp>FY 2017</stp>
        <stp>FY 2017</stp>
        <stp>[FA1_ymffleas.xlsx]Bal Sheet - As Reported!R115C11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15" s="17"/>
      </tp>
      <tp>
        <v>90</v>
        <stp/>
        <stp>##V3_BDHV12</stp>
        <stp>RCOM IN Equity</stp>
        <stp>ARDR_FAIR_VAL_POST_RETIRE_ASSETS</stp>
        <stp>FY 2016</stp>
        <stp>FY 2016</stp>
        <stp>[FA1_ymffleas.xlsx]Bal Sheet - As Reported!R115C10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15" s="17"/>
      </tp>
      <tp t="s">
        <v>—</v>
        <stp/>
        <stp>##V3_BDHV12</stp>
        <stp>RCOM IN Equity</stp>
        <stp>CASH_FLOW_TO_FIRM_1_YEAR_GROWTH</stp>
        <stp>FY 2013</stp>
        <stp>FY 2013</stp>
        <stp>[FA1_ymffleas.xlsx]Growth!R33C7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G33" s="22"/>
      </tp>
      <tp>
        <v>-49670</v>
        <stp/>
        <stp>##V3_BDHV12</stp>
        <stp>RCOM IN Equity</stp>
        <stp>ARD_TOT_CASHFLOWS_FROM_FINANCING</stp>
        <stp>FY 2014</stp>
        <stp>FY 2014</stp>
        <stp>[FA1_ymffleas.xlsx]As Reported Summary!R30C8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0" s="30"/>
      </tp>
      <tp>
        <v>8200</v>
        <stp/>
        <stp>##V3_BDHV12</stp>
        <stp>RCOM IN Equity</stp>
        <stp>ARD_TOT_CASHFLOWS_FROM_FINANCING</stp>
        <stp>FY 2015</stp>
        <stp>FY 2015</stp>
        <stp>[FA1_ymffleas.xlsx]As Reported Summary!R30C9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0" s="30"/>
      </tp>
      <tp>
        <v>-86217.3</v>
        <stp/>
        <stp>##V3_BDHV12</stp>
        <stp>RCOM IN Equity</stp>
        <stp>ARD_TOT_CASHFLOWS_FROM_FINANCING</stp>
        <stp>FY 2010</stp>
        <stp>FY 2010</stp>
        <stp>[FA1_ymffleas.xlsx]As Reported Summary!R30C4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0" s="30"/>
      </tp>
      <tp>
        <v>80710</v>
        <stp/>
        <stp>##V3_BDHV12</stp>
        <stp>RCOM IN Equity</stp>
        <stp>ARD_TOT_CASHFLOWS_FROM_FINANCING</stp>
        <stp>FY 2011</stp>
        <stp>FY 2011</stp>
        <stp>[FA1_ymffleas.xlsx]As Reported Summary!R30C5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0" s="30"/>
      </tp>
      <tp>
        <v>-54970</v>
        <stp/>
        <stp>##V3_BDHV12</stp>
        <stp>RCOM IN Equity</stp>
        <stp>ARD_TOT_CASHFLOWS_FROM_FINANCING</stp>
        <stp>FY 2012</stp>
        <stp>FY 2012</stp>
        <stp>[FA1_ymffleas.xlsx]As Reported Summary!R30C6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0" s="30"/>
      </tp>
      <tp>
        <v>-15760</v>
        <stp/>
        <stp>##V3_BDHV12</stp>
        <stp>RCOM IN Equity</stp>
        <stp>ARD_TOT_CASHFLOWS_FROM_FINANCING</stp>
        <stp>FY 2013</stp>
        <stp>FY 2013</stp>
        <stp>[FA1_ymffleas.xlsx]As Reported Summary!R30C7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0" s="30"/>
      </tp>
      <tp>
        <v>42430.9</v>
        <stp/>
        <stp>##V3_BDHV12</stp>
        <stp>RCOM IN Equity</stp>
        <stp>ARD_TOT_CASHFLOWS_FROM_FINANCING</stp>
        <stp>FY 2009</stp>
        <stp>FY 2009</stp>
        <stp>[FA1_ymffleas.xlsx]As Reported Summary!R30C3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0" s="30"/>
      </tp>
      <tp>
        <v>-4.6647999999999996</v>
        <stp/>
        <stp>##V3_BDHV12</stp>
        <stp>RCOM IN Equity</stp>
        <stp>SUSTAIN_GROWTH_RT</stp>
        <stp>FY 2017</stp>
        <stp>FY 2017</stp>
        <stp>[FA1_ymffleas.xlsx]Profitability!R24C11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24" s="21"/>
      </tp>
      <tp>
        <v>14.994</v>
        <stp/>
        <stp>##V3_BDHV12</stp>
        <stp>RCOM IN Equity</stp>
        <stp>EBITDA_LES_CAP_EXPEND_TO_INT_EXP</stp>
        <stp>FY 2018</stp>
        <stp>FY 2018</stp>
        <stp>[FA1_ymffleas.xlsx]Credit!R17C12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7" s="23"/>
      </tp>
      <tp>
        <v>419.58269999999999</v>
        <stp/>
        <stp>##V3_BDHV12</stp>
        <stp>RCOM IN Equity</stp>
        <stp>LT_DEBT_TO_TOT_EQY</stp>
        <stp>FY 2018</stp>
        <stp>FY 2018</stp>
        <stp>[FA1_ymffleas.xlsx]Liquidity!R12C12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2" s="24"/>
      </tp>
      <tp>
        <v>1.0669999999999999</v>
        <stp/>
        <stp>##V3_BDHV12</stp>
        <stp>RCOM IN Equity</stp>
        <stp>PRETAX_INC_TO_NET_SALES</stp>
        <stp>FY 2016</stp>
        <stp>FY 2016</stp>
        <stp>[FA1_ymffleas.xlsx]Profitability!R16C10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6" s="21"/>
      </tp>
      <tp>
        <v>91.366699999999994</v>
        <stp/>
        <stp>##V3_BDHV12</stp>
        <stp>RCOM IN Equity</stp>
        <stp>LT_DEBT_TO_TOT_EQY</stp>
        <stp>FY 2016</stp>
        <stp>FY 2016</stp>
        <stp>[FA1_ymffleas.xlsx]Liquidity!R12C10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2" s="24"/>
      </tp>
      <tp>
        <v>77.841800000000006</v>
        <stp/>
        <stp>##V3_BDHV12</stp>
        <stp>RCOM IN Equity</stp>
        <stp>LT_DEBT_TO_TOT_EQY</stp>
        <stp>FY 2017</stp>
        <stp>FY 2017</stp>
        <stp>[FA1_ymffleas.xlsx]Liquidity!R12C11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2" s="24"/>
      </tp>
      <tp>
        <v>327960</v>
        <stp/>
        <stp>##V3_BDHV12</stp>
        <stp>RCOM IN Equity</stp>
        <stp>EQTY_BEF_MINORITY_INT_DETAILED</stp>
        <stp>FY 2014</stp>
        <stp>FY 2014</stp>
        <stp>[FA1_ymffleas.xlsx]Bal Sheet - Standardized!R147C8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47" s="16"/>
      </tp>
      <tp>
        <v>379360</v>
        <stp/>
        <stp>##V3_BDHV12</stp>
        <stp>RCOM IN Equity</stp>
        <stp>EQTY_BEF_MINORITY_INT_DETAILED</stp>
        <stp>FY 2015</stp>
        <stp>FY 2015</stp>
        <stp>[FA1_ymffleas.xlsx]Bal Sheet - Standardized!R147C9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47" s="16"/>
      </tp>
      <tp>
        <v>433606.40000000002</v>
        <stp/>
        <stp>##V3_BDHV12</stp>
        <stp>RCOM IN Equity</stp>
        <stp>EQTY_BEF_MINORITY_INT_DETAILED</stp>
        <stp>FY 2010</stp>
        <stp>FY 2010</stp>
        <stp>[FA1_ymffleas.xlsx]Bal Sheet - Standardized!R147C4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47" s="16"/>
      </tp>
      <tp>
        <v>404990</v>
        <stp/>
        <stp>##V3_BDHV12</stp>
        <stp>RCOM IN Equity</stp>
        <stp>EQTY_BEF_MINORITY_INT_DETAILED</stp>
        <stp>FY 2011</stp>
        <stp>FY 2011</stp>
        <stp>[FA1_ymffleas.xlsx]Bal Sheet - Standardized!R147C5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47" s="16"/>
      </tp>
      <tp>
        <v>362960</v>
        <stp/>
        <stp>##V3_BDHV12</stp>
        <stp>RCOM IN Equity</stp>
        <stp>EQTY_BEF_MINORITY_INT_DETAILED</stp>
        <stp>FY 2012</stp>
        <stp>FY 2012</stp>
        <stp>[FA1_ymffleas.xlsx]Bal Sheet - Standardized!R147C6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47" s="16"/>
      </tp>
      <tp>
        <v>338500</v>
        <stp/>
        <stp>##V3_BDHV12</stp>
        <stp>RCOM IN Equity</stp>
        <stp>EQTY_BEF_MINORITY_INT_DETAILED</stp>
        <stp>FY 2013</stp>
        <stp>FY 2013</stp>
        <stp>[FA1_ymffleas.xlsx]Bal Sheet - Standardized!R147C7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47" s="16"/>
      </tp>
      <tp>
        <v>422803.20000000001</v>
        <stp/>
        <stp>##V3_BDHV12</stp>
        <stp>RCOM IN Equity</stp>
        <stp>EQTY_BEF_MINORITY_INT_DETAILED</stp>
        <stp>FY 2009</stp>
        <stp>FY 2009</stp>
        <stp>[FA1_ymffleas.xlsx]Bal Sheet - Standardized!R147C3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47" s="16"/>
      </tp>
      <tp>
        <v>-42800</v>
        <stp/>
        <stp>##V3_BDHV12</stp>
        <stp>RCOM IN Equity</stp>
        <stp>ARD_CHNG_TRADE_PAY_OTH_CUR_LIAB</stp>
        <stp>FY 2017</stp>
        <stp>FY 2017</stp>
        <stp>[FA1_ymffleas.xlsx]Cash Flow - As Reported!R23C11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3" s="20"/>
      </tp>
      <tp>
        <v>27180</v>
        <stp/>
        <stp>##V3_BDHV12</stp>
        <stp>RCOM IN Equity</stp>
        <stp>ARD_CHNG_TRADE_PAY_OTH_CUR_LIAB</stp>
        <stp>FY 2016</stp>
        <stp>FY 2016</stp>
        <stp>[FA1_ymffleas.xlsx]Cash Flow - As Reported!R23C10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3" s="20"/>
      </tp>
      <tp>
        <v>-15510</v>
        <stp/>
        <stp>##V3_BDHV12</stp>
        <stp>RCOM IN Equity</stp>
        <stp>ARD_CHNG_TRADE_PAY_OTH_CUR_LIAB</stp>
        <stp>FY 2018</stp>
        <stp>FY 2018</stp>
        <stp>[FA1_ymffleas.xlsx]Cash Flow - As Reported!R23C12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3" s="20"/>
      </tp>
      <tp>
        <v>360340</v>
        <stp/>
        <stp>##V3_BDHV12</stp>
        <stp>RCOM IN Equity</stp>
        <stp>ARD_TOTAL_CURRENT_LIABILITIES</stp>
        <stp>FY 2017</stp>
        <stp>FY 2017</stp>
        <stp>[FA1_ymffleas.xlsx]Bal Sheet - As Reported!R22C11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22" s="17"/>
      </tp>
      <tp>
        <v>276760</v>
        <stp/>
        <stp>##V3_BDHV12</stp>
        <stp>RCOM IN Equity</stp>
        <stp>ARD_TOTAL_CURRENT_LIABILITIES</stp>
        <stp>FY 2016</stp>
        <stp>FY 2016</stp>
        <stp>[FA1_ymffleas.xlsx]Bal Sheet - As Reported!R22C10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22" s="17"/>
      </tp>
      <tp>
        <v>524780</v>
        <stp/>
        <stp>##V3_BDHV12</stp>
        <stp>RCOM IN Equity</stp>
        <stp>ARD_TOTAL_CURRENT_LIABILITIES</stp>
        <stp>FY 2018</stp>
        <stp>FY 2018</stp>
        <stp>[FA1_ymffleas.xlsx]Bal Sheet - As Reported!R22C12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22" s="17"/>
      </tp>
      <tp>
        <v>1720</v>
        <stp/>
        <stp>##V3_BDHV12</stp>
        <stp>RCOM IN Equity</stp>
        <stp>IS_COMP_PTP_EX_STK_BASED_COMP</stp>
        <stp>FY 2014</stp>
        <stp>FY 2014</stp>
        <stp>[FA1_ymffleas.xlsx]Earnings!R37C8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37" s="4"/>
      </tp>
      <tp>
        <v>9460</v>
        <stp/>
        <stp>##V3_BDHV12</stp>
        <stp>RCOM IN Equity</stp>
        <stp>IS_COMP_PTP_EX_STK_BASED_COMP</stp>
        <stp>FY 2015</stp>
        <stp>FY 2015</stp>
        <stp>[FA1_ymffleas.xlsx]Earnings!R37C9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37" s="4"/>
      </tp>
      <tp>
        <v>61352.5</v>
        <stp/>
        <stp>##V3_BDHV12</stp>
        <stp>RCOM IN Equity</stp>
        <stp>IS_COMP_PTP_EX_STK_BASED_COMP</stp>
        <stp>FY 2009</stp>
        <stp>FY 2009</stp>
        <stp>[FA1_ymffleas.xlsx]Earnings!R37C3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37" s="4"/>
      </tp>
      <tp>
        <v>8820</v>
        <stp/>
        <stp>##V3_BDHV12</stp>
        <stp>RCOM IN Equity</stp>
        <stp>IS_COMP_PTP_EX_STK_BASED_COMP</stp>
        <stp>FY 2012</stp>
        <stp>FY 2012</stp>
        <stp>[FA1_ymffleas.xlsx]Earnings!R37C6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37" s="4"/>
      </tp>
      <tp>
        <v>8150</v>
        <stp/>
        <stp>##V3_BDHV12</stp>
        <stp>RCOM IN Equity</stp>
        <stp>IS_COMP_PTP_EX_STK_BASED_COMP</stp>
        <stp>FY 2013</stp>
        <stp>FY 2013</stp>
        <stp>[FA1_ymffleas.xlsx]Earnings!R37C7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37" s="4"/>
      </tp>
      <tp>
        <v>52603</v>
        <stp/>
        <stp>##V3_BDHV12</stp>
        <stp>RCOM IN Equity</stp>
        <stp>IS_COMP_PTP_EX_STK_BASED_COMP</stp>
        <stp>FY 2010</stp>
        <stp>FY 2010</stp>
        <stp>[FA1_ymffleas.xlsx]Earnings!R37C4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37" s="4"/>
      </tp>
      <tp>
        <v>15122.4</v>
        <stp/>
        <stp>##V3_BDHV12</stp>
        <stp>RCOM IN Equity</stp>
        <stp>IS_COMP_PTP_EX_STK_BASED_COMP</stp>
        <stp>FY 2011</stp>
        <stp>FY 2011</stp>
        <stp>[FA1_ymffleas.xlsx]Earnings!R37C5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37" s="4"/>
      </tp>
      <tp>
        <v>2.222</v>
        <stp/>
        <stp>##V3_BDHV12</stp>
        <stp>RCOM IN Equity</stp>
        <stp>EBITDA_TO_CASH_INTEREST_PAID</stp>
        <stp>FY 2014</stp>
        <stp>FY 2014</stp>
        <stp>[FA1_ymffleas.xlsx]Credit!R20C8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H20" s="23"/>
      </tp>
      <tp>
        <v>209230</v>
        <stp/>
        <stp>##V3_BDHV12</stp>
        <stp>RCOM IN Equity</stp>
        <stp>BS_CUR_LIAB</stp>
        <stp>FY 2015</stp>
        <stp>FY 2015</stp>
        <stp>[FA1_ymffleas.xlsx]GAAP Highlights!R17C9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7" s="3"/>
      </tp>
      <tp>
        <v>255380</v>
        <stp/>
        <stp>##V3_BDHV12</stp>
        <stp>RCOM IN Equity</stp>
        <stp>BS_CUR_LIAB</stp>
        <stp>FY 2014</stp>
        <stp>FY 2014</stp>
        <stp>[FA1_ymffleas.xlsx]GAAP Highlights!R17C8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7" s="3"/>
      </tp>
      <tp>
        <v>319530.2</v>
        <stp/>
        <stp>##V3_BDHV12</stp>
        <stp>RCOM IN Equity</stp>
        <stp>BS_CUR_LIAB</stp>
        <stp>FY 2009</stp>
        <stp>FY 2009</stp>
        <stp>[FA1_ymffleas.xlsx]GAAP Highlights!R17C3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7" s="3"/>
      </tp>
      <tp>
        <v>323020</v>
        <stp/>
        <stp>##V3_BDHV12</stp>
        <stp>RCOM IN Equity</stp>
        <stp>BS_CUR_LIAB</stp>
        <stp>FY 2011</stp>
        <stp>FY 2011</stp>
        <stp>[FA1_ymffleas.xlsx]GAAP Highlights!R17C5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7" s="3"/>
      </tp>
      <tp>
        <v>291987.3</v>
        <stp/>
        <stp>##V3_BDHV12</stp>
        <stp>RCOM IN Equity</stp>
        <stp>BS_CUR_LIAB</stp>
        <stp>FY 2010</stp>
        <stp>FY 2010</stp>
        <stp>[FA1_ymffleas.xlsx]GAAP Highlights!R17C4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7" s="3"/>
      </tp>
      <tp>
        <v>234390</v>
        <stp/>
        <stp>##V3_BDHV12</stp>
        <stp>RCOM IN Equity</stp>
        <stp>BS_CUR_LIAB</stp>
        <stp>FY 2013</stp>
        <stp>FY 2013</stp>
        <stp>[FA1_ymffleas.xlsx]GAAP Highlights!R17C7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7" s="3"/>
      </tp>
      <tp>
        <v>224040</v>
        <stp/>
        <stp>##V3_BDHV12</stp>
        <stp>RCOM IN Equity</stp>
        <stp>BS_CUR_LIAB</stp>
        <stp>FY 2012</stp>
        <stp>FY 2012</stp>
        <stp>[FA1_ymffleas.xlsx]GAAP Highlights!R17C6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7" s="3"/>
      </tp>
      <tp>
        <v>2.6612999999999998</v>
        <stp/>
        <stp>##V3_BDHV12</stp>
        <stp>RCOM IN Equity</stp>
        <stp>CASH_ST_INVESTMENTS_PER_SH</stp>
        <stp>FY 2018</stp>
        <stp>FY 2018</stp>
        <stp>[FA1_ymffleas.xlsx]Per Share!R25C11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25" s="7"/>
      </tp>
      <tp>
        <v>5.2793000000000001</v>
        <stp/>
        <stp>##V3_BDHV12</stp>
        <stp>RCOM IN Equity</stp>
        <stp>CASH_ST_INVESTMENTS_PER_SH</stp>
        <stp>FY 2017</stp>
        <stp>FY 2017</stp>
        <stp>[FA1_ymffleas.xlsx]Per Share!R25C10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25" s="7"/>
      </tp>
      <tp t="s">
        <v>—</v>
        <stp/>
        <stp>##V3_BDHV12</stp>
        <stp>RCOM IN Equity</stp>
        <stp>EV_TO_T12M_FREE_CASH_FLOW_FIRM</stp>
        <stp>FY 2011</stp>
        <stp>FY 2011</stp>
        <stp>[FA1_ymffleas.xlsx]Enterprise Value!R21C4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21" s="5"/>
      </tp>
      <tp>
        <v>1920</v>
        <stp/>
        <stp>##V3_BDHV12</stp>
        <stp>RCOM IN Equity</stp>
        <stp>ARDR_TOTAL_CAPITAL_LEASE</stp>
        <stp>FY 2015</stp>
        <stp>FY 2015</stp>
        <stp>[FA1_ymffleas.xlsx]Bal Sheet - As Reported!R201C9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201" s="17"/>
      </tp>
      <tp>
        <v>3950</v>
        <stp/>
        <stp>##V3_BDHV12</stp>
        <stp>RCOM IN Equity</stp>
        <stp>ARDR_TOTAL_CAPITAL_LEASE</stp>
        <stp>FY 2014</stp>
        <stp>FY 2014</stp>
        <stp>[FA1_ymffleas.xlsx]Bal Sheet - As Reported!R201C8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201" s="17"/>
      </tp>
      <tp t="s">
        <v>—</v>
        <stp/>
        <stp>##V3_BDHV12</stp>
        <stp>RCOM IN Equity</stp>
        <stp>ARDR_TOTAL_CAPITAL_LEASE</stp>
        <stp>FY 2009</stp>
        <stp>FY 2009</stp>
        <stp>[FA1_ymffleas.xlsx]Bal Sheet - As Reported!R201C3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201" s="17"/>
      </tp>
      <tp t="s">
        <v>—</v>
        <stp/>
        <stp>##V3_BDHV12</stp>
        <stp>RCOM IN Equity</stp>
        <stp>ARDR_TOTAL_CAPITAL_LEASE</stp>
        <stp>FY 2013</stp>
        <stp>FY 2013</stp>
        <stp>[FA1_ymffleas.xlsx]Bal Sheet - As Reported!R201C7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201" s="17"/>
      </tp>
      <tp t="s">
        <v>—</v>
        <stp/>
        <stp>##V3_BDHV12</stp>
        <stp>RCOM IN Equity</stp>
        <stp>ARDR_TOTAL_CAPITAL_LEASE</stp>
        <stp>FY 2012</stp>
        <stp>FY 2012</stp>
        <stp>[FA1_ymffleas.xlsx]Bal Sheet - As Reported!R201C6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201" s="17"/>
      </tp>
      <tp t="s">
        <v>—</v>
        <stp/>
        <stp>##V3_BDHV12</stp>
        <stp>RCOM IN Equity</stp>
        <stp>ARDR_TOTAL_CAPITAL_LEASE</stp>
        <stp>FY 2011</stp>
        <stp>FY 2011</stp>
        <stp>[FA1_ymffleas.xlsx]Bal Sheet - As Reported!R201C5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201" s="17"/>
      </tp>
      <tp t="s">
        <v>—</v>
        <stp/>
        <stp>##V3_BDHV12</stp>
        <stp>RCOM IN Equity</stp>
        <stp>ARDR_TOTAL_CAPITAL_LEASE</stp>
        <stp>FY 2010</stp>
        <stp>FY 2010</stp>
        <stp>[FA1_ymffleas.xlsx]Bal Sheet - As Reported!R201C4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201" s="17"/>
      </tp>
      <tp t="s">
        <v>—</v>
        <stp/>
        <stp>##V3_BDHV12</stp>
        <stp>RCOM IN Equity</stp>
        <stp>IS_WRTOFF_IMPAIR_AST_DILUTED_SH</stp>
        <stp>FY 2017</stp>
        <stp>FY 2017</stp>
        <stp>[FA1_ymffleas.xlsx]Reconciliation!R49C10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9" s="12"/>
      </tp>
      <tp t="s">
        <v>—</v>
        <stp/>
        <stp>##V3_BDHV12</stp>
        <stp>RCOM IN Equity</stp>
        <stp>IS_WRTOFF_IMPAIR_AST_DILUTED_SH</stp>
        <stp>FY 2018</stp>
        <stp>FY 2018</stp>
        <stp>[FA1_ymffleas.xlsx]Reconciliation!R49C11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9" s="12"/>
      </tp>
      <tp>
        <v>2296.6999999999998</v>
        <stp/>
        <stp>##V3_BDHV12</stp>
        <stp>RCOM IN Equity</stp>
        <stp>IS_NET_ABNORMAL_ITEMS</stp>
        <stp>FY 2012</stp>
        <stp>FY 2012</stp>
        <stp>[FA1_ymffleas.xlsx]Income - GAAP!R84C5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84" s="10"/>
      </tp>
      <tp>
        <v>-2620.7874999999999</v>
        <stp/>
        <stp>##V3_BDHV12</stp>
        <stp>RCOM IN Equity</stp>
        <stp>IS_NET_ABNORMAL_ITEMS</stp>
        <stp>FY 2011</stp>
        <stp>FY 2011</stp>
        <stp>[FA1_ymffleas.xlsx]Income - GAAP!R84C4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84" s="10"/>
      </tp>
      <tp>
        <v>72.611000000000004</v>
        <stp/>
        <stp>##V3_BDHV12</stp>
        <stp>RCOM IN Equity</stp>
        <stp>IS_NET_ABNORMAL_ITEMS</stp>
        <stp>FY 2014</stp>
        <stp>FY 2014</stp>
        <stp>[FA1_ymffleas.xlsx]Income - GAAP!R84C7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84" s="10"/>
      </tp>
      <tp>
        <v>-33.005000000000003</v>
        <stp/>
        <stp>##V3_BDHV12</stp>
        <stp>RCOM IN Equity</stp>
        <stp>IS_NET_ABNORMAL_ITEMS</stp>
        <stp>FY 2013</stp>
        <stp>FY 2013</stp>
        <stp>[FA1_ymffleas.xlsx]Income - GAAP!R84C6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84" s="10"/>
      </tp>
      <tp>
        <v>640.09900000000005</v>
        <stp/>
        <stp>##V3_BDHV12</stp>
        <stp>RCOM IN Equity</stp>
        <stp>IS_NET_ABNORMAL_ITEMS</stp>
        <stp>FY 2010</stp>
        <stp>FY 2010</stp>
        <stp>[FA1_ymffleas.xlsx]Income - GAAP!R84C3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84" s="10"/>
      </tp>
      <tp>
        <v>-1405.885</v>
        <stp/>
        <stp>##V3_BDHV12</stp>
        <stp>RCOM IN Equity</stp>
        <stp>IS_NET_ABNORMAL_ITEMS</stp>
        <stp>FY 2016</stp>
        <stp>FY 2016</stp>
        <stp>[FA1_ymffleas.xlsx]Income - GAAP!R84C9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84" s="10"/>
      </tp>
      <tp>
        <v>-209.24799999999999</v>
        <stp/>
        <stp>##V3_BDHV12</stp>
        <stp>RCOM IN Equity</stp>
        <stp>IS_NET_ABNORMAL_ITEMS</stp>
        <stp>FY 2015</stp>
        <stp>FY 2015</stp>
        <stp>[FA1_ymffleas.xlsx]Income - GAAP!R84C8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84" s="10"/>
      </tp>
      <tp>
        <v>-149500</v>
        <stp/>
        <stp>##V3_BDHV12</stp>
        <stp>RCOM IN Equity</stp>
        <stp>ARD_TOT_CASHFLOWS_FROM_INVESTING</stp>
        <stp>FY 2016</stp>
        <stp>FY 2016</stp>
        <stp>[FA1_ymffleas.xlsx]Cash Flow - As Reported!R51C10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1" s="20"/>
      </tp>
      <tp>
        <v>8120</v>
        <stp/>
        <stp>##V3_BDHV12</stp>
        <stp>RCOM IN Equity</stp>
        <stp>ARD_TOT_CASHFLOWS_FROM_INVESTING</stp>
        <stp>FY 2017</stp>
        <stp>FY 2017</stp>
        <stp>[FA1_ymffleas.xlsx]Cash Flow - As Reported!R51C11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1" s="20"/>
      </tp>
      <tp>
        <v>-2680</v>
        <stp/>
        <stp>##V3_BDHV12</stp>
        <stp>RCOM IN Equity</stp>
        <stp>ARD_TOT_CASHFLOWS_FROM_INVESTING</stp>
        <stp>FY 2018</stp>
        <stp>FY 2018</stp>
        <stp>[FA1_ymffleas.xlsx]Cash Flow - As Reported!R51C12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1" s="20"/>
      </tp>
      <tp>
        <v>7060</v>
        <stp/>
        <stp>##V3_BDHV12</stp>
        <stp>RCOM IN Equity</stp>
        <stp>ARDR_CASH_EQUIVS</stp>
        <stp>FY 2016</stp>
        <stp>FY 2016</stp>
        <stp>[FA1_ymffleas.xlsx]Bal Sheet - As Reported!R188C10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8" s="17"/>
      </tp>
      <tp>
        <v>9840</v>
        <stp/>
        <stp>##V3_BDHV12</stp>
        <stp>RCOM IN Equity</stp>
        <stp>ARDR_CASH_EQUIVS</stp>
        <stp>FY 2017</stp>
        <stp>FY 2017</stp>
        <stp>[FA1_ymffleas.xlsx]Bal Sheet - As Reported!R188C11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8" s="17"/>
      </tp>
      <tp>
        <v>5770</v>
        <stp/>
        <stp>##V3_BDHV12</stp>
        <stp>RCOM IN Equity</stp>
        <stp>ARDR_CASH_EQUIVS</stp>
        <stp>FY 2018</stp>
        <stp>FY 2018</stp>
        <stp>[FA1_ymffleas.xlsx]Bal Sheet - As Reported!R188C12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8" s="17"/>
      </tp>
      <tp>
        <v>16.249099999999999</v>
        <stp/>
        <stp>##V3_BDHV12</stp>
        <stp>RCOM IN Equity</stp>
        <stp>ACCT_RCV_DAYS</stp>
        <stp>FY 2010</stp>
        <stp>FY 2010</stp>
        <stp>[FA1_ymffleas.xlsx]Working Capital!R7C4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7" s="25"/>
      </tp>
      <tp>
        <v>-62.547800000000002</v>
        <stp/>
        <stp>##V3_BDHV12</stp>
        <stp>RCOM IN Equity</stp>
        <stp>RR_DIL_EPS_CONT_OPS_GROWTH</stp>
        <stp>FY 2018</stp>
        <stp>FY 2018</stp>
        <stp>[FA1_ymffleas.xlsx]Growth!R13C12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3" s="22"/>
      </tp>
      <tp>
        <v>-31.986000000000001</v>
        <stp/>
        <stp>##V3_BDHV12</stp>
        <stp>RCOM IN Equity</stp>
        <stp>RR_DIL_EPS_CONT_OPS_GROWTH</stp>
        <stp>FY 2016</stp>
        <stp>FY 2016</stp>
        <stp>[FA1_ymffleas.xlsx]Growth!R13C10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3" s="22"/>
      </tp>
      <tp>
        <v>-74.920299999999997</v>
        <stp/>
        <stp>##V3_BDHV12</stp>
        <stp>RCOM IN Equity</stp>
        <stp>RR_DIL_EPS_CONT_OPS_GROWTH</stp>
        <stp>FY 2017</stp>
        <stp>FY 2017</stp>
        <stp>[FA1_ymffleas.xlsx]Growth!R13C11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3" s="22"/>
      </tp>
      <tp t="s">
        <v>—</v>
        <stp/>
        <stp>##V3_BDHV12</stp>
        <stp>RCOM IN Equity</stp>
        <stp>CASH_FLOW_TO_FIRM_1_YEAR_GROWTH</stp>
        <stp>FY 2010</stp>
        <stp>FY 2010</stp>
        <stp>[FA1_ymffleas.xlsx]Growth!R33C4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D33" s="22"/>
      </tp>
      <tp>
        <v>990</v>
        <stp/>
        <stp>##V3_BDHV12</stp>
        <stp>RCOM IN Equity</stp>
        <stp>ARDR_FREEHOLD_LAND_GROSS</stp>
        <stp>FY 2018</stp>
        <stp>FY 2018</stp>
        <stp>[FA1_ymffleas.xlsx]Bal Sheet - As Reported!R183C12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83" s="17"/>
      </tp>
      <tp>
        <v>6960</v>
        <stp/>
        <stp>##V3_BDHV12</stp>
        <stp>RCOM IN Equity</stp>
        <stp>ARDR_FREEHOLD_LAND_GROSS</stp>
        <stp>FY 2017</stp>
        <stp>FY 2017</stp>
        <stp>[FA1_ymffleas.xlsx]Bal Sheet - As Reported!R183C11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83" s="17"/>
      </tp>
      <tp>
        <v>6940</v>
        <stp/>
        <stp>##V3_BDHV12</stp>
        <stp>RCOM IN Equity</stp>
        <stp>ARDR_FREEHOLD_LAND_GROSS</stp>
        <stp>FY 2016</stp>
        <stp>FY 2016</stp>
        <stp>[FA1_ymffleas.xlsx]Bal Sheet - As Reported!R183C10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83" s="17"/>
      </tp>
      <tp>
        <v>1040</v>
        <stp/>
        <stp>##V3_BDHV12</stp>
        <stp>RCOM IN Equity</stp>
        <stp>ARDR_FURNITURE_MACHINERY_EQUIP</stp>
        <stp>FY 2018</stp>
        <stp>FY 2018</stp>
        <stp>[FA1_ymffleas.xlsx]Bal Sheet - As Reported!R71C12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1" s="17"/>
      </tp>
      <tp>
        <v>1210</v>
        <stp/>
        <stp>##V3_BDHV12</stp>
        <stp>RCOM IN Equity</stp>
        <stp>ARDR_FURNITURE_MACHINERY_EQUIP</stp>
        <stp>FY 2017</stp>
        <stp>FY 2017</stp>
        <stp>[FA1_ymffleas.xlsx]Bal Sheet - As Reported!R71C11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1" s="17"/>
      </tp>
      <tp>
        <v>1220</v>
        <stp/>
        <stp>##V3_BDHV12</stp>
        <stp>RCOM IN Equity</stp>
        <stp>ARDR_FURNITURE_MACHINERY_EQUIP</stp>
        <stp>FY 2016</stp>
        <stp>FY 2016</stp>
        <stp>[FA1_ymffleas.xlsx]Bal Sheet - As Reported!R71C10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1" s="17"/>
      </tp>
      <tp>
        <v>-152.07320000000001</v>
        <stp/>
        <stp>##V3_BDHV12</stp>
        <stp>RCOM IN Equity</stp>
        <stp>SUSTAIN_GROWTH_RT</stp>
        <stp>FY 2018</stp>
        <stp>FY 2018</stp>
        <stp>[FA1_ymffleas.xlsx]Profitability!R24C12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24" s="21"/>
      </tp>
      <tp>
        <v>12118.4</v>
        <stp/>
        <stp>##V3_BDHV12</stp>
        <stp>RCOM IN Equity</stp>
        <stp>ARDR_INTEREST_EXP_BORROW</stp>
        <stp>FY 2009</stp>
        <stp>FY 2009</stp>
        <stp>[FA1_ymffleas.xlsx]Income - As Reported!R91C3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91" s="11"/>
      </tp>
      <tp>
        <v>22650</v>
        <stp/>
        <stp>##V3_BDHV12</stp>
        <stp>RCOM IN Equity</stp>
        <stp>ARDR_INTEREST_EXP_BORROW</stp>
        <stp>FY 2013</stp>
        <stp>FY 2013</stp>
        <stp>[FA1_ymffleas.xlsx]Income - As Reported!R91C7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91" s="11"/>
      </tp>
      <tp>
        <v>14770</v>
        <stp/>
        <stp>##V3_BDHV12</stp>
        <stp>RCOM IN Equity</stp>
        <stp>ARDR_INTEREST_EXP_BORROW</stp>
        <stp>FY 2012</stp>
        <stp>FY 2012</stp>
        <stp>[FA1_ymffleas.xlsx]Income - As Reported!R91C6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91" s="11"/>
      </tp>
      <tp>
        <v>9020</v>
        <stp/>
        <stp>##V3_BDHV12</stp>
        <stp>RCOM IN Equity</stp>
        <stp>ARDR_INTEREST_EXP_BORROW</stp>
        <stp>FY 2011</stp>
        <stp>FY 2011</stp>
        <stp>[FA1_ymffleas.xlsx]Income - As Reported!R91C5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91" s="11"/>
      </tp>
      <tp>
        <v>13422</v>
        <stp/>
        <stp>##V3_BDHV12</stp>
        <stp>RCOM IN Equity</stp>
        <stp>ARDR_INTEREST_EXP_BORROW</stp>
        <stp>FY 2010</stp>
        <stp>FY 2010</stp>
        <stp>[FA1_ymffleas.xlsx]Income - As Reported!R91C4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91" s="11"/>
      </tp>
      <tp>
        <v>24620</v>
        <stp/>
        <stp>##V3_BDHV12</stp>
        <stp>RCOM IN Equity</stp>
        <stp>ARDR_INTEREST_EXP_BORROW</stp>
        <stp>FY 2015</stp>
        <stp>FY 2015</stp>
        <stp>[FA1_ymffleas.xlsx]Income - As Reported!R91C9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91" s="11"/>
      </tp>
      <tp>
        <v>27900</v>
        <stp/>
        <stp>##V3_BDHV12</stp>
        <stp>RCOM IN Equity</stp>
        <stp>ARDR_INTEREST_EXP_BORROW</stp>
        <stp>FY 2014</stp>
        <stp>FY 2014</stp>
        <stp>[FA1_ymffleas.xlsx]Income - As Reported!R91C8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91" s="11"/>
      </tp>
      <tp>
        <v>281951.2</v>
        <stp/>
        <stp>##V3_BDHV12</stp>
        <stp>RCOM IN Equity</stp>
        <stp>NET_DEBT</stp>
        <stp>FY 2009</stp>
        <stp>FY 2009</stp>
        <stp>[FA1_ymffleas.xlsx]Bal Sheet - Standardized!R167C3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67" s="16"/>
      </tp>
      <tp>
        <v>248569.4</v>
        <stp/>
        <stp>##V3_BDHV12</stp>
        <stp>RCOM IN Equity</stp>
        <stp>NET_DEBT</stp>
        <stp>FY 2010</stp>
        <stp>FY 2010</stp>
        <stp>[FA1_ymffleas.xlsx]Bal Sheet - Standardized!R167C4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67" s="16"/>
      </tp>
      <tp>
        <v>337530</v>
        <stp/>
        <stp>##V3_BDHV12</stp>
        <stp>RCOM IN Equity</stp>
        <stp>NET_DEBT</stp>
        <stp>FY 2011</stp>
        <stp>FY 2011</stp>
        <stp>[FA1_ymffleas.xlsx]Bal Sheet - Standardized!R167C5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67" s="16"/>
      </tp>
      <tp>
        <v>372340</v>
        <stp/>
        <stp>##V3_BDHV12</stp>
        <stp>RCOM IN Equity</stp>
        <stp>NET_DEBT</stp>
        <stp>FY 2012</stp>
        <stp>FY 2012</stp>
        <stp>[FA1_ymffleas.xlsx]Bal Sheet - Standardized!R167C6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67" s="16"/>
      </tp>
      <tp>
        <v>402650</v>
        <stp/>
        <stp>##V3_BDHV12</stp>
        <stp>RCOM IN Equity</stp>
        <stp>NET_DEBT</stp>
        <stp>FY 2013</stp>
        <stp>FY 2013</stp>
        <stp>[FA1_ymffleas.xlsx]Bal Sheet - Standardized!R167C7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67" s="16"/>
      </tp>
      <tp>
        <v>411590</v>
        <stp/>
        <stp>##V3_BDHV12</stp>
        <stp>RCOM IN Equity</stp>
        <stp>NET_DEBT</stp>
        <stp>FY 2014</stp>
        <stp>FY 2014</stp>
        <stp>[FA1_ymffleas.xlsx]Bal Sheet - Standardized!R167C8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67" s="16"/>
      </tp>
      <tp>
        <v>372860</v>
        <stp/>
        <stp>##V3_BDHV12</stp>
        <stp>RCOM IN Equity</stp>
        <stp>NET_DEBT</stp>
        <stp>FY 2015</stp>
        <stp>FY 2015</stp>
        <stp>[FA1_ymffleas.xlsx]Bal Sheet - Standardized!R167C9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67" s="16"/>
      </tp>
      <tp>
        <v>3.3079999999999998</v>
        <stp/>
        <stp>##V3_BDHV12</stp>
        <stp>RCOM IN Equity</stp>
        <stp>EBITDA_LES_CAP_EXPEND_TO_INT_EXP</stp>
        <stp>FY 2017</stp>
        <stp>FY 2017</stp>
        <stp>[FA1_ymffleas.xlsx]Credit!R17C11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K17" s="23"/>
      </tp>
      <tp>
        <v>-19470</v>
        <stp/>
        <stp>##V3_BDHV12</stp>
        <stp>RCOM IN Equity</stp>
        <stp>EXTERN_EQY_FNC</stp>
        <stp>FY 2018</stp>
        <stp>FY 2018</stp>
        <stp>[FA1_ymffleas.xlsx]Sources of Capital!R13C12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L13" s="32"/>
      </tp>
      <tp>
        <v>-16110</v>
        <stp/>
        <stp>##V3_BDHV12</stp>
        <stp>RCOM IN Equity</stp>
        <stp>EXTERN_EQY_FNC</stp>
        <stp>FY 2017</stp>
        <stp>FY 2017</stp>
        <stp>[FA1_ymffleas.xlsx]Sources of Capital!R13C11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13" s="32"/>
      </tp>
      <tp>
        <v>-69920</v>
        <stp/>
        <stp>##V3_BDHV12</stp>
        <stp>RCOM IN Equity</stp>
        <stp>EXTERN_EQY_FNC</stp>
        <stp>FY 2016</stp>
        <stp>FY 2016</stp>
        <stp>[FA1_ymffleas.xlsx]Sources of Capital!R13C10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13" s="32"/>
      </tp>
      <tp>
        <v>8.4238</v>
        <stp/>
        <stp>##V3_BDHV12</stp>
        <stp>RCOM IN Equity</stp>
        <stp>TCE_RATIO</stp>
        <stp>FY 2017</stp>
        <stp>FY 2017</stp>
        <stp>[FA1_ymffleas.xlsx]Bal Sheet - Standardized!R169C11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69" s="16"/>
      </tp>
      <tp>
        <v>5.9649000000000001</v>
        <stp/>
        <stp>##V3_BDHV12</stp>
        <stp>RCOM IN Equity</stp>
        <stp>TCE_RATIO</stp>
        <stp>FY 2016</stp>
        <stp>FY 2016</stp>
        <stp>[FA1_ymffleas.xlsx]Bal Sheet - Standardized!R169C10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69" s="16"/>
      </tp>
      <tp>
        <v>-2.2138</v>
        <stp/>
        <stp>##V3_BDHV12</stp>
        <stp>RCOM IN Equity</stp>
        <stp>TCE_RATIO</stp>
        <stp>FY 2018</stp>
        <stp>FY 2018</stp>
        <stp>[FA1_ymffleas.xlsx]Bal Sheet - Standardized!R169C12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69" s="16"/>
      </tp>
      <tp>
        <v>11200</v>
        <stp/>
        <stp>##V3_BDHV12</stp>
        <stp>RCOM IN Equity</stp>
        <stp>IS_PERSONNEL_EXP</stp>
        <stp>FY 2016</stp>
        <stp>FY 2016</stp>
        <stp>[FA1_ymffleas.xlsx]Income - Adjusted!R130C9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30" s="9"/>
      </tp>
      <tp>
        <v>9980</v>
        <stp/>
        <stp>##V3_BDHV12</stp>
        <stp>RCOM IN Equity</stp>
        <stp>IS_PERSONNEL_EXP</stp>
        <stp>FY 2015</stp>
        <stp>FY 2015</stp>
        <stp>[FA1_ymffleas.xlsx]Income - Adjusted!R130C8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30" s="9"/>
      </tp>
      <tp>
        <v>15000.7</v>
        <stp/>
        <stp>##V3_BDHV12</stp>
        <stp>RCOM IN Equity</stp>
        <stp>IS_PERSONNEL_EXP</stp>
        <stp>FY 2010</stp>
        <stp>FY 2010</stp>
        <stp>[FA1_ymffleas.xlsx]Income - Adjusted!R130C3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30" s="9"/>
      </tp>
      <tp>
        <v>12830</v>
        <stp/>
        <stp>##V3_BDHV12</stp>
        <stp>RCOM IN Equity</stp>
        <stp>IS_PERSONNEL_EXP</stp>
        <stp>FY 2012</stp>
        <stp>FY 2012</stp>
        <stp>[FA1_ymffleas.xlsx]Income - Adjusted!R130C5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30" s="9"/>
      </tp>
      <tp>
        <v>14690</v>
        <stp/>
        <stp>##V3_BDHV12</stp>
        <stp>RCOM IN Equity</stp>
        <stp>IS_PERSONNEL_EXP</stp>
        <stp>FY 2011</stp>
        <stp>FY 2011</stp>
        <stp>[FA1_ymffleas.xlsx]Income - Adjusted!R130C4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30" s="9"/>
      </tp>
      <tp>
        <v>10250</v>
        <stp/>
        <stp>##V3_BDHV12</stp>
        <stp>RCOM IN Equity</stp>
        <stp>IS_PERSONNEL_EXP</stp>
        <stp>FY 2014</stp>
        <stp>FY 2014</stp>
        <stp>[FA1_ymffleas.xlsx]Income - Adjusted!R130C7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30" s="9"/>
      </tp>
      <tp>
        <v>11890</v>
        <stp/>
        <stp>##V3_BDHV12</stp>
        <stp>RCOM IN Equity</stp>
        <stp>IS_PERSONNEL_EXP</stp>
        <stp>FY 2013</stp>
        <stp>FY 2013</stp>
        <stp>[FA1_ymffleas.xlsx]Income - Adjusted!R130C6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30" s="9"/>
      </tp>
      <tp>
        <v>0.86619999999999997</v>
        <stp/>
        <stp>##V3_BDHV12</stp>
        <stp>RCOM IN Equity</stp>
        <stp>CUR_RATIO</stp>
        <stp>FY 2018</stp>
        <stp>FY 2018</stp>
        <stp>[FA1_ymffleas.xlsx]Bal Sheet - Standardized!R170C12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170" s="16"/>
      </tp>
      <tp>
        <v>-238390</v>
        <stp/>
        <stp>##V3_BDHV12</stp>
        <stp>RCOM IN Equity</stp>
        <stp>ARD_NET_INC</stp>
        <stp>FY 2018</stp>
        <stp>FY 2018</stp>
        <stp>[FA1_ymffleas.xlsx]Income - As Reported!R51C12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1" s="11"/>
      </tp>
      <tp>
        <v>-14030</v>
        <stp/>
        <stp>##V3_BDHV12</stp>
        <stp>RCOM IN Equity</stp>
        <stp>ARD_NET_INC</stp>
        <stp>FY 2017</stp>
        <stp>FY 2017</stp>
        <stp>[FA1_ymffleas.xlsx]Income - As Reported!R51C11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1" s="11"/>
      </tp>
      <tp>
        <v>6390</v>
        <stp/>
        <stp>##V3_BDHV12</stp>
        <stp>RCOM IN Equity</stp>
        <stp>ARD_NET_INC</stp>
        <stp>FY 2016</stp>
        <stp>FY 2016</stp>
        <stp>[FA1_ymffleas.xlsx]Income - As Reported!R51C10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1" s="11"/>
      </tp>
      <tp>
        <v>0.36099999999999999</v>
        <stp/>
        <stp>##V3_BDHV12</stp>
        <stp>RCOM IN Equity</stp>
        <stp>CUR_RATIO</stp>
        <stp>FY 2017</stp>
        <stp>FY 2017</stp>
        <stp>[FA1_ymffleas.xlsx]Bal Sheet - Standardized!R170C11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170" s="16"/>
      </tp>
      <tp>
        <v>0.42499999999999999</v>
        <stp/>
        <stp>##V3_BDHV12</stp>
        <stp>RCOM IN Equity</stp>
        <stp>CUR_RATIO</stp>
        <stp>FY 2016</stp>
        <stp>FY 2016</stp>
        <stp>[FA1_ymffleas.xlsx]Bal Sheet - Standardized!R170C10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170" s="16"/>
      </tp>
      <tp>
        <v>0.50649999999999995</v>
        <stp/>
        <stp>##V3_BDHV12</stp>
        <stp>RCOM IN Equity</stp>
        <stp>IS_DIL_EPS_BEF_XO</stp>
        <stp>FY 2017</stp>
        <stp>FY 2017</stp>
        <stp>[FA1_ymffleas.xlsx]Reconciliation!R47C10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7" s="12"/>
      </tp>
      <tp>
        <v>0.18970000000000001</v>
        <stp/>
        <stp>##V3_BDHV12</stp>
        <stp>RCOM IN Equity</stp>
        <stp>IS_DIL_EPS_BEF_XO</stp>
        <stp>FY 2018</stp>
        <stp>FY 2018</stp>
        <stp>[FA1_ymffleas.xlsx]Reconciliation!R47C11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7" s="12"/>
      </tp>
      <tp>
        <v>206850.5</v>
        <stp/>
        <stp>##V3_BDHV12</stp>
        <stp>RCOM IN Equity</stp>
        <stp>SALES_REV_TURN</stp>
        <stp>FY 2010</stp>
        <stp>FY 2010</stp>
        <stp>[FA1_ymffleas.xlsx]GAAP %!R6C3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6" s="15"/>
      </tp>
      <tp>
        <v>192940</v>
        <stp/>
        <stp>##V3_BDHV12</stp>
        <stp>RCOM IN Equity</stp>
        <stp>SALES_REV_TURN</stp>
        <stp>FY 2013</stp>
        <stp>FY 2013</stp>
        <stp>[FA1_ymffleas.xlsx]GAAP %!R6C6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6" s="15"/>
      </tp>
      <tp>
        <v>209400</v>
        <stp/>
        <stp>##V3_BDHV12</stp>
        <stp>RCOM IN Equity</stp>
        <stp>SALES_REV_TURN</stp>
        <stp>FY 2014</stp>
        <stp>FY 2014</stp>
        <stp>[FA1_ymffleas.xlsx]GAAP %!R6C7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6" s="15"/>
      </tp>
      <tp>
        <v>220890</v>
        <stp/>
        <stp>##V3_BDHV12</stp>
        <stp>RCOM IN Equity</stp>
        <stp>SALES_REV_TURN</stp>
        <stp>FY 2011</stp>
        <stp>FY 2011</stp>
        <stp>[FA1_ymffleas.xlsx]GAAP %!R6C4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6" s="15"/>
      </tp>
      <tp>
        <v>187160</v>
        <stp/>
        <stp>##V3_BDHV12</stp>
        <stp>RCOM IN Equity</stp>
        <stp>SALES_REV_TURN</stp>
        <stp>FY 2012</stp>
        <stp>FY 2012</stp>
        <stp>[FA1_ymffleas.xlsx]GAAP %!R6C5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6" s="15"/>
      </tp>
      <tp>
        <v>150</v>
        <stp/>
        <stp>##V3_BDHV12</stp>
        <stp>RCOM IN Equity</stp>
        <stp>ARDR_CAPITAL_LEASE_YEAR_1</stp>
        <stp>FY 2017</stp>
        <stp>FY 2017</stp>
        <stp>[FA1_ymffleas.xlsx]Bal Sheet - As Reported!R199C11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199" s="17"/>
      </tp>
      <tp>
        <v>190</v>
        <stp/>
        <stp>##V3_BDHV12</stp>
        <stp>RCOM IN Equity</stp>
        <stp>ARDR_CAPITAL_LEASE_YEAR_1</stp>
        <stp>FY 2016</stp>
        <stp>FY 2016</stp>
        <stp>[FA1_ymffleas.xlsx]Bal Sheet - As Reported!R199C10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199" s="17"/>
      </tp>
      <tp>
        <v>0</v>
        <stp/>
        <stp>##V3_BDHV12</stp>
        <stp>RCOM IN Equity</stp>
        <stp>ARDR_CAPITAL_LEASE_YEAR_1</stp>
        <stp>FY 2018</stp>
        <stp>FY 2018</stp>
        <stp>[FA1_ymffleas.xlsx]Bal Sheet - As Reported!R199C12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199" s="17"/>
      </tp>
      <tp>
        <v>214230</v>
        <stp/>
        <stp>##V3_BDHV12</stp>
        <stp>RCOM IN Equity</stp>
        <stp>SALES_REV_TURN</stp>
        <stp>FY 2015</stp>
        <stp>FY 2015</stp>
        <stp>[FA1_ymffleas.xlsx]GAAP %!R6C8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6" s="15"/>
      </tp>
      <tp>
        <v>217430</v>
        <stp/>
        <stp>##V3_BDHV12</stp>
        <stp>RCOM IN Equity</stp>
        <stp>SALES_REV_TURN</stp>
        <stp>FY 2016</stp>
        <stp>FY 2016</stp>
        <stp>[FA1_ymffleas.xlsx]GAAP %!R6C9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6" s="15"/>
      </tp>
      <tp>
        <v>0.25</v>
        <stp/>
        <stp>##V3_BDHV12</stp>
        <stp>RCOM IN Equity</stp>
        <stp>TRAIL_12M_DVD_PER_SH</stp>
        <stp>FY 2012</stp>
        <stp>FY 2012</stp>
        <stp>[FA1_ymffleas.xlsx]Dividend Summary!R16C6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F16" s="31"/>
      </tp>
      <tp>
        <v>67060</v>
        <stp/>
        <stp>##V3_BDHV12</stp>
        <stp>RCOM IN Equity</stp>
        <stp>EBITDA</stp>
        <stp>FY 2014</stp>
        <stp>FY 2014</stp>
        <stp>[FA1_ymffleas.xlsx]Income - GAAP!R99C7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G99" s="10"/>
      </tp>
      <tp>
        <v>32110</v>
        <stp/>
        <stp>##V3_BDHV12</stp>
        <stp>RCOM IN Equity</stp>
        <stp>OTHER_OPERATING_EXPENSES_RATIO</stp>
        <stp>FY 2018</stp>
        <stp>FY 2018</stp>
        <stp>[FA1_ymffleas.xlsx]Income - GAAP!R33C11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33" s="10"/>
      </tp>
      <tp>
        <v>0.25</v>
        <stp/>
        <stp>##V3_BDHV12</stp>
        <stp>RCOM IN Equity</stp>
        <stp>TRAIL_12M_DVD_PER_SH</stp>
        <stp>FY 2013</stp>
        <stp>FY 2013</stp>
        <stp>[FA1_ymffleas.xlsx]Dividend Summary!R16C7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G16" s="31"/>
      </tp>
      <tp>
        <v>59410</v>
        <stp/>
        <stp>##V3_BDHV12</stp>
        <stp>RCOM IN Equity</stp>
        <stp>EBITDA</stp>
        <stp>FY 2013</stp>
        <stp>FY 2013</stp>
        <stp>[FA1_ymffleas.xlsx]Income - GAAP!R99C6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F99" s="10"/>
      </tp>
      <tp>
        <v>46890</v>
        <stp/>
        <stp>##V3_BDHV12</stp>
        <stp>RCOM IN Equity</stp>
        <stp>OTHER_OPERATING_EXPENSES_RATIO</stp>
        <stp>FY 2017</stp>
        <stp>FY 2017</stp>
        <stp>[FA1_ymffleas.xlsx]Income - GAAP!R33C10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33" s="10"/>
      </tp>
      <tp>
        <v>0.85</v>
        <stp/>
        <stp>##V3_BDHV12</stp>
        <stp>RCOM IN Equity</stp>
        <stp>TRAIL_12M_DVD_PER_SH</stp>
        <stp>FY 2010</stp>
        <stp>FY 2010</stp>
        <stp>[FA1_ymffleas.xlsx]Dividend Summary!R16C4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D16" s="31"/>
      </tp>
      <tp>
        <v>57950</v>
        <stp/>
        <stp>##V3_BDHV12</stp>
        <stp>RCOM IN Equity</stp>
        <stp>EBITDA</stp>
        <stp>FY 2012</stp>
        <stp>FY 2012</stp>
        <stp>[FA1_ymffleas.xlsx]Income - GAAP!R99C5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E99" s="10"/>
      </tp>
      <tp>
        <v>0.5</v>
        <stp/>
        <stp>##V3_BDHV12</stp>
        <stp>RCOM IN Equity</stp>
        <stp>TRAIL_12M_DVD_PER_SH</stp>
        <stp>FY 2011</stp>
        <stp>FY 2011</stp>
        <stp>[FA1_ymffleas.xlsx]Dividend Summary!R16C5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E16" s="31"/>
      </tp>
      <tp>
        <v>83760</v>
        <stp/>
        <stp>##V3_BDHV12</stp>
        <stp>RCOM IN Equity</stp>
        <stp>EBITDA</stp>
        <stp>FY 2011</stp>
        <stp>FY 2011</stp>
        <stp>[FA1_ymffleas.xlsx]Income - GAAP!R99C4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D99" s="10"/>
      </tp>
      <tp t="s">
        <v>—</v>
        <stp/>
        <stp>##V3_BDHV12</stp>
        <stp>RCOM IN Equity</stp>
        <stp>EBITDA_TO_CASH_INTEREST_PAID</stp>
        <stp>FY 2015</stp>
        <stp>FY 2015</stp>
        <stp>[FA1_ymffleas.xlsx]Credit!R20C9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I20" s="23"/>
      </tp>
      <tp>
        <v>69890.399999999994</v>
        <stp/>
        <stp>##V3_BDHV12</stp>
        <stp>RCOM IN Equity</stp>
        <stp>EBITDA</stp>
        <stp>FY 2010</stp>
        <stp>FY 2010</stp>
        <stp>[FA1_ymffleas.xlsx]Income - GAAP!R99C3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C99" s="10"/>
      </tp>
      <tp t="s">
        <v>—</v>
        <stp/>
        <stp>##V3_BDHV12</stp>
        <stp>RCOM IN Equity</stp>
        <stp>ARD_BASIC_EPS_BEF_XO_ITEMS</stp>
        <stp>FY 2018</stp>
        <stp>FY 2018</stp>
        <stp>[FA1_ymffleas.xlsx]Income - As Reported!R42C12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L42" s="11"/>
      </tp>
      <tp>
        <v>0.8</v>
        <stp/>
        <stp>##V3_BDHV12</stp>
        <stp>RCOM IN Equity</stp>
        <stp>TRAIL_12M_DVD_PER_SH</stp>
        <stp>FY 2009</stp>
        <stp>FY 2009</stp>
        <stp>[FA1_ymffleas.xlsx]Dividend Summary!R16C3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C16" s="31"/>
      </tp>
      <tp t="s">
        <v>—</v>
        <stp/>
        <stp>##V3_BDHV12</stp>
        <stp>RCOM IN Equity</stp>
        <stp>ARD_BASIC_EPS_BEF_XO_ITEMS</stp>
        <stp>FY 2016</stp>
        <stp>FY 2016</stp>
        <stp>[FA1_ymffleas.xlsx]Income - As Reported!R42C10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J42" s="11"/>
      </tp>
      <tp t="s">
        <v>—</v>
        <stp/>
        <stp>##V3_BDHV12</stp>
        <stp>RCOM IN Equity</stp>
        <stp>ARD_BASIC_EPS_BEF_XO_ITEMS</stp>
        <stp>FY 2017</stp>
        <stp>FY 2017</stp>
        <stp>[FA1_ymffleas.xlsx]Income - As Reported!R42C11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K42" s="11"/>
      </tp>
      <tp t="s">
        <v>—</v>
        <stp/>
        <stp>##V3_BDHV12</stp>
        <stp>RCOM IN Equity</stp>
        <stp>EV_TO_T12M_FREE_CASH_FLOW_FIRM</stp>
        <stp>FY 2012</stp>
        <stp>FY 2012</stp>
        <stp>[FA1_ymffleas.xlsx]Enterprise Value!R21C5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21" s="5"/>
      </tp>
      <tp>
        <v>-11090</v>
        <stp/>
        <stp>##V3_BDHV12</stp>
        <stp>RCOM IN Equity</stp>
        <stp>CF_FREE_CASH_FLOW</stp>
        <stp>FY 2016</stp>
        <stp>FY 2016</stp>
        <stp>[FA1_ymffleas.xlsx]Cash Flow - Standardized!R61C9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61" s="19"/>
      </tp>
      <tp>
        <v>-20100</v>
        <stp/>
        <stp>##V3_BDHV12</stp>
        <stp>RCOM IN Equity</stp>
        <stp>CF_FREE_CASH_FLOW</stp>
        <stp>FY 2015</stp>
        <stp>FY 2015</stp>
        <stp>[FA1_ymffleas.xlsx]Cash Flow - Standardized!R61C8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61" s="19"/>
      </tp>
      <tp>
        <v>-7770</v>
        <stp/>
        <stp>##V3_BDHV12</stp>
        <stp>RCOM IN Equity</stp>
        <stp>CF_FREE_CASH_FLOW</stp>
        <stp>FY 2012</stp>
        <stp>FY 2012</stp>
        <stp>[FA1_ymffleas.xlsx]Cash Flow - Standardized!R61C5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61" s="19"/>
      </tp>
      <tp>
        <v>-92550</v>
        <stp/>
        <stp>##V3_BDHV12</stp>
        <stp>RCOM IN Equity</stp>
        <stp>CF_FREE_CASH_FLOW</stp>
        <stp>FY 2011</stp>
        <stp>FY 2011</stp>
        <stp>[FA1_ymffleas.xlsx]Cash Flow - Standardized!R61C4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61" s="19"/>
      </tp>
      <tp>
        <v>17050</v>
        <stp/>
        <stp>##V3_BDHV12</stp>
        <stp>RCOM IN Equity</stp>
        <stp>CF_FREE_CASH_FLOW</stp>
        <stp>FY 2014</stp>
        <stp>FY 2014</stp>
        <stp>[FA1_ymffleas.xlsx]Cash Flow - Standardized!R61C7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61" s="19"/>
      </tp>
      <tp>
        <v>-7440</v>
        <stp/>
        <stp>##V3_BDHV12</stp>
        <stp>RCOM IN Equity</stp>
        <stp>CF_FREE_CASH_FLOW</stp>
        <stp>FY 2013</stp>
        <stp>FY 2013</stp>
        <stp>[FA1_ymffleas.xlsx]Cash Flow - Standardized!R61C6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61" s="19"/>
      </tp>
      <tp>
        <v>6796.1</v>
        <stp/>
        <stp>##V3_BDHV12</stp>
        <stp>RCOM IN Equity</stp>
        <stp>CF_FREE_CASH_FLOW</stp>
        <stp>FY 2010</stp>
        <stp>FY 2010</stp>
        <stp>[FA1_ymffleas.xlsx]Cash Flow - Standardized!R61C3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61" s="19"/>
      </tp>
      <tp>
        <v>0</v>
        <stp/>
        <stp>##V3_BDHV12</stp>
        <stp>RCOM IN Equity</stp>
        <stp>TRAIL_12M_DVD_PER_SH</stp>
        <stp>FY 2014</stp>
        <stp>FY 2014</stp>
        <stp>[FA1_ymffleas.xlsx]Dividend Summary!R16C8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H16" s="31"/>
      </tp>
      <tp>
        <v>72600</v>
        <stp/>
        <stp>##V3_BDHV12</stp>
        <stp>RCOM IN Equity</stp>
        <stp>EBITDA</stp>
        <stp>FY 2016</stp>
        <stp>FY 2016</stp>
        <stp>[FA1_ymffleas.xlsx]Income - GAAP!R99C9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I99" s="10"/>
      </tp>
      <tp>
        <v>0</v>
        <stp/>
        <stp>##V3_BDHV12</stp>
        <stp>RCOM IN Equity</stp>
        <stp>TRAIL_12M_DVD_PER_SH</stp>
        <stp>FY 2015</stp>
        <stp>FY 2015</stp>
        <stp>[FA1_ymffleas.xlsx]Dividend Summary!R16C9</stp>
        <stp>Currency=INR</stp>
        <stp>Period=FY</stp>
        <stp>BEST_FPERIOD_OVERRIDE=FY</stp>
        <stp>FILING_STATUS=MR</stp>
        <stp>EQY_CONSOLIDATED=Y</stp>
        <stp>Sort=A</stp>
        <stp>Dates=H</stp>
        <stp>DateFormat=P</stp>
        <stp>Fill=—</stp>
        <stp>Direction=H</stp>
        <stp>UseDPDF=Y</stp>
        <tr r="I16" s="31"/>
      </tp>
      <tp>
        <v>72060</v>
        <stp/>
        <stp>##V3_BDHV12</stp>
        <stp>RCOM IN Equity</stp>
        <stp>EBITDA</stp>
        <stp>FY 2015</stp>
        <stp>FY 2015</stp>
        <stp>[FA1_ymffleas.xlsx]Income - GAAP!R99C8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H99" s="10"/>
      </tp>
      <tp>
        <v>1680</v>
        <stp/>
        <stp>##V3_BDHV12</stp>
        <stp>RCOM IN Equity</stp>
        <stp>IS_INT_EXPENSE</stp>
        <stp>FY 2018</stp>
        <stp>FY 2018</stp>
        <stp>[FA1_ymffleas.xlsx]Income - GAAP!R41C11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K41" s="10"/>
      </tp>
      <tp>
        <v>2240</v>
        <stp/>
        <stp>##V3_BDHV12</stp>
        <stp>RCOM IN Equity</stp>
        <stp>IS_INT_EXPENSE</stp>
        <stp>FY 2017</stp>
        <stp>FY 2017</stp>
        <stp>[FA1_ymffleas.xlsx]Income - GAAP!R41C10</stp>
        <stp>Currency=INR</stp>
        <stp>Period=FY</stp>
        <stp>BEST_FPERIOD_OVERRIDE=FY</stp>
        <stp>FILING_STATUS=MR</stp>
        <stp>EQY_CONSOLIDATED=Y</stp>
        <stp>SCALING_FORMAT=MLN</stp>
        <stp>FA_ADJUSTED=GAAP</stp>
        <stp>Sort=A</stp>
        <stp>Dates=H</stp>
        <stp>DateFormat=P</stp>
        <stp>Fill=—</stp>
        <stp>Direction=H</stp>
        <stp>UseDPDF=Y</stp>
        <tr r="J41" s="10"/>
      </tp>
      <tp>
        <v>0</v>
        <stp/>
        <stp>##V3_BDHV12</stp>
        <stp>RCOM IN Equity</stp>
        <stp>ARDR_OTHER_INTANGIBLE_ASSET</stp>
        <stp>FY 2018</stp>
        <stp>FY 2018</stp>
        <stp>[FA1_ymffleas.xlsx]Bal Sheet - As Reported!R76C12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76" s="17"/>
      </tp>
      <tp>
        <v>80860</v>
        <stp/>
        <stp>##V3_BDHV12</stp>
        <stp>RCOM IN Equity</stp>
        <stp>ARDR_OTHER_INTANGIBLE_ASSET</stp>
        <stp>FY 2016</stp>
        <stp>FY 2016</stp>
        <stp>[FA1_ymffleas.xlsx]Bal Sheet - As Reported!R76C10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76" s="17"/>
      </tp>
      <tp>
        <v>9810</v>
        <stp/>
        <stp>##V3_BDHV12</stp>
        <stp>RCOM IN Equity</stp>
        <stp>ARDR_OTHER_INTANGIBLE_ASSET</stp>
        <stp>FY 2017</stp>
        <stp>FY 2017</stp>
        <stp>[FA1_ymffleas.xlsx]Bal Sheet - As Reported!R76C11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76" s="17"/>
      </tp>
      <tp>
        <v>19.2376</v>
        <stp/>
        <stp>##V3_BDHV12</stp>
        <stp>RCOM IN Equity</stp>
        <stp>ACCT_RCV_DAYS</stp>
        <stp>FY 2011</stp>
        <stp>FY 2011</stp>
        <stp>[FA1_ymffleas.xlsx]Working Capital!R7C5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7" s="25"/>
      </tp>
      <tp>
        <v>-79.083399999999997</v>
        <stp/>
        <stp>##V3_BDHV12</stp>
        <stp>RCOM IN Equity</stp>
        <stp>CASH_FLOW_TO_FIRM_1_YEAR_GROWTH</stp>
        <stp>FY 2011</stp>
        <stp>FY 2011</stp>
        <stp>[FA1_ymffleas.xlsx]Growth!R33C5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E33" s="22"/>
      </tp>
      <tp>
        <v>10</v>
        <stp/>
        <stp>##V3_BDHV12</stp>
        <stp>RCOM IN Equity</stp>
        <stp>ARDR_RENTAL_EXP_YR1</stp>
        <stp>FY 2012</stp>
        <stp>FY 2012</stp>
        <stp>[FA1_ymffleas.xlsx]Bal Sheet - As Reported!R106C6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F106" s="17"/>
      </tp>
      <tp>
        <v>50</v>
        <stp/>
        <stp>##V3_BDHV12</stp>
        <stp>RCOM IN Equity</stp>
        <stp>ARDR_RENTAL_EXP_YR1</stp>
        <stp>FY 2013</stp>
        <stp>FY 2013</stp>
        <stp>[FA1_ymffleas.xlsx]Bal Sheet - As Reported!R106C7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G106" s="17"/>
      </tp>
      <tp>
        <v>3476.1</v>
        <stp/>
        <stp>##V3_BDHV12</stp>
        <stp>RCOM IN Equity</stp>
        <stp>ARDR_RENTAL_EXP_YR1</stp>
        <stp>FY 2010</stp>
        <stp>FY 2010</stp>
        <stp>[FA1_ymffleas.xlsx]Bal Sheet - As Reported!R106C4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D106" s="17"/>
      </tp>
      <tp>
        <v>10</v>
        <stp/>
        <stp>##V3_BDHV12</stp>
        <stp>RCOM IN Equity</stp>
        <stp>ARDR_RENTAL_EXP_YR1</stp>
        <stp>FY 2011</stp>
        <stp>FY 2011</stp>
        <stp>[FA1_ymffleas.xlsx]Bal Sheet - As Reported!R106C5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E106" s="17"/>
      </tp>
      <tp>
        <v>48.3</v>
        <stp/>
        <stp>##V3_BDHV12</stp>
        <stp>RCOM IN Equity</stp>
        <stp>ARDR_RENTAL_EXP_YR1</stp>
        <stp>FY 2009</stp>
        <stp>FY 2009</stp>
        <stp>[FA1_ymffleas.xlsx]Bal Sheet - As Reported!R106C3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C106" s="17"/>
      </tp>
      <tp>
        <v>320</v>
        <stp/>
        <stp>##V3_BDHV12</stp>
        <stp>RCOM IN Equity</stp>
        <stp>ARDR_RENTAL_EXP_YR1</stp>
        <stp>FY 2014</stp>
        <stp>FY 2014</stp>
        <stp>[FA1_ymffleas.xlsx]Bal Sheet - As Reported!R106C8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H106" s="17"/>
      </tp>
      <tp>
        <v>350</v>
        <stp/>
        <stp>##V3_BDHV12</stp>
        <stp>RCOM IN Equity</stp>
        <stp>ARDR_RENTAL_EXP_YR1</stp>
        <stp>FY 2015</stp>
        <stp>FY 2015</stp>
        <stp>[FA1_ymffleas.xlsx]Bal Sheet - As Reported!R106C9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I106" s="17"/>
      </tp>
      <tp>
        <v>8.6698000000000004</v>
        <stp/>
        <stp>##V3_BDHV12</stp>
        <stp>RCOM IN Equity</stp>
        <stp>EV_TO_T12M_EBITDA</stp>
        <stp>FY 2010</stp>
        <stp>FY 2010</stp>
        <stp>[FA1_ymffleas.xlsx]Enterprise Value!R18C3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C18" s="5"/>
      </tp>
      <tp>
        <v>-3.4845000000000002</v>
        <stp/>
        <stp>##V3_BDHV12</stp>
        <stp>RCOM IN Equity</stp>
        <stp>EBITDA_LES_CAP_EXPEND_TO_INT_EXP</stp>
        <stp>FY 2016</stp>
        <stp>FY 2016</stp>
        <stp>[FA1_ymffleas.xlsx]Credit!R17C10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J17" s="23"/>
      </tp>
      <tp>
        <v>-6.5299999999999997E-2</v>
        <stp/>
        <stp>##V3_BDHV12</stp>
        <stp>RCOM IN Equity</stp>
        <stp>PRETAX_INC_TO_NET_SALES</stp>
        <stp>FY 2018</stp>
        <stp>FY 2018</stp>
        <stp>[FA1_ymffleas.xlsx]Profitability!R16C12</stp>
        <stp>Currency=INR</stp>
        <stp>Period=FY</stp>
        <stp>BEST_FPERIOD_OVERRIDE=FY</stp>
        <stp>FILING_STATUS=MR</stp>
        <stp>EQY_CONSOLIDATED=Y</stp>
        <stp>FA_ADJUSTED=GAAP</stp>
        <stp>Sort=A</stp>
        <stp>Dates=H</stp>
        <stp>DateFormat=P</stp>
        <stp>Fill=—</stp>
        <stp>Direction=H</stp>
        <stp>UseDPDF=Y</stp>
        <tr r="L16" s="21"/>
      </tp>
      <tp>
        <v>-350</v>
        <stp/>
        <stp>##V3_BDHV12</stp>
        <stp>RCOM IN Equity</stp>
        <stp>ARD_FOR_CRNCY_TRANS_ADJ_TAX</stp>
        <stp>FY 2017</stp>
        <stp>FY 2017</stp>
        <stp>[FA1_ymffleas.xlsx]Income - As Reported!R57C11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K57" s="11"/>
      </tp>
      <tp>
        <v>1360</v>
        <stp/>
        <stp>##V3_BDHV12</stp>
        <stp>RCOM IN Equity</stp>
        <stp>ARD_FOR_CRNCY_TRANS_ADJ_TAX</stp>
        <stp>FY 2016</stp>
        <stp>FY 2016</stp>
        <stp>[FA1_ymffleas.xlsx]Income - As Reported!R57C10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J57" s="11"/>
      </tp>
      <tp>
        <v>-470</v>
        <stp/>
        <stp>##V3_BDHV12</stp>
        <stp>RCOM IN Equity</stp>
        <stp>ARD_FOR_CRNCY_TRANS_ADJ_TAX</stp>
        <stp>FY 2018</stp>
        <stp>FY 2018</stp>
        <stp>[FA1_ymffleas.xlsx]Income - As Reported!R57C12</stp>
        <stp>Currency=INR</stp>
        <stp>Period=FY</stp>
        <stp>BEST_FPERIOD_OVERRIDE=FY</stp>
        <stp>FILING_STATUS=MR</stp>
        <stp>EQY_CONSOLIDATED=Y</stp>
        <stp>SCALING_FORMAT=MLN</stp>
        <stp>Sort=A</stp>
        <stp>Dates=H</stp>
        <stp>DateFormat=P</stp>
        <stp>Fill=—</stp>
        <stp>Direction=H</stp>
        <stp>UseDPDF=Y</stp>
        <tr r="L57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J1" sqref="J1"/>
    </sheetView>
  </sheetViews>
  <sheetFormatPr defaultRowHeight="14.4"/>
  <cols>
    <col min="1" max="1" width="23.5546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15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</row>
    <row r="6" spans="1:12">
      <c r="A6" s="6" t="s">
        <v>27</v>
      </c>
      <c r="B6" s="6" t="s">
        <v>28</v>
      </c>
      <c r="C6" s="19">
        <f>_xll.BDH("RCOM IN Equity","HISTORICAL_MARKET_CAP","FY 2010","FY 2010","Currency=INR","Period=FY","BEST_FPERIOD_OVERRIDE=FY","FILING_STATUS=MR","EQY_CONSOLIDATED=Y","SCALING_FORMAT=MLN","Sort=A","Dates=H","DateFormat=P","Fill=—","Direction=H","UseDPDF=Y")</f>
        <v>350781.36839999998</v>
      </c>
      <c r="D6" s="19">
        <f>_xll.BDH("RCOM IN Equity","HISTORICAL_MARKET_CAP","FY 2011","FY 2011","Currency=INR","Period=FY","BEST_FPERIOD_OVERRIDE=FY","FILING_STATUS=MR","EQY_CONSOLIDATED=Y","SCALING_FORMAT=MLN","Sort=A","Dates=H","DateFormat=P","Fill=—","Direction=H","UseDPDF=Y")</f>
        <v>222192.49369999999</v>
      </c>
      <c r="E6" s="19">
        <f>_xll.BDH("RCOM IN Equity","HISTORICAL_MARKET_CAP","FY 2012","FY 2012","Currency=INR","Period=FY","BEST_FPERIOD_OVERRIDE=FY","FILING_STATUS=MR","EQY_CONSOLIDATED=Y","SCALING_FORMAT=MLN","Sort=A","Dates=H","DateFormat=P","Fill=—","Direction=H","UseDPDF=Y")</f>
        <v>173481.45929999999</v>
      </c>
      <c r="F6" s="19">
        <f>_xll.BDH("RCOM IN Equity","HISTORICAL_MARKET_CAP","FY 2013","FY 2013","Currency=INR","Period=FY","BEST_FPERIOD_OVERRIDE=FY","FILING_STATUS=MR","EQY_CONSOLIDATED=Y","SCALING_FORMAT=MLN","Sort=A","Dates=H","DateFormat=P","Fill=—","Direction=H","UseDPDF=Y")</f>
        <v>114140.6865</v>
      </c>
      <c r="G6" s="19">
        <f>_xll.BDH("RCOM IN Equity","HISTORICAL_MARKET_CAP","FY 2014","FY 2014","Currency=INR","Period=FY","BEST_FPERIOD_OVERRIDE=FY","FILING_STATUS=MR","EQY_CONSOLIDATED=Y","SCALING_FORMAT=MLN","Sort=A","Dates=H","DateFormat=P","Fill=—","Direction=H","UseDPDF=Y")</f>
        <v>266053.065</v>
      </c>
      <c r="H6" s="19">
        <f>_xll.BDH("RCOM IN Equity","HISTORICAL_MARKET_CAP","FY 2015","FY 2015","Currency=INR","Period=FY","BEST_FPERIOD_OVERRIDE=FY","FILING_STATUS=MR","EQY_CONSOLIDATED=Y","SCALING_FORMAT=MLN","Sort=A","Dates=H","DateFormat=P","Fill=—","Direction=H","UseDPDF=Y")</f>
        <v>147472.04990000001</v>
      </c>
      <c r="I6" s="19">
        <f>_xll.BDH("RCOM IN Equity","HISTORICAL_MARKET_CAP","FY 2016","FY 2016","Currency=INR","Period=FY","BEST_FPERIOD_OVERRIDE=FY","FILING_STATUS=MR","EQY_CONSOLIDATED=Y","SCALING_FORMAT=MLN","Sort=A","Dates=H","DateFormat=P","Fill=—","Direction=H","UseDPDF=Y")</f>
        <v>124448.98729999999</v>
      </c>
      <c r="J6" s="19">
        <f>_xll.BDH("RCOM IN Equity","HISTORICAL_MARKET_CAP","FY 2017","FY 2017","Currency=INR","Period=FY","BEST_FPERIOD_OVERRIDE=FY","FILING_STATUS=MR","EQY_CONSOLIDATED=Y","SCALING_FORMAT=MLN","Sort=A","Dates=H","DateFormat=P","Fill=—","Direction=H","UseDPDF=Y")</f>
        <v>95327.924199999994</v>
      </c>
      <c r="K6" s="19">
        <f>_xll.BDH("RCOM IN Equity","HISTORICAL_MARKET_CAP","FY 2018","FY 2018","Currency=INR","Period=FY","BEST_FPERIOD_OVERRIDE=FY","FILING_STATUS=MR","EQY_CONSOLIDATED=Y","SCALING_FORMAT=MLN","Sort=A","Dates=H","DateFormat=P","Fill=—","Direction=H","UseDPDF=Y")</f>
        <v>60150.343800000002</v>
      </c>
      <c r="L6" s="22">
        <v>18252.51813</v>
      </c>
    </row>
    <row r="7" spans="1:12">
      <c r="A7" s="10" t="s">
        <v>29</v>
      </c>
      <c r="B7" s="10" t="s">
        <v>30</v>
      </c>
      <c r="C7" s="13">
        <f>_xll.BDH("RCOM IN Equity","CASH_AND_MARKETABLE_SECURITIES","FY 2010","FY 2010","Currency=INR","Period=FY","BEST_FPERIOD_OVERRIDE=FY","FILING_STATUS=MR","EQY_CONSOLIDATED=Y","SCALING_FORMAT=MLN","Sort=A","Dates=H","DateFormat=P","Fill=—","Direction=H","UseDPDF=Y")</f>
        <v>48584.800000000003</v>
      </c>
      <c r="D7" s="13">
        <f>_xll.BDH("RCOM IN Equity","CASH_AND_MARKETABLE_SECURITIES","FY 2011","FY 2011","Currency=INR","Period=FY","BEST_FPERIOD_OVERRIDE=FY","FILING_STATUS=MR","EQY_CONSOLIDATED=Y","SCALING_FORMAT=MLN","Sort=A","Dates=H","DateFormat=P","Fill=—","Direction=H","UseDPDF=Y")</f>
        <v>53180</v>
      </c>
      <c r="E7" s="13">
        <f>_xll.BDH("RCOM IN Equity","CASH_AND_MARKETABLE_SECURITIES","FY 2012","FY 2012","Currency=INR","Period=FY","BEST_FPERIOD_OVERRIDE=FY","FILING_STATUS=MR","EQY_CONSOLIDATED=Y","SCALING_FORMAT=MLN","Sort=A","Dates=H","DateFormat=P","Fill=—","Direction=H","UseDPDF=Y")</f>
        <v>10690</v>
      </c>
      <c r="F7" s="13">
        <f>_xll.BDH("RCOM IN Equity","CASH_AND_MARKETABLE_SECURITIES","FY 2013","FY 2013","Currency=INR","Period=FY","BEST_FPERIOD_OVERRIDE=FY","FILING_STATUS=MR","EQY_CONSOLIDATED=Y","SCALING_FORMAT=MLN","Sort=A","Dates=H","DateFormat=P","Fill=—","Direction=H","UseDPDF=Y")</f>
        <v>12820</v>
      </c>
      <c r="G7" s="13">
        <f>_xll.BDH("RCOM IN Equity","CASH_AND_MARKETABLE_SECURITIES","FY 2014","FY 2014","Currency=INR","Period=FY","BEST_FPERIOD_OVERRIDE=FY","FILING_STATUS=MR","EQY_CONSOLIDATED=Y","SCALING_FORMAT=MLN","Sort=A","Dates=H","DateFormat=P","Fill=—","Direction=H","UseDPDF=Y")</f>
        <v>11090</v>
      </c>
      <c r="H7" s="13">
        <f>_xll.BDH("RCOM IN Equity","CASH_AND_MARKETABLE_SECURITIES","FY 2015","FY 2015","Currency=INR","Period=FY","BEST_FPERIOD_OVERRIDE=FY","FILING_STATUS=MR","EQY_CONSOLIDATED=Y","SCALING_FORMAT=MLN","Sort=A","Dates=H","DateFormat=P","Fill=—","Direction=H","UseDPDF=Y")</f>
        <v>26780</v>
      </c>
      <c r="I7" s="13">
        <f>_xll.BDH("RCOM IN Equity","CASH_AND_MARKETABLE_SECURITIES","FY 2016","FY 2016","Currency=INR","Period=FY","BEST_FPERIOD_OVERRIDE=FY","FILING_STATUS=MR","EQY_CONSOLIDATED=Y","SCALING_FORMAT=MLN","Sort=A","Dates=H","DateFormat=P","Fill=—","Direction=H","UseDPDF=Y")</f>
        <v>15170</v>
      </c>
      <c r="J7" s="13">
        <f>_xll.BDH("RCOM IN Equity","CASH_AND_MARKETABLE_SECURITIES","FY 2017","FY 2017","Currency=INR","Period=FY","BEST_FPERIOD_OVERRIDE=FY","FILING_STATUS=MR","EQY_CONSOLIDATED=Y","SCALING_FORMAT=MLN","Sort=A","Dates=H","DateFormat=P","Fill=—","Direction=H","UseDPDF=Y")</f>
        <v>13140</v>
      </c>
      <c r="K7" s="13">
        <f>_xll.BDH("RCOM IN Equity","CASH_AND_MARKETABLE_SECURITIES","FY 2018","FY 2018","Currency=INR","Period=FY","BEST_FPERIOD_OVERRIDE=FY","FILING_STATUS=MR","EQY_CONSOLIDATED=Y","SCALING_FORMAT=MLN","Sort=A","Dates=H","DateFormat=P","Fill=—","Direction=H","UseDPDF=Y")</f>
        <v>7360</v>
      </c>
      <c r="L7" s="16">
        <v>8240</v>
      </c>
    </row>
    <row r="8" spans="1:12">
      <c r="A8" s="10" t="s">
        <v>31</v>
      </c>
      <c r="B8" s="10" t="s">
        <v>32</v>
      </c>
      <c r="C8" s="13">
        <f>_xll.BDH("RCOM IN Equity","PREFERRED_EQUITY_&amp;_MINORITY_INT","FY 2010","FY 2010","Currency=INR","Period=FY","BEST_FPERIOD_OVERRIDE=FY","FILING_STATUS=MR","EQY_CONSOLIDATED=Y","SCALING_FORMAT=MLN","Sort=A","Dates=H","DateFormat=P","Fill=—","Direction=H","UseDPDF=Y")</f>
        <v>6583.9</v>
      </c>
      <c r="D8" s="13">
        <f>_xll.BDH("RCOM IN Equity","PREFERRED_EQUITY_&amp;_MINORITY_INT","FY 2011","FY 2011","Currency=INR","Period=FY","BEST_FPERIOD_OVERRIDE=FY","FILING_STATUS=MR","EQY_CONSOLIDATED=Y","SCALING_FORMAT=MLN","Sort=A","Dates=H","DateFormat=P","Fill=—","Direction=H","UseDPDF=Y")</f>
        <v>8240</v>
      </c>
      <c r="E8" s="13">
        <f>_xll.BDH("RCOM IN Equity","PREFERRED_EQUITY_&amp;_MINORITY_INT","FY 2012","FY 2012","Currency=INR","Period=FY","BEST_FPERIOD_OVERRIDE=FY","FILING_STATUS=MR","EQY_CONSOLIDATED=Y","SCALING_FORMAT=MLN","Sort=A","Dates=H","DateFormat=P","Fill=—","Direction=H","UseDPDF=Y")</f>
        <v>8600</v>
      </c>
      <c r="F8" s="13">
        <f>_xll.BDH("RCOM IN Equity","PREFERRED_EQUITY_&amp;_MINORITY_INT","FY 2013","FY 2013","Currency=INR","Period=FY","BEST_FPERIOD_OVERRIDE=FY","FILING_STATUS=MR","EQY_CONSOLIDATED=Y","SCALING_FORMAT=MLN","Sort=A","Dates=H","DateFormat=P","Fill=—","Direction=H","UseDPDF=Y")</f>
        <v>7250</v>
      </c>
      <c r="G8" s="13">
        <f>_xll.BDH("RCOM IN Equity","PREFERRED_EQUITY_&amp;_MINORITY_INT","FY 2014","FY 2014","Currency=INR","Period=FY","BEST_FPERIOD_OVERRIDE=FY","FILING_STATUS=MR","EQY_CONSOLIDATED=Y","SCALING_FORMAT=MLN","Sort=A","Dates=H","DateFormat=P","Fill=—","Direction=H","UseDPDF=Y")</f>
        <v>7430</v>
      </c>
      <c r="H8" s="13">
        <f>_xll.BDH("RCOM IN Equity","PREFERRED_EQUITY_&amp;_MINORITY_INT","FY 2015","FY 2015","Currency=INR","Period=FY","BEST_FPERIOD_OVERRIDE=FY","FILING_STATUS=MR","EQY_CONSOLIDATED=Y","SCALING_FORMAT=MLN","Sort=A","Dates=H","DateFormat=P","Fill=—","Direction=H","UseDPDF=Y")</f>
        <v>5120</v>
      </c>
      <c r="I8" s="13">
        <f>_xll.BDH("RCOM IN Equity","PREFERRED_EQUITY_&amp;_MINORITY_INT","FY 2016","FY 2016","Currency=INR","Period=FY","BEST_FPERIOD_OVERRIDE=FY","FILING_STATUS=MR","EQY_CONSOLIDATED=Y","SCALING_FORMAT=MLN","Sort=A","Dates=H","DateFormat=P","Fill=—","Direction=H","UseDPDF=Y")</f>
        <v>2820</v>
      </c>
      <c r="J8" s="13">
        <f>_xll.BDH("RCOM IN Equity","PREFERRED_EQUITY_&amp;_MINORITY_INT","FY 2017","FY 2017","Currency=INR","Period=FY","BEST_FPERIOD_OVERRIDE=FY","FILING_STATUS=MR","EQY_CONSOLIDATED=Y","SCALING_FORMAT=MLN","Sort=A","Dates=H","DateFormat=P","Fill=—","Direction=H","UseDPDF=Y")</f>
        <v>4000</v>
      </c>
      <c r="K8" s="13">
        <f>_xll.BDH("RCOM IN Equity","PREFERRED_EQUITY_&amp;_MINORITY_INT","FY 2018","FY 2018","Currency=INR","Period=FY","BEST_FPERIOD_OVERRIDE=FY","FILING_STATUS=MR","EQY_CONSOLIDATED=Y","SCALING_FORMAT=MLN","Sort=A","Dates=H","DateFormat=P","Fill=—","Direction=H","UseDPDF=Y")</f>
        <v>3320</v>
      </c>
      <c r="L8" s="16">
        <v>3350</v>
      </c>
    </row>
    <row r="9" spans="1:12">
      <c r="A9" s="10" t="s">
        <v>33</v>
      </c>
      <c r="B9" s="10" t="s">
        <v>34</v>
      </c>
      <c r="C9" s="13">
        <f>_xll.BDH("RCOM IN Equity","SHORT_AND_LONG_TERM_DEBT","FY 2010","FY 2010","Currency=INR","Period=FY","BEST_FPERIOD_OVERRIDE=FY","FILING_STATUS=MR","EQY_CONSOLIDATED=Y","SCALING_FORMAT=MLN","Sort=A","Dates=H","DateFormat=P","Fill=—","Direction=H","UseDPDF=Y")</f>
        <v>297154.2</v>
      </c>
      <c r="D9" s="13">
        <f>_xll.BDH("RCOM IN Equity","SHORT_AND_LONG_TERM_DEBT","FY 2011","FY 2011","Currency=INR","Period=FY","BEST_FPERIOD_OVERRIDE=FY","FILING_STATUS=MR","EQY_CONSOLIDATED=Y","SCALING_FORMAT=MLN","Sort=A","Dates=H","DateFormat=P","Fill=—","Direction=H","UseDPDF=Y")</f>
        <v>390710</v>
      </c>
      <c r="E9" s="13">
        <f>_xll.BDH("RCOM IN Equity","SHORT_AND_LONG_TERM_DEBT","FY 2012","FY 2012","Currency=INR","Period=FY","BEST_FPERIOD_OVERRIDE=FY","FILING_STATUS=MR","EQY_CONSOLIDATED=Y","SCALING_FORMAT=MLN","Sort=A","Dates=H","DateFormat=P","Fill=—","Direction=H","UseDPDF=Y")</f>
        <v>383030</v>
      </c>
      <c r="F9" s="13">
        <f>_xll.BDH("RCOM IN Equity","SHORT_AND_LONG_TERM_DEBT","FY 2013","FY 2013","Currency=INR","Period=FY","BEST_FPERIOD_OVERRIDE=FY","FILING_STATUS=MR","EQY_CONSOLIDATED=Y","SCALING_FORMAT=MLN","Sort=A","Dates=H","DateFormat=P","Fill=—","Direction=H","UseDPDF=Y")</f>
        <v>415470</v>
      </c>
      <c r="G9" s="13">
        <f>_xll.BDH("RCOM IN Equity","SHORT_AND_LONG_TERM_DEBT","FY 2014","FY 2014","Currency=INR","Period=FY","BEST_FPERIOD_OVERRIDE=FY","FILING_STATUS=MR","EQY_CONSOLIDATED=Y","SCALING_FORMAT=MLN","Sort=A","Dates=H","DateFormat=P","Fill=—","Direction=H","UseDPDF=Y")</f>
        <v>422680</v>
      </c>
      <c r="H9" s="13">
        <f>_xll.BDH("RCOM IN Equity","SHORT_AND_LONG_TERM_DEBT","FY 2015","FY 2015","Currency=INR","Period=FY","BEST_FPERIOD_OVERRIDE=FY","FILING_STATUS=MR","EQY_CONSOLIDATED=Y","SCALING_FORMAT=MLN","Sort=A","Dates=H","DateFormat=P","Fill=—","Direction=H","UseDPDF=Y")</f>
        <v>399640</v>
      </c>
      <c r="I9" s="13">
        <f>_xll.BDH("RCOM IN Equity","SHORT_AND_LONG_TERM_DEBT","FY 2016","FY 2016","Currency=INR","Period=FY","BEST_FPERIOD_OVERRIDE=FY","FILING_STATUS=MR","EQY_CONSOLIDATED=Y","SCALING_FORMAT=MLN","Sort=A","Dates=H","DateFormat=P","Fill=—","Direction=H","UseDPDF=Y")</f>
        <v>436170</v>
      </c>
      <c r="J9" s="13">
        <f>_xll.BDH("RCOM IN Equity","SHORT_AND_LONG_TERM_DEBT","FY 2017","FY 2017","Currency=INR","Period=FY","BEST_FPERIOD_OVERRIDE=FY","FILING_STATUS=MR","EQY_CONSOLIDATED=Y","SCALING_FORMAT=MLN","Sort=A","Dates=H","DateFormat=P","Fill=—","Direction=H","UseDPDF=Y")</f>
        <v>457330</v>
      </c>
      <c r="K9" s="13">
        <f>_xll.BDH("RCOM IN Equity","SHORT_AND_LONG_TERM_DEBT","FY 2018","FY 2018","Currency=INR","Period=FY","BEST_FPERIOD_OVERRIDE=FY","FILING_STATUS=MR","EQY_CONSOLIDATED=Y","SCALING_FORMAT=MLN","Sort=A","Dates=H","DateFormat=P","Fill=—","Direction=H","UseDPDF=Y")</f>
        <v>472830</v>
      </c>
      <c r="L9" s="16">
        <v>327530</v>
      </c>
    </row>
    <row r="10" spans="1:12">
      <c r="A10" s="6" t="s">
        <v>35</v>
      </c>
      <c r="B10" s="6" t="s">
        <v>36</v>
      </c>
      <c r="C10" s="19">
        <f>_xll.BDH("RCOM IN Equity","ENTERPRISE_VALUE","FY 2010","FY 2010","Currency=INR","Period=FY","BEST_FPERIOD_OVERRIDE=FY","FILING_STATUS=MR","EQY_CONSOLIDATED=Y","SCALING_FORMAT=MLN","Sort=A","Dates=H","DateFormat=P","Fill=—","Direction=H","UseDPDF=Y")</f>
        <v>605934.66839999997</v>
      </c>
      <c r="D10" s="19">
        <f>_xll.BDH("RCOM IN Equity","ENTERPRISE_VALUE","FY 2011","FY 2011","Currency=INR","Period=FY","BEST_FPERIOD_OVERRIDE=FY","FILING_STATUS=MR","EQY_CONSOLIDATED=Y","SCALING_FORMAT=MLN","Sort=A","Dates=H","DateFormat=P","Fill=—","Direction=H","UseDPDF=Y")</f>
        <v>567962.49369999999</v>
      </c>
      <c r="E10" s="19">
        <f>_xll.BDH("RCOM IN Equity","ENTERPRISE_VALUE","FY 2012","FY 2012","Currency=INR","Period=FY","BEST_FPERIOD_OVERRIDE=FY","FILING_STATUS=MR","EQY_CONSOLIDATED=Y","SCALING_FORMAT=MLN","Sort=A","Dates=H","DateFormat=P","Fill=—","Direction=H","UseDPDF=Y")</f>
        <v>554421.45929999999</v>
      </c>
      <c r="F10" s="19">
        <f>_xll.BDH("RCOM IN Equity","ENTERPRISE_VALUE","FY 2013","FY 2013","Currency=INR","Period=FY","BEST_FPERIOD_OVERRIDE=FY","FILING_STATUS=MR","EQY_CONSOLIDATED=Y","SCALING_FORMAT=MLN","Sort=A","Dates=H","DateFormat=P","Fill=—","Direction=H","UseDPDF=Y")</f>
        <v>524040.68650000001</v>
      </c>
      <c r="G10" s="19">
        <f>_xll.BDH("RCOM IN Equity","ENTERPRISE_VALUE","FY 2014","FY 2014","Currency=INR","Period=FY","BEST_FPERIOD_OVERRIDE=FY","FILING_STATUS=MR","EQY_CONSOLIDATED=Y","SCALING_FORMAT=MLN","Sort=A","Dates=H","DateFormat=P","Fill=—","Direction=H","UseDPDF=Y")</f>
        <v>685073.06499999994</v>
      </c>
      <c r="H10" s="19">
        <f>_xll.BDH("RCOM IN Equity","ENTERPRISE_VALUE","FY 2015","FY 2015","Currency=INR","Period=FY","BEST_FPERIOD_OVERRIDE=FY","FILING_STATUS=MR","EQY_CONSOLIDATED=Y","SCALING_FORMAT=MLN","Sort=A","Dates=H","DateFormat=P","Fill=—","Direction=H","UseDPDF=Y")</f>
        <v>525452.04989999998</v>
      </c>
      <c r="I10" s="19">
        <f>_xll.BDH("RCOM IN Equity","ENTERPRISE_VALUE","FY 2016","FY 2016","Currency=INR","Period=FY","BEST_FPERIOD_OVERRIDE=FY","FILING_STATUS=MR","EQY_CONSOLIDATED=Y","SCALING_FORMAT=MLN","Sort=A","Dates=H","DateFormat=P","Fill=—","Direction=H","UseDPDF=Y")</f>
        <v>548268.98730000004</v>
      </c>
      <c r="J10" s="19">
        <f>_xll.BDH("RCOM IN Equity","ENTERPRISE_VALUE","FY 2017","FY 2017","Currency=INR","Period=FY","BEST_FPERIOD_OVERRIDE=FY","FILING_STATUS=MR","EQY_CONSOLIDATED=Y","SCALING_FORMAT=MLN","Sort=A","Dates=H","DateFormat=P","Fill=—","Direction=H","UseDPDF=Y")</f>
        <v>543517.92420000001</v>
      </c>
      <c r="K10" s="19">
        <f>_xll.BDH("RCOM IN Equity","ENTERPRISE_VALUE","FY 2018","FY 2018","Currency=INR","Period=FY","BEST_FPERIOD_OVERRIDE=FY","FILING_STATUS=MR","EQY_CONSOLIDATED=Y","SCALING_FORMAT=MLN","Sort=A","Dates=H","DateFormat=P","Fill=—","Direction=H","UseDPDF=Y")</f>
        <v>528940.34380000003</v>
      </c>
      <c r="L10" s="22">
        <v>340892.51812999998</v>
      </c>
    </row>
    <row r="11" spans="1:12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21"/>
    </row>
    <row r="12" spans="1:12">
      <c r="A12" s="6" t="s">
        <v>37</v>
      </c>
      <c r="B12" s="6" t="s">
        <v>38</v>
      </c>
      <c r="C12" s="19">
        <f>_xll.BDH("RCOM IN Equity","SALES_REV_TURN","FY 2010","FY 2010","Currency=INR","Period=FY","BEST_FPERIOD_OVERRIDE=FY","FILING_STATUS=MR","EQY_CONSOLIDATED=Y","SCALING_FORMAT=MLN","FA_ADJUSTED=Adjusted","Sort=A","Dates=H","DateFormat=P","Fill=—","Direction=H","UseDPDF=Y")</f>
        <v>206850.5</v>
      </c>
      <c r="D12" s="19">
        <f>_xll.BDH("RCOM IN Equity","SALES_REV_TURN","FY 2011","FY 2011","Currency=INR","Period=FY","BEST_FPERIOD_OVERRIDE=FY","FILING_STATUS=MR","EQY_CONSOLIDATED=Y","SCALING_FORMAT=MLN","FA_ADJUSTED=Adjusted","Sort=A","Dates=H","DateFormat=P","Fill=—","Direction=H","UseDPDF=Y")</f>
        <v>220890</v>
      </c>
      <c r="E12" s="19">
        <f>_xll.BDH("RCOM IN Equity","SALES_REV_TURN","FY 2012","FY 2012","Currency=INR","Period=FY","BEST_FPERIOD_OVERRIDE=FY","FILING_STATUS=MR","EQY_CONSOLIDATED=Y","SCALING_FORMAT=MLN","FA_ADJUSTED=Adjusted","Sort=A","Dates=H","DateFormat=P","Fill=—","Direction=H","UseDPDF=Y")</f>
        <v>187160</v>
      </c>
      <c r="F12" s="19">
        <f>_xll.BDH("RCOM IN Equity","SALES_REV_TURN","FY 2013","FY 2013","Currency=INR","Period=FY","BEST_FPERIOD_OVERRIDE=FY","FILING_STATUS=MR","EQY_CONSOLIDATED=Y","SCALING_FORMAT=MLN","FA_ADJUSTED=Adjusted","Sort=A","Dates=H","DateFormat=P","Fill=—","Direction=H","UseDPDF=Y")</f>
        <v>192940</v>
      </c>
      <c r="G12" s="19">
        <f>_xll.BDH("RCOM IN Equity","SALES_REV_TURN","FY 2014","FY 2014","Currency=INR","Period=FY","BEST_FPERIOD_OVERRIDE=FY","FILING_STATUS=MR","EQY_CONSOLIDATED=Y","SCALING_FORMAT=MLN","FA_ADJUSTED=Adjusted","Sort=A","Dates=H","DateFormat=P","Fill=—","Direction=H","UseDPDF=Y")</f>
        <v>209400</v>
      </c>
      <c r="H12" s="19">
        <f>_xll.BDH("RCOM IN Equity","SALES_REV_TURN","FY 2015","FY 2015","Currency=INR","Period=FY","BEST_FPERIOD_OVERRIDE=FY","FILING_STATUS=MR","EQY_CONSOLIDATED=Y","SCALING_FORMAT=MLN","FA_ADJUSTED=Adjusted","Sort=A","Dates=H","DateFormat=P","Fill=—","Direction=H","UseDPDF=Y")</f>
        <v>214230</v>
      </c>
      <c r="I12" s="19">
        <f>_xll.BDH("RCOM IN Equity","SALES_REV_TURN","FY 2016","FY 2016","Currency=INR","Period=FY","BEST_FPERIOD_OVERRIDE=FY","FILING_STATUS=MR","EQY_CONSOLIDATED=Y","SCALING_FORMAT=MLN","FA_ADJUSTED=Adjusted","Sort=A","Dates=H","DateFormat=P","Fill=—","Direction=H","UseDPDF=Y")</f>
        <v>217430</v>
      </c>
      <c r="J12" s="19">
        <f>_xll.BDH("RCOM IN Equity","SALES_REV_TURN","FY 2017","FY 2017","Currency=INR","Period=FY","BEST_FPERIOD_OVERRIDE=FY","FILING_STATUS=MR","EQY_CONSOLIDATED=Y","SCALING_FORMAT=MLN","FA_ADJUSTED=Adjusted","Sort=A","Dates=H","DateFormat=P","Fill=—","Direction=H","UseDPDF=Y")</f>
        <v>65540</v>
      </c>
      <c r="K12" s="19">
        <f>_xll.BDH("RCOM IN Equity","SALES_REV_TURN","FY 2018","FY 2018","Currency=INR","Period=FY","BEST_FPERIOD_OVERRIDE=FY","FILING_STATUS=MR","EQY_CONSOLIDATED=Y","SCALING_FORMAT=MLN","FA_ADJUSTED=Adjusted","Sort=A","Dates=H","DateFormat=P","Fill=—","Direction=H","UseDPDF=Y")</f>
        <v>45930</v>
      </c>
      <c r="L12" s="22">
        <v>40020</v>
      </c>
    </row>
    <row r="13" spans="1:12">
      <c r="A13" s="11" t="s">
        <v>39</v>
      </c>
      <c r="B13" s="11" t="s">
        <v>40</v>
      </c>
      <c r="C13" s="25">
        <f>_xll.BDH("RCOM IN Equity","SALES_GROWTH","FY 2010","FY 2010","Currency=INR","Period=FY","BEST_FPERIOD_OVERRIDE=FY","FILING_STATUS=MR","EQY_CONSOLIDATED=Y","FA_ADJUSTED=Adjusted","Sort=A","Dates=H","DateFormat=P","Fill=—","Direction=H","UseDPDF=Y")</f>
        <v>-0.27889999999999998</v>
      </c>
      <c r="D13" s="25">
        <f>_xll.BDH("RCOM IN Equity","SALES_GROWTH","FY 2011","FY 2011","Currency=INR","Period=FY","BEST_FPERIOD_OVERRIDE=FY","FILING_STATUS=MR","EQY_CONSOLIDATED=Y","FA_ADJUSTED=Adjusted","Sort=A","Dates=H","DateFormat=P","Fill=—","Direction=H","UseDPDF=Y")</f>
        <v>6.7873000000000001</v>
      </c>
      <c r="E13" s="25">
        <f>_xll.BDH("RCOM IN Equity","SALES_GROWTH","FY 2012","FY 2012","Currency=INR","Period=FY","BEST_FPERIOD_OVERRIDE=FY","FILING_STATUS=MR","EQY_CONSOLIDATED=Y","FA_ADJUSTED=Adjusted","Sort=A","Dates=H","DateFormat=P","Fill=—","Direction=H","UseDPDF=Y")</f>
        <v>-15.27</v>
      </c>
      <c r="F13" s="25">
        <f>_xll.BDH("RCOM IN Equity","SALES_GROWTH","FY 2013","FY 2013","Currency=INR","Period=FY","BEST_FPERIOD_OVERRIDE=FY","FILING_STATUS=MR","EQY_CONSOLIDATED=Y","FA_ADJUSTED=Adjusted","Sort=A","Dates=H","DateFormat=P","Fill=—","Direction=H","UseDPDF=Y")</f>
        <v>3.0882999999999998</v>
      </c>
      <c r="G13" s="25">
        <f>_xll.BDH("RCOM IN Equity","SALES_GROWTH","FY 2014","FY 2014","Currency=INR","Period=FY","BEST_FPERIOD_OVERRIDE=FY","FILING_STATUS=MR","EQY_CONSOLIDATED=Y","FA_ADJUSTED=Adjusted","Sort=A","Dates=H","DateFormat=P","Fill=—","Direction=H","UseDPDF=Y")</f>
        <v>8.5311000000000003</v>
      </c>
      <c r="H13" s="25">
        <f>_xll.BDH("RCOM IN Equity","SALES_GROWTH","FY 2015","FY 2015","Currency=INR","Period=FY","BEST_FPERIOD_OVERRIDE=FY","FILING_STATUS=MR","EQY_CONSOLIDATED=Y","FA_ADJUSTED=Adjusted","Sort=A","Dates=H","DateFormat=P","Fill=—","Direction=H","UseDPDF=Y")</f>
        <v>2.3066</v>
      </c>
      <c r="I13" s="25">
        <f>_xll.BDH("RCOM IN Equity","SALES_GROWTH","FY 2016","FY 2016","Currency=INR","Period=FY","BEST_FPERIOD_OVERRIDE=FY","FILING_STATUS=MR","EQY_CONSOLIDATED=Y","FA_ADJUSTED=Adjusted","Sort=A","Dates=H","DateFormat=P","Fill=—","Direction=H","UseDPDF=Y")</f>
        <v>1.4937</v>
      </c>
      <c r="J13" s="25">
        <f>_xll.BDH("RCOM IN Equity","SALES_GROWTH","FY 2017","FY 2017","Currency=INR","Period=FY","BEST_FPERIOD_OVERRIDE=FY","FILING_STATUS=MR","EQY_CONSOLIDATED=Y","FA_ADJUSTED=Adjusted","Sort=A","Dates=H","DateFormat=P","Fill=—","Direction=H","UseDPDF=Y")</f>
        <v>-69.856999999999999</v>
      </c>
      <c r="K13" s="25">
        <f>_xll.BDH("RCOM IN Equity","SALES_GROWTH","FY 2018","FY 2018","Currency=INR","Period=FY","BEST_FPERIOD_OVERRIDE=FY","FILING_STATUS=MR","EQY_CONSOLIDATED=Y","FA_ADJUSTED=Adjusted","Sort=A","Dates=H","DateFormat=P","Fill=—","Direction=H","UseDPDF=Y")</f>
        <v>-29.9207</v>
      </c>
      <c r="L13" s="28">
        <v>-49.6983408748115</v>
      </c>
    </row>
    <row r="14" spans="1:12">
      <c r="A14" s="6" t="s">
        <v>41</v>
      </c>
      <c r="B14" s="6" t="s">
        <v>42</v>
      </c>
      <c r="C14" s="19" t="str">
        <f>_xll.BDH("RCOM IN Equity","GROSS_PROFIT","FY 2010","FY 2010","Currency=INR","Period=FY","BEST_FPERIOD_OVERRIDE=FY","FILING_STATUS=MR","EQY_CONSOLIDATED=Y","SCALING_FORMAT=MLN","FA_ADJUSTED=Adjusted","Sort=A","Dates=H","DateFormat=P","Fill=—","Direction=H","UseDPDF=Y")</f>
        <v>—</v>
      </c>
      <c r="D14" s="19" t="str">
        <f>_xll.BDH("RCOM IN Equity","GROSS_PROFIT","FY 2011","FY 2011","Currency=INR","Period=FY","BEST_FPERIOD_OVERRIDE=FY","FILING_STATUS=MR","EQY_CONSOLIDATED=Y","SCALING_FORMAT=MLN","FA_ADJUSTED=Adjusted","Sort=A","Dates=H","DateFormat=P","Fill=—","Direction=H","UseDPDF=Y")</f>
        <v>—</v>
      </c>
      <c r="E14" s="19" t="str">
        <f>_xll.BDH("RCOM IN Equity","GROSS_PROFIT","FY 2012","FY 2012","Currency=INR","Period=FY","BEST_FPERIOD_OVERRIDE=FY","FILING_STATUS=MR","EQY_CONSOLIDATED=Y","SCALING_FORMAT=MLN","FA_ADJUSTED=Adjusted","Sort=A","Dates=H","DateFormat=P","Fill=—","Direction=H","UseDPDF=Y")</f>
        <v>—</v>
      </c>
      <c r="F14" s="19" t="str">
        <f>_xll.BDH("RCOM IN Equity","GROSS_PROFIT","FY 2013","FY 2013","Currency=INR","Period=FY","BEST_FPERIOD_OVERRIDE=FY","FILING_STATUS=MR","EQY_CONSOLIDATED=Y","SCALING_FORMAT=MLN","FA_ADJUSTED=Adjusted","Sort=A","Dates=H","DateFormat=P","Fill=—","Direction=H","UseDPDF=Y")</f>
        <v>—</v>
      </c>
      <c r="G14" s="19" t="str">
        <f>_xll.BDH("RCOM IN Equity","GROSS_PROFIT","FY 2014","FY 2014","Currency=INR","Period=FY","BEST_FPERIOD_OVERRIDE=FY","FILING_STATUS=MR","EQY_CONSOLIDATED=Y","SCALING_FORMAT=MLN","FA_ADJUSTED=Adjusted","Sort=A","Dates=H","DateFormat=P","Fill=—","Direction=H","UseDPDF=Y")</f>
        <v>—</v>
      </c>
      <c r="H14" s="19" t="str">
        <f>_xll.BDH("RCOM IN Equity","GROSS_PROFIT","FY 2015","FY 2015","Currency=INR","Period=FY","BEST_FPERIOD_OVERRIDE=FY","FILING_STATUS=MR","EQY_CONSOLIDATED=Y","SCALING_FORMAT=MLN","FA_ADJUSTED=Adjusted","Sort=A","Dates=H","DateFormat=P","Fill=—","Direction=H","UseDPDF=Y")</f>
        <v>—</v>
      </c>
      <c r="I14" s="19" t="str">
        <f>_xll.BDH("RCOM IN Equity","GROSS_PROFIT","FY 2016","FY 2016","Currency=INR","Period=FY","BEST_FPERIOD_OVERRIDE=FY","FILING_STATUS=MR","EQY_CONSOLIDATED=Y","SCALING_FORMAT=MLN","FA_ADJUSTED=Adjusted","Sort=A","Dates=H","DateFormat=P","Fill=—","Direction=H","UseDPDF=Y")</f>
        <v>—</v>
      </c>
      <c r="J14" s="19" t="str">
        <f>_xll.BDH("RCOM IN Equity","GROSS_PROFIT","FY 2017","FY 2017","Currency=INR","Period=FY","BEST_FPERIOD_OVERRIDE=FY","FILING_STATUS=MR","EQY_CONSOLIDATED=Y","SCALING_FORMAT=MLN","FA_ADJUSTED=Adjusted","Sort=A","Dates=H","DateFormat=P","Fill=—","Direction=H","UseDPDF=Y")</f>
        <v>—</v>
      </c>
      <c r="K14" s="19" t="str">
        <f>_xll.BDH("RCOM IN Equity","GROSS_PROFIT","FY 2018","FY 2018","Currency=INR","Period=FY","BEST_FPERIOD_OVERRIDE=FY","FILING_STATUS=MR","EQY_CONSOLIDATED=Y","SCALING_FORMAT=MLN","FA_ADJUSTED=Adjusted","Sort=A","Dates=H","DateFormat=P","Fill=—","Direction=H","UseDPDF=Y")</f>
        <v>—</v>
      </c>
      <c r="L14" s="22"/>
    </row>
    <row r="15" spans="1:12">
      <c r="A15" s="11" t="s">
        <v>43</v>
      </c>
      <c r="B15" s="11" t="s">
        <v>42</v>
      </c>
      <c r="C15" s="25" t="s">
        <v>44</v>
      </c>
      <c r="D15" s="25" t="s">
        <v>44</v>
      </c>
      <c r="E15" s="25" t="s">
        <v>44</v>
      </c>
      <c r="F15" s="25" t="s">
        <v>44</v>
      </c>
      <c r="G15" s="25" t="s">
        <v>44</v>
      </c>
      <c r="H15" s="25" t="s">
        <v>44</v>
      </c>
      <c r="I15" s="25" t="s">
        <v>44</v>
      </c>
      <c r="J15" s="25" t="s">
        <v>44</v>
      </c>
      <c r="K15" s="25" t="s">
        <v>44</v>
      </c>
      <c r="L15" s="28"/>
    </row>
    <row r="16" spans="1:12">
      <c r="A16" s="6" t="s">
        <v>45</v>
      </c>
      <c r="B16" s="6" t="s">
        <v>46</v>
      </c>
      <c r="C16" s="19">
        <f>_xll.BDH("RCOM IN Equity","EBITDA","FY 2010","FY 2010","Currency=INR","Period=FY","BEST_FPERIOD_OVERRIDE=FY","FILING_STATUS=MR","EQY_CONSOLIDATED=Y","SCALING_FORMAT=MLN","FA_ADJUSTED=Adjusted","Sort=A","Dates=H","DateFormat=P","Fill=—","Direction=H","UseDPDF=Y")</f>
        <v>72955</v>
      </c>
      <c r="D16" s="19">
        <f>_xll.BDH("RCOM IN Equity","EBITDA","FY 2011","FY 2011","Currency=INR","Period=FY","BEST_FPERIOD_OVERRIDE=FY","FILING_STATUS=MR","EQY_CONSOLIDATED=Y","SCALING_FORMAT=MLN","FA_ADJUSTED=Adjusted","Sort=A","Dates=H","DateFormat=P","Fill=—","Direction=H","UseDPDF=Y")</f>
        <v>83760.800000000003</v>
      </c>
      <c r="E16" s="19">
        <f>_xll.BDH("RCOM IN Equity","EBITDA","FY 2012","FY 2012","Currency=INR","Period=FY","BEST_FPERIOD_OVERRIDE=FY","FILING_STATUS=MR","EQY_CONSOLIDATED=Y","SCALING_FORMAT=MLN","FA_ADJUSTED=Adjusted","Sort=A","Dates=H","DateFormat=P","Fill=—","Direction=H","UseDPDF=Y")</f>
        <v>61650</v>
      </c>
      <c r="F16" s="19">
        <f>_xll.BDH("RCOM IN Equity","EBITDA","FY 2013","FY 2013","Currency=INR","Period=FY","BEST_FPERIOD_OVERRIDE=FY","FILING_STATUS=MR","EQY_CONSOLIDATED=Y","SCALING_FORMAT=MLN","FA_ADJUSTED=Adjusted","Sort=A","Dates=H","DateFormat=P","Fill=—","Direction=H","UseDPDF=Y")</f>
        <v>59710</v>
      </c>
      <c r="G16" s="19">
        <f>_xll.BDH("RCOM IN Equity","EBITDA","FY 2014","FY 2014","Currency=INR","Period=FY","BEST_FPERIOD_OVERRIDE=FY","FILING_STATUS=MR","EQY_CONSOLIDATED=Y","SCALING_FORMAT=MLN","FA_ADJUSTED=Adjusted","Sort=A","Dates=H","DateFormat=P","Fill=—","Direction=H","UseDPDF=Y")</f>
        <v>67260</v>
      </c>
      <c r="H16" s="19">
        <f>_xll.BDH("RCOM IN Equity","EBITDA","FY 2015","FY 2015","Currency=INR","Period=FY","BEST_FPERIOD_OVERRIDE=FY","FILING_STATUS=MR","EQY_CONSOLIDATED=Y","SCALING_FORMAT=MLN","FA_ADJUSTED=Adjusted","Sort=A","Dates=H","DateFormat=P","Fill=—","Direction=H","UseDPDF=Y")</f>
        <v>72100</v>
      </c>
      <c r="I16" s="19">
        <f>_xll.BDH("RCOM IN Equity","EBITDA","FY 2016","FY 2016","Currency=INR","Period=FY","BEST_FPERIOD_OVERRIDE=FY","FILING_STATUS=MR","EQY_CONSOLIDATED=Y","SCALING_FORMAT=MLN","FA_ADJUSTED=Adjusted","Sort=A","Dates=H","DateFormat=P","Fill=—","Direction=H","UseDPDF=Y")</f>
        <v>72760</v>
      </c>
      <c r="J16" s="19">
        <f>_xll.BDH("RCOM IN Equity","EBITDA","FY 2017","FY 2017","Currency=INR","Period=FY","BEST_FPERIOD_OVERRIDE=FY","FILING_STATUS=MR","EQY_CONSOLIDATED=Y","SCALING_FORMAT=MLN","FA_ADJUSTED=Adjusted","Sort=A","Dates=H","DateFormat=P","Fill=—","Direction=H","UseDPDF=Y")</f>
        <v>46610</v>
      </c>
      <c r="K16" s="19">
        <f>_xll.BDH("RCOM IN Equity","EBITDA","FY 2018","FY 2018","Currency=INR","Period=FY","BEST_FPERIOD_OVERRIDE=FY","FILING_STATUS=MR","EQY_CONSOLIDATED=Y","SCALING_FORMAT=MLN","FA_ADJUSTED=Adjusted","Sort=A","Dates=H","DateFormat=P","Fill=—","Direction=H","UseDPDF=Y")</f>
        <v>31100</v>
      </c>
      <c r="L16" s="22">
        <v>5160</v>
      </c>
    </row>
    <row r="17" spans="1:12">
      <c r="A17" s="11" t="s">
        <v>43</v>
      </c>
      <c r="B17" s="11" t="s">
        <v>46</v>
      </c>
      <c r="C17" s="25">
        <v>35.269433721455798</v>
      </c>
      <c r="D17" s="25">
        <v>37.919688532753902</v>
      </c>
      <c r="E17" s="25">
        <v>32.939730711690501</v>
      </c>
      <c r="F17" s="25">
        <v>30.947444801492701</v>
      </c>
      <c r="G17" s="25">
        <v>32.120343839541498</v>
      </c>
      <c r="H17" s="25">
        <v>33.6554170751062</v>
      </c>
      <c r="I17" s="25">
        <v>33.463643471462099</v>
      </c>
      <c r="J17" s="25">
        <v>71.116875190723206</v>
      </c>
      <c r="K17" s="25">
        <v>67.711735249292403</v>
      </c>
      <c r="L17" s="28">
        <v>12.893553223388301</v>
      </c>
    </row>
    <row r="18" spans="1:12">
      <c r="A18" s="6" t="s">
        <v>47</v>
      </c>
      <c r="B18" s="6" t="s">
        <v>48</v>
      </c>
      <c r="C18" s="19">
        <f>_xll.BDH("RCOM IN Equity","EARN_FOR_COMMON","FY 2010","FY 2010","Currency=INR","Period=FY","BEST_FPERIOD_OVERRIDE=FY","FILING_STATUS=MR","EQY_CONSOLIDATED=Y","SCALING_FORMAT=MLN","FA_ADJUSTED=Adjusted","Sort=A","Dates=H","DateFormat=P","Fill=—","Direction=H","UseDPDF=Y")</f>
        <v>47190.099000000002</v>
      </c>
      <c r="D18" s="19">
        <f>_xll.BDH("RCOM IN Equity","EARN_FOR_COMMON","FY 2011","FY 2011","Currency=INR","Period=FY","BEST_FPERIOD_OVERRIDE=FY","FILING_STATUS=MR","EQY_CONSOLIDATED=Y","SCALING_FORMAT=MLN","FA_ADJUSTED=Adjusted","Sort=A","Dates=H","DateFormat=P","Fill=—","Direction=H","UseDPDF=Y")</f>
        <v>10829.2125</v>
      </c>
      <c r="E18" s="19">
        <f>_xll.BDH("RCOM IN Equity","EARN_FOR_COMMON","FY 2012","FY 2012","Currency=INR","Period=FY","BEST_FPERIOD_OVERRIDE=FY","FILING_STATUS=MR","EQY_CONSOLIDATED=Y","SCALING_FORMAT=MLN","FA_ADJUSTED=Adjusted","Sort=A","Dates=H","DateFormat=P","Fill=—","Direction=H","UseDPDF=Y")</f>
        <v>11576.7</v>
      </c>
      <c r="F18" s="19">
        <f>_xll.BDH("RCOM IN Equity","EARN_FOR_COMMON","FY 2013","FY 2013","Currency=INR","Period=FY","BEST_FPERIOD_OVERRIDE=FY","FILING_STATUS=MR","EQY_CONSOLIDATED=Y","SCALING_FORMAT=MLN","FA_ADJUSTED=Adjusted","Sort=A","Dates=H","DateFormat=P","Fill=—","Direction=H","UseDPDF=Y")</f>
        <v>6686.9949999999999</v>
      </c>
      <c r="G18" s="19">
        <f>_xll.BDH("RCOM IN Equity","EARN_FOR_COMMON","FY 2014","FY 2014","Currency=INR","Period=FY","BEST_FPERIOD_OVERRIDE=FY","FILING_STATUS=MR","EQY_CONSOLIDATED=Y","SCALING_FORMAT=MLN","FA_ADJUSTED=Adjusted","Sort=A","Dates=H","DateFormat=P","Fill=—","Direction=H","UseDPDF=Y")</f>
        <v>10542.611000000001</v>
      </c>
      <c r="H18" s="19">
        <f>_xll.BDH("RCOM IN Equity","EARN_FOR_COMMON","FY 2015","FY 2015","Currency=INR","Period=FY","BEST_FPERIOD_OVERRIDE=FY","FILING_STATUS=MR","EQY_CONSOLIDATED=Y","SCALING_FORMAT=MLN","FA_ADJUSTED=Adjusted","Sort=A","Dates=H","DateFormat=P","Fill=—","Direction=H","UseDPDF=Y")</f>
        <v>6930.7520000000004</v>
      </c>
      <c r="I18" s="19">
        <f>_xll.BDH("RCOM IN Equity","EARN_FOR_COMMON","FY 2016","FY 2016","Currency=INR","Period=FY","BEST_FPERIOD_OVERRIDE=FY","FILING_STATUS=MR","EQY_CONSOLIDATED=Y","SCALING_FORMAT=MLN","FA_ADJUSTED=Adjusted","Sort=A","Dates=H","DateFormat=P","Fill=—","Direction=H","UseDPDF=Y")</f>
        <v>4984.1149999999998</v>
      </c>
      <c r="J18" s="19">
        <f>_xll.BDH("RCOM IN Equity","EARN_FOR_COMMON","FY 2017","FY 2017","Currency=INR","Period=FY","BEST_FPERIOD_OVERRIDE=FY","FILING_STATUS=MR","EQY_CONSOLIDATED=Y","SCALING_FORMAT=MLN","FA_ADJUSTED=Adjusted","Sort=A","Dates=H","DateFormat=P","Fill=—","Direction=H","UseDPDF=Y")</f>
        <v>1250</v>
      </c>
      <c r="K18" s="19">
        <f>_xll.BDH("RCOM IN Equity","EARN_FOR_COMMON","FY 2018","FY 2018","Currency=INR","Period=FY","BEST_FPERIOD_OVERRIDE=FY","FILING_STATUS=MR","EQY_CONSOLIDATED=Y","SCALING_FORMAT=MLN","FA_ADJUSTED=Adjusted","Sort=A","Dates=H","DateFormat=P","Fill=—","Direction=H","UseDPDF=Y")</f>
        <v>490</v>
      </c>
      <c r="L18" s="22">
        <v>11100</v>
      </c>
    </row>
    <row r="19" spans="1:12">
      <c r="A19" s="11" t="s">
        <v>43</v>
      </c>
      <c r="B19" s="11" t="s">
        <v>48</v>
      </c>
      <c r="C19" s="25">
        <v>22.813625768368901</v>
      </c>
      <c r="D19" s="25">
        <v>4.9025363212458704</v>
      </c>
      <c r="E19" s="25">
        <v>6.1854562940799296</v>
      </c>
      <c r="F19" s="25">
        <v>3.4658417124494698</v>
      </c>
      <c r="G19" s="25">
        <v>5.0346757402101199</v>
      </c>
      <c r="H19" s="25">
        <v>3.2351920832749799</v>
      </c>
      <c r="I19" s="25">
        <v>2.2922848732925498</v>
      </c>
      <c r="J19" s="25">
        <v>1.9072322245956701</v>
      </c>
      <c r="K19" s="25">
        <v>1.0668408447637701</v>
      </c>
      <c r="L19" s="28">
        <v>27.736131934033001</v>
      </c>
    </row>
    <row r="20" spans="1:12">
      <c r="A20" s="6" t="s">
        <v>49</v>
      </c>
      <c r="B20" s="6" t="s">
        <v>50</v>
      </c>
      <c r="C20" s="20">
        <f>_xll.BDH("RCOM IN Equity","IS_DIL_EPS_CONT_OPS","FY 2010","FY 2010","Currency=INR","Period=FY","BEST_FPERIOD_OVERRIDE=FY","FILING_STATUS=MR","EQY_CONSOLIDATED=Y","Sort=A","Dates=H","DateFormat=P","Fill=—","Direction=H","UseDPDF=Y")</f>
        <v>21.916599999999999</v>
      </c>
      <c r="D20" s="20">
        <f>_xll.BDH("RCOM IN Equity","IS_DIL_EPS_CONT_OPS","FY 2011","FY 2011","Currency=INR","Period=FY","BEST_FPERIOD_OVERRIDE=FY","FILING_STATUS=MR","EQY_CONSOLIDATED=Y","Sort=A","Dates=H","DateFormat=P","Fill=—","Direction=H","UseDPDF=Y")</f>
        <v>5.0293999999999999</v>
      </c>
      <c r="E20" s="20">
        <f>_xll.BDH("RCOM IN Equity","IS_DIL_EPS_CONT_OPS","FY 2012","FY 2012","Currency=INR","Period=FY","BEST_FPERIOD_OVERRIDE=FY","FILING_STATUS=MR","EQY_CONSOLIDATED=Y","Sort=A","Dates=H","DateFormat=P","Fill=—","Direction=H","UseDPDF=Y")</f>
        <v>5.5015999999999998</v>
      </c>
      <c r="F20" s="20">
        <f>_xll.BDH("RCOM IN Equity","IS_DIL_EPS_CONT_OPS","FY 2013","FY 2013","Currency=INR","Period=FY","BEST_FPERIOD_OVERRIDE=FY","FILING_STATUS=MR","EQY_CONSOLIDATED=Y","Sort=A","Dates=H","DateFormat=P","Fill=—","Direction=H","UseDPDF=Y")</f>
        <v>3.2397999999999998</v>
      </c>
      <c r="G20" s="20">
        <f>_xll.BDH("RCOM IN Equity","IS_DIL_EPS_CONT_OPS","FY 2014","FY 2014","Currency=INR","Period=FY","BEST_FPERIOD_OVERRIDE=FY","FILING_STATUS=MR","EQY_CONSOLIDATED=Y","Sort=A","Dates=H","DateFormat=P","Fill=—","Direction=H","UseDPDF=Y")</f>
        <v>5.1078000000000001</v>
      </c>
      <c r="H20" s="20">
        <f>_xll.BDH("RCOM IN Equity","IS_DIL_EPS_CONT_OPS","FY 2015","FY 2015","Currency=INR","Period=FY","BEST_FPERIOD_OVERRIDE=FY","FILING_STATUS=MR","EQY_CONSOLIDATED=Y","Sort=A","Dates=H","DateFormat=P","Fill=—","Direction=H","UseDPDF=Y")</f>
        <v>2.9695999999999998</v>
      </c>
      <c r="I20" s="20">
        <f>_xll.BDH("RCOM IN Equity","IS_DIL_EPS_CONT_OPS","FY 2016","FY 2016","Currency=INR","Period=FY","BEST_FPERIOD_OVERRIDE=FY","FILING_STATUS=MR","EQY_CONSOLIDATED=Y","Sort=A","Dates=H","DateFormat=P","Fill=—","Direction=H","UseDPDF=Y")</f>
        <v>2.0196999999999998</v>
      </c>
      <c r="J20" s="20">
        <f>_xll.BDH("RCOM IN Equity","IS_DIL_EPS_CONT_OPS","FY 2017","FY 2017","Currency=INR","Period=FY","BEST_FPERIOD_OVERRIDE=FY","FILING_STATUS=MR","EQY_CONSOLIDATED=Y","Sort=A","Dates=H","DateFormat=P","Fill=—","Direction=H","UseDPDF=Y")</f>
        <v>0.50649999999999995</v>
      </c>
      <c r="K20" s="20">
        <f>_xll.BDH("RCOM IN Equity","IS_DIL_EPS_CONT_OPS","FY 2018","FY 2018","Currency=INR","Period=FY","BEST_FPERIOD_OVERRIDE=FY","FILING_STATUS=MR","EQY_CONSOLIDATED=Y","Sort=A","Dates=H","DateFormat=P","Fill=—","Direction=H","UseDPDF=Y")</f>
        <v>0.18970000000000001</v>
      </c>
      <c r="L20" s="23">
        <v>4.0190530000000004</v>
      </c>
    </row>
    <row r="21" spans="1:12">
      <c r="A21" s="11" t="s">
        <v>39</v>
      </c>
      <c r="B21" s="11" t="s">
        <v>50</v>
      </c>
      <c r="C21" s="25">
        <v>-18.960405964637498</v>
      </c>
      <c r="D21" s="25">
        <v>-77.051941239822995</v>
      </c>
      <c r="E21" s="25">
        <v>9.3872534838392507</v>
      </c>
      <c r="F21" s="25">
        <v>-41.111625914308398</v>
      </c>
      <c r="G21" s="25">
        <v>57.658434320097598</v>
      </c>
      <c r="H21" s="25">
        <v>-41.8614280780643</v>
      </c>
      <c r="I21" s="25">
        <v>-31.986011560499001</v>
      </c>
      <c r="J21" s="25">
        <v>-74.920336280907406</v>
      </c>
      <c r="K21" s="25">
        <v>-62.547774724406999</v>
      </c>
      <c r="L21" s="28">
        <v>11.8852459016393</v>
      </c>
    </row>
    <row r="22" spans="1:12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21"/>
    </row>
    <row r="23" spans="1:12">
      <c r="A23" s="6" t="s">
        <v>51</v>
      </c>
      <c r="B23" s="6" t="s">
        <v>52</v>
      </c>
      <c r="C23" s="19">
        <f>_xll.BDH("RCOM IN Equity","CF_CASH_FROM_OPER","FY 2010","FY 2010","Currency=INR","Period=FY","BEST_FPERIOD_OVERRIDE=FY","FILING_STATUS=MR","EQY_CONSOLIDATED=Y","SCALING_FORMAT=MLN","Sort=A","Dates=H","DateFormat=P","Fill=—","Direction=H","UseDPDF=Y")</f>
        <v>81756.399999999994</v>
      </c>
      <c r="D23" s="19">
        <f>_xll.BDH("RCOM IN Equity","CF_CASH_FROM_OPER","FY 2011","FY 2011","Currency=INR","Period=FY","BEST_FPERIOD_OVERRIDE=FY","FILING_STATUS=MR","EQY_CONSOLIDATED=Y","SCALING_FORMAT=MLN","Sort=A","Dates=H","DateFormat=P","Fill=—","Direction=H","UseDPDF=Y")</f>
        <v>10720</v>
      </c>
      <c r="E23" s="19">
        <f>_xll.BDH("RCOM IN Equity","CF_CASH_FROM_OPER","FY 2012","FY 2012","Currency=INR","Period=FY","BEST_FPERIOD_OVERRIDE=FY","FILING_STATUS=MR","EQY_CONSOLIDATED=Y","SCALING_FORMAT=MLN","Sort=A","Dates=H","DateFormat=P","Fill=—","Direction=H","UseDPDF=Y")</f>
        <v>40730</v>
      </c>
      <c r="F23" s="19">
        <f>_xll.BDH("RCOM IN Equity","CF_CASH_FROM_OPER","FY 2013","FY 2013","Currency=INR","Period=FY","BEST_FPERIOD_OVERRIDE=FY","FILING_STATUS=MR","EQY_CONSOLIDATED=Y","SCALING_FORMAT=MLN","Sort=A","Dates=H","DateFormat=P","Fill=—","Direction=H","UseDPDF=Y")</f>
        <v>13700</v>
      </c>
      <c r="G23" s="19">
        <f>_xll.BDH("RCOM IN Equity","CF_CASH_FROM_OPER","FY 2014","FY 2014","Currency=INR","Period=FY","BEST_FPERIOD_OVERRIDE=FY","FILING_STATUS=MR","EQY_CONSOLIDATED=Y","SCALING_FORMAT=MLN","Sort=A","Dates=H","DateFormat=P","Fill=—","Direction=H","UseDPDF=Y")</f>
        <v>38700</v>
      </c>
      <c r="H23" s="19">
        <f>_xll.BDH("RCOM IN Equity","CF_CASH_FROM_OPER","FY 2015","FY 2015","Currency=INR","Period=FY","BEST_FPERIOD_OVERRIDE=FY","FILING_STATUS=MR","EQY_CONSOLIDATED=Y","SCALING_FORMAT=MLN","Sort=A","Dates=H","DateFormat=P","Fill=—","Direction=H","UseDPDF=Y")</f>
        <v>4860</v>
      </c>
      <c r="I23" s="19">
        <f>_xll.BDH("RCOM IN Equity","CF_CASH_FROM_OPER","FY 2016","FY 2016","Currency=INR","Period=FY","BEST_FPERIOD_OVERRIDE=FY","FILING_STATUS=MR","EQY_CONSOLIDATED=Y","SCALING_FORMAT=MLN","Sort=A","Dates=H","DateFormat=P","Fill=—","Direction=H","UseDPDF=Y")</f>
        <v>142210</v>
      </c>
      <c r="J23" s="19">
        <f>_xll.BDH("RCOM IN Equity","CF_CASH_FROM_OPER","FY 2017","FY 2017","Currency=INR","Period=FY","BEST_FPERIOD_OVERRIDE=FY","FILING_STATUS=MR","EQY_CONSOLIDATED=Y","SCALING_FORMAT=MLN","Sort=A","Dates=H","DateFormat=P","Fill=—","Direction=H","UseDPDF=Y")</f>
        <v>-35600</v>
      </c>
      <c r="K23" s="19">
        <f>_xll.BDH("RCOM IN Equity","CF_CASH_FROM_OPER","FY 2018","FY 2018","Currency=INR","Period=FY","BEST_FPERIOD_OVERRIDE=FY","FILING_STATUS=MR","EQY_CONSOLIDATED=Y","SCALING_FORMAT=MLN","Sort=A","Dates=H","DateFormat=P","Fill=—","Direction=H","UseDPDF=Y")</f>
        <v>-4070</v>
      </c>
      <c r="L23" s="22"/>
    </row>
    <row r="24" spans="1:12">
      <c r="A24" s="6" t="s">
        <v>53</v>
      </c>
      <c r="B24" s="6" t="s">
        <v>54</v>
      </c>
      <c r="C24" s="19">
        <f>_xll.BDH("RCOM IN Equity","CAPITAL_EXPEND","FY 2010","FY 2010","Currency=INR","Period=FY","BEST_FPERIOD_OVERRIDE=FY","FILING_STATUS=MR","EQY_CONSOLIDATED=Y","SCALING_FORMAT=MLN","Sort=A","Dates=H","DateFormat=P","Fill=—","Direction=H","UseDPDF=Y")</f>
        <v>-74960.3</v>
      </c>
      <c r="D24" s="19">
        <f>_xll.BDH("RCOM IN Equity","CAPITAL_EXPEND","FY 2011","FY 2011","Currency=INR","Period=FY","BEST_FPERIOD_OVERRIDE=FY","FILING_STATUS=MR","EQY_CONSOLIDATED=Y","SCALING_FORMAT=MLN","Sort=A","Dates=H","DateFormat=P","Fill=—","Direction=H","UseDPDF=Y")</f>
        <v>-103270</v>
      </c>
      <c r="E24" s="19">
        <f>_xll.BDH("RCOM IN Equity","CAPITAL_EXPEND","FY 2012","FY 2012","Currency=INR","Period=FY","BEST_FPERIOD_OVERRIDE=FY","FILING_STATUS=MR","EQY_CONSOLIDATED=Y","SCALING_FORMAT=MLN","Sort=A","Dates=H","DateFormat=P","Fill=—","Direction=H","UseDPDF=Y")</f>
        <v>-48500</v>
      </c>
      <c r="F24" s="19">
        <f>_xll.BDH("RCOM IN Equity","CAPITAL_EXPEND","FY 2013","FY 2013","Currency=INR","Period=FY","BEST_FPERIOD_OVERRIDE=FY","FILING_STATUS=MR","EQY_CONSOLIDATED=Y","SCALING_FORMAT=MLN","Sort=A","Dates=H","DateFormat=P","Fill=—","Direction=H","UseDPDF=Y")</f>
        <v>-21140</v>
      </c>
      <c r="G24" s="19">
        <f>_xll.BDH("RCOM IN Equity","CAPITAL_EXPEND","FY 2014","FY 2014","Currency=INR","Period=FY","BEST_FPERIOD_OVERRIDE=FY","FILING_STATUS=MR","EQY_CONSOLIDATED=Y","SCALING_FORMAT=MLN","Sort=A","Dates=H","DateFormat=P","Fill=—","Direction=H","UseDPDF=Y")</f>
        <v>-21650</v>
      </c>
      <c r="H24" s="19">
        <f>_xll.BDH("RCOM IN Equity","CAPITAL_EXPEND","FY 2015","FY 2015","Currency=INR","Period=FY","BEST_FPERIOD_OVERRIDE=FY","FILING_STATUS=MR","EQY_CONSOLIDATED=Y","SCALING_FORMAT=MLN","Sort=A","Dates=H","DateFormat=P","Fill=—","Direction=H","UseDPDF=Y")</f>
        <v>-24960</v>
      </c>
      <c r="I24" s="19">
        <f>_xll.BDH("RCOM IN Equity","CAPITAL_EXPEND","FY 2016","FY 2016","Currency=INR","Period=FY","BEST_FPERIOD_OVERRIDE=FY","FILING_STATUS=MR","EQY_CONSOLIDATED=Y","SCALING_FORMAT=MLN","Sort=A","Dates=H","DateFormat=P","Fill=—","Direction=H","UseDPDF=Y")</f>
        <v>-153300</v>
      </c>
      <c r="J24" s="19">
        <f>_xll.BDH("RCOM IN Equity","CAPITAL_EXPEND","FY 2017","FY 2017","Currency=INR","Period=FY","BEST_FPERIOD_OVERRIDE=FY","FILING_STATUS=MR","EQY_CONSOLIDATED=Y","SCALING_FORMAT=MLN","Sort=A","Dates=H","DateFormat=P","Fill=—","Direction=H","UseDPDF=Y")</f>
        <v>-39200</v>
      </c>
      <c r="K24" s="19">
        <f>_xll.BDH("RCOM IN Equity","CAPITAL_EXPEND","FY 2018","FY 2018","Currency=INR","Period=FY","BEST_FPERIOD_OVERRIDE=FY","FILING_STATUS=MR","EQY_CONSOLIDATED=Y","SCALING_FORMAT=MLN","Sort=A","Dates=H","DateFormat=P","Fill=—","Direction=H","UseDPDF=Y")</f>
        <v>-5910</v>
      </c>
      <c r="L24" s="22"/>
    </row>
    <row r="25" spans="1:12">
      <c r="A25" s="6" t="s">
        <v>55</v>
      </c>
      <c r="B25" s="6" t="s">
        <v>56</v>
      </c>
      <c r="C25" s="19">
        <f>_xll.BDH("RCOM IN Equity","CF_FREE_CASH_FLOW","FY 2010","FY 2010","Currency=INR","Period=FY","BEST_FPERIOD_OVERRIDE=FY","FILING_STATUS=MR","EQY_CONSOLIDATED=Y","SCALING_FORMAT=MLN","Sort=A","Dates=H","DateFormat=P","Fill=—","Direction=H","UseDPDF=Y")</f>
        <v>6796.1</v>
      </c>
      <c r="D25" s="19">
        <f>_xll.BDH("RCOM IN Equity","CF_FREE_CASH_FLOW","FY 2011","FY 2011","Currency=INR","Period=FY","BEST_FPERIOD_OVERRIDE=FY","FILING_STATUS=MR","EQY_CONSOLIDATED=Y","SCALING_FORMAT=MLN","Sort=A","Dates=H","DateFormat=P","Fill=—","Direction=H","UseDPDF=Y")</f>
        <v>-92550</v>
      </c>
      <c r="E25" s="19">
        <f>_xll.BDH("RCOM IN Equity","CF_FREE_CASH_FLOW","FY 2012","FY 2012","Currency=INR","Period=FY","BEST_FPERIOD_OVERRIDE=FY","FILING_STATUS=MR","EQY_CONSOLIDATED=Y","SCALING_FORMAT=MLN","Sort=A","Dates=H","DateFormat=P","Fill=—","Direction=H","UseDPDF=Y")</f>
        <v>-7770</v>
      </c>
      <c r="F25" s="19">
        <f>_xll.BDH("RCOM IN Equity","CF_FREE_CASH_FLOW","FY 2013","FY 2013","Currency=INR","Period=FY","BEST_FPERIOD_OVERRIDE=FY","FILING_STATUS=MR","EQY_CONSOLIDATED=Y","SCALING_FORMAT=MLN","Sort=A","Dates=H","DateFormat=P","Fill=—","Direction=H","UseDPDF=Y")</f>
        <v>-7440</v>
      </c>
      <c r="G25" s="19">
        <f>_xll.BDH("RCOM IN Equity","CF_FREE_CASH_FLOW","FY 2014","FY 2014","Currency=INR","Period=FY","BEST_FPERIOD_OVERRIDE=FY","FILING_STATUS=MR","EQY_CONSOLIDATED=Y","SCALING_FORMAT=MLN","Sort=A","Dates=H","DateFormat=P","Fill=—","Direction=H","UseDPDF=Y")</f>
        <v>17050</v>
      </c>
      <c r="H25" s="19">
        <f>_xll.BDH("RCOM IN Equity","CF_FREE_CASH_FLOW","FY 2015","FY 2015","Currency=INR","Period=FY","BEST_FPERIOD_OVERRIDE=FY","FILING_STATUS=MR","EQY_CONSOLIDATED=Y","SCALING_FORMAT=MLN","Sort=A","Dates=H","DateFormat=P","Fill=—","Direction=H","UseDPDF=Y")</f>
        <v>-20100</v>
      </c>
      <c r="I25" s="19">
        <f>_xll.BDH("RCOM IN Equity","CF_FREE_CASH_FLOW","FY 2016","FY 2016","Currency=INR","Period=FY","BEST_FPERIOD_OVERRIDE=FY","FILING_STATUS=MR","EQY_CONSOLIDATED=Y","SCALING_FORMAT=MLN","Sort=A","Dates=H","DateFormat=P","Fill=—","Direction=H","UseDPDF=Y")</f>
        <v>-11090</v>
      </c>
      <c r="J25" s="19">
        <f>_xll.BDH("RCOM IN Equity","CF_FREE_CASH_FLOW","FY 2017","FY 2017","Currency=INR","Period=FY","BEST_FPERIOD_OVERRIDE=FY","FILING_STATUS=MR","EQY_CONSOLIDATED=Y","SCALING_FORMAT=MLN","Sort=A","Dates=H","DateFormat=P","Fill=—","Direction=H","UseDPDF=Y")</f>
        <v>-74800</v>
      </c>
      <c r="K25" s="19">
        <f>_xll.BDH("RCOM IN Equity","CF_FREE_CASH_FLOW","FY 2018","FY 2018","Currency=INR","Period=FY","BEST_FPERIOD_OVERRIDE=FY","FILING_STATUS=MR","EQY_CONSOLIDATED=Y","SCALING_FORMAT=MLN","Sort=A","Dates=H","DateFormat=P","Fill=—","Direction=H","UseDPDF=Y")</f>
        <v>-9980</v>
      </c>
      <c r="L25" s="22"/>
    </row>
    <row r="26" spans="1:12">
      <c r="A26" s="7" t="s">
        <v>57</v>
      </c>
      <c r="B26" s="7"/>
      <c r="C26" s="7" t="s">
        <v>3</v>
      </c>
      <c r="D26" s="7"/>
      <c r="E26" s="7"/>
      <c r="F26" s="7"/>
      <c r="G26" s="7"/>
      <c r="H26" s="7"/>
      <c r="I26" s="7"/>
      <c r="J26" s="7"/>
      <c r="K26" s="7"/>
      <c r="L26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35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382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383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0" t="s">
        <v>384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>
      <c r="A8" s="10" t="s">
        <v>385</v>
      </c>
      <c r="B8" s="10" t="s">
        <v>386</v>
      </c>
      <c r="C8" s="13">
        <f>_xll.BDH("RCOM IN Equity","ARD_REVENUES","FY 2009","FY 2009","Currency=INR","Period=FY","BEST_FPERIOD_OVERRIDE=FY","FILING_STATUS=MR","EQY_CONSOLIDATED=Y","SCALING_FORMAT=MLN","Sort=A","Dates=H","DateFormat=P","Fill=—","Direction=H","UseDPDF=Y")</f>
        <v>222505.4</v>
      </c>
      <c r="D8" s="13">
        <f>_xll.BDH("RCOM IN Equity","ARD_REVENUES","FY 2010","FY 2010","Currency=INR","Period=FY","BEST_FPERIOD_OVERRIDE=FY","FILING_STATUS=MR","EQY_CONSOLIDATED=Y","SCALING_FORMAT=MLN","Sort=A","Dates=H","DateFormat=P","Fill=—","Direction=H","UseDPDF=Y")</f>
        <v>214963.8</v>
      </c>
      <c r="E8" s="13">
        <f>_xll.BDH("RCOM IN Equity","ARD_REVENUES","FY 2011","FY 2011","Currency=INR","Period=FY","BEST_FPERIOD_OVERRIDE=FY","FILING_STATUS=MR","EQY_CONSOLIDATED=Y","SCALING_FORMAT=MLN","Sort=A","Dates=H","DateFormat=P","Fill=—","Direction=H","UseDPDF=Y")</f>
        <v>224310</v>
      </c>
      <c r="F8" s="13">
        <f>_xll.BDH("RCOM IN Equity","ARD_REVENUES","FY 2012","FY 2012","Currency=INR","Period=FY","BEST_FPERIOD_OVERRIDE=FY","FILING_STATUS=MR","EQY_CONSOLIDATED=Y","SCALING_FORMAT=MLN","Sort=A","Dates=H","DateFormat=P","Fill=—","Direction=H","UseDPDF=Y")</f>
        <v>196770</v>
      </c>
      <c r="G8" s="13">
        <f>_xll.BDH("RCOM IN Equity","ARD_REVENUES","FY 2013","FY 2013","Currency=INR","Period=FY","BEST_FPERIOD_OVERRIDE=FY","FILING_STATUS=MR","EQY_CONSOLIDATED=Y","SCALING_FORMAT=MLN","Sort=A","Dates=H","DateFormat=P","Fill=—","Direction=H","UseDPDF=Y")</f>
        <v>205610</v>
      </c>
      <c r="H8" s="13">
        <f>_xll.BDH("RCOM IN Equity","ARD_REVENUES","FY 2014","FY 2014","Currency=INR","Period=FY","BEST_FPERIOD_OVERRIDE=FY","FILING_STATUS=MR","EQY_CONSOLIDATED=Y","SCALING_FORMAT=MLN","Sort=A","Dates=H","DateFormat=P","Fill=—","Direction=H","UseDPDF=Y")</f>
        <v>212380</v>
      </c>
      <c r="I8" s="13">
        <f>_xll.BDH("RCOM IN Equity","ARD_REVENUES","FY 2015","FY 2015","Currency=INR","Period=FY","BEST_FPERIOD_OVERRIDE=FY","FILING_STATUS=MR","EQY_CONSOLIDATED=Y","SCALING_FORMAT=MLN","Sort=A","Dates=H","DateFormat=P","Fill=—","Direction=H","UseDPDF=Y")</f>
        <v>217700</v>
      </c>
      <c r="J8" s="13">
        <f>_xll.BDH("RCOM IN Equity","ARD_REVENUES","FY 2016","FY 2016","Currency=INR","Period=FY","BEST_FPERIOD_OVERRIDE=FY","FILING_STATUS=MR","EQY_CONSOLIDATED=Y","SCALING_FORMAT=MLN","Sort=A","Dates=H","DateFormat=P","Fill=—","Direction=H","UseDPDF=Y")</f>
        <v>219540</v>
      </c>
      <c r="K8" s="13">
        <f>_xll.BDH("RCOM IN Equity","ARD_REVENUES","FY 2017","FY 2017","Currency=INR","Period=FY","BEST_FPERIOD_OVERRIDE=FY","FILING_STATUS=MR","EQY_CONSOLIDATED=Y","SCALING_FORMAT=MLN","Sort=A","Dates=H","DateFormat=P","Fill=—","Direction=H","UseDPDF=Y")</f>
        <v>65540</v>
      </c>
      <c r="L8" s="13">
        <f>_xll.BDH("RCOM IN Equity","ARD_REVENUES","FY 2018","FY 2018","Currency=INR","Period=FY","BEST_FPERIOD_OVERRIDE=FY","FILING_STATUS=MR","EQY_CONSOLIDATED=Y","SCALING_FORMAT=MLN","Sort=A","Dates=H","DateFormat=P","Fill=—","Direction=H","UseDPDF=Y")</f>
        <v>45930</v>
      </c>
    </row>
    <row r="9" spans="1:12">
      <c r="A9" s="10" t="s">
        <v>387</v>
      </c>
      <c r="B9" s="10" t="s">
        <v>388</v>
      </c>
      <c r="C9" s="13" t="str">
        <f>_xll.BDH("RCOM IN Equity","ARD_SERVICE_REVENUE","FY 2009","FY 2009","Currency=INR","Period=FY","BEST_FPERIOD_OVERRIDE=FY","FILING_STATUS=MR","EQY_CONSOLIDATED=Y","SCALING_FORMAT=MLN","Sort=A","Dates=H","DateFormat=P","Fill=—","Direction=H","UseDPDF=Y")</f>
        <v>—</v>
      </c>
      <c r="D9" s="13" t="str">
        <f>_xll.BDH("RCOM IN Equity","ARD_SERVICE_REVENUE","FY 2010","FY 2010","Currency=INR","Period=FY","BEST_FPERIOD_OVERRIDE=FY","FILING_STATUS=MR","EQY_CONSOLIDATED=Y","SCALING_FORMAT=MLN","Sort=A","Dates=H","DateFormat=P","Fill=—","Direction=H","UseDPDF=Y")</f>
        <v>—</v>
      </c>
      <c r="E9" s="13" t="str">
        <f>_xll.BDH("RCOM IN Equity","ARD_SERVICE_REVENUE","FY 2011","FY 2011","Currency=INR","Period=FY","BEST_FPERIOD_OVERRIDE=FY","FILING_STATUS=MR","EQY_CONSOLIDATED=Y","SCALING_FORMAT=MLN","Sort=A","Dates=H","DateFormat=P","Fill=—","Direction=H","UseDPDF=Y")</f>
        <v>—</v>
      </c>
      <c r="F9" s="13" t="str">
        <f>_xll.BDH("RCOM IN Equity","ARD_SERVICE_REVENUE","FY 2012","FY 2012","Currency=INR","Period=FY","BEST_FPERIOD_OVERRIDE=FY","FILING_STATUS=MR","EQY_CONSOLIDATED=Y","SCALING_FORMAT=MLN","Sort=A","Dates=H","DateFormat=P","Fill=—","Direction=H","UseDPDF=Y")</f>
        <v>—</v>
      </c>
      <c r="G9" s="13" t="str">
        <f>_xll.BDH("RCOM IN Equity","ARD_SERVICE_REVENUE","FY 2013","FY 2013","Currency=INR","Period=FY","BEST_FPERIOD_OVERRIDE=FY","FILING_STATUS=MR","EQY_CONSOLIDATED=Y","SCALING_FORMAT=MLN","Sort=A","Dates=H","DateFormat=P","Fill=—","Direction=H","UseDPDF=Y")</f>
        <v>—</v>
      </c>
      <c r="H9" s="13" t="str">
        <f>_xll.BDH("RCOM IN Equity","ARD_SERVICE_REVENUE","FY 2014","FY 2014","Currency=INR","Period=FY","BEST_FPERIOD_OVERRIDE=FY","FILING_STATUS=MR","EQY_CONSOLIDATED=Y","SCALING_FORMAT=MLN","Sort=A","Dates=H","DateFormat=P","Fill=—","Direction=H","UseDPDF=Y")</f>
        <v>—</v>
      </c>
      <c r="I9" s="13" t="str">
        <f>_xll.BDH("RCOM IN Equity","ARD_SERVICE_REVENUE","FY 2015","FY 2015","Currency=INR","Period=FY","BEST_FPERIOD_OVERRIDE=FY","FILING_STATUS=MR","EQY_CONSOLIDATED=Y","SCALING_FORMAT=MLN","Sort=A","Dates=H","DateFormat=P","Fill=—","Direction=H","UseDPDF=Y")</f>
        <v>—</v>
      </c>
      <c r="J9" s="13" t="str">
        <f>_xll.BDH("RCOM IN Equity","ARD_SERVICE_REVENUE","FY 2016","FY 2016","Currency=INR","Period=FY","BEST_FPERIOD_OVERRIDE=FY","FILING_STATUS=MR","EQY_CONSOLIDATED=Y","SCALING_FORMAT=MLN","Sort=A","Dates=H","DateFormat=P","Fill=—","Direction=H","UseDPDF=Y")</f>
        <v>—</v>
      </c>
      <c r="K9" s="13" t="str">
        <f>_xll.BDH("RCOM IN Equity","ARD_SERVICE_REVENUE","FY 2017","FY 2017","Currency=INR","Period=FY","BEST_FPERIOD_OVERRIDE=FY","FILING_STATUS=MR","EQY_CONSOLIDATED=Y","SCALING_FORMAT=MLN","Sort=A","Dates=H","DateFormat=P","Fill=—","Direction=H","UseDPDF=Y")</f>
        <v>—</v>
      </c>
      <c r="L9" s="13" t="str">
        <f>_xll.BDH("RCOM IN Equity","ARD_SERVICE_REVENUE","FY 2018","FY 2018","Currency=INR","Period=FY","BEST_FPERIOD_OVERRIDE=FY","FILING_STATUS=MR","EQY_CONSOLIDATED=Y","SCALING_FORMAT=MLN","Sort=A","Dates=H","DateFormat=P","Fill=—","Direction=H","UseDPDF=Y")</f>
        <v>—</v>
      </c>
    </row>
    <row r="10" spans="1:12">
      <c r="A10" s="10" t="s">
        <v>389</v>
      </c>
      <c r="B10" s="10" t="s">
        <v>390</v>
      </c>
      <c r="C10" s="13" t="str">
        <f>_xll.BDH("RCOM IN Equity","ARD_SALES_OTHER_INCOME","FY 2009","FY 2009","Currency=INR","Period=FY","BEST_FPERIOD_OVERRIDE=FY","FILING_STATUS=MR","EQY_CONSOLIDATED=Y","SCALING_FORMAT=MLN","Sort=A","Dates=H","DateFormat=P","Fill=—","Direction=H","UseDPDF=Y")</f>
        <v>—</v>
      </c>
      <c r="D10" s="13" t="str">
        <f>_xll.BDH("RCOM IN Equity","ARD_SALES_OTHER_INCOME","FY 2010","FY 2010","Currency=INR","Period=FY","BEST_FPERIOD_OVERRIDE=FY","FILING_STATUS=MR","EQY_CONSOLIDATED=Y","SCALING_FORMAT=MLN","Sort=A","Dates=H","DateFormat=P","Fill=—","Direction=H","UseDPDF=Y")</f>
        <v>—</v>
      </c>
      <c r="E10" s="13" t="str">
        <f>_xll.BDH("RCOM IN Equity","ARD_SALES_OTHER_INCOME","FY 2011","FY 2011","Currency=INR","Period=FY","BEST_FPERIOD_OVERRIDE=FY","FILING_STATUS=MR","EQY_CONSOLIDATED=Y","SCALING_FORMAT=MLN","Sort=A","Dates=H","DateFormat=P","Fill=—","Direction=H","UseDPDF=Y")</f>
        <v>—</v>
      </c>
      <c r="F10" s="13">
        <f>_xll.BDH("RCOM IN Equity","ARD_SALES_OTHER_INCOME","FY 2012","FY 2012","Currency=INR","Period=FY","BEST_FPERIOD_OVERRIDE=FY","FILING_STATUS=MR","EQY_CONSOLIDATED=Y","SCALING_FORMAT=MLN","Sort=A","Dates=H","DateFormat=P","Fill=—","Direction=H","UseDPDF=Y")</f>
        <v>203820</v>
      </c>
      <c r="G10" s="13" t="str">
        <f>_xll.BDH("RCOM IN Equity","ARD_SALES_OTHER_INCOME","FY 2013","FY 2013","Currency=INR","Period=FY","BEST_FPERIOD_OVERRIDE=FY","FILING_STATUS=MR","EQY_CONSOLIDATED=Y","SCALING_FORMAT=MLN","Sort=A","Dates=H","DateFormat=P","Fill=—","Direction=H","UseDPDF=Y")</f>
        <v>—</v>
      </c>
      <c r="H10" s="13" t="str">
        <f>_xll.BDH("RCOM IN Equity","ARD_SALES_OTHER_INCOME","FY 2014","FY 2014","Currency=INR","Period=FY","BEST_FPERIOD_OVERRIDE=FY","FILING_STATUS=MR","EQY_CONSOLIDATED=Y","SCALING_FORMAT=MLN","Sort=A","Dates=H","DateFormat=P","Fill=—","Direction=H","UseDPDF=Y")</f>
        <v>—</v>
      </c>
      <c r="I10" s="13" t="str">
        <f>_xll.BDH("RCOM IN Equity","ARD_SALES_OTHER_INCOME","FY 2015","FY 2015","Currency=INR","Period=FY","BEST_FPERIOD_OVERRIDE=FY","FILING_STATUS=MR","EQY_CONSOLIDATED=Y","SCALING_FORMAT=MLN","Sort=A","Dates=H","DateFormat=P","Fill=—","Direction=H","UseDPDF=Y")</f>
        <v>—</v>
      </c>
      <c r="J10" s="13" t="str">
        <f>_xll.BDH("RCOM IN Equity","ARD_SALES_OTHER_INCOME","FY 2016","FY 2016","Currency=INR","Period=FY","BEST_FPERIOD_OVERRIDE=FY","FILING_STATUS=MR","EQY_CONSOLIDATED=Y","SCALING_FORMAT=MLN","Sort=A","Dates=H","DateFormat=P","Fill=—","Direction=H","UseDPDF=Y")</f>
        <v>—</v>
      </c>
      <c r="K10" s="13" t="str">
        <f>_xll.BDH("RCOM IN Equity","ARD_SALES_OTHER_INCOME","FY 2017","FY 2017","Currency=INR","Period=FY","BEST_FPERIOD_OVERRIDE=FY","FILING_STATUS=MR","EQY_CONSOLIDATED=Y","SCALING_FORMAT=MLN","Sort=A","Dates=H","DateFormat=P","Fill=—","Direction=H","UseDPDF=Y")</f>
        <v>—</v>
      </c>
      <c r="L10" s="13" t="str">
        <f>_xll.BDH("RCOM IN Equity","ARD_SALES_OTHER_INCOME","FY 2018","FY 2018","Currency=INR","Period=FY","BEST_FPERIOD_OVERRIDE=FY","FILING_STATUS=MR","EQY_CONSOLIDATED=Y","SCALING_FORMAT=MLN","Sort=A","Dates=H","DateFormat=P","Fill=—","Direction=H","UseDPDF=Y")</f>
        <v>—</v>
      </c>
    </row>
    <row r="11" spans="1:12">
      <c r="A11" s="10" t="s">
        <v>391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>
      <c r="A12" s="10" t="s">
        <v>392</v>
      </c>
      <c r="B12" s="10" t="s">
        <v>393</v>
      </c>
      <c r="C12" s="13" t="str">
        <f>_xll.BDH("RCOM IN Equity","ARD_TOTAL_OPERATING_EXPENSES","FY 2009","FY 2009","Currency=INR","Period=FY","BEST_FPERIOD_OVERRIDE=FY","FILING_STATUS=MR","EQY_CONSOLIDATED=Y","SCALING_FORMAT=MLN","Sort=A","Dates=H","DateFormat=P","Fill=—","Direction=H","UseDPDF=Y")</f>
        <v>—</v>
      </c>
      <c r="D12" s="13" t="str">
        <f>_xll.BDH("RCOM IN Equity","ARD_TOTAL_OPERATING_EXPENSES","FY 2010","FY 2010","Currency=INR","Period=FY","BEST_FPERIOD_OVERRIDE=FY","FILING_STATUS=MR","EQY_CONSOLIDATED=Y","SCALING_FORMAT=MLN","Sort=A","Dates=H","DateFormat=P","Fill=—","Direction=H","UseDPDF=Y")</f>
        <v>—</v>
      </c>
      <c r="E12" s="13" t="str">
        <f>_xll.BDH("RCOM IN Equity","ARD_TOTAL_OPERATING_EXPENSES","FY 2011","FY 2011","Currency=INR","Period=FY","BEST_FPERIOD_OVERRIDE=FY","FILING_STATUS=MR","EQY_CONSOLIDATED=Y","SCALING_FORMAT=MLN","Sort=A","Dates=H","DateFormat=P","Fill=—","Direction=H","UseDPDF=Y")</f>
        <v>—</v>
      </c>
      <c r="F12" s="13" t="str">
        <f>_xll.BDH("RCOM IN Equity","ARD_TOTAL_OPERATING_EXPENSES","FY 2012","FY 2012","Currency=INR","Period=FY","BEST_FPERIOD_OVERRIDE=FY","FILING_STATUS=MR","EQY_CONSOLIDATED=Y","SCALING_FORMAT=MLN","Sort=A","Dates=H","DateFormat=P","Fill=—","Direction=H","UseDPDF=Y")</f>
        <v>—</v>
      </c>
      <c r="G12" s="13" t="str">
        <f>_xll.BDH("RCOM IN Equity","ARD_TOTAL_OPERATING_EXPENSES","FY 2013","FY 2013","Currency=INR","Period=FY","BEST_FPERIOD_OVERRIDE=FY","FILING_STATUS=MR","EQY_CONSOLIDATED=Y","SCALING_FORMAT=MLN","Sort=A","Dates=H","DateFormat=P","Fill=—","Direction=H","UseDPDF=Y")</f>
        <v>—</v>
      </c>
      <c r="H12" s="13" t="str">
        <f>_xll.BDH("RCOM IN Equity","ARD_TOTAL_OPERATING_EXPENSES","FY 2014","FY 2014","Currency=INR","Period=FY","BEST_FPERIOD_OVERRIDE=FY","FILING_STATUS=MR","EQY_CONSOLIDATED=Y","SCALING_FORMAT=MLN","Sort=A","Dates=H","DateFormat=P","Fill=—","Direction=H","UseDPDF=Y")</f>
        <v>—</v>
      </c>
      <c r="I12" s="13" t="str">
        <f>_xll.BDH("RCOM IN Equity","ARD_TOTAL_OPERATING_EXPENSES","FY 2015","FY 2015","Currency=INR","Period=FY","BEST_FPERIOD_OVERRIDE=FY","FILING_STATUS=MR","EQY_CONSOLIDATED=Y","SCALING_FORMAT=MLN","Sort=A","Dates=H","DateFormat=P","Fill=—","Direction=H","UseDPDF=Y")</f>
        <v>—</v>
      </c>
      <c r="J12" s="13" t="str">
        <f>_xll.BDH("RCOM IN Equity","ARD_TOTAL_OPERATING_EXPENSES","FY 2016","FY 2016","Currency=INR","Period=FY","BEST_FPERIOD_OVERRIDE=FY","FILING_STATUS=MR","EQY_CONSOLIDATED=Y","SCALING_FORMAT=MLN","Sort=A","Dates=H","DateFormat=P","Fill=—","Direction=H","UseDPDF=Y")</f>
        <v>—</v>
      </c>
      <c r="K12" s="13" t="str">
        <f>_xll.BDH("RCOM IN Equity","ARD_TOTAL_OPERATING_EXPENSES","FY 2017","FY 2017","Currency=INR","Period=FY","BEST_FPERIOD_OVERRIDE=FY","FILING_STATUS=MR","EQY_CONSOLIDATED=Y","SCALING_FORMAT=MLN","Sort=A","Dates=H","DateFormat=P","Fill=—","Direction=H","UseDPDF=Y")</f>
        <v>—</v>
      </c>
      <c r="L12" s="13" t="str">
        <f>_xll.BDH("RCOM IN Equity","ARD_TOTAL_OPERATING_EXPENSES","FY 2018","FY 2018","Currency=INR","Period=FY","BEST_FPERIOD_OVERRIDE=FY","FILING_STATUS=MR","EQY_CONSOLIDATED=Y","SCALING_FORMAT=MLN","Sort=A","Dates=H","DateFormat=P","Fill=—","Direction=H","UseDPDF=Y")</f>
        <v>—</v>
      </c>
    </row>
    <row r="13" spans="1:12">
      <c r="A13" s="10" t="s">
        <v>394</v>
      </c>
      <c r="B13" s="10" t="s">
        <v>395</v>
      </c>
      <c r="C13" s="13" t="str">
        <f>_xll.BDH("RCOM IN Equity","ARD_COST_OF_GOODS_SOLD","FY 2009","FY 2009","Currency=INR","Period=FY","BEST_FPERIOD_OVERRIDE=FY","FILING_STATUS=MR","EQY_CONSOLIDATED=Y","SCALING_FORMAT=MLN","Sort=A","Dates=H","DateFormat=P","Fill=—","Direction=H","UseDPDF=Y")</f>
        <v>—</v>
      </c>
      <c r="D13" s="13" t="str">
        <f>_xll.BDH("RCOM IN Equity","ARD_COST_OF_GOODS_SOLD","FY 2010","FY 2010","Currency=INR","Period=FY","BEST_FPERIOD_OVERRIDE=FY","FILING_STATUS=MR","EQY_CONSOLIDATED=Y","SCALING_FORMAT=MLN","Sort=A","Dates=H","DateFormat=P","Fill=—","Direction=H","UseDPDF=Y")</f>
        <v>—</v>
      </c>
      <c r="E13" s="13" t="str">
        <f>_xll.BDH("RCOM IN Equity","ARD_COST_OF_GOODS_SOLD","FY 2011","FY 2011","Currency=INR","Period=FY","BEST_FPERIOD_OVERRIDE=FY","FILING_STATUS=MR","EQY_CONSOLIDATED=Y","SCALING_FORMAT=MLN","Sort=A","Dates=H","DateFormat=P","Fill=—","Direction=H","UseDPDF=Y")</f>
        <v>—</v>
      </c>
      <c r="F13" s="13">
        <f>_xll.BDH("RCOM IN Equity","ARD_COST_OF_GOODS_SOLD","FY 2012","FY 2012","Currency=INR","Period=FY","BEST_FPERIOD_OVERRIDE=FY","FILING_STATUS=MR","EQY_CONSOLIDATED=Y","SCALING_FORMAT=MLN","Sort=A","Dates=H","DateFormat=P","Fill=—","Direction=H","UseDPDF=Y")</f>
        <v>96520</v>
      </c>
      <c r="G13" s="13" t="str">
        <f>_xll.BDH("RCOM IN Equity","ARD_COST_OF_GOODS_SOLD","FY 2013","FY 2013","Currency=INR","Period=FY","BEST_FPERIOD_OVERRIDE=FY","FILING_STATUS=MR","EQY_CONSOLIDATED=Y","SCALING_FORMAT=MLN","Sort=A","Dates=H","DateFormat=P","Fill=—","Direction=H","UseDPDF=Y")</f>
        <v>—</v>
      </c>
      <c r="H13" s="13" t="str">
        <f>_xll.BDH("RCOM IN Equity","ARD_COST_OF_GOODS_SOLD","FY 2014","FY 2014","Currency=INR","Period=FY","BEST_FPERIOD_OVERRIDE=FY","FILING_STATUS=MR","EQY_CONSOLIDATED=Y","SCALING_FORMAT=MLN","Sort=A","Dates=H","DateFormat=P","Fill=—","Direction=H","UseDPDF=Y")</f>
        <v>—</v>
      </c>
      <c r="I13" s="13" t="str">
        <f>_xll.BDH("RCOM IN Equity","ARD_COST_OF_GOODS_SOLD","FY 2015","FY 2015","Currency=INR","Period=FY","BEST_FPERIOD_OVERRIDE=FY","FILING_STATUS=MR","EQY_CONSOLIDATED=Y","SCALING_FORMAT=MLN","Sort=A","Dates=H","DateFormat=P","Fill=—","Direction=H","UseDPDF=Y")</f>
        <v>—</v>
      </c>
      <c r="J13" s="13" t="str">
        <f>_xll.BDH("RCOM IN Equity","ARD_COST_OF_GOODS_SOLD","FY 2016","FY 2016","Currency=INR","Period=FY","BEST_FPERIOD_OVERRIDE=FY","FILING_STATUS=MR","EQY_CONSOLIDATED=Y","SCALING_FORMAT=MLN","Sort=A","Dates=H","DateFormat=P","Fill=—","Direction=H","UseDPDF=Y")</f>
        <v>—</v>
      </c>
      <c r="K13" s="13" t="str">
        <f>_xll.BDH("RCOM IN Equity","ARD_COST_OF_GOODS_SOLD","FY 2017","FY 2017","Currency=INR","Period=FY","BEST_FPERIOD_OVERRIDE=FY","FILING_STATUS=MR","EQY_CONSOLIDATED=Y","SCALING_FORMAT=MLN","Sort=A","Dates=H","DateFormat=P","Fill=—","Direction=H","UseDPDF=Y")</f>
        <v>—</v>
      </c>
      <c r="L13" s="13" t="str">
        <f>_xll.BDH("RCOM IN Equity","ARD_COST_OF_GOODS_SOLD","FY 2018","FY 2018","Currency=INR","Period=FY","BEST_FPERIOD_OVERRIDE=FY","FILING_STATUS=MR","EQY_CONSOLIDATED=Y","SCALING_FORMAT=MLN","Sort=A","Dates=H","DateFormat=P","Fill=—","Direction=H","UseDPDF=Y")</f>
        <v>—</v>
      </c>
    </row>
    <row r="14" spans="1:12">
      <c r="A14" s="10" t="s">
        <v>396</v>
      </c>
      <c r="B14" s="10" t="s">
        <v>397</v>
      </c>
      <c r="C14" s="13">
        <f>_xll.BDH("RCOM IN Equity","ARD_SALARIES_WAGE_EMPLOYEE_BEN","FY 2009","FY 2009","Currency=INR","Period=FY","BEST_FPERIOD_OVERRIDE=FY","FILING_STATUS=MR","EQY_CONSOLIDATED=Y","SCALING_FORMAT=MLN","Sort=A","Dates=H","DateFormat=P","Fill=—","Direction=H","UseDPDF=Y")</f>
        <v>16765.5</v>
      </c>
      <c r="D14" s="13">
        <f>_xll.BDH("RCOM IN Equity","ARD_SALARIES_WAGE_EMPLOYEE_BEN","FY 2010","FY 2010","Currency=INR","Period=FY","BEST_FPERIOD_OVERRIDE=FY","FILING_STATUS=MR","EQY_CONSOLIDATED=Y","SCALING_FORMAT=MLN","Sort=A","Dates=H","DateFormat=P","Fill=—","Direction=H","UseDPDF=Y")</f>
        <v>15000.7</v>
      </c>
      <c r="E14" s="13">
        <f>_xll.BDH("RCOM IN Equity","ARD_SALARIES_WAGE_EMPLOYEE_BEN","FY 2011","FY 2011","Currency=INR","Period=FY","BEST_FPERIOD_OVERRIDE=FY","FILING_STATUS=MR","EQY_CONSOLIDATED=Y","SCALING_FORMAT=MLN","Sort=A","Dates=H","DateFormat=P","Fill=—","Direction=H","UseDPDF=Y")</f>
        <v>14690</v>
      </c>
      <c r="F14" s="13">
        <f>_xll.BDH("RCOM IN Equity","ARD_SALARIES_WAGE_EMPLOYEE_BEN","FY 2012","FY 2012","Currency=INR","Period=FY","BEST_FPERIOD_OVERRIDE=FY","FILING_STATUS=MR","EQY_CONSOLIDATED=Y","SCALING_FORMAT=MLN","Sort=A","Dates=H","DateFormat=P","Fill=—","Direction=H","UseDPDF=Y")</f>
        <v>12830</v>
      </c>
      <c r="G14" s="13">
        <f>_xll.BDH("RCOM IN Equity","ARD_SALARIES_WAGE_EMPLOYEE_BEN","FY 2013","FY 2013","Currency=INR","Period=FY","BEST_FPERIOD_OVERRIDE=FY","FILING_STATUS=MR","EQY_CONSOLIDATED=Y","SCALING_FORMAT=MLN","Sort=A","Dates=H","DateFormat=P","Fill=—","Direction=H","UseDPDF=Y")</f>
        <v>11890</v>
      </c>
      <c r="H14" s="13">
        <f>_xll.BDH("RCOM IN Equity","ARD_SALARIES_WAGE_EMPLOYEE_BEN","FY 2014","FY 2014","Currency=INR","Period=FY","BEST_FPERIOD_OVERRIDE=FY","FILING_STATUS=MR","EQY_CONSOLIDATED=Y","SCALING_FORMAT=MLN","Sort=A","Dates=H","DateFormat=P","Fill=—","Direction=H","UseDPDF=Y")</f>
        <v>10250</v>
      </c>
      <c r="I14" s="13">
        <f>_xll.BDH("RCOM IN Equity","ARD_SALARIES_WAGE_EMPLOYEE_BEN","FY 2015","FY 2015","Currency=INR","Period=FY","BEST_FPERIOD_OVERRIDE=FY","FILING_STATUS=MR","EQY_CONSOLIDATED=Y","SCALING_FORMAT=MLN","Sort=A","Dates=H","DateFormat=P","Fill=—","Direction=H","UseDPDF=Y")</f>
        <v>9980</v>
      </c>
      <c r="J14" s="13">
        <f>_xll.BDH("RCOM IN Equity","ARD_SALARIES_WAGE_EMPLOYEE_BEN","FY 2016","FY 2016","Currency=INR","Period=FY","BEST_FPERIOD_OVERRIDE=FY","FILING_STATUS=MR","EQY_CONSOLIDATED=Y","SCALING_FORMAT=MLN","Sort=A","Dates=H","DateFormat=P","Fill=—","Direction=H","UseDPDF=Y")</f>
        <v>11200</v>
      </c>
      <c r="K14" s="13">
        <f>_xll.BDH("RCOM IN Equity","ARD_SALARIES_WAGE_EMPLOYEE_BEN","FY 2017","FY 2017","Currency=INR","Period=FY","BEST_FPERIOD_OVERRIDE=FY","FILING_STATUS=MR","EQY_CONSOLIDATED=Y","SCALING_FORMAT=MLN","Sort=A","Dates=H","DateFormat=P","Fill=—","Direction=H","UseDPDF=Y")</f>
        <v>4420</v>
      </c>
      <c r="L14" s="13">
        <f>_xll.BDH("RCOM IN Equity","ARD_SALARIES_WAGE_EMPLOYEE_BEN","FY 2018","FY 2018","Currency=INR","Period=FY","BEST_FPERIOD_OVERRIDE=FY","FILING_STATUS=MR","EQY_CONSOLIDATED=Y","SCALING_FORMAT=MLN","Sort=A","Dates=H","DateFormat=P","Fill=—","Direction=H","UseDPDF=Y")</f>
        <v>4270</v>
      </c>
    </row>
    <row r="15" spans="1:12">
      <c r="A15" s="10" t="s">
        <v>371</v>
      </c>
      <c r="B15" s="10" t="s">
        <v>398</v>
      </c>
      <c r="C15" s="13" t="str">
        <f>_xll.BDH("RCOM IN Equity","ARD_DEPRECIATION_EXP","FY 2009","FY 2009","Currency=INR","Period=FY","BEST_FPERIOD_OVERRIDE=FY","FILING_STATUS=MR","EQY_CONSOLIDATED=Y","SCALING_FORMAT=MLN","Sort=A","Dates=H","DateFormat=P","Fill=—","Direction=H","UseDPDF=Y")</f>
        <v>—</v>
      </c>
      <c r="D15" s="13" t="str">
        <f>_xll.BDH("RCOM IN Equity","ARD_DEPRECIATION_EXP","FY 2010","FY 2010","Currency=INR","Period=FY","BEST_FPERIOD_OVERRIDE=FY","FILING_STATUS=MR","EQY_CONSOLIDATED=Y","SCALING_FORMAT=MLN","Sort=A","Dates=H","DateFormat=P","Fill=—","Direction=H","UseDPDF=Y")</f>
        <v>—</v>
      </c>
      <c r="E15" s="13" t="str">
        <f>_xll.BDH("RCOM IN Equity","ARD_DEPRECIATION_EXP","FY 2011","FY 2011","Currency=INR","Period=FY","BEST_FPERIOD_OVERRIDE=FY","FILING_STATUS=MR","EQY_CONSOLIDATED=Y","SCALING_FORMAT=MLN","Sort=A","Dates=H","DateFormat=P","Fill=—","Direction=H","UseDPDF=Y")</f>
        <v>—</v>
      </c>
      <c r="F15" s="13">
        <f>_xll.BDH("RCOM IN Equity","ARD_DEPRECIATION_EXP","FY 2012","FY 2012","Currency=INR","Period=FY","BEST_FPERIOD_OVERRIDE=FY","FILING_STATUS=MR","EQY_CONSOLIDATED=Y","SCALING_FORMAT=MLN","Sort=A","Dates=H","DateFormat=P","Fill=—","Direction=H","UseDPDF=Y")</f>
        <v>39780</v>
      </c>
      <c r="G15" s="13" t="str">
        <f>_xll.BDH("RCOM IN Equity","ARD_DEPRECIATION_EXP","FY 2013","FY 2013","Currency=INR","Period=FY","BEST_FPERIOD_OVERRIDE=FY","FILING_STATUS=MR","EQY_CONSOLIDATED=Y","SCALING_FORMAT=MLN","Sort=A","Dates=H","DateFormat=P","Fill=—","Direction=H","UseDPDF=Y")</f>
        <v>—</v>
      </c>
      <c r="H15" s="13" t="str">
        <f>_xll.BDH("RCOM IN Equity","ARD_DEPRECIATION_EXP","FY 2014","FY 2014","Currency=INR","Period=FY","BEST_FPERIOD_OVERRIDE=FY","FILING_STATUS=MR","EQY_CONSOLIDATED=Y","SCALING_FORMAT=MLN","Sort=A","Dates=H","DateFormat=P","Fill=—","Direction=H","UseDPDF=Y")</f>
        <v>—</v>
      </c>
      <c r="I15" s="13" t="str">
        <f>_xll.BDH("RCOM IN Equity","ARD_DEPRECIATION_EXP","FY 2015","FY 2015","Currency=INR","Period=FY","BEST_FPERIOD_OVERRIDE=FY","FILING_STATUS=MR","EQY_CONSOLIDATED=Y","SCALING_FORMAT=MLN","Sort=A","Dates=H","DateFormat=P","Fill=—","Direction=H","UseDPDF=Y")</f>
        <v>—</v>
      </c>
      <c r="J15" s="13" t="str">
        <f>_xll.BDH("RCOM IN Equity","ARD_DEPRECIATION_EXP","FY 2016","FY 2016","Currency=INR","Period=FY","BEST_FPERIOD_OVERRIDE=FY","FILING_STATUS=MR","EQY_CONSOLIDATED=Y","SCALING_FORMAT=MLN","Sort=A","Dates=H","DateFormat=P","Fill=—","Direction=H","UseDPDF=Y")</f>
        <v>—</v>
      </c>
      <c r="K15" s="13" t="str">
        <f>_xll.BDH("RCOM IN Equity","ARD_DEPRECIATION_EXP","FY 2017","FY 2017","Currency=INR","Period=FY","BEST_FPERIOD_OVERRIDE=FY","FILING_STATUS=MR","EQY_CONSOLIDATED=Y","SCALING_FORMAT=MLN","Sort=A","Dates=H","DateFormat=P","Fill=—","Direction=H","UseDPDF=Y")</f>
        <v>—</v>
      </c>
      <c r="L15" s="13" t="str">
        <f>_xll.BDH("RCOM IN Equity","ARD_DEPRECIATION_EXP","FY 2018","FY 2018","Currency=INR","Period=FY","BEST_FPERIOD_OVERRIDE=FY","FILING_STATUS=MR","EQY_CONSOLIDATED=Y","SCALING_FORMAT=MLN","Sort=A","Dates=H","DateFormat=P","Fill=—","Direction=H","UseDPDF=Y")</f>
        <v>—</v>
      </c>
    </row>
    <row r="16" spans="1:12">
      <c r="A16" s="10" t="s">
        <v>399</v>
      </c>
      <c r="B16" s="10" t="s">
        <v>400</v>
      </c>
      <c r="C16" s="13">
        <f>_xll.BDH("RCOM IN Equity","ARD_SELLING_GENERAL_ADMIN_EXP","FY 2009","FY 2009","Currency=INR","Period=FY","BEST_FPERIOD_OVERRIDE=FY","FILING_STATUS=MR","EQY_CONSOLIDATED=Y","SCALING_FORMAT=MLN","Sort=A","Dates=H","DateFormat=P","Fill=—","Direction=H","UseDPDF=Y")</f>
        <v>39862.5</v>
      </c>
      <c r="D16" s="13">
        <f>_xll.BDH("RCOM IN Equity","ARD_SELLING_GENERAL_ADMIN_EXP","FY 2010","FY 2010","Currency=INR","Period=FY","BEST_FPERIOD_OVERRIDE=FY","FILING_STATUS=MR","EQY_CONSOLIDATED=Y","SCALING_FORMAT=MLN","Sort=A","Dates=H","DateFormat=P","Fill=—","Direction=H","UseDPDF=Y")</f>
        <v>35328.400000000001</v>
      </c>
      <c r="E16" s="13">
        <f>_xll.BDH("RCOM IN Equity","ARD_SELLING_GENERAL_ADMIN_EXP","FY 2011","FY 2011","Currency=INR","Period=FY","BEST_FPERIOD_OVERRIDE=FY","FILING_STATUS=MR","EQY_CONSOLIDATED=Y","SCALING_FORMAT=MLN","Sort=A","Dates=H","DateFormat=P","Fill=—","Direction=H","UseDPDF=Y")</f>
        <v>32750</v>
      </c>
      <c r="F16" s="13">
        <f>_xll.BDH("RCOM IN Equity","ARD_SELLING_GENERAL_ADMIN_EXP","FY 2012","FY 2012","Currency=INR","Period=FY","BEST_FPERIOD_OVERRIDE=FY","FILING_STATUS=MR","EQY_CONSOLIDATED=Y","SCALING_FORMAT=MLN","Sort=A","Dates=H","DateFormat=P","Fill=—","Direction=H","UseDPDF=Y")</f>
        <v>29570</v>
      </c>
      <c r="G16" s="13">
        <f>_xll.BDH("RCOM IN Equity","ARD_SELLING_GENERAL_ADMIN_EXP","FY 2013","FY 2013","Currency=INR","Period=FY","BEST_FPERIOD_OVERRIDE=FY","FILING_STATUS=MR","EQY_CONSOLIDATED=Y","SCALING_FORMAT=MLN","Sort=A","Dates=H","DateFormat=P","Fill=—","Direction=H","UseDPDF=Y")</f>
        <v>30620</v>
      </c>
      <c r="H16" s="13">
        <f>_xll.BDH("RCOM IN Equity","ARD_SELLING_GENERAL_ADMIN_EXP","FY 2014","FY 2014","Currency=INR","Period=FY","BEST_FPERIOD_OVERRIDE=FY","FILING_STATUS=MR","EQY_CONSOLIDATED=Y","SCALING_FORMAT=MLN","Sort=A","Dates=H","DateFormat=P","Fill=—","Direction=H","UseDPDF=Y")</f>
        <v>30200</v>
      </c>
      <c r="I16" s="13">
        <f>_xll.BDH("RCOM IN Equity","ARD_SELLING_GENERAL_ADMIN_EXP","FY 2015","FY 2015","Currency=INR","Period=FY","BEST_FPERIOD_OVERRIDE=FY","FILING_STATUS=MR","EQY_CONSOLIDATED=Y","SCALING_FORMAT=MLN","Sort=A","Dates=H","DateFormat=P","Fill=—","Direction=H","UseDPDF=Y")</f>
        <v>27070</v>
      </c>
      <c r="J16" s="13" t="str">
        <f>_xll.BDH("RCOM IN Equity","ARD_SELLING_GENERAL_ADMIN_EXP","FY 2016","FY 2016","Currency=INR","Period=FY","BEST_FPERIOD_OVERRIDE=FY","FILING_STATUS=MR","EQY_CONSOLIDATED=Y","SCALING_FORMAT=MLN","Sort=A","Dates=H","DateFormat=P","Fill=—","Direction=H","UseDPDF=Y")</f>
        <v>—</v>
      </c>
      <c r="K16" s="13" t="str">
        <f>_xll.BDH("RCOM IN Equity","ARD_SELLING_GENERAL_ADMIN_EXP","FY 2017","FY 2017","Currency=INR","Period=FY","BEST_FPERIOD_OVERRIDE=FY","FILING_STATUS=MR","EQY_CONSOLIDATED=Y","SCALING_FORMAT=MLN","Sort=A","Dates=H","DateFormat=P","Fill=—","Direction=H","UseDPDF=Y")</f>
        <v>—</v>
      </c>
      <c r="L16" s="13" t="str">
        <f>_xll.BDH("RCOM IN Equity","ARD_SELLING_GENERAL_ADMIN_EXP","FY 2018","FY 2018","Currency=INR","Period=FY","BEST_FPERIOD_OVERRIDE=FY","FILING_STATUS=MR","EQY_CONSOLIDATED=Y","SCALING_FORMAT=MLN","Sort=A","Dates=H","DateFormat=P","Fill=—","Direction=H","UseDPDF=Y")</f>
        <v>—</v>
      </c>
    </row>
    <row r="17" spans="1:12">
      <c r="A17" s="10" t="s">
        <v>401</v>
      </c>
      <c r="B17" s="10" t="s">
        <v>402</v>
      </c>
      <c r="C17" s="13">
        <f>_xll.BDH("RCOM IN Equity","ARD_DEPRECIATION_AMORTIZATION","FY 2009","FY 2009","Currency=INR","Period=FY","BEST_FPERIOD_OVERRIDE=FY","FILING_STATUS=MR","EQY_CONSOLIDATED=Y","SCALING_FORMAT=MLN","Sort=A","Dates=H","DateFormat=P","Fill=—","Direction=H","UseDPDF=Y")</f>
        <v>36077</v>
      </c>
      <c r="D17" s="13" t="str">
        <f>_xll.BDH("RCOM IN Equity","ARD_DEPRECIATION_AMORTIZATION","FY 2010","FY 2010","Currency=INR","Period=FY","BEST_FPERIOD_OVERRIDE=FY","FILING_STATUS=MR","EQY_CONSOLIDATED=Y","SCALING_FORMAT=MLN","Sort=A","Dates=H","DateFormat=P","Fill=—","Direction=H","UseDPDF=Y")</f>
        <v>—</v>
      </c>
      <c r="E17" s="13">
        <f>_xll.BDH("RCOM IN Equity","ARD_DEPRECIATION_AMORTIZATION","FY 2011","FY 2011","Currency=INR","Period=FY","BEST_FPERIOD_OVERRIDE=FY","FILING_STATUS=MR","EQY_CONSOLIDATED=Y","SCALING_FORMAT=MLN","Sort=A","Dates=H","DateFormat=P","Fill=—","Direction=H","UseDPDF=Y")</f>
        <v>65040</v>
      </c>
      <c r="F17" s="13">
        <f>_xll.BDH("RCOM IN Equity","ARD_DEPRECIATION_AMORTIZATION","FY 2012","FY 2012","Currency=INR","Period=FY","BEST_FPERIOD_OVERRIDE=FY","FILING_STATUS=MR","EQY_CONSOLIDATED=Y","SCALING_FORMAT=MLN","Sort=A","Dates=H","DateFormat=P","Fill=—","Direction=H","UseDPDF=Y")</f>
        <v>39780</v>
      </c>
      <c r="G17" s="13" t="str">
        <f>_xll.BDH("RCOM IN Equity","ARD_DEPRECIATION_AMORTIZATION","FY 2013","FY 2013","Currency=INR","Period=FY","BEST_FPERIOD_OVERRIDE=FY","FILING_STATUS=MR","EQY_CONSOLIDATED=Y","SCALING_FORMAT=MLN","Sort=A","Dates=H","DateFormat=P","Fill=—","Direction=H","UseDPDF=Y")</f>
        <v>—</v>
      </c>
      <c r="H17" s="13">
        <f>_xll.BDH("RCOM IN Equity","ARD_DEPRECIATION_AMORTIZATION","FY 2014","FY 2014","Currency=INR","Period=FY","BEST_FPERIOD_OVERRIDE=FY","FILING_STATUS=MR","EQY_CONSOLIDATED=Y","SCALING_FORMAT=MLN","Sort=A","Dates=H","DateFormat=P","Fill=—","Direction=H","UseDPDF=Y")</f>
        <v>45350</v>
      </c>
      <c r="I17" s="13">
        <f>_xll.BDH("RCOM IN Equity","ARD_DEPRECIATION_AMORTIZATION","FY 2015","FY 2015","Currency=INR","Period=FY","BEST_FPERIOD_OVERRIDE=FY","FILING_STATUS=MR","EQY_CONSOLIDATED=Y","SCALING_FORMAT=MLN","Sort=A","Dates=H","DateFormat=P","Fill=—","Direction=H","UseDPDF=Y")</f>
        <v>38170</v>
      </c>
      <c r="J17" s="13">
        <f>_xll.BDH("RCOM IN Equity","ARD_DEPRECIATION_AMORTIZATION","FY 2016","FY 2016","Currency=INR","Period=FY","BEST_FPERIOD_OVERRIDE=FY","FILING_STATUS=MR","EQY_CONSOLIDATED=Y","SCALING_FORMAT=MLN","Sort=A","Dates=H","DateFormat=P","Fill=—","Direction=H","UseDPDF=Y")</f>
        <v>44840</v>
      </c>
      <c r="K17" s="13">
        <f>_xll.BDH("RCOM IN Equity","ARD_DEPRECIATION_AMORTIZATION","FY 2017","FY 2017","Currency=INR","Period=FY","BEST_FPERIOD_OVERRIDE=FY","FILING_STATUS=MR","EQY_CONSOLIDATED=Y","SCALING_FORMAT=MLN","Sort=A","Dates=H","DateFormat=P","Fill=—","Direction=H","UseDPDF=Y")</f>
        <v>8210</v>
      </c>
      <c r="L17" s="13">
        <f>_xll.BDH("RCOM IN Equity","ARD_DEPRECIATION_AMORTIZATION","FY 2018","FY 2018","Currency=INR","Period=FY","BEST_FPERIOD_OVERRIDE=FY","FILING_STATUS=MR","EQY_CONSOLIDATED=Y","SCALING_FORMAT=MLN","Sort=A","Dates=H","DateFormat=P","Fill=—","Direction=H","UseDPDF=Y")</f>
        <v>7210</v>
      </c>
    </row>
    <row r="18" spans="1:12">
      <c r="A18" s="10" t="s">
        <v>403</v>
      </c>
      <c r="B18" s="10" t="s">
        <v>404</v>
      </c>
      <c r="C18" s="13">
        <f>_xll.BDH("RCOM IN Equity","ARD_OTHER_OPERATING_EXPENSES","FY 2009","FY 2009","Currency=INR","Period=FY","BEST_FPERIOD_OVERRIDE=FY","FILING_STATUS=MR","EQY_CONSOLIDATED=Y","SCALING_FORMAT=MLN","Sort=A","Dates=H","DateFormat=P","Fill=—","Direction=H","UseDPDF=Y")</f>
        <v>79807.199999999997</v>
      </c>
      <c r="D18" s="13">
        <f>_xll.BDH("RCOM IN Equity","ARD_OTHER_OPERATING_EXPENSES","FY 2010","FY 2010","Currency=INR","Period=FY","BEST_FPERIOD_OVERRIDE=FY","FILING_STATUS=MR","EQY_CONSOLIDATED=Y","SCALING_FORMAT=MLN","Sort=A","Dates=H","DateFormat=P","Fill=—","Direction=H","UseDPDF=Y")</f>
        <v>92788.9</v>
      </c>
      <c r="E18" s="13">
        <f>_xll.BDH("RCOM IN Equity","ARD_OTHER_OPERATING_EXPENSES","FY 2011","FY 2011","Currency=INR","Period=FY","BEST_FPERIOD_OVERRIDE=FY","FILING_STATUS=MR","EQY_CONSOLIDATED=Y","SCALING_FORMAT=MLN","Sort=A","Dates=H","DateFormat=P","Fill=—","Direction=H","UseDPDF=Y")</f>
        <v>92760</v>
      </c>
      <c r="F18" s="13">
        <f>_xll.BDH("RCOM IN Equity","ARD_OTHER_OPERATING_EXPENSES","FY 2012","FY 2012","Currency=INR","Period=FY","BEST_FPERIOD_OVERRIDE=FY","FILING_STATUS=MR","EQY_CONSOLIDATED=Y","SCALING_FORMAT=MLN","Sort=A","Dates=H","DateFormat=P","Fill=—","Direction=H","UseDPDF=Y")</f>
        <v>96520</v>
      </c>
      <c r="G18" s="13">
        <f>_xll.BDH("RCOM IN Equity","ARD_OTHER_OPERATING_EXPENSES","FY 2013","FY 2013","Currency=INR","Period=FY","BEST_FPERIOD_OVERRIDE=FY","FILING_STATUS=MR","EQY_CONSOLIDATED=Y","SCALING_FORMAT=MLN","Sort=A","Dates=H","DateFormat=P","Fill=—","Direction=H","UseDPDF=Y")</f>
        <v>103680</v>
      </c>
      <c r="H18" s="13">
        <f>_xll.BDH("RCOM IN Equity","ARD_OTHER_OPERATING_EXPENSES","FY 2014","FY 2014","Currency=INR","Period=FY","BEST_FPERIOD_OVERRIDE=FY","FILING_STATUS=MR","EQY_CONSOLIDATED=Y","SCALING_FORMAT=MLN","Sort=A","Dates=H","DateFormat=P","Fill=—","Direction=H","UseDPDF=Y")</f>
        <v>105500</v>
      </c>
      <c r="I18" s="13">
        <f>_xll.BDH("RCOM IN Equity","ARD_OTHER_OPERATING_EXPENSES","FY 2015","FY 2015","Currency=INR","Period=FY","BEST_FPERIOD_OVERRIDE=FY","FILING_STATUS=MR","EQY_CONSOLIDATED=Y","SCALING_FORMAT=MLN","Sort=A","Dates=H","DateFormat=P","Fill=—","Direction=H","UseDPDF=Y")</f>
        <v>108750</v>
      </c>
      <c r="J18" s="13">
        <f>_xll.BDH("RCOM IN Equity","ARD_OTHER_OPERATING_EXPENSES","FY 2016","FY 2016","Currency=INR","Period=FY","BEST_FPERIOD_OVERRIDE=FY","FILING_STATUS=MR","EQY_CONSOLIDATED=Y","SCALING_FORMAT=MLN","Sort=A","Dates=H","DateFormat=P","Fill=—","Direction=H","UseDPDF=Y")</f>
        <v>135980</v>
      </c>
      <c r="K18" s="13">
        <f>_xll.BDH("RCOM IN Equity","ARD_OTHER_OPERATING_EXPENSES","FY 2017","FY 2017","Currency=INR","Period=FY","BEST_FPERIOD_OVERRIDE=FY","FILING_STATUS=MR","EQY_CONSOLIDATED=Y","SCALING_FORMAT=MLN","Sort=A","Dates=H","DateFormat=P","Fill=—","Direction=H","UseDPDF=Y")</f>
        <v>49670</v>
      </c>
      <c r="L18" s="13">
        <f>_xll.BDH("RCOM IN Equity","ARD_OTHER_OPERATING_EXPENSES","FY 2018","FY 2018","Currency=INR","Period=FY","BEST_FPERIOD_OVERRIDE=FY","FILING_STATUS=MR","EQY_CONSOLIDATED=Y","SCALING_FORMAT=MLN","Sort=A","Dates=H","DateFormat=P","Fill=—","Direction=H","UseDPDF=Y")</f>
        <v>33580</v>
      </c>
    </row>
    <row r="19" spans="1:12">
      <c r="A19" s="10" t="s">
        <v>405</v>
      </c>
      <c r="B19" s="10" t="s">
        <v>406</v>
      </c>
      <c r="C19" s="13" t="str">
        <f>_xll.BDH("RCOM IN Equity","ARD_OTHER_OPERATING_INC","FY 2009","FY 2009","Currency=INR","Period=FY","BEST_FPERIOD_OVERRIDE=FY","FILING_STATUS=MR","EQY_CONSOLIDATED=Y","SCALING_FORMAT=MLN","Sort=A","Dates=H","DateFormat=P","Fill=—","Direction=H","UseDPDF=Y")</f>
        <v>—</v>
      </c>
      <c r="D19" s="13" t="str">
        <f>_xll.BDH("RCOM IN Equity","ARD_OTHER_OPERATING_INC","FY 2010","FY 2010","Currency=INR","Period=FY","BEST_FPERIOD_OVERRIDE=FY","FILING_STATUS=MR","EQY_CONSOLIDATED=Y","SCALING_FORMAT=MLN","Sort=A","Dates=H","DateFormat=P","Fill=—","Direction=H","UseDPDF=Y")</f>
        <v>—</v>
      </c>
      <c r="E19" s="13" t="str">
        <f>_xll.BDH("RCOM IN Equity","ARD_OTHER_OPERATING_INC","FY 2011","FY 2011","Currency=INR","Period=FY","BEST_FPERIOD_OVERRIDE=FY","FILING_STATUS=MR","EQY_CONSOLIDATED=Y","SCALING_FORMAT=MLN","Sort=A","Dates=H","DateFormat=P","Fill=—","Direction=H","UseDPDF=Y")</f>
        <v>—</v>
      </c>
      <c r="F19" s="13">
        <f>_xll.BDH("RCOM IN Equity","ARD_OTHER_OPERATING_INC","FY 2012","FY 2012","Currency=INR","Period=FY","BEST_FPERIOD_OVERRIDE=FY","FILING_STATUS=MR","EQY_CONSOLIDATED=Y","SCALING_FORMAT=MLN","Sort=A","Dates=H","DateFormat=P","Fill=—","Direction=H","UseDPDF=Y")</f>
        <v>7050</v>
      </c>
      <c r="G19" s="13" t="str">
        <f>_xll.BDH("RCOM IN Equity","ARD_OTHER_OPERATING_INC","FY 2013","FY 2013","Currency=INR","Period=FY","BEST_FPERIOD_OVERRIDE=FY","FILING_STATUS=MR","EQY_CONSOLIDATED=Y","SCALING_FORMAT=MLN","Sort=A","Dates=H","DateFormat=P","Fill=—","Direction=H","UseDPDF=Y")</f>
        <v>—</v>
      </c>
      <c r="H19" s="13" t="str">
        <f>_xll.BDH("RCOM IN Equity","ARD_OTHER_OPERATING_INC","FY 2014","FY 2014","Currency=INR","Period=FY","BEST_FPERIOD_OVERRIDE=FY","FILING_STATUS=MR","EQY_CONSOLIDATED=Y","SCALING_FORMAT=MLN","Sort=A","Dates=H","DateFormat=P","Fill=—","Direction=H","UseDPDF=Y")</f>
        <v>—</v>
      </c>
      <c r="I19" s="13" t="str">
        <f>_xll.BDH("RCOM IN Equity","ARD_OTHER_OPERATING_INC","FY 2015","FY 2015","Currency=INR","Period=FY","BEST_FPERIOD_OVERRIDE=FY","FILING_STATUS=MR","EQY_CONSOLIDATED=Y","SCALING_FORMAT=MLN","Sort=A","Dates=H","DateFormat=P","Fill=—","Direction=H","UseDPDF=Y")</f>
        <v>—</v>
      </c>
      <c r="J19" s="13" t="str">
        <f>_xll.BDH("RCOM IN Equity","ARD_OTHER_OPERATING_INC","FY 2016","FY 2016","Currency=INR","Period=FY","BEST_FPERIOD_OVERRIDE=FY","FILING_STATUS=MR","EQY_CONSOLIDATED=Y","SCALING_FORMAT=MLN","Sort=A","Dates=H","DateFormat=P","Fill=—","Direction=H","UseDPDF=Y")</f>
        <v>—</v>
      </c>
      <c r="K19" s="13">
        <f>_xll.BDH("RCOM IN Equity","ARD_OTHER_OPERATING_INC","FY 2017","FY 2017","Currency=INR","Period=FY","BEST_FPERIOD_OVERRIDE=FY","FILING_STATUS=MR","EQY_CONSOLIDATED=Y","SCALING_FORMAT=MLN","Sort=A","Dates=H","DateFormat=P","Fill=—","Direction=H","UseDPDF=Y")</f>
        <v>830</v>
      </c>
      <c r="L19" s="13">
        <f>_xll.BDH("RCOM IN Equity","ARD_OTHER_OPERATING_INC","FY 2018","FY 2018","Currency=INR","Period=FY","BEST_FPERIOD_OVERRIDE=FY","FILING_STATUS=MR","EQY_CONSOLIDATED=Y","SCALING_FORMAT=MLN","Sort=A","Dates=H","DateFormat=P","Fill=—","Direction=H","UseDPDF=Y")</f>
        <v>910</v>
      </c>
    </row>
    <row r="20" spans="1:12">
      <c r="A20" s="10" t="s">
        <v>407</v>
      </c>
      <c r="B20" s="10" t="s">
        <v>408</v>
      </c>
      <c r="C20" s="13" t="str">
        <f>_xll.BDH("RCOM IN Equity","ARD_DEPR_AMORT_AND_WRITE_DOWNS","FY 2009","FY 2009","Currency=INR","Period=FY","BEST_FPERIOD_OVERRIDE=FY","FILING_STATUS=MR","EQY_CONSOLIDATED=Y","SCALING_FORMAT=MLN","Sort=A","Dates=H","DateFormat=P","Fill=—","Direction=H","UseDPDF=Y")</f>
        <v>—</v>
      </c>
      <c r="D20" s="13">
        <f>_xll.BDH("RCOM IN Equity","ARD_DEPR_AMORT_AND_WRITE_DOWNS","FY 2010","FY 2010","Currency=INR","Period=FY","BEST_FPERIOD_OVERRIDE=FY","FILING_STATUS=MR","EQY_CONSOLIDATED=Y","SCALING_FORMAT=MLN","Sort=A","Dates=H","DateFormat=P","Fill=—","Direction=H","UseDPDF=Y")</f>
        <v>37465.1</v>
      </c>
      <c r="E20" s="13" t="str">
        <f>_xll.BDH("RCOM IN Equity","ARD_DEPR_AMORT_AND_WRITE_DOWNS","FY 2011","FY 2011","Currency=INR","Period=FY","BEST_FPERIOD_OVERRIDE=FY","FILING_STATUS=MR","EQY_CONSOLIDATED=Y","SCALING_FORMAT=MLN","Sort=A","Dates=H","DateFormat=P","Fill=—","Direction=H","UseDPDF=Y")</f>
        <v>—</v>
      </c>
      <c r="F20" s="13">
        <f>_xll.BDH("RCOM IN Equity","ARD_DEPR_AMORT_AND_WRITE_DOWNS","FY 2012","FY 2012","Currency=INR","Period=FY","BEST_FPERIOD_OVERRIDE=FY","FILING_STATUS=MR","EQY_CONSOLIDATED=Y","SCALING_FORMAT=MLN","Sort=A","Dates=H","DateFormat=P","Fill=—","Direction=H","UseDPDF=Y")</f>
        <v>39780</v>
      </c>
      <c r="G20" s="13">
        <f>_xll.BDH("RCOM IN Equity","ARD_DEPR_AMORT_AND_WRITE_DOWNS","FY 2013","FY 2013","Currency=INR","Period=FY","BEST_FPERIOD_OVERRIDE=FY","FILING_STATUS=MR","EQY_CONSOLIDATED=Y","SCALING_FORMAT=MLN","Sort=A","Dates=H","DateFormat=P","Fill=—","Direction=H","UseDPDF=Y")</f>
        <v>38450</v>
      </c>
      <c r="H20" s="13" t="str">
        <f>_xll.BDH("RCOM IN Equity","ARD_DEPR_AMORT_AND_WRITE_DOWNS","FY 2014","FY 2014","Currency=INR","Period=FY","BEST_FPERIOD_OVERRIDE=FY","FILING_STATUS=MR","EQY_CONSOLIDATED=Y","SCALING_FORMAT=MLN","Sort=A","Dates=H","DateFormat=P","Fill=—","Direction=H","UseDPDF=Y")</f>
        <v>—</v>
      </c>
      <c r="I20" s="13" t="str">
        <f>_xll.BDH("RCOM IN Equity","ARD_DEPR_AMORT_AND_WRITE_DOWNS","FY 2015","FY 2015","Currency=INR","Period=FY","BEST_FPERIOD_OVERRIDE=FY","FILING_STATUS=MR","EQY_CONSOLIDATED=Y","SCALING_FORMAT=MLN","Sort=A","Dates=H","DateFormat=P","Fill=—","Direction=H","UseDPDF=Y")</f>
        <v>—</v>
      </c>
      <c r="J20" s="13" t="str">
        <f>_xll.BDH("RCOM IN Equity","ARD_DEPR_AMORT_AND_WRITE_DOWNS","FY 2016","FY 2016","Currency=INR","Period=FY","BEST_FPERIOD_OVERRIDE=FY","FILING_STATUS=MR","EQY_CONSOLIDATED=Y","SCALING_FORMAT=MLN","Sort=A","Dates=H","DateFormat=P","Fill=—","Direction=H","UseDPDF=Y")</f>
        <v>—</v>
      </c>
      <c r="K20" s="13" t="str">
        <f>_xll.BDH("RCOM IN Equity","ARD_DEPR_AMORT_AND_WRITE_DOWNS","FY 2017","FY 2017","Currency=INR","Period=FY","BEST_FPERIOD_OVERRIDE=FY","FILING_STATUS=MR","EQY_CONSOLIDATED=Y","SCALING_FORMAT=MLN","Sort=A","Dates=H","DateFormat=P","Fill=—","Direction=H","UseDPDF=Y")</f>
        <v>—</v>
      </c>
      <c r="L20" s="13" t="str">
        <f>_xll.BDH("RCOM IN Equity","ARD_DEPR_AMORT_AND_WRITE_DOWNS","FY 2018","FY 2018","Currency=INR","Period=FY","BEST_FPERIOD_OVERRIDE=FY","FILING_STATUS=MR","EQY_CONSOLIDATED=Y","SCALING_FORMAT=MLN","Sort=A","Dates=H","DateFormat=P","Fill=—","Direction=H","UseDPDF=Y")</f>
        <v>—</v>
      </c>
    </row>
    <row r="21" spans="1:12">
      <c r="A21" s="10" t="s">
        <v>409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>
      <c r="A22" s="10" t="s">
        <v>410</v>
      </c>
      <c r="B22" s="10" t="s">
        <v>411</v>
      </c>
      <c r="C22" s="13" t="str">
        <f>_xll.BDH("RCOM IN Equity","ARD_FOREIGN_EXCHANGE","FY 2009","FY 2009","Currency=INR","Period=FY","BEST_FPERIOD_OVERRIDE=FY","FILING_STATUS=MR","EQY_CONSOLIDATED=Y","SCALING_FORMAT=MLN","Sort=A","Dates=H","DateFormat=P","Fill=—","Direction=H","UseDPDF=Y")</f>
        <v>—</v>
      </c>
      <c r="D22" s="13" t="str">
        <f>_xll.BDH("RCOM IN Equity","ARD_FOREIGN_EXCHANGE","FY 2010","FY 2010","Currency=INR","Period=FY","BEST_FPERIOD_OVERRIDE=FY","FILING_STATUS=MR","EQY_CONSOLIDATED=Y","SCALING_FORMAT=MLN","Sort=A","Dates=H","DateFormat=P","Fill=—","Direction=H","UseDPDF=Y")</f>
        <v>—</v>
      </c>
      <c r="E22" s="13">
        <f>_xll.BDH("RCOM IN Equity","ARD_FOREIGN_EXCHANGE","FY 2011","FY 2011","Currency=INR","Period=FY","BEST_FPERIOD_OVERRIDE=FY","FILING_STATUS=MR","EQY_CONSOLIDATED=Y","SCALING_FORMAT=MLN","Sort=A","Dates=H","DateFormat=P","Fill=—","Direction=H","UseDPDF=Y")</f>
        <v>0</v>
      </c>
      <c r="F22" s="13">
        <f>_xll.BDH("RCOM IN Equity","ARD_FOREIGN_EXCHANGE","FY 2012","FY 2012","Currency=INR","Period=FY","BEST_FPERIOD_OVERRIDE=FY","FILING_STATUS=MR","EQY_CONSOLIDATED=Y","SCALING_FORMAT=MLN","Sort=A","Dates=H","DateFormat=P","Fill=—","Direction=H","UseDPDF=Y")</f>
        <v>15730</v>
      </c>
      <c r="G22" s="13">
        <f>_xll.BDH("RCOM IN Equity","ARD_FOREIGN_EXCHANGE","FY 2013","FY 2013","Currency=INR","Period=FY","BEST_FPERIOD_OVERRIDE=FY","FILING_STATUS=MR","EQY_CONSOLIDATED=Y","SCALING_FORMAT=MLN","Sort=A","Dates=H","DateFormat=P","Fill=—","Direction=H","UseDPDF=Y")</f>
        <v>8410</v>
      </c>
      <c r="H22" s="13">
        <f>_xll.BDH("RCOM IN Equity","ARD_FOREIGN_EXCHANGE","FY 2014","FY 2014","Currency=INR","Period=FY","BEST_FPERIOD_OVERRIDE=FY","FILING_STATUS=MR","EQY_CONSOLIDATED=Y","SCALING_FORMAT=MLN","Sort=A","Dates=H","DateFormat=P","Fill=—","Direction=H","UseDPDF=Y")</f>
        <v>5950</v>
      </c>
      <c r="I22" s="13">
        <f>_xll.BDH("RCOM IN Equity","ARD_FOREIGN_EXCHANGE","FY 2015","FY 2015","Currency=INR","Period=FY","BEST_FPERIOD_OVERRIDE=FY","FILING_STATUS=MR","EQY_CONSOLIDATED=Y","SCALING_FORMAT=MLN","Sort=A","Dates=H","DateFormat=P","Fill=—","Direction=H","UseDPDF=Y")</f>
        <v>5340</v>
      </c>
      <c r="J22" s="13" t="str">
        <f>_xll.BDH("RCOM IN Equity","ARD_FOREIGN_EXCHANGE","FY 2016","FY 2016","Currency=INR","Period=FY","BEST_FPERIOD_OVERRIDE=FY","FILING_STATUS=MR","EQY_CONSOLIDATED=Y","SCALING_FORMAT=MLN","Sort=A","Dates=H","DateFormat=P","Fill=—","Direction=H","UseDPDF=Y")</f>
        <v>—</v>
      </c>
      <c r="K22" s="13" t="str">
        <f>_xll.BDH("RCOM IN Equity","ARD_FOREIGN_EXCHANGE","FY 2017","FY 2017","Currency=INR","Period=FY","BEST_FPERIOD_OVERRIDE=FY","FILING_STATUS=MR","EQY_CONSOLIDATED=Y","SCALING_FORMAT=MLN","Sort=A","Dates=H","DateFormat=P","Fill=—","Direction=H","UseDPDF=Y")</f>
        <v>—</v>
      </c>
      <c r="L22" s="13" t="str">
        <f>_xll.BDH("RCOM IN Equity","ARD_FOREIGN_EXCHANGE","FY 2018","FY 2018","Currency=INR","Period=FY","BEST_FPERIOD_OVERRIDE=FY","FILING_STATUS=MR","EQY_CONSOLIDATED=Y","SCALING_FORMAT=MLN","Sort=A","Dates=H","DateFormat=P","Fill=—","Direction=H","UseDPDF=Y")</f>
        <v>—</v>
      </c>
    </row>
    <row r="23" spans="1:12">
      <c r="A23" s="10" t="s">
        <v>412</v>
      </c>
      <c r="B23" s="10" t="s">
        <v>413</v>
      </c>
      <c r="C23" s="13" t="str">
        <f>_xll.BDH("RCOM IN Equity","ARD_EQY_IN_EARN_AFFILIATE_JV","FY 2009","FY 2009","Currency=INR","Period=FY","BEST_FPERIOD_OVERRIDE=FY","FILING_STATUS=MR","EQY_CONSOLIDATED=Y","SCALING_FORMAT=MLN","Sort=A","Dates=H","DateFormat=P","Fill=—","Direction=H","UseDPDF=Y")</f>
        <v>—</v>
      </c>
      <c r="D23" s="13" t="str">
        <f>_xll.BDH("RCOM IN Equity","ARD_EQY_IN_EARN_AFFILIATE_JV","FY 2010","FY 2010","Currency=INR","Period=FY","BEST_FPERIOD_OVERRIDE=FY","FILING_STATUS=MR","EQY_CONSOLIDATED=Y","SCALING_FORMAT=MLN","Sort=A","Dates=H","DateFormat=P","Fill=—","Direction=H","UseDPDF=Y")</f>
        <v>—</v>
      </c>
      <c r="E23" s="13" t="str">
        <f>_xll.BDH("RCOM IN Equity","ARD_EQY_IN_EARN_AFFILIATE_JV","FY 2011","FY 2011","Currency=INR","Period=FY","BEST_FPERIOD_OVERRIDE=FY","FILING_STATUS=MR","EQY_CONSOLIDATED=Y","SCALING_FORMAT=MLN","Sort=A","Dates=H","DateFormat=P","Fill=—","Direction=H","UseDPDF=Y")</f>
        <v>—</v>
      </c>
      <c r="F23" s="13">
        <f>_xll.BDH("RCOM IN Equity","ARD_EQY_IN_EARN_AFFILIATE_JV","FY 2012","FY 2012","Currency=INR","Period=FY","BEST_FPERIOD_OVERRIDE=FY","FILING_STATUS=MR","EQY_CONSOLIDATED=Y","SCALING_FORMAT=MLN","Sort=A","Dates=H","DateFormat=P","Fill=—","Direction=H","UseDPDF=Y")</f>
        <v>-10</v>
      </c>
      <c r="G23" s="13" t="str">
        <f>_xll.BDH("RCOM IN Equity","ARD_EQY_IN_EARN_AFFILIATE_JV","FY 2013","FY 2013","Currency=INR","Period=FY","BEST_FPERIOD_OVERRIDE=FY","FILING_STATUS=MR","EQY_CONSOLIDATED=Y","SCALING_FORMAT=MLN","Sort=A","Dates=H","DateFormat=P","Fill=—","Direction=H","UseDPDF=Y")</f>
        <v>—</v>
      </c>
      <c r="H23" s="13" t="str">
        <f>_xll.BDH("RCOM IN Equity","ARD_EQY_IN_EARN_AFFILIATE_JV","FY 2014","FY 2014","Currency=INR","Period=FY","BEST_FPERIOD_OVERRIDE=FY","FILING_STATUS=MR","EQY_CONSOLIDATED=Y","SCALING_FORMAT=MLN","Sort=A","Dates=H","DateFormat=P","Fill=—","Direction=H","UseDPDF=Y")</f>
        <v>—</v>
      </c>
      <c r="I23" s="13" t="str">
        <f>_xll.BDH("RCOM IN Equity","ARD_EQY_IN_EARN_AFFILIATE_JV","FY 2015","FY 2015","Currency=INR","Period=FY","BEST_FPERIOD_OVERRIDE=FY","FILING_STATUS=MR","EQY_CONSOLIDATED=Y","SCALING_FORMAT=MLN","Sort=A","Dates=H","DateFormat=P","Fill=—","Direction=H","UseDPDF=Y")</f>
        <v>—</v>
      </c>
      <c r="J23" s="13" t="str">
        <f>_xll.BDH("RCOM IN Equity","ARD_EQY_IN_EARN_AFFILIATE_JV","FY 2016","FY 2016","Currency=INR","Period=FY","BEST_FPERIOD_OVERRIDE=FY","FILING_STATUS=MR","EQY_CONSOLIDATED=Y","SCALING_FORMAT=MLN","Sort=A","Dates=H","DateFormat=P","Fill=—","Direction=H","UseDPDF=Y")</f>
        <v>—</v>
      </c>
      <c r="K23" s="13" t="str">
        <f>_xll.BDH("RCOM IN Equity","ARD_EQY_IN_EARN_AFFILIATE_JV","FY 2017","FY 2017","Currency=INR","Period=FY","BEST_FPERIOD_OVERRIDE=FY","FILING_STATUS=MR","EQY_CONSOLIDATED=Y","SCALING_FORMAT=MLN","Sort=A","Dates=H","DateFormat=P","Fill=—","Direction=H","UseDPDF=Y")</f>
        <v>—</v>
      </c>
      <c r="L23" s="13" t="str">
        <f>_xll.BDH("RCOM IN Equity","ARD_EQY_IN_EARN_AFFILIATE_JV","FY 2018","FY 2018","Currency=INR","Period=FY","BEST_FPERIOD_OVERRIDE=FY","FILING_STATUS=MR","EQY_CONSOLIDATED=Y","SCALING_FORMAT=MLN","Sort=A","Dates=H","DateFormat=P","Fill=—","Direction=H","UseDPDF=Y")</f>
        <v>—</v>
      </c>
    </row>
    <row r="24" spans="1:12">
      <c r="A24" s="10" t="s">
        <v>414</v>
      </c>
      <c r="B24" s="10" t="s">
        <v>415</v>
      </c>
      <c r="C24" s="13" t="str">
        <f>_xll.BDH("RCOM IN Equity","ARD_INT_EXP_NET","FY 2009","FY 2009","Currency=INR","Period=FY","BEST_FPERIOD_OVERRIDE=FY","FILING_STATUS=MR","EQY_CONSOLIDATED=Y","SCALING_FORMAT=MLN","Sort=A","Dates=H","DateFormat=P","Fill=—","Direction=H","UseDPDF=Y")</f>
        <v>—</v>
      </c>
      <c r="D24" s="13" t="str">
        <f>_xll.BDH("RCOM IN Equity","ARD_INT_EXP_NET","FY 2010","FY 2010","Currency=INR","Period=FY","BEST_FPERIOD_OVERRIDE=FY","FILING_STATUS=MR","EQY_CONSOLIDATED=Y","SCALING_FORMAT=MLN","Sort=A","Dates=H","DateFormat=P","Fill=—","Direction=H","UseDPDF=Y")</f>
        <v>—</v>
      </c>
      <c r="E24" s="13" t="str">
        <f>_xll.BDH("RCOM IN Equity","ARD_INT_EXP_NET","FY 2011","FY 2011","Currency=INR","Period=FY","BEST_FPERIOD_OVERRIDE=FY","FILING_STATUS=MR","EQY_CONSOLIDATED=Y","SCALING_FORMAT=MLN","Sort=A","Dates=H","DateFormat=P","Fill=—","Direction=H","UseDPDF=Y")</f>
        <v>—</v>
      </c>
      <c r="F24" s="13">
        <f>_xll.BDH("RCOM IN Equity","ARD_INT_EXP_NET","FY 2012","FY 2012","Currency=INR","Period=FY","BEST_FPERIOD_OVERRIDE=FY","FILING_STATUS=MR","EQY_CONSOLIDATED=Y","SCALING_FORMAT=MLN","Sort=A","Dates=H","DateFormat=P","Fill=—","Direction=H","UseDPDF=Y")</f>
        <v>16300</v>
      </c>
      <c r="G24" s="13" t="str">
        <f>_xll.BDH("RCOM IN Equity","ARD_INT_EXP_NET","FY 2013","FY 2013","Currency=INR","Period=FY","BEST_FPERIOD_OVERRIDE=FY","FILING_STATUS=MR","EQY_CONSOLIDATED=Y","SCALING_FORMAT=MLN","Sort=A","Dates=H","DateFormat=P","Fill=—","Direction=H","UseDPDF=Y")</f>
        <v>—</v>
      </c>
      <c r="H24" s="13" t="str">
        <f>_xll.BDH("RCOM IN Equity","ARD_INT_EXP_NET","FY 2014","FY 2014","Currency=INR","Period=FY","BEST_FPERIOD_OVERRIDE=FY","FILING_STATUS=MR","EQY_CONSOLIDATED=Y","SCALING_FORMAT=MLN","Sort=A","Dates=H","DateFormat=P","Fill=—","Direction=H","UseDPDF=Y")</f>
        <v>—</v>
      </c>
      <c r="I24" s="13" t="str">
        <f>_xll.BDH("RCOM IN Equity","ARD_INT_EXP_NET","FY 2015","FY 2015","Currency=INR","Period=FY","BEST_FPERIOD_OVERRIDE=FY","FILING_STATUS=MR","EQY_CONSOLIDATED=Y","SCALING_FORMAT=MLN","Sort=A","Dates=H","DateFormat=P","Fill=—","Direction=H","UseDPDF=Y")</f>
        <v>—</v>
      </c>
      <c r="J24" s="13" t="str">
        <f>_xll.BDH("RCOM IN Equity","ARD_INT_EXP_NET","FY 2016","FY 2016","Currency=INR","Period=FY","BEST_FPERIOD_OVERRIDE=FY","FILING_STATUS=MR","EQY_CONSOLIDATED=Y","SCALING_FORMAT=MLN","Sort=A","Dates=H","DateFormat=P","Fill=—","Direction=H","UseDPDF=Y")</f>
        <v>—</v>
      </c>
      <c r="K24" s="13" t="str">
        <f>_xll.BDH("RCOM IN Equity","ARD_INT_EXP_NET","FY 2017","FY 2017","Currency=INR","Period=FY","BEST_FPERIOD_OVERRIDE=FY","FILING_STATUS=MR","EQY_CONSOLIDATED=Y","SCALING_FORMAT=MLN","Sort=A","Dates=H","DateFormat=P","Fill=—","Direction=H","UseDPDF=Y")</f>
        <v>—</v>
      </c>
      <c r="L24" s="13" t="str">
        <f>_xll.BDH("RCOM IN Equity","ARD_INT_EXP_NET","FY 2018","FY 2018","Currency=INR","Period=FY","BEST_FPERIOD_OVERRIDE=FY","FILING_STATUS=MR","EQY_CONSOLIDATED=Y","SCALING_FORMAT=MLN","Sort=A","Dates=H","DateFormat=P","Fill=—","Direction=H","UseDPDF=Y")</f>
        <v>—</v>
      </c>
    </row>
    <row r="25" spans="1:12">
      <c r="A25" s="10" t="s">
        <v>416</v>
      </c>
      <c r="B25" s="10" t="s">
        <v>417</v>
      </c>
      <c r="C25" s="13">
        <f>_xll.BDH("RCOM IN Equity","ARD_OTHER_NON_OPERATING_INC","FY 2009","FY 2009","Currency=INR","Period=FY","BEST_FPERIOD_OVERRIDE=FY","FILING_STATUS=MR","EQY_CONSOLIDATED=Y","SCALING_FORMAT=MLN","Sort=A","Dates=H","DateFormat=P","Fill=—","Direction=H","UseDPDF=Y")</f>
        <v>-6979.2</v>
      </c>
      <c r="D25" s="13">
        <f>_xll.BDH("RCOM IN Equity","ARD_OTHER_NON_OPERATING_INC","FY 2010","FY 2010","Currency=INR","Period=FY","BEST_FPERIOD_OVERRIDE=FY","FILING_STATUS=MR","EQY_CONSOLIDATED=Y","SCALING_FORMAT=MLN","Sort=A","Dates=H","DateFormat=P","Fill=—","Direction=H","UseDPDF=Y")</f>
        <v>-6359</v>
      </c>
      <c r="E25" s="13">
        <f>_xll.BDH("RCOM IN Equity","ARD_OTHER_NON_OPERATING_INC","FY 2011","FY 2011","Currency=INR","Period=FY","BEST_FPERIOD_OVERRIDE=FY","FILING_STATUS=MR","EQY_CONSOLIDATED=Y","SCALING_FORMAT=MLN","Sort=A","Dates=H","DateFormat=P","Fill=—","Direction=H","UseDPDF=Y")</f>
        <v>-7380</v>
      </c>
      <c r="F25" s="13">
        <f>_xll.BDH("RCOM IN Equity","ARD_OTHER_NON_OPERATING_INC","FY 2012","FY 2012","Currency=INR","Period=FY","BEST_FPERIOD_OVERRIDE=FY","FILING_STATUS=MR","EQY_CONSOLIDATED=Y","SCALING_FORMAT=MLN","Sort=A","Dates=H","DateFormat=P","Fill=—","Direction=H","UseDPDF=Y")</f>
        <v>-7050</v>
      </c>
      <c r="G25" s="13">
        <f>_xll.BDH("RCOM IN Equity","ARD_OTHER_NON_OPERATING_INC","FY 2013","FY 2013","Currency=INR","Period=FY","BEST_FPERIOD_OVERRIDE=FY","FILING_STATUS=MR","EQY_CONSOLIDATED=Y","SCALING_FORMAT=MLN","Sort=A","Dates=H","DateFormat=P","Fill=—","Direction=H","UseDPDF=Y")</f>
        <v>-12170</v>
      </c>
      <c r="H25" s="13">
        <f>_xll.BDH("RCOM IN Equity","ARD_OTHER_NON_OPERATING_INC","FY 2014","FY 2014","Currency=INR","Period=FY","BEST_FPERIOD_OVERRIDE=FY","FILING_STATUS=MR","EQY_CONSOLIDATED=Y","SCALING_FORMAT=MLN","Sort=A","Dates=H","DateFormat=P","Fill=—","Direction=H","UseDPDF=Y")</f>
        <v>-10830</v>
      </c>
      <c r="I25" s="13">
        <f>_xll.BDH("RCOM IN Equity","ARD_OTHER_NON_OPERATING_INC","FY 2015","FY 2015","Currency=INR","Period=FY","BEST_FPERIOD_OVERRIDE=FY","FILING_STATUS=MR","EQY_CONSOLIDATED=Y","SCALING_FORMAT=MLN","Sort=A","Dates=H","DateFormat=P","Fill=—","Direction=H","UseDPDF=Y")</f>
        <v>-3280</v>
      </c>
      <c r="J25" s="13">
        <f>_xll.BDH("RCOM IN Equity","ARD_OTHER_NON_OPERATING_INC","FY 2016","FY 2016","Currency=INR","Period=FY","BEST_FPERIOD_OVERRIDE=FY","FILING_STATUS=MR","EQY_CONSOLIDATED=Y","SCALING_FORMAT=MLN","Sort=A","Dates=H","DateFormat=P","Fill=—","Direction=H","UseDPDF=Y")</f>
        <v>-4020</v>
      </c>
      <c r="K25" s="13" t="str">
        <f>_xll.BDH("RCOM IN Equity","ARD_OTHER_NON_OPERATING_INC","FY 2017","FY 2017","Currency=INR","Period=FY","BEST_FPERIOD_OVERRIDE=FY","FILING_STATUS=MR","EQY_CONSOLIDATED=Y","SCALING_FORMAT=MLN","Sort=A","Dates=H","DateFormat=P","Fill=—","Direction=H","UseDPDF=Y")</f>
        <v>—</v>
      </c>
      <c r="L25" s="13" t="str">
        <f>_xll.BDH("RCOM IN Equity","ARD_OTHER_NON_OPERATING_INC","FY 2018","FY 2018","Currency=INR","Period=FY","BEST_FPERIOD_OVERRIDE=FY","FILING_STATUS=MR","EQY_CONSOLIDATED=Y","SCALING_FORMAT=MLN","Sort=A","Dates=H","DateFormat=P","Fill=—","Direction=H","UseDPDF=Y")</f>
        <v>—</v>
      </c>
    </row>
    <row r="26" spans="1:12">
      <c r="A26" s="10" t="s">
        <v>418</v>
      </c>
      <c r="B26" s="10" t="s">
        <v>419</v>
      </c>
      <c r="C26" s="13" t="str">
        <f>_xll.BDH("RCOM IN Equity","ARD_INCOME_TAX_EXP_BENEFIT","FY 2009","FY 2009","Currency=INR","Period=FY","BEST_FPERIOD_OVERRIDE=FY","FILING_STATUS=MR","EQY_CONSOLIDATED=Y","SCALING_FORMAT=MLN","Sort=A","Dates=H","DateFormat=P","Fill=—","Direction=H","UseDPDF=Y")</f>
        <v>—</v>
      </c>
      <c r="D26" s="13" t="str">
        <f>_xll.BDH("RCOM IN Equity","ARD_INCOME_TAX_EXP_BENEFIT","FY 2010","FY 2010","Currency=INR","Period=FY","BEST_FPERIOD_OVERRIDE=FY","FILING_STATUS=MR","EQY_CONSOLIDATED=Y","SCALING_FORMAT=MLN","Sort=A","Dates=H","DateFormat=P","Fill=—","Direction=H","UseDPDF=Y")</f>
        <v>—</v>
      </c>
      <c r="E26" s="13" t="str">
        <f>_xll.BDH("RCOM IN Equity","ARD_INCOME_TAX_EXP_BENEFIT","FY 2011","FY 2011","Currency=INR","Period=FY","BEST_FPERIOD_OVERRIDE=FY","FILING_STATUS=MR","EQY_CONSOLIDATED=Y","SCALING_FORMAT=MLN","Sort=A","Dates=H","DateFormat=P","Fill=—","Direction=H","UseDPDF=Y")</f>
        <v>—</v>
      </c>
      <c r="F26" s="13" t="str">
        <f>_xll.BDH("RCOM IN Equity","ARD_INCOME_TAX_EXP_BENEFIT","FY 2012","FY 2012","Currency=INR","Period=FY","BEST_FPERIOD_OVERRIDE=FY","FILING_STATUS=MR","EQY_CONSOLIDATED=Y","SCALING_FORMAT=MLN","Sort=A","Dates=H","DateFormat=P","Fill=—","Direction=H","UseDPDF=Y")</f>
        <v>—</v>
      </c>
      <c r="G26" s="13" t="str">
        <f>_xll.BDH("RCOM IN Equity","ARD_INCOME_TAX_EXP_BENEFIT","FY 2013","FY 2013","Currency=INR","Period=FY","BEST_FPERIOD_OVERRIDE=FY","FILING_STATUS=MR","EQY_CONSOLIDATED=Y","SCALING_FORMAT=MLN","Sort=A","Dates=H","DateFormat=P","Fill=—","Direction=H","UseDPDF=Y")</f>
        <v>—</v>
      </c>
      <c r="H26" s="13" t="str">
        <f>_xll.BDH("RCOM IN Equity","ARD_INCOME_TAX_EXP_BENEFIT","FY 2014","FY 2014","Currency=INR","Period=FY","BEST_FPERIOD_OVERRIDE=FY","FILING_STATUS=MR","EQY_CONSOLIDATED=Y","SCALING_FORMAT=MLN","Sort=A","Dates=H","DateFormat=P","Fill=—","Direction=H","UseDPDF=Y")</f>
        <v>—</v>
      </c>
      <c r="I26" s="13" t="str">
        <f>_xll.BDH("RCOM IN Equity","ARD_INCOME_TAX_EXP_BENEFIT","FY 2015","FY 2015","Currency=INR","Period=FY","BEST_FPERIOD_OVERRIDE=FY","FILING_STATUS=MR","EQY_CONSOLIDATED=Y","SCALING_FORMAT=MLN","Sort=A","Dates=H","DateFormat=P","Fill=—","Direction=H","UseDPDF=Y")</f>
        <v>—</v>
      </c>
      <c r="J26" s="13" t="str">
        <f>_xll.BDH("RCOM IN Equity","ARD_INCOME_TAX_EXP_BENEFIT","FY 2016","FY 2016","Currency=INR","Period=FY","BEST_FPERIOD_OVERRIDE=FY","FILING_STATUS=MR","EQY_CONSOLIDATED=Y","SCALING_FORMAT=MLN","Sort=A","Dates=H","DateFormat=P","Fill=—","Direction=H","UseDPDF=Y")</f>
        <v>—</v>
      </c>
      <c r="K26" s="13">
        <f>_xll.BDH("RCOM IN Equity","ARD_INCOME_TAX_EXP_BENEFIT","FY 2017","FY 2017","Currency=INR","Period=FY","BEST_FPERIOD_OVERRIDE=FY","FILING_STATUS=MR","EQY_CONSOLIDATED=Y","SCALING_FORMAT=MLN","Sort=A","Dates=H","DateFormat=P","Fill=—","Direction=H","UseDPDF=Y")</f>
        <v>-900</v>
      </c>
      <c r="L26" s="13">
        <f>_xll.BDH("RCOM IN Equity","ARD_INCOME_TAX_EXP_BENEFIT","FY 2018","FY 2018","Currency=INR","Period=FY","BEST_FPERIOD_OVERRIDE=FY","FILING_STATUS=MR","EQY_CONSOLIDATED=Y","SCALING_FORMAT=MLN","Sort=A","Dates=H","DateFormat=P","Fill=—","Direction=H","UseDPDF=Y")</f>
        <v>160</v>
      </c>
    </row>
    <row r="27" spans="1:12">
      <c r="A27" s="10" t="s">
        <v>420</v>
      </c>
      <c r="B27" s="10" t="s">
        <v>421</v>
      </c>
      <c r="C27" s="13">
        <f>_xll.BDH("RCOM IN Equity","ARD_INCOME_BEFORE_INCOME_TAXES","FY 2009","FY 2009","Currency=INR","Period=FY","BEST_FPERIOD_OVERRIDE=FY","FILING_STATUS=MR","EQY_CONSOLIDATED=Y","SCALING_FORMAT=MLN","Sort=A","Dates=H","DateFormat=P","Fill=—","Direction=H","UseDPDF=Y")</f>
        <v>61967.199999999997</v>
      </c>
      <c r="D27" s="13">
        <f>_xll.BDH("RCOM IN Equity","ARD_INCOME_BEFORE_INCOME_TAXES","FY 2010","FY 2010","Currency=INR","Period=FY","BEST_FPERIOD_OVERRIDE=FY","FILING_STATUS=MR","EQY_CONSOLIDATED=Y","SCALING_FORMAT=MLN","Sort=A","Dates=H","DateFormat=P","Fill=—","Direction=H","UseDPDF=Y")</f>
        <v>52228.3</v>
      </c>
      <c r="E27" s="13">
        <f>_xll.BDH("RCOM IN Equity","ARD_INCOME_BEFORE_INCOME_TAXES","FY 2011","FY 2011","Currency=INR","Period=FY","BEST_FPERIOD_OVERRIDE=FY","FILING_STATUS=MR","EQY_CONSOLIDATED=Y","SCALING_FORMAT=MLN","Sort=A","Dates=H","DateFormat=P","Fill=—","Direction=H","UseDPDF=Y")</f>
        <v>15170</v>
      </c>
      <c r="F27" s="13">
        <f>_xll.BDH("RCOM IN Equity","ARD_INCOME_BEFORE_INCOME_TAXES","FY 2012","FY 2012","Currency=INR","Period=FY","BEST_FPERIOD_OVERRIDE=FY","FILING_STATUS=MR","EQY_CONSOLIDATED=Y","SCALING_FORMAT=MLN","Sort=A","Dates=H","DateFormat=P","Fill=—","Direction=H","UseDPDF=Y")</f>
        <v>8820</v>
      </c>
      <c r="G27" s="13">
        <f>_xll.BDH("RCOM IN Equity","ARD_INCOME_BEFORE_INCOME_TAXES","FY 2013","FY 2013","Currency=INR","Period=FY","BEST_FPERIOD_OVERRIDE=FY","FILING_STATUS=MR","EQY_CONSOLIDATED=Y","SCALING_FORMAT=MLN","Sort=A","Dates=H","DateFormat=P","Fill=—","Direction=H","UseDPDF=Y")</f>
        <v>8150</v>
      </c>
      <c r="H27" s="13">
        <f>_xll.BDH("RCOM IN Equity","ARD_INCOME_BEFORE_INCOME_TAXES","FY 2014","FY 2014","Currency=INR","Period=FY","BEST_FPERIOD_OVERRIDE=FY","FILING_STATUS=MR","EQY_CONSOLIDATED=Y","SCALING_FORMAT=MLN","Sort=A","Dates=H","DateFormat=P","Fill=—","Direction=H","UseDPDF=Y")</f>
        <v>1160</v>
      </c>
      <c r="I27" s="13">
        <f>_xll.BDH("RCOM IN Equity","ARD_INCOME_BEFORE_INCOME_TAXES","FY 2015","FY 2015","Currency=INR","Period=FY","BEST_FPERIOD_OVERRIDE=FY","FILING_STATUS=MR","EQY_CONSOLIDATED=Y","SCALING_FORMAT=MLN","Sort=A","Dates=H","DateFormat=P","Fill=—","Direction=H","UseDPDF=Y")</f>
        <v>9460</v>
      </c>
      <c r="J27" s="13">
        <f>_xll.BDH("RCOM IN Equity","ARD_INCOME_BEFORE_INCOME_TAXES","FY 2016","FY 2016","Currency=INR","Period=FY","BEST_FPERIOD_OVERRIDE=FY","FILING_STATUS=MR","EQY_CONSOLIDATED=Y","SCALING_FORMAT=MLN","Sort=A","Dates=H","DateFormat=P","Fill=—","Direction=H","UseDPDF=Y")</f>
        <v>2320</v>
      </c>
      <c r="K27" s="13">
        <f>_xll.BDH("RCOM IN Equity","ARD_INCOME_BEFORE_INCOME_TAXES","FY 2017","FY 2017","Currency=INR","Period=FY","BEST_FPERIOD_OVERRIDE=FY","FILING_STATUS=MR","EQY_CONSOLIDATED=Y","SCALING_FORMAT=MLN","Sort=A","Dates=H","DateFormat=P","Fill=—","Direction=H","UseDPDF=Y")</f>
        <v>1550</v>
      </c>
      <c r="L27" s="13">
        <f>_xll.BDH("RCOM IN Equity","ARD_INCOME_BEFORE_INCOME_TAXES","FY 2018","FY 2018","Currency=INR","Period=FY","BEST_FPERIOD_OVERRIDE=FY","FILING_STATUS=MR","EQY_CONSOLIDATED=Y","SCALING_FORMAT=MLN","Sort=A","Dates=H","DateFormat=P","Fill=—","Direction=H","UseDPDF=Y")</f>
        <v>-30</v>
      </c>
    </row>
    <row r="28" spans="1:12">
      <c r="A28" s="10" t="s">
        <v>422</v>
      </c>
      <c r="B28" s="10" t="s">
        <v>423</v>
      </c>
      <c r="C28" s="13">
        <f>_xll.BDH("RCOM IN Equity","ARD_CUR_INCOME_TAX_EXP_BENEFIT","FY 2009","FY 2009","Currency=INR","Period=FY","BEST_FPERIOD_OVERRIDE=FY","FILING_STATUS=MR","EQY_CONSOLIDATED=Y","SCALING_FORMAT=MLN","Sort=A","Dates=H","DateFormat=P","Fill=—","Direction=H","UseDPDF=Y")</f>
        <v>489.9</v>
      </c>
      <c r="D28" s="13">
        <f>_xll.BDH("RCOM IN Equity","ARD_CUR_INCOME_TAX_EXP_BENEFIT","FY 2010","FY 2010","Currency=INR","Period=FY","BEST_FPERIOD_OVERRIDE=FY","FILING_STATUS=MR","EQY_CONSOLIDATED=Y","SCALING_FORMAT=MLN","Sort=A","Dates=H","DateFormat=P","Fill=—","Direction=H","UseDPDF=Y")</f>
        <v>3725</v>
      </c>
      <c r="E28" s="13">
        <f>_xll.BDH("RCOM IN Equity","ARD_CUR_INCOME_TAX_EXP_BENEFIT","FY 2011","FY 2011","Currency=INR","Period=FY","BEST_FPERIOD_OVERRIDE=FY","FILING_STATUS=MR","EQY_CONSOLIDATED=Y","SCALING_FORMAT=MLN","Sort=A","Dates=H","DateFormat=P","Fill=—","Direction=H","UseDPDF=Y")</f>
        <v>-2800</v>
      </c>
      <c r="F28" s="13">
        <f>_xll.BDH("RCOM IN Equity","ARD_CUR_INCOME_TAX_EXP_BENEFIT","FY 2012","FY 2012","Currency=INR","Period=FY","BEST_FPERIOD_OVERRIDE=FY","FILING_STATUS=MR","EQY_CONSOLIDATED=Y","SCALING_FORMAT=MLN","Sort=A","Dates=H","DateFormat=P","Fill=—","Direction=H","UseDPDF=Y")</f>
        <v>-1060</v>
      </c>
      <c r="G28" s="13">
        <f>_xll.BDH("RCOM IN Equity","ARD_CUR_INCOME_TAX_EXP_BENEFIT","FY 2013","FY 2013","Currency=INR","Period=FY","BEST_FPERIOD_OVERRIDE=FY","FILING_STATUS=MR","EQY_CONSOLIDATED=Y","SCALING_FORMAT=MLN","Sort=A","Dates=H","DateFormat=P","Fill=—","Direction=H","UseDPDF=Y")</f>
        <v>710</v>
      </c>
      <c r="H28" s="13">
        <f>_xll.BDH("RCOM IN Equity","ARD_CUR_INCOME_TAX_EXP_BENEFIT","FY 2014","FY 2014","Currency=INR","Period=FY","BEST_FPERIOD_OVERRIDE=FY","FILING_STATUS=MR","EQY_CONSOLIDATED=Y","SCALING_FORMAT=MLN","Sort=A","Dates=H","DateFormat=P","Fill=—","Direction=H","UseDPDF=Y")</f>
        <v>360</v>
      </c>
      <c r="I28" s="13">
        <f>_xll.BDH("RCOM IN Equity","ARD_CUR_INCOME_TAX_EXP_BENEFIT","FY 2015","FY 2015","Currency=INR","Period=FY","BEST_FPERIOD_OVERRIDE=FY","FILING_STATUS=MR","EQY_CONSOLIDATED=Y","SCALING_FORMAT=MLN","Sort=A","Dates=H","DateFormat=P","Fill=—","Direction=H","UseDPDF=Y")</f>
        <v>1080</v>
      </c>
      <c r="J28" s="13">
        <f>_xll.BDH("RCOM IN Equity","ARD_CUR_INCOME_TAX_EXP_BENEFIT","FY 2016","FY 2016","Currency=INR","Period=FY","BEST_FPERIOD_OVERRIDE=FY","FILING_STATUS=MR","EQY_CONSOLIDATED=Y","SCALING_FORMAT=MLN","Sort=A","Dates=H","DateFormat=P","Fill=—","Direction=H","UseDPDF=Y")</f>
        <v>870</v>
      </c>
      <c r="K28" s="13">
        <f>_xll.BDH("RCOM IN Equity","ARD_CUR_INCOME_TAX_EXP_BENEFIT","FY 2017","FY 2017","Currency=INR","Period=FY","BEST_FPERIOD_OVERRIDE=FY","FILING_STATUS=MR","EQY_CONSOLIDATED=Y","SCALING_FORMAT=MLN","Sort=A","Dates=H","DateFormat=P","Fill=—","Direction=H","UseDPDF=Y")</f>
        <v>240</v>
      </c>
      <c r="L28" s="13">
        <f>_xll.BDH("RCOM IN Equity","ARD_CUR_INCOME_TAX_EXP_BENEFIT","FY 2018","FY 2018","Currency=INR","Period=FY","BEST_FPERIOD_OVERRIDE=FY","FILING_STATUS=MR","EQY_CONSOLIDATED=Y","SCALING_FORMAT=MLN","Sort=A","Dates=H","DateFormat=P","Fill=—","Direction=H","UseDPDF=Y")</f>
        <v>40</v>
      </c>
    </row>
    <row r="29" spans="1:12">
      <c r="A29" s="10" t="s">
        <v>424</v>
      </c>
      <c r="B29" s="10" t="s">
        <v>425</v>
      </c>
      <c r="C29" s="13">
        <f>_xll.BDH("RCOM IN Equity","ARD_DEFERRED_INC_TAX_EXP_BEN","FY 2009","FY 2009","Currency=INR","Period=FY","BEST_FPERIOD_OVERRIDE=FY","FILING_STATUS=MR","EQY_CONSOLIDATED=Y","SCALING_FORMAT=MLN","Sort=A","Dates=H","DateFormat=P","Fill=—","Direction=H","UseDPDF=Y")</f>
        <v>-1007.8</v>
      </c>
      <c r="D29" s="13">
        <f>_xll.BDH("RCOM IN Equity","ARD_DEFERRED_INC_TAX_EXP_BEN","FY 2010","FY 2010","Currency=INR","Period=FY","BEST_FPERIOD_OVERRIDE=FY","FILING_STATUS=MR","EQY_CONSOLIDATED=Y","SCALING_FORMAT=MLN","Sort=A","Dates=H","DateFormat=P","Fill=—","Direction=H","UseDPDF=Y")</f>
        <v>728.9</v>
      </c>
      <c r="E29" s="13">
        <f>_xll.BDH("RCOM IN Equity","ARD_DEFERRED_INC_TAX_EXP_BEN","FY 2011","FY 2011","Currency=INR","Period=FY","BEST_FPERIOD_OVERRIDE=FY","FILING_STATUS=MR","EQY_CONSOLIDATED=Y","SCALING_FORMAT=MLN","Sort=A","Dates=H","DateFormat=P","Fill=—","Direction=H","UseDPDF=Y")</f>
        <v>2920</v>
      </c>
      <c r="F29" s="13">
        <f>_xll.BDH("RCOM IN Equity","ARD_DEFERRED_INC_TAX_EXP_BEN","FY 2012","FY 2012","Currency=INR","Period=FY","BEST_FPERIOD_OVERRIDE=FY","FILING_STATUS=MR","EQY_CONSOLIDATED=Y","SCALING_FORMAT=MLN","Sort=A","Dates=H","DateFormat=P","Fill=—","Direction=H","UseDPDF=Y")</f>
        <v>0</v>
      </c>
      <c r="G29" s="13">
        <f>_xll.BDH("RCOM IN Equity","ARD_DEFERRED_INC_TAX_EXP_BEN","FY 2013","FY 2013","Currency=INR","Period=FY","BEST_FPERIOD_OVERRIDE=FY","FILING_STATUS=MR","EQY_CONSOLIDATED=Y","SCALING_FORMAT=MLN","Sort=A","Dates=H","DateFormat=P","Fill=—","Direction=H","UseDPDF=Y")</f>
        <v>0</v>
      </c>
      <c r="H29" s="13">
        <f>_xll.BDH("RCOM IN Equity","ARD_DEFERRED_INC_TAX_EXP_BEN","FY 2014","FY 2014","Currency=INR","Period=FY","BEST_FPERIOD_OVERRIDE=FY","FILING_STATUS=MR","EQY_CONSOLIDATED=Y","SCALING_FORMAT=MLN","Sort=A","Dates=H","DateFormat=P","Fill=—","Direction=H","UseDPDF=Y")</f>
        <v>-10570</v>
      </c>
      <c r="I29" s="13">
        <f>_xll.BDH("RCOM IN Equity","ARD_DEFERRED_INC_TAX_EXP_BEN","FY 2015","FY 2015","Currency=INR","Period=FY","BEST_FPERIOD_OVERRIDE=FY","FILING_STATUS=MR","EQY_CONSOLIDATED=Y","SCALING_FORMAT=MLN","Sort=A","Dates=H","DateFormat=P","Fill=—","Direction=H","UseDPDF=Y")</f>
        <v>2120</v>
      </c>
      <c r="J29" s="13">
        <f>_xll.BDH("RCOM IN Equity","ARD_DEFERRED_INC_TAX_EXP_BEN","FY 2016","FY 2016","Currency=INR","Period=FY","BEST_FPERIOD_OVERRIDE=FY","FILING_STATUS=MR","EQY_CONSOLIDATED=Y","SCALING_FORMAT=MLN","Sort=A","Dates=H","DateFormat=P","Fill=—","Direction=H","UseDPDF=Y")</f>
        <v>-4420</v>
      </c>
      <c r="K29" s="13">
        <f>_xll.BDH("RCOM IN Equity","ARD_DEFERRED_INC_TAX_EXP_BEN","FY 2017","FY 2017","Currency=INR","Period=FY","BEST_FPERIOD_OVERRIDE=FY","FILING_STATUS=MR","EQY_CONSOLIDATED=Y","SCALING_FORMAT=MLN","Sort=A","Dates=H","DateFormat=P","Fill=—","Direction=H","UseDPDF=Y")</f>
        <v>-920</v>
      </c>
      <c r="L29" s="13">
        <f>_xll.BDH("RCOM IN Equity","ARD_DEFERRED_INC_TAX_EXP_BEN","FY 2018","FY 2018","Currency=INR","Period=FY","BEST_FPERIOD_OVERRIDE=FY","FILING_STATUS=MR","EQY_CONSOLIDATED=Y","SCALING_FORMAT=MLN","Sort=A","Dates=H","DateFormat=P","Fill=—","Direction=H","UseDPDF=Y")</f>
        <v>120</v>
      </c>
    </row>
    <row r="30" spans="1:12">
      <c r="A30" s="10" t="s">
        <v>426</v>
      </c>
      <c r="B30" s="10" t="s">
        <v>427</v>
      </c>
      <c r="C30" s="13" t="str">
        <f>_xll.BDH("RCOM IN Equity","ARD_OTH_NON_OPER_INC_EXP_NET","FY 2009","FY 2009","Currency=INR","Period=FY","BEST_FPERIOD_OVERRIDE=FY","FILING_STATUS=MR","EQY_CONSOLIDATED=Y","SCALING_FORMAT=MLN","Sort=A","Dates=H","DateFormat=P","Fill=—","Direction=H","UseDPDF=Y")</f>
        <v>—</v>
      </c>
      <c r="D30" s="13">
        <f>_xll.BDH("RCOM IN Equity","ARD_OTH_NON_OPER_INC_EXP_NET","FY 2010","FY 2010","Currency=INR","Period=FY","BEST_FPERIOD_OVERRIDE=FY","FILING_STATUS=MR","EQY_CONSOLIDATED=Y","SCALING_FORMAT=MLN","Sort=A","Dates=H","DateFormat=P","Fill=—","Direction=H","UseDPDF=Y")</f>
        <v>0</v>
      </c>
      <c r="E30" s="13">
        <f>_xll.BDH("RCOM IN Equity","ARD_OTH_NON_OPER_INC_EXP_NET","FY 2011","FY 2011","Currency=INR","Period=FY","BEST_FPERIOD_OVERRIDE=FY","FILING_STATUS=MR","EQY_CONSOLIDATED=Y","SCALING_FORMAT=MLN","Sort=A","Dates=H","DateFormat=P","Fill=—","Direction=H","UseDPDF=Y")</f>
        <v>0</v>
      </c>
      <c r="F30" s="13">
        <f>_xll.BDH("RCOM IN Equity","ARD_OTH_NON_OPER_INC_EXP_NET","FY 2012","FY 2012","Currency=INR","Period=FY","BEST_FPERIOD_OVERRIDE=FY","FILING_STATUS=MR","EQY_CONSOLIDATED=Y","SCALING_FORMAT=MLN","Sort=A","Dates=H","DateFormat=P","Fill=—","Direction=H","UseDPDF=Y")</f>
        <v>-15730</v>
      </c>
      <c r="G30" s="13">
        <f>_xll.BDH("RCOM IN Equity","ARD_OTH_NON_OPER_INC_EXP_NET","FY 2013","FY 2013","Currency=INR","Period=FY","BEST_FPERIOD_OVERRIDE=FY","FILING_STATUS=MR","EQY_CONSOLIDATED=Y","SCALING_FORMAT=MLN","Sort=A","Dates=H","DateFormat=P","Fill=—","Direction=H","UseDPDF=Y")</f>
        <v>-8410</v>
      </c>
      <c r="H30" s="13">
        <f>_xll.BDH("RCOM IN Equity","ARD_OTH_NON_OPER_INC_EXP_NET","FY 2014","FY 2014","Currency=INR","Period=FY","BEST_FPERIOD_OVERRIDE=FY","FILING_STATUS=MR","EQY_CONSOLIDATED=Y","SCALING_FORMAT=MLN","Sort=A","Dates=H","DateFormat=P","Fill=—","Direction=H","UseDPDF=Y")</f>
        <v>-5950</v>
      </c>
      <c r="I30" s="13">
        <f>_xll.BDH("RCOM IN Equity","ARD_OTH_NON_OPER_INC_EXP_NET","FY 2015","FY 2015","Currency=INR","Period=FY","BEST_FPERIOD_OVERRIDE=FY","FILING_STATUS=MR","EQY_CONSOLIDATED=Y","SCALING_FORMAT=MLN","Sort=A","Dates=H","DateFormat=P","Fill=—","Direction=H","UseDPDF=Y")</f>
        <v>-5340</v>
      </c>
      <c r="J30" s="13" t="str">
        <f>_xll.BDH("RCOM IN Equity","ARD_OTH_NON_OPER_INC_EXP_NET","FY 2016","FY 2016","Currency=INR","Period=FY","BEST_FPERIOD_OVERRIDE=FY","FILING_STATUS=MR","EQY_CONSOLIDATED=Y","SCALING_FORMAT=MLN","Sort=A","Dates=H","DateFormat=P","Fill=—","Direction=H","UseDPDF=Y")</f>
        <v>—</v>
      </c>
      <c r="K30" s="13" t="str">
        <f>_xll.BDH("RCOM IN Equity","ARD_OTH_NON_OPER_INC_EXP_NET","FY 2017","FY 2017","Currency=INR","Period=FY","BEST_FPERIOD_OVERRIDE=FY","FILING_STATUS=MR","EQY_CONSOLIDATED=Y","SCALING_FORMAT=MLN","Sort=A","Dates=H","DateFormat=P","Fill=—","Direction=H","UseDPDF=Y")</f>
        <v>—</v>
      </c>
      <c r="L30" s="13" t="str">
        <f>_xll.BDH("RCOM IN Equity","ARD_OTH_NON_OPER_INC_EXP_NET","FY 2018","FY 2018","Currency=INR","Period=FY","BEST_FPERIOD_OVERRIDE=FY","FILING_STATUS=MR","EQY_CONSOLIDATED=Y","SCALING_FORMAT=MLN","Sort=A","Dates=H","DateFormat=P","Fill=—","Direction=H","UseDPDF=Y")</f>
        <v>—</v>
      </c>
    </row>
    <row r="31" spans="1:12">
      <c r="A31" s="10" t="s">
        <v>428</v>
      </c>
      <c r="B31" s="10" t="s">
        <v>429</v>
      </c>
      <c r="C31" s="13">
        <f>_xll.BDH("RCOM IN Equity","ARD_TOTAL_EXCEPTIONAL_INC_CHARGE","FY 2009","FY 2009","Currency=INR","Period=FY","BEST_FPERIOD_OVERRIDE=FY","FILING_STATUS=MR","EQY_CONSOLIDATED=Y","SCALING_FORMAT=MLN","Sort=A","Dates=H","DateFormat=P","Fill=—","Direction=H","UseDPDF=Y")</f>
        <v>74.7</v>
      </c>
      <c r="D31" s="13">
        <f>_xll.BDH("RCOM IN Equity","ARD_TOTAL_EXCEPTIONAL_INC_CHARGE","FY 2010","FY 2010","Currency=INR","Period=FY","BEST_FPERIOD_OVERRIDE=FY","FILING_STATUS=MR","EQY_CONSOLIDATED=Y","SCALING_FORMAT=MLN","Sort=A","Dates=H","DateFormat=P","Fill=—","Direction=H","UseDPDF=Y")</f>
        <v>374.7</v>
      </c>
      <c r="E31" s="13">
        <f>_xll.BDH("RCOM IN Equity","ARD_TOTAL_EXCEPTIONAL_INC_CHARGE","FY 2011","FY 2011","Currency=INR","Period=FY","BEST_FPERIOD_OVERRIDE=FY","FILING_STATUS=MR","EQY_CONSOLIDATED=Y","SCALING_FORMAT=MLN","Sort=A","Dates=H","DateFormat=P","Fill=—","Direction=H","UseDPDF=Y")</f>
        <v>-50</v>
      </c>
      <c r="F31" s="13" t="str">
        <f>_xll.BDH("RCOM IN Equity","ARD_TOTAL_EXCEPTIONAL_INC_CHARGE","FY 2012","FY 2012","Currency=INR","Period=FY","BEST_FPERIOD_OVERRIDE=FY","FILING_STATUS=MR","EQY_CONSOLIDATED=Y","SCALING_FORMAT=MLN","Sort=A","Dates=H","DateFormat=P","Fill=—","Direction=H","UseDPDF=Y")</f>
        <v>—</v>
      </c>
      <c r="G31" s="13" t="str">
        <f>_xll.BDH("RCOM IN Equity","ARD_TOTAL_EXCEPTIONAL_INC_CHARGE","FY 2013","FY 2013","Currency=INR","Period=FY","BEST_FPERIOD_OVERRIDE=FY","FILING_STATUS=MR","EQY_CONSOLIDATED=Y","SCALING_FORMAT=MLN","Sort=A","Dates=H","DateFormat=P","Fill=—","Direction=H","UseDPDF=Y")</f>
        <v>—</v>
      </c>
      <c r="H31" s="13" t="str">
        <f>_xll.BDH("RCOM IN Equity","ARD_TOTAL_EXCEPTIONAL_INC_CHARGE","FY 2014","FY 2014","Currency=INR","Period=FY","BEST_FPERIOD_OVERRIDE=FY","FILING_STATUS=MR","EQY_CONSOLIDATED=Y","SCALING_FORMAT=MLN","Sort=A","Dates=H","DateFormat=P","Fill=—","Direction=H","UseDPDF=Y")</f>
        <v>—</v>
      </c>
      <c r="I31" s="13" t="str">
        <f>_xll.BDH("RCOM IN Equity","ARD_TOTAL_EXCEPTIONAL_INC_CHARGE","FY 2015","FY 2015","Currency=INR","Period=FY","BEST_FPERIOD_OVERRIDE=FY","FILING_STATUS=MR","EQY_CONSOLIDATED=Y","SCALING_FORMAT=MLN","Sort=A","Dates=H","DateFormat=P","Fill=—","Direction=H","UseDPDF=Y")</f>
        <v>—</v>
      </c>
      <c r="J31" s="13">
        <f>_xll.BDH("RCOM IN Equity","ARD_TOTAL_EXCEPTIONAL_INC_CHARGE","FY 2016","FY 2016","Currency=INR","Period=FY","BEST_FPERIOD_OVERRIDE=FY","FILING_STATUS=MR","EQY_CONSOLIDATED=Y","SCALING_FORMAT=MLN","Sort=A","Dates=H","DateFormat=P","Fill=—","Direction=H","UseDPDF=Y")</f>
        <v>0</v>
      </c>
      <c r="K31" s="13">
        <f>_xll.BDH("RCOM IN Equity","ARD_TOTAL_EXCEPTIONAL_INC_CHARGE","FY 2017","FY 2017","Currency=INR","Period=FY","BEST_FPERIOD_OVERRIDE=FY","FILING_STATUS=MR","EQY_CONSOLIDATED=Y","SCALING_FORMAT=MLN","Sort=A","Dates=H","DateFormat=P","Fill=—","Direction=H","UseDPDF=Y")</f>
        <v>0</v>
      </c>
      <c r="L31" s="13">
        <f>_xll.BDH("RCOM IN Equity","ARD_TOTAL_EXCEPTIONAL_INC_CHARGE","FY 2018","FY 2018","Currency=INR","Period=FY","BEST_FPERIOD_OVERRIDE=FY","FILING_STATUS=MR","EQY_CONSOLIDATED=Y","SCALING_FORMAT=MLN","Sort=A","Dates=H","DateFormat=P","Fill=—","Direction=H","UseDPDF=Y")</f>
        <v>0</v>
      </c>
    </row>
    <row r="32" spans="1:12">
      <c r="A32" s="10" t="s">
        <v>430</v>
      </c>
      <c r="B32" s="10" t="s">
        <v>431</v>
      </c>
      <c r="C32" s="13">
        <f>_xll.BDH("RCOM IN Equity","ARD_TOTAL_FINANCIAL_LOSSES_GAINS","FY 2009","FY 2009","Currency=INR","Period=FY","BEST_FPERIOD_OVERRIDE=FY","FILING_STATUS=MR","EQY_CONSOLIDATED=Y","SCALING_FORMAT=MLN","Sort=A","Dates=H","DateFormat=P","Fill=—","Direction=H","UseDPDF=Y")</f>
        <v>10711.1</v>
      </c>
      <c r="D32" s="13">
        <f>_xll.BDH("RCOM IN Equity","ARD_TOTAL_FINANCIAL_LOSSES_GAINS","FY 2010","FY 2010","Currency=INR","Period=FY","BEST_FPERIOD_OVERRIDE=FY","FILING_STATUS=MR","EQY_CONSOLIDATED=Y","SCALING_FORMAT=MLN","Sort=A","Dates=H","DateFormat=P","Fill=—","Direction=H","UseDPDF=Y")</f>
        <v>-10931.8</v>
      </c>
      <c r="E32" s="13" t="str">
        <f>_xll.BDH("RCOM IN Equity","ARD_TOTAL_FINANCIAL_LOSSES_GAINS","FY 2011","FY 2011","Currency=INR","Period=FY","BEST_FPERIOD_OVERRIDE=FY","FILING_STATUS=MR","EQY_CONSOLIDATED=Y","SCALING_FORMAT=MLN","Sort=A","Dates=H","DateFormat=P","Fill=—","Direction=H","UseDPDF=Y")</f>
        <v>—</v>
      </c>
      <c r="F32" s="13" t="str">
        <f>_xll.BDH("RCOM IN Equity","ARD_TOTAL_FINANCIAL_LOSSES_GAINS","FY 2012","FY 2012","Currency=INR","Period=FY","BEST_FPERIOD_OVERRIDE=FY","FILING_STATUS=MR","EQY_CONSOLIDATED=Y","SCALING_FORMAT=MLN","Sort=A","Dates=H","DateFormat=P","Fill=—","Direction=H","UseDPDF=Y")</f>
        <v>—</v>
      </c>
      <c r="G32" s="13" t="str">
        <f>_xll.BDH("RCOM IN Equity","ARD_TOTAL_FINANCIAL_LOSSES_GAINS","FY 2013","FY 2013","Currency=INR","Period=FY","BEST_FPERIOD_OVERRIDE=FY","FILING_STATUS=MR","EQY_CONSOLIDATED=Y","SCALING_FORMAT=MLN","Sort=A","Dates=H","DateFormat=P","Fill=—","Direction=H","UseDPDF=Y")</f>
        <v>—</v>
      </c>
      <c r="H32" s="13" t="str">
        <f>_xll.BDH("RCOM IN Equity","ARD_TOTAL_FINANCIAL_LOSSES_GAINS","FY 2014","FY 2014","Currency=INR","Period=FY","BEST_FPERIOD_OVERRIDE=FY","FILING_STATUS=MR","EQY_CONSOLIDATED=Y","SCALING_FORMAT=MLN","Sort=A","Dates=H","DateFormat=P","Fill=—","Direction=H","UseDPDF=Y")</f>
        <v>—</v>
      </c>
      <c r="I32" s="13" t="str">
        <f>_xll.BDH("RCOM IN Equity","ARD_TOTAL_FINANCIAL_LOSSES_GAINS","FY 2015","FY 2015","Currency=INR","Period=FY","BEST_FPERIOD_OVERRIDE=FY","FILING_STATUS=MR","EQY_CONSOLIDATED=Y","SCALING_FORMAT=MLN","Sort=A","Dates=H","DateFormat=P","Fill=—","Direction=H","UseDPDF=Y")</f>
        <v>—</v>
      </c>
      <c r="J32" s="13" t="str">
        <f>_xll.BDH("RCOM IN Equity","ARD_TOTAL_FINANCIAL_LOSSES_GAINS","FY 2016","FY 2016","Currency=INR","Period=FY","BEST_FPERIOD_OVERRIDE=FY","FILING_STATUS=MR","EQY_CONSOLIDATED=Y","SCALING_FORMAT=MLN","Sort=A","Dates=H","DateFormat=P","Fill=—","Direction=H","UseDPDF=Y")</f>
        <v>—</v>
      </c>
      <c r="K32" s="13" t="str">
        <f>_xll.BDH("RCOM IN Equity","ARD_TOTAL_FINANCIAL_LOSSES_GAINS","FY 2017","FY 2017","Currency=INR","Period=FY","BEST_FPERIOD_OVERRIDE=FY","FILING_STATUS=MR","EQY_CONSOLIDATED=Y","SCALING_FORMAT=MLN","Sort=A","Dates=H","DateFormat=P","Fill=—","Direction=H","UseDPDF=Y")</f>
        <v>—</v>
      </c>
      <c r="L32" s="13" t="str">
        <f>_xll.BDH("RCOM IN Equity","ARD_TOTAL_FINANCIAL_LOSSES_GAINS","FY 2018","FY 2018","Currency=INR","Period=FY","BEST_FPERIOD_OVERRIDE=FY","FILING_STATUS=MR","EQY_CONSOLIDATED=Y","SCALING_FORMAT=MLN","Sort=A","Dates=H","DateFormat=P","Fill=—","Direction=H","UseDPDF=Y")</f>
        <v>—</v>
      </c>
    </row>
    <row r="33" spans="1:12">
      <c r="A33" s="10" t="s">
        <v>432</v>
      </c>
      <c r="B33" s="10" t="s">
        <v>433</v>
      </c>
      <c r="C33" s="13" t="str">
        <f>_xll.BDH("RCOM IN Equity","ARD_TOTAL_FINANCIAL_LOSSES","FY 2009","FY 2009","Currency=INR","Period=FY","BEST_FPERIOD_OVERRIDE=FY","FILING_STATUS=MR","EQY_CONSOLIDATED=Y","SCALING_FORMAT=MLN","Sort=A","Dates=H","DateFormat=P","Fill=—","Direction=H","UseDPDF=Y")</f>
        <v>—</v>
      </c>
      <c r="D33" s="13" t="str">
        <f>_xll.BDH("RCOM IN Equity","ARD_TOTAL_FINANCIAL_LOSSES","FY 2010","FY 2010","Currency=INR","Period=FY","BEST_FPERIOD_OVERRIDE=FY","FILING_STATUS=MR","EQY_CONSOLIDATED=Y","SCALING_FORMAT=MLN","Sort=A","Dates=H","DateFormat=P","Fill=—","Direction=H","UseDPDF=Y")</f>
        <v>—</v>
      </c>
      <c r="E33" s="13">
        <f>_xll.BDH("RCOM IN Equity","ARD_TOTAL_FINANCIAL_LOSSES","FY 2011","FY 2011","Currency=INR","Period=FY","BEST_FPERIOD_OVERRIDE=FY","FILING_STATUS=MR","EQY_CONSOLIDATED=Y","SCALING_FORMAT=MLN","Sort=A","Dates=H","DateFormat=P","Fill=—","Direction=H","UseDPDF=Y")</f>
        <v>11330</v>
      </c>
      <c r="F33" s="13">
        <f>_xll.BDH("RCOM IN Equity","ARD_TOTAL_FINANCIAL_LOSSES","FY 2012","FY 2012","Currency=INR","Period=FY","BEST_FPERIOD_OVERRIDE=FY","FILING_STATUS=MR","EQY_CONSOLIDATED=Y","SCALING_FORMAT=MLN","Sort=A","Dates=H","DateFormat=P","Fill=—","Direction=H","UseDPDF=Y")</f>
        <v>16300</v>
      </c>
      <c r="G33" s="13">
        <f>_xll.BDH("RCOM IN Equity","ARD_TOTAL_FINANCIAL_LOSSES","FY 2013","FY 2013","Currency=INR","Period=FY","BEST_FPERIOD_OVERRIDE=FY","FILING_STATUS=MR","EQY_CONSOLIDATED=Y","SCALING_FORMAT=MLN","Sort=A","Dates=H","DateFormat=P","Fill=—","Direction=H","UseDPDF=Y")</f>
        <v>24990</v>
      </c>
      <c r="H33" s="13">
        <f>_xll.BDH("RCOM IN Equity","ARD_TOTAL_FINANCIAL_LOSSES","FY 2014","FY 2014","Currency=INR","Period=FY","BEST_FPERIOD_OVERRIDE=FY","FILING_STATUS=MR","EQY_CONSOLIDATED=Y","SCALING_FORMAT=MLN","Sort=A","Dates=H","DateFormat=P","Fill=—","Direction=H","UseDPDF=Y")</f>
        <v>30190</v>
      </c>
      <c r="I33" s="13">
        <f>_xll.BDH("RCOM IN Equity","ARD_TOTAL_FINANCIAL_LOSSES","FY 2015","FY 2015","Currency=INR","Period=FY","BEST_FPERIOD_OVERRIDE=FY","FILING_STATUS=MR","EQY_CONSOLIDATED=Y","SCALING_FORMAT=MLN","Sort=A","Dates=H","DateFormat=P","Fill=—","Direction=H","UseDPDF=Y")</f>
        <v>27550</v>
      </c>
      <c r="J33" s="13">
        <f>_xll.BDH("RCOM IN Equity","ARD_TOTAL_FINANCIAL_LOSSES","FY 2016","FY 2016","Currency=INR","Period=FY","BEST_FPERIOD_OVERRIDE=FY","FILING_STATUS=MR","EQY_CONSOLIDATED=Y","SCALING_FORMAT=MLN","Sort=A","Dates=H","DateFormat=P","Fill=—","Direction=H","UseDPDF=Y")</f>
        <v>29240</v>
      </c>
      <c r="K33" s="13">
        <f>_xll.BDH("RCOM IN Equity","ARD_TOTAL_FINANCIAL_LOSSES","FY 2017","FY 2017","Currency=INR","Period=FY","BEST_FPERIOD_OVERRIDE=FY","FILING_STATUS=MR","EQY_CONSOLIDATED=Y","SCALING_FORMAT=MLN","Sort=A","Dates=H","DateFormat=P","Fill=—","Direction=H","UseDPDF=Y")</f>
        <v>2550</v>
      </c>
      <c r="L33" s="13">
        <f>_xll.BDH("RCOM IN Equity","ARD_TOTAL_FINANCIAL_LOSSES","FY 2018","FY 2018","Currency=INR","Period=FY","BEST_FPERIOD_OVERRIDE=FY","FILING_STATUS=MR","EQY_CONSOLIDATED=Y","SCALING_FORMAT=MLN","Sort=A","Dates=H","DateFormat=P","Fill=—","Direction=H","UseDPDF=Y")</f>
        <v>1860</v>
      </c>
    </row>
    <row r="34" spans="1:12">
      <c r="A34" s="10" t="s">
        <v>434</v>
      </c>
      <c r="B34" s="10" t="s">
        <v>435</v>
      </c>
      <c r="C34" s="13">
        <f>_xll.BDH("RCOM IN Equity","ARD_FINANCIAL_INCOME","FY 2009","FY 2009","Currency=INR","Period=FY","BEST_FPERIOD_OVERRIDE=FY","FILING_STATUS=MR","EQY_CONSOLIDATED=Y","SCALING_FORMAT=MLN","Sort=A","Dates=H","DateFormat=P","Fill=—","Direction=H","UseDPDF=Y")</f>
        <v>-15780.6</v>
      </c>
      <c r="D34" s="13">
        <f>_xll.BDH("RCOM IN Equity","ARD_FINANCIAL_INCOME","FY 2010","FY 2010","Currency=INR","Period=FY","BEST_FPERIOD_OVERRIDE=FY","FILING_STATUS=MR","EQY_CONSOLIDATED=Y","SCALING_FORMAT=MLN","Sort=A","Dates=H","DateFormat=P","Fill=—","Direction=H","UseDPDF=Y")</f>
        <v>-931.5</v>
      </c>
      <c r="E34" s="13" t="str">
        <f>_xll.BDH("RCOM IN Equity","ARD_FINANCIAL_INCOME","FY 2011","FY 2011","Currency=INR","Period=FY","BEST_FPERIOD_OVERRIDE=FY","FILING_STATUS=MR","EQY_CONSOLIDATED=Y","SCALING_FORMAT=MLN","Sort=A","Dates=H","DateFormat=P","Fill=—","Direction=H","UseDPDF=Y")</f>
        <v>—</v>
      </c>
      <c r="F34" s="13" t="str">
        <f>_xll.BDH("RCOM IN Equity","ARD_FINANCIAL_INCOME","FY 2012","FY 2012","Currency=INR","Period=FY","BEST_FPERIOD_OVERRIDE=FY","FILING_STATUS=MR","EQY_CONSOLIDATED=Y","SCALING_FORMAT=MLN","Sort=A","Dates=H","DateFormat=P","Fill=—","Direction=H","UseDPDF=Y")</f>
        <v>—</v>
      </c>
      <c r="G34" s="13" t="str">
        <f>_xll.BDH("RCOM IN Equity","ARD_FINANCIAL_INCOME","FY 2013","FY 2013","Currency=INR","Period=FY","BEST_FPERIOD_OVERRIDE=FY","FILING_STATUS=MR","EQY_CONSOLIDATED=Y","SCALING_FORMAT=MLN","Sort=A","Dates=H","DateFormat=P","Fill=—","Direction=H","UseDPDF=Y")</f>
        <v>—</v>
      </c>
      <c r="H34" s="13" t="str">
        <f>_xll.BDH("RCOM IN Equity","ARD_FINANCIAL_INCOME","FY 2014","FY 2014","Currency=INR","Period=FY","BEST_FPERIOD_OVERRIDE=FY","FILING_STATUS=MR","EQY_CONSOLIDATED=Y","SCALING_FORMAT=MLN","Sort=A","Dates=H","DateFormat=P","Fill=—","Direction=H","UseDPDF=Y")</f>
        <v>—</v>
      </c>
      <c r="I34" s="13" t="str">
        <f>_xll.BDH("RCOM IN Equity","ARD_FINANCIAL_INCOME","FY 2015","FY 2015","Currency=INR","Period=FY","BEST_FPERIOD_OVERRIDE=FY","FILING_STATUS=MR","EQY_CONSOLIDATED=Y","SCALING_FORMAT=MLN","Sort=A","Dates=H","DateFormat=P","Fill=—","Direction=H","UseDPDF=Y")</f>
        <v>—</v>
      </c>
      <c r="J34" s="13" t="str">
        <f>_xll.BDH("RCOM IN Equity","ARD_FINANCIAL_INCOME","FY 2016","FY 2016","Currency=INR","Period=FY","BEST_FPERIOD_OVERRIDE=FY","FILING_STATUS=MR","EQY_CONSOLIDATED=Y","SCALING_FORMAT=MLN","Sort=A","Dates=H","DateFormat=P","Fill=—","Direction=H","UseDPDF=Y")</f>
        <v>—</v>
      </c>
      <c r="K34" s="13" t="str">
        <f>_xll.BDH("RCOM IN Equity","ARD_FINANCIAL_INCOME","FY 2017","FY 2017","Currency=INR","Period=FY","BEST_FPERIOD_OVERRIDE=FY","FILING_STATUS=MR","EQY_CONSOLIDATED=Y","SCALING_FORMAT=MLN","Sort=A","Dates=H","DateFormat=P","Fill=—","Direction=H","UseDPDF=Y")</f>
        <v>—</v>
      </c>
      <c r="L34" s="13" t="str">
        <f>_xll.BDH("RCOM IN Equity","ARD_FINANCIAL_INCOME","FY 2018","FY 2018","Currency=INR","Period=FY","BEST_FPERIOD_OVERRIDE=FY","FILING_STATUS=MR","EQY_CONSOLIDATED=Y","SCALING_FORMAT=MLN","Sort=A","Dates=H","DateFormat=P","Fill=—","Direction=H","UseDPDF=Y")</f>
        <v>—</v>
      </c>
    </row>
    <row r="35" spans="1:12">
      <c r="A35" s="10" t="s">
        <v>436</v>
      </c>
      <c r="B35" s="10" t="s">
        <v>437</v>
      </c>
      <c r="C35" s="13" t="str">
        <f>_xll.BDH("RCOM IN Equity","ARD_SHARE_PROFITS_FROM_ASSOC_COS","FY 2009","FY 2009","Currency=INR","Period=FY","BEST_FPERIOD_OVERRIDE=FY","FILING_STATUS=MR","EQY_CONSOLIDATED=Y","SCALING_FORMAT=MLN","Sort=A","Dates=H","DateFormat=P","Fill=—","Direction=H","UseDPDF=Y")</f>
        <v>—</v>
      </c>
      <c r="D35" s="13" t="str">
        <f>_xll.BDH("RCOM IN Equity","ARD_SHARE_PROFITS_FROM_ASSOC_COS","FY 2010","FY 2010","Currency=INR","Period=FY","BEST_FPERIOD_OVERRIDE=FY","FILING_STATUS=MR","EQY_CONSOLIDATED=Y","SCALING_FORMAT=MLN","Sort=A","Dates=H","DateFormat=P","Fill=—","Direction=H","UseDPDF=Y")</f>
        <v>—</v>
      </c>
      <c r="E35" s="13" t="str">
        <f>_xll.BDH("RCOM IN Equity","ARD_SHARE_PROFITS_FROM_ASSOC_COS","FY 2011","FY 2011","Currency=INR","Period=FY","BEST_FPERIOD_OVERRIDE=FY","FILING_STATUS=MR","EQY_CONSOLIDATED=Y","SCALING_FORMAT=MLN","Sort=A","Dates=H","DateFormat=P","Fill=—","Direction=H","UseDPDF=Y")</f>
        <v>—</v>
      </c>
      <c r="F35" s="13" t="str">
        <f>_xll.BDH("RCOM IN Equity","ARD_SHARE_PROFITS_FROM_ASSOC_COS","FY 2012","FY 2012","Currency=INR","Period=FY","BEST_FPERIOD_OVERRIDE=FY","FILING_STATUS=MR","EQY_CONSOLIDATED=Y","SCALING_FORMAT=MLN","Sort=A","Dates=H","DateFormat=P","Fill=—","Direction=H","UseDPDF=Y")</f>
        <v>—</v>
      </c>
      <c r="G35" s="13" t="str">
        <f>_xll.BDH("RCOM IN Equity","ARD_SHARE_PROFITS_FROM_ASSOC_COS","FY 2013","FY 2013","Currency=INR","Period=FY","BEST_FPERIOD_OVERRIDE=FY","FILING_STATUS=MR","EQY_CONSOLIDATED=Y","SCALING_FORMAT=MLN","Sort=A","Dates=H","DateFormat=P","Fill=—","Direction=H","UseDPDF=Y")</f>
        <v>—</v>
      </c>
      <c r="H35" s="13" t="str">
        <f>_xll.BDH("RCOM IN Equity","ARD_SHARE_PROFITS_FROM_ASSOC_COS","FY 2014","FY 2014","Currency=INR","Period=FY","BEST_FPERIOD_OVERRIDE=FY","FILING_STATUS=MR","EQY_CONSOLIDATED=Y","SCALING_FORMAT=MLN","Sort=A","Dates=H","DateFormat=P","Fill=—","Direction=H","UseDPDF=Y")</f>
        <v>—</v>
      </c>
      <c r="I35" s="13" t="str">
        <f>_xll.BDH("RCOM IN Equity","ARD_SHARE_PROFITS_FROM_ASSOC_COS","FY 2015","FY 2015","Currency=INR","Period=FY","BEST_FPERIOD_OVERRIDE=FY","FILING_STATUS=MR","EQY_CONSOLIDATED=Y","SCALING_FORMAT=MLN","Sort=A","Dates=H","DateFormat=P","Fill=—","Direction=H","UseDPDF=Y")</f>
        <v>—</v>
      </c>
      <c r="J35" s="13">
        <f>_xll.BDH("RCOM IN Equity","ARD_SHARE_PROFITS_FROM_ASSOC_COS","FY 2016","FY 2016","Currency=INR","Period=FY","BEST_FPERIOD_OVERRIDE=FY","FILING_STATUS=MR","EQY_CONSOLIDATED=Y","SCALING_FORMAT=MLN","Sort=A","Dates=H","DateFormat=P","Fill=—","Direction=H","UseDPDF=Y")</f>
        <v>-20</v>
      </c>
      <c r="K35" s="13">
        <f>_xll.BDH("RCOM IN Equity","ARD_SHARE_PROFITS_FROM_ASSOC_COS","FY 2017","FY 2017","Currency=INR","Period=FY","BEST_FPERIOD_OVERRIDE=FY","FILING_STATUS=MR","EQY_CONSOLIDATED=Y","SCALING_FORMAT=MLN","Sort=A","Dates=H","DateFormat=P","Fill=—","Direction=H","UseDPDF=Y")</f>
        <v>-30</v>
      </c>
      <c r="L35" s="13">
        <f>_xll.BDH("RCOM IN Equity","ARD_SHARE_PROFITS_FROM_ASSOC_COS","FY 2018","FY 2018","Currency=INR","Period=FY","BEST_FPERIOD_OVERRIDE=FY","FILING_STATUS=MR","EQY_CONSOLIDATED=Y","SCALING_FORMAT=MLN","Sort=A","Dates=H","DateFormat=P","Fill=—","Direction=H","UseDPDF=Y")</f>
        <v>-50</v>
      </c>
    </row>
    <row r="36" spans="1:12">
      <c r="A36" s="10" t="s">
        <v>438</v>
      </c>
      <c r="B36" s="10" t="s">
        <v>439</v>
      </c>
      <c r="C36" s="13" t="str">
        <f>_xll.BDH("RCOM IN Equity","ARD_CURRENT_TAXATION_ADJ","FY 2009","FY 2009","Currency=INR","Period=FY","BEST_FPERIOD_OVERRIDE=FY","FILING_STATUS=MR","EQY_CONSOLIDATED=Y","SCALING_FORMAT=MLN","Sort=A","Dates=H","DateFormat=P","Fill=—","Direction=H","UseDPDF=Y")</f>
        <v>—</v>
      </c>
      <c r="D36" s="13" t="str">
        <f>_xll.BDH("RCOM IN Equity","ARD_CURRENT_TAXATION_ADJ","FY 2010","FY 2010","Currency=INR","Period=FY","BEST_FPERIOD_OVERRIDE=FY","FILING_STATUS=MR","EQY_CONSOLIDATED=Y","SCALING_FORMAT=MLN","Sort=A","Dates=H","DateFormat=P","Fill=—","Direction=H","UseDPDF=Y")</f>
        <v>—</v>
      </c>
      <c r="E36" s="13" t="str">
        <f>_xll.BDH("RCOM IN Equity","ARD_CURRENT_TAXATION_ADJ","FY 2011","FY 2011","Currency=INR","Period=FY","BEST_FPERIOD_OVERRIDE=FY","FILING_STATUS=MR","EQY_CONSOLIDATED=Y","SCALING_FORMAT=MLN","Sort=A","Dates=H","DateFormat=P","Fill=—","Direction=H","UseDPDF=Y")</f>
        <v>—</v>
      </c>
      <c r="F36" s="13" t="str">
        <f>_xll.BDH("RCOM IN Equity","ARD_CURRENT_TAXATION_ADJ","FY 2012","FY 2012","Currency=INR","Period=FY","BEST_FPERIOD_OVERRIDE=FY","FILING_STATUS=MR","EQY_CONSOLIDATED=Y","SCALING_FORMAT=MLN","Sort=A","Dates=H","DateFormat=P","Fill=—","Direction=H","UseDPDF=Y")</f>
        <v>—</v>
      </c>
      <c r="G36" s="13" t="str">
        <f>_xll.BDH("RCOM IN Equity","ARD_CURRENT_TAXATION_ADJ","FY 2013","FY 2013","Currency=INR","Period=FY","BEST_FPERIOD_OVERRIDE=FY","FILING_STATUS=MR","EQY_CONSOLIDATED=Y","SCALING_FORMAT=MLN","Sort=A","Dates=H","DateFormat=P","Fill=—","Direction=H","UseDPDF=Y")</f>
        <v>—</v>
      </c>
      <c r="H36" s="13">
        <f>_xll.BDH("RCOM IN Equity","ARD_CURRENT_TAXATION_ADJ","FY 2014","FY 2014","Currency=INR","Period=FY","BEST_FPERIOD_OVERRIDE=FY","FILING_STATUS=MR","EQY_CONSOLIDATED=Y","SCALING_FORMAT=MLN","Sort=A","Dates=H","DateFormat=P","Fill=—","Direction=H","UseDPDF=Y")</f>
        <v>0</v>
      </c>
      <c r="I36" s="13">
        <f>_xll.BDH("RCOM IN Equity","ARD_CURRENT_TAXATION_ADJ","FY 2015","FY 2015","Currency=INR","Period=FY","BEST_FPERIOD_OVERRIDE=FY","FILING_STATUS=MR","EQY_CONSOLIDATED=Y","SCALING_FORMAT=MLN","Sort=A","Dates=H","DateFormat=P","Fill=—","Direction=H","UseDPDF=Y")</f>
        <v>60</v>
      </c>
      <c r="J36" s="13">
        <f>_xll.BDH("RCOM IN Equity","ARD_CURRENT_TAXATION_ADJ","FY 2016","FY 2016","Currency=INR","Period=FY","BEST_FPERIOD_OVERRIDE=FY","FILING_STATUS=MR","EQY_CONSOLIDATED=Y","SCALING_FORMAT=MLN","Sort=A","Dates=H","DateFormat=P","Fill=—","Direction=H","UseDPDF=Y")</f>
        <v>-730</v>
      </c>
      <c r="K36" s="13">
        <f>_xll.BDH("RCOM IN Equity","ARD_CURRENT_TAXATION_ADJ","FY 2017","FY 2017","Currency=INR","Period=FY","BEST_FPERIOD_OVERRIDE=FY","FILING_STATUS=MR","EQY_CONSOLIDATED=Y","SCALING_FORMAT=MLN","Sort=A","Dates=H","DateFormat=P","Fill=—","Direction=H","UseDPDF=Y")</f>
        <v>-220</v>
      </c>
      <c r="L36" s="13">
        <f>_xll.BDH("RCOM IN Equity","ARD_CURRENT_TAXATION_ADJ","FY 2018","FY 2018","Currency=INR","Period=FY","BEST_FPERIOD_OVERRIDE=FY","FILING_STATUS=MR","EQY_CONSOLIDATED=Y","SCALING_FORMAT=MLN","Sort=A","Dates=H","DateFormat=P","Fill=—","Direction=H","UseDPDF=Y")</f>
        <v>0</v>
      </c>
    </row>
    <row r="37" spans="1:12">
      <c r="A37" s="10" t="s">
        <v>440</v>
      </c>
      <c r="B37" s="10" t="s">
        <v>441</v>
      </c>
      <c r="C37" s="13" t="str">
        <f>_xll.BDH("RCOM IN Equity","ARD_BUSINESS_CAPITAL_TAXES","FY 2009","FY 2009","Currency=INR","Period=FY","BEST_FPERIOD_OVERRIDE=FY","FILING_STATUS=MR","EQY_CONSOLIDATED=Y","SCALING_FORMAT=MLN","Sort=A","Dates=H","DateFormat=P","Fill=—","Direction=H","UseDPDF=Y")</f>
        <v>—</v>
      </c>
      <c r="D37" s="13" t="str">
        <f>_xll.BDH("RCOM IN Equity","ARD_BUSINESS_CAPITAL_TAXES","FY 2010","FY 2010","Currency=INR","Period=FY","BEST_FPERIOD_OVERRIDE=FY","FILING_STATUS=MR","EQY_CONSOLIDATED=Y","SCALING_FORMAT=MLN","Sort=A","Dates=H","DateFormat=P","Fill=—","Direction=H","UseDPDF=Y")</f>
        <v>—</v>
      </c>
      <c r="E37" s="13" t="str">
        <f>_xll.BDH("RCOM IN Equity","ARD_BUSINESS_CAPITAL_TAXES","FY 2011","FY 2011","Currency=INR","Period=FY","BEST_FPERIOD_OVERRIDE=FY","FILING_STATUS=MR","EQY_CONSOLIDATED=Y","SCALING_FORMAT=MLN","Sort=A","Dates=H","DateFormat=P","Fill=—","Direction=H","UseDPDF=Y")</f>
        <v>—</v>
      </c>
      <c r="F37" s="13">
        <f>_xll.BDH("RCOM IN Equity","ARD_BUSINESS_CAPITAL_TAXES","FY 2012","FY 2012","Currency=INR","Period=FY","BEST_FPERIOD_OVERRIDE=FY","FILING_STATUS=MR","EQY_CONSOLIDATED=Y","SCALING_FORMAT=MLN","Sort=A","Dates=H","DateFormat=P","Fill=—","Direction=H","UseDPDF=Y")</f>
        <v>-6510</v>
      </c>
      <c r="G37" s="13" t="str">
        <f>_xll.BDH("RCOM IN Equity","ARD_BUSINESS_CAPITAL_TAXES","FY 2013","FY 2013","Currency=INR","Period=FY","BEST_FPERIOD_OVERRIDE=FY","FILING_STATUS=MR","EQY_CONSOLIDATED=Y","SCALING_FORMAT=MLN","Sort=A","Dates=H","DateFormat=P","Fill=—","Direction=H","UseDPDF=Y")</f>
        <v>—</v>
      </c>
      <c r="H37" s="13" t="str">
        <f>_xll.BDH("RCOM IN Equity","ARD_BUSINESS_CAPITAL_TAXES","FY 2014","FY 2014","Currency=INR","Period=FY","BEST_FPERIOD_OVERRIDE=FY","FILING_STATUS=MR","EQY_CONSOLIDATED=Y","SCALING_FORMAT=MLN","Sort=A","Dates=H","DateFormat=P","Fill=—","Direction=H","UseDPDF=Y")</f>
        <v>—</v>
      </c>
      <c r="I37" s="13" t="str">
        <f>_xll.BDH("RCOM IN Equity","ARD_BUSINESS_CAPITAL_TAXES","FY 2015","FY 2015","Currency=INR","Period=FY","BEST_FPERIOD_OVERRIDE=FY","FILING_STATUS=MR","EQY_CONSOLIDATED=Y","SCALING_FORMAT=MLN","Sort=A","Dates=H","DateFormat=P","Fill=—","Direction=H","UseDPDF=Y")</f>
        <v>—</v>
      </c>
      <c r="J37" s="13" t="str">
        <f>_xll.BDH("RCOM IN Equity","ARD_BUSINESS_CAPITAL_TAXES","FY 2016","FY 2016","Currency=INR","Period=FY","BEST_FPERIOD_OVERRIDE=FY","FILING_STATUS=MR","EQY_CONSOLIDATED=Y","SCALING_FORMAT=MLN","Sort=A","Dates=H","DateFormat=P","Fill=—","Direction=H","UseDPDF=Y")</f>
        <v>—</v>
      </c>
      <c r="K37" s="13" t="str">
        <f>_xll.BDH("RCOM IN Equity","ARD_BUSINESS_CAPITAL_TAXES","FY 2017","FY 2017","Currency=INR","Period=FY","BEST_FPERIOD_OVERRIDE=FY","FILING_STATUS=MR","EQY_CONSOLIDATED=Y","SCALING_FORMAT=MLN","Sort=A","Dates=H","DateFormat=P","Fill=—","Direction=H","UseDPDF=Y")</f>
        <v>—</v>
      </c>
      <c r="L37" s="13" t="str">
        <f>_xll.BDH("RCOM IN Equity","ARD_BUSINESS_CAPITAL_TAXES","FY 2018","FY 2018","Currency=INR","Period=FY","BEST_FPERIOD_OVERRIDE=FY","FILING_STATUS=MR","EQY_CONSOLIDATED=Y","SCALING_FORMAT=MLN","Sort=A","Dates=H","DateFormat=P","Fill=—","Direction=H","UseDPDF=Y")</f>
        <v>—</v>
      </c>
    </row>
    <row r="38" spans="1:12">
      <c r="A38" s="10" t="s">
        <v>442</v>
      </c>
      <c r="B38" s="10" t="s">
        <v>443</v>
      </c>
      <c r="C38" s="13" t="str">
        <f>_xll.BDH("RCOM IN Equity","ARD_PRIOR_PERIOD_ADJUSTMENTS","FY 2009","FY 2009","Currency=INR","Period=FY","BEST_FPERIOD_OVERRIDE=FY","FILING_STATUS=MR","EQY_CONSOLIDATED=Y","SCALING_FORMAT=MLN","Sort=A","Dates=H","DateFormat=P","Fill=—","Direction=H","UseDPDF=Y")</f>
        <v>—</v>
      </c>
      <c r="D38" s="13" t="str">
        <f>_xll.BDH("RCOM IN Equity","ARD_PRIOR_PERIOD_ADJUSTMENTS","FY 2010","FY 2010","Currency=INR","Period=FY","BEST_FPERIOD_OVERRIDE=FY","FILING_STATUS=MR","EQY_CONSOLIDATED=Y","SCALING_FORMAT=MLN","Sort=A","Dates=H","DateFormat=P","Fill=—","Direction=H","UseDPDF=Y")</f>
        <v>—</v>
      </c>
      <c r="E38" s="13" t="str">
        <f>_xll.BDH("RCOM IN Equity","ARD_PRIOR_PERIOD_ADJUSTMENTS","FY 2011","FY 2011","Currency=INR","Period=FY","BEST_FPERIOD_OVERRIDE=FY","FILING_STATUS=MR","EQY_CONSOLIDATED=Y","SCALING_FORMAT=MLN","Sort=A","Dates=H","DateFormat=P","Fill=—","Direction=H","UseDPDF=Y")</f>
        <v>—</v>
      </c>
      <c r="F38" s="13" t="str">
        <f>_xll.BDH("RCOM IN Equity","ARD_PRIOR_PERIOD_ADJUSTMENTS","FY 2012","FY 2012","Currency=INR","Period=FY","BEST_FPERIOD_OVERRIDE=FY","FILING_STATUS=MR","EQY_CONSOLIDATED=Y","SCALING_FORMAT=MLN","Sort=A","Dates=H","DateFormat=P","Fill=—","Direction=H","UseDPDF=Y")</f>
        <v>—</v>
      </c>
      <c r="G38" s="13" t="str">
        <f>_xll.BDH("RCOM IN Equity","ARD_PRIOR_PERIOD_ADJUSTMENTS","FY 2013","FY 2013","Currency=INR","Period=FY","BEST_FPERIOD_OVERRIDE=FY","FILING_STATUS=MR","EQY_CONSOLIDATED=Y","SCALING_FORMAT=MLN","Sort=A","Dates=H","DateFormat=P","Fill=—","Direction=H","UseDPDF=Y")</f>
        <v>—</v>
      </c>
      <c r="H38" s="13">
        <f>_xll.BDH("RCOM IN Equity","ARD_PRIOR_PERIOD_ADJUSTMENTS","FY 2014","FY 2014","Currency=INR","Period=FY","BEST_FPERIOD_OVERRIDE=FY","FILING_STATUS=MR","EQY_CONSOLIDATED=Y","SCALING_FORMAT=MLN","Sort=A","Dates=H","DateFormat=P","Fill=—","Direction=H","UseDPDF=Y")</f>
        <v>560</v>
      </c>
      <c r="I38" s="13">
        <f>_xll.BDH("RCOM IN Equity","ARD_PRIOR_PERIOD_ADJUSTMENTS","FY 2015","FY 2015","Currency=INR","Period=FY","BEST_FPERIOD_OVERRIDE=FY","FILING_STATUS=MR","EQY_CONSOLIDATED=Y","SCALING_FORMAT=MLN","Sort=A","Dates=H","DateFormat=P","Fill=—","Direction=H","UseDPDF=Y")</f>
        <v>0</v>
      </c>
      <c r="J38" s="13" t="str">
        <f>_xll.BDH("RCOM IN Equity","ARD_PRIOR_PERIOD_ADJUSTMENTS","FY 2016","FY 2016","Currency=INR","Period=FY","BEST_FPERIOD_OVERRIDE=FY","FILING_STATUS=MR","EQY_CONSOLIDATED=Y","SCALING_FORMAT=MLN","Sort=A","Dates=H","DateFormat=P","Fill=—","Direction=H","UseDPDF=Y")</f>
        <v>—</v>
      </c>
      <c r="K38" s="13" t="str">
        <f>_xll.BDH("RCOM IN Equity","ARD_PRIOR_PERIOD_ADJUSTMENTS","FY 2017","FY 2017","Currency=INR","Period=FY","BEST_FPERIOD_OVERRIDE=FY","FILING_STATUS=MR","EQY_CONSOLIDATED=Y","SCALING_FORMAT=MLN","Sort=A","Dates=H","DateFormat=P","Fill=—","Direction=H","UseDPDF=Y")</f>
        <v>—</v>
      </c>
      <c r="L38" s="13" t="str">
        <f>_xll.BDH("RCOM IN Equity","ARD_PRIOR_PERIOD_ADJUSTMENTS","FY 2018","FY 2018","Currency=INR","Period=FY","BEST_FPERIOD_OVERRIDE=FY","FILING_STATUS=MR","EQY_CONSOLIDATED=Y","SCALING_FORMAT=MLN","Sort=A","Dates=H","DateFormat=P","Fill=—","Direction=H","UseDPDF=Y")</f>
        <v>—</v>
      </c>
    </row>
    <row r="39" spans="1:12">
      <c r="A39" s="10" t="s">
        <v>444</v>
      </c>
      <c r="B39" s="10" t="s">
        <v>445</v>
      </c>
      <c r="C39" s="13">
        <f>_xll.BDH("RCOM IN Equity","ARD_AFTER_TAX_EQTY_METHOD_INVEST","FY 2009","FY 2009","Currency=INR","Period=FY","BEST_FPERIOD_OVERRIDE=FY","FILING_STATUS=MR","EQY_CONSOLIDATED=Y","SCALING_FORMAT=MLN","Sort=A","Dates=H","DateFormat=P","Fill=—","Direction=H","UseDPDF=Y")</f>
        <v>-15.9</v>
      </c>
      <c r="D39" s="13">
        <f>_xll.BDH("RCOM IN Equity","ARD_AFTER_TAX_EQTY_METHOD_INVEST","FY 2010","FY 2010","Currency=INR","Period=FY","BEST_FPERIOD_OVERRIDE=FY","FILING_STATUS=MR","EQY_CONSOLIDATED=Y","SCALING_FORMAT=MLN","Sort=A","Dates=H","DateFormat=P","Fill=—","Direction=H","UseDPDF=Y")</f>
        <v>31.9</v>
      </c>
      <c r="E39" s="13">
        <f>_xll.BDH("RCOM IN Equity","ARD_AFTER_TAX_EQTY_METHOD_INVEST","FY 2011","FY 2011","Currency=INR","Period=FY","BEST_FPERIOD_OVERRIDE=FY","FILING_STATUS=MR","EQY_CONSOLIDATED=Y","SCALING_FORMAT=MLN","Sort=A","Dates=H","DateFormat=P","Fill=—","Direction=H","UseDPDF=Y")</f>
        <v>100</v>
      </c>
      <c r="F39" s="13">
        <f>_xll.BDH("RCOM IN Equity","ARD_AFTER_TAX_EQTY_METHOD_INVEST","FY 2012","FY 2012","Currency=INR","Period=FY","BEST_FPERIOD_OVERRIDE=FY","FILING_STATUS=MR","EQY_CONSOLIDATED=Y","SCALING_FORMAT=MLN","Sort=A","Dates=H","DateFormat=P","Fill=—","Direction=H","UseDPDF=Y")</f>
        <v>-10</v>
      </c>
      <c r="G39" s="13">
        <f>_xll.BDH("RCOM IN Equity","ARD_AFTER_TAX_EQTY_METHOD_INVEST","FY 2013","FY 2013","Currency=INR","Period=FY","BEST_FPERIOD_OVERRIDE=FY","FILING_STATUS=MR","EQY_CONSOLIDATED=Y","SCALING_FORMAT=MLN","Sort=A","Dates=H","DateFormat=P","Fill=—","Direction=H","UseDPDF=Y")</f>
        <v>-10</v>
      </c>
      <c r="H39" s="13">
        <f>_xll.BDH("RCOM IN Equity","ARD_AFTER_TAX_EQTY_METHOD_INVEST","FY 2014","FY 2014","Currency=INR","Period=FY","BEST_FPERIOD_OVERRIDE=FY","FILING_STATUS=MR","EQY_CONSOLIDATED=Y","SCALING_FORMAT=MLN","Sort=A","Dates=H","DateFormat=P","Fill=—","Direction=H","UseDPDF=Y")</f>
        <v>-20</v>
      </c>
      <c r="I39" s="13">
        <f>_xll.BDH("RCOM IN Equity","ARD_AFTER_TAX_EQTY_METHOD_INVEST","FY 2015","FY 2015","Currency=INR","Period=FY","BEST_FPERIOD_OVERRIDE=FY","FILING_STATUS=MR","EQY_CONSOLIDATED=Y","SCALING_FORMAT=MLN","Sort=A","Dates=H","DateFormat=P","Fill=—","Direction=H","UseDPDF=Y")</f>
        <v>-30</v>
      </c>
      <c r="J39" s="13" t="str">
        <f>_xll.BDH("RCOM IN Equity","ARD_AFTER_TAX_EQTY_METHOD_INVEST","FY 2016","FY 2016","Currency=INR","Period=FY","BEST_FPERIOD_OVERRIDE=FY","FILING_STATUS=MR","EQY_CONSOLIDATED=Y","SCALING_FORMAT=MLN","Sort=A","Dates=H","DateFormat=P","Fill=—","Direction=H","UseDPDF=Y")</f>
        <v>—</v>
      </c>
      <c r="K39" s="13" t="str">
        <f>_xll.BDH("RCOM IN Equity","ARD_AFTER_TAX_EQTY_METHOD_INVEST","FY 2017","FY 2017","Currency=INR","Period=FY","BEST_FPERIOD_OVERRIDE=FY","FILING_STATUS=MR","EQY_CONSOLIDATED=Y","SCALING_FORMAT=MLN","Sort=A","Dates=H","DateFormat=P","Fill=—","Direction=H","UseDPDF=Y")</f>
        <v>—</v>
      </c>
      <c r="L39" s="13" t="str">
        <f>_xll.BDH("RCOM IN Equity","ARD_AFTER_TAX_EQTY_METHOD_INVEST","FY 2018","FY 2018","Currency=INR","Period=FY","BEST_FPERIOD_OVERRIDE=FY","FILING_STATUS=MR","EQY_CONSOLIDATED=Y","SCALING_FORMAT=MLN","Sort=A","Dates=H","DateFormat=P","Fill=—","Direction=H","UseDPDF=Y")</f>
        <v>—</v>
      </c>
    </row>
    <row r="40" spans="1:12">
      <c r="A40" s="10" t="s">
        <v>446</v>
      </c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</row>
    <row r="41" spans="1:12">
      <c r="A41" s="10" t="s">
        <v>447</v>
      </c>
      <c r="B41" s="10" t="s">
        <v>448</v>
      </c>
      <c r="C41" s="13">
        <f>_xll.BDH("RCOM IN Equity","ARD_MINORITY_NONCONTROL_INTEREST","FY 2009","FY 2009","Currency=INR","Period=FY","BEST_FPERIOD_OVERRIDE=FY","FILING_STATUS=MR","EQY_CONSOLIDATED=Y","SCALING_FORMAT=MLN","Sort=A","Dates=H","DateFormat=P","Fill=—","Direction=H","UseDPDF=Y")</f>
        <v>2051.6999999999998</v>
      </c>
      <c r="D41" s="13">
        <f>_xll.BDH("RCOM IN Equity","ARD_MINORITY_NONCONTROL_INTEREST","FY 2010","FY 2010","Currency=INR","Period=FY","BEST_FPERIOD_OVERRIDE=FY","FILING_STATUS=MR","EQY_CONSOLIDATED=Y","SCALING_FORMAT=MLN","Sort=A","Dates=H","DateFormat=P","Fill=—","Direction=H","UseDPDF=Y")</f>
        <v>1192.5</v>
      </c>
      <c r="E41" s="13">
        <f>_xll.BDH("RCOM IN Equity","ARD_MINORITY_NONCONTROL_INTEREST","FY 2011","FY 2011","Currency=INR","Period=FY","BEST_FPERIOD_OVERRIDE=FY","FILING_STATUS=MR","EQY_CONSOLIDATED=Y","SCALING_FORMAT=MLN","Sort=A","Dates=H","DateFormat=P","Fill=—","Direction=H","UseDPDF=Y")</f>
        <v>1500</v>
      </c>
      <c r="F41" s="13">
        <f>_xll.BDH("RCOM IN Equity","ARD_MINORITY_NONCONTROL_INTEREST","FY 2012","FY 2012","Currency=INR","Period=FY","BEST_FPERIOD_OVERRIDE=FY","FILING_STATUS=MR","EQY_CONSOLIDATED=Y","SCALING_FORMAT=MLN","Sort=A","Dates=H","DateFormat=P","Fill=—","Direction=H","UseDPDF=Y")</f>
        <v>610</v>
      </c>
      <c r="G41" s="13">
        <f>_xll.BDH("RCOM IN Equity","ARD_MINORITY_NONCONTROL_INTEREST","FY 2013","FY 2013","Currency=INR","Period=FY","BEST_FPERIOD_OVERRIDE=FY","FILING_STATUS=MR","EQY_CONSOLIDATED=Y","SCALING_FORMAT=MLN","Sort=A","Dates=H","DateFormat=P","Fill=—","Direction=H","UseDPDF=Y")</f>
        <v>730</v>
      </c>
      <c r="H41" s="13">
        <f>_xll.BDH("RCOM IN Equity","ARD_MINORITY_NONCONTROL_INTEREST","FY 2014","FY 2014","Currency=INR","Period=FY","BEST_FPERIOD_OVERRIDE=FY","FILING_STATUS=MR","EQY_CONSOLIDATED=Y","SCALING_FORMAT=MLN","Sort=A","Dates=H","DateFormat=P","Fill=—","Direction=H","UseDPDF=Y")</f>
        <v>920</v>
      </c>
      <c r="I41" s="13">
        <f>_xll.BDH("RCOM IN Equity","ARD_MINORITY_NONCONTROL_INTEREST","FY 2015","FY 2015","Currency=INR","Period=FY","BEST_FPERIOD_OVERRIDE=FY","FILING_STATUS=MR","EQY_CONSOLIDATED=Y","SCALING_FORMAT=MLN","Sort=A","Dates=H","DateFormat=P","Fill=—","Direction=H","UseDPDF=Y")</f>
        <v>-910</v>
      </c>
      <c r="J41" s="13">
        <f>_xll.BDH("RCOM IN Equity","ARD_MINORITY_NONCONTROL_INTEREST","FY 2016","FY 2016","Currency=INR","Period=FY","BEST_FPERIOD_OVERRIDE=FY","FILING_STATUS=MR","EQY_CONSOLIDATED=Y","SCALING_FORMAT=MLN","Sort=A","Dates=H","DateFormat=P","Fill=—","Direction=H","UseDPDF=Y")</f>
        <v>210</v>
      </c>
      <c r="K41" s="13">
        <f>_xll.BDH("RCOM IN Equity","ARD_MINORITY_NONCONTROL_INTEREST","FY 2017","FY 2017","Currency=INR","Period=FY","BEST_FPERIOD_OVERRIDE=FY","FILING_STATUS=MR","EQY_CONSOLIDATED=Y","SCALING_FORMAT=MLN","Sort=A","Dates=H","DateFormat=P","Fill=—","Direction=H","UseDPDF=Y")</f>
        <v>1200</v>
      </c>
      <c r="L41" s="13">
        <f>_xll.BDH("RCOM IN Equity","ARD_MINORITY_NONCONTROL_INTEREST","FY 2018","FY 2018","Currency=INR","Period=FY","BEST_FPERIOD_OVERRIDE=FY","FILING_STATUS=MR","EQY_CONSOLIDATED=Y","SCALING_FORMAT=MLN","Sort=A","Dates=H","DateFormat=P","Fill=—","Direction=H","UseDPDF=Y")</f>
        <v>-680</v>
      </c>
    </row>
    <row r="42" spans="1:12">
      <c r="A42" s="10" t="s">
        <v>449</v>
      </c>
      <c r="B42" s="10" t="s">
        <v>450</v>
      </c>
      <c r="C42" s="14" t="str">
        <f>_xll.BDH("RCOM IN Equity","ARD_BASIC_EPS_BEF_XO_ITEMS","FY 2009","FY 2009","Currency=INR","Period=FY","BEST_FPERIOD_OVERRIDE=FY","FILING_STATUS=MR","EQY_CONSOLIDATED=Y","Sort=A","Dates=H","DateFormat=P","Fill=—","Direction=H","UseDPDF=Y")</f>
        <v>—</v>
      </c>
      <c r="D42" s="14" t="str">
        <f>_xll.BDH("RCOM IN Equity","ARD_BASIC_EPS_BEF_XO_ITEMS","FY 2010","FY 2010","Currency=INR","Period=FY","BEST_FPERIOD_OVERRIDE=FY","FILING_STATUS=MR","EQY_CONSOLIDATED=Y","Sort=A","Dates=H","DateFormat=P","Fill=—","Direction=H","UseDPDF=Y")</f>
        <v>—</v>
      </c>
      <c r="E42" s="14" t="str">
        <f>_xll.BDH("RCOM IN Equity","ARD_BASIC_EPS_BEF_XO_ITEMS","FY 2011","FY 2011","Currency=INR","Period=FY","BEST_FPERIOD_OVERRIDE=FY","FILING_STATUS=MR","EQY_CONSOLIDATED=Y","Sort=A","Dates=H","DateFormat=P","Fill=—","Direction=H","UseDPDF=Y")</f>
        <v>—</v>
      </c>
      <c r="F42" s="14">
        <f>_xll.BDH("RCOM IN Equity","ARD_BASIC_EPS_BEF_XO_ITEMS","FY 2012","FY 2012","Currency=INR","Period=FY","BEST_FPERIOD_OVERRIDE=FY","FILING_STATUS=MR","EQY_CONSOLIDATED=Y","Sort=A","Dates=H","DateFormat=P","Fill=—","Direction=H","UseDPDF=Y")</f>
        <v>4.5</v>
      </c>
      <c r="G42" s="14">
        <f>_xll.BDH("RCOM IN Equity","ARD_BASIC_EPS_BEF_XO_ITEMS","FY 2013","FY 2013","Currency=INR","Period=FY","BEST_FPERIOD_OVERRIDE=FY","FILING_STATUS=MR","EQY_CONSOLIDATED=Y","Sort=A","Dates=H","DateFormat=P","Fill=—","Direction=H","UseDPDF=Y")</f>
        <v>3.26</v>
      </c>
      <c r="H42" s="14" t="str">
        <f>_xll.BDH("RCOM IN Equity","ARD_BASIC_EPS_BEF_XO_ITEMS","FY 2014","FY 2014","Currency=INR","Period=FY","BEST_FPERIOD_OVERRIDE=FY","FILING_STATUS=MR","EQY_CONSOLIDATED=Y","Sort=A","Dates=H","DateFormat=P","Fill=—","Direction=H","UseDPDF=Y")</f>
        <v>—</v>
      </c>
      <c r="I42" s="14" t="str">
        <f>_xll.BDH("RCOM IN Equity","ARD_BASIC_EPS_BEF_XO_ITEMS","FY 2015","FY 2015","Currency=INR","Period=FY","BEST_FPERIOD_OVERRIDE=FY","FILING_STATUS=MR","EQY_CONSOLIDATED=Y","Sort=A","Dates=H","DateFormat=P","Fill=—","Direction=H","UseDPDF=Y")</f>
        <v>—</v>
      </c>
      <c r="J42" s="14" t="str">
        <f>_xll.BDH("RCOM IN Equity","ARD_BASIC_EPS_BEF_XO_ITEMS","FY 2016","FY 2016","Currency=INR","Period=FY","BEST_FPERIOD_OVERRIDE=FY","FILING_STATUS=MR","EQY_CONSOLIDATED=Y","Sort=A","Dates=H","DateFormat=P","Fill=—","Direction=H","UseDPDF=Y")</f>
        <v>—</v>
      </c>
      <c r="K42" s="14" t="str">
        <f>_xll.BDH("RCOM IN Equity","ARD_BASIC_EPS_BEF_XO_ITEMS","FY 2017","FY 2017","Currency=INR","Period=FY","BEST_FPERIOD_OVERRIDE=FY","FILING_STATUS=MR","EQY_CONSOLIDATED=Y","Sort=A","Dates=H","DateFormat=P","Fill=—","Direction=H","UseDPDF=Y")</f>
        <v>—</v>
      </c>
      <c r="L42" s="14" t="str">
        <f>_xll.BDH("RCOM IN Equity","ARD_BASIC_EPS_BEF_XO_ITEMS","FY 2018","FY 2018","Currency=INR","Period=FY","BEST_FPERIOD_OVERRIDE=FY","FILING_STATUS=MR","EQY_CONSOLIDATED=Y","Sort=A","Dates=H","DateFormat=P","Fill=—","Direction=H","UseDPDF=Y")</f>
        <v>—</v>
      </c>
    </row>
    <row r="43" spans="1:12">
      <c r="A43" s="10" t="s">
        <v>451</v>
      </c>
      <c r="B43" s="10" t="s">
        <v>452</v>
      </c>
      <c r="C43" s="14" t="str">
        <f>_xll.BDH("RCOM IN Equity","ARD_BASIC_EPS","FY 2009","FY 2009","Currency=INR","Period=FY","BEST_FPERIOD_OVERRIDE=FY","FILING_STATUS=MR","EQY_CONSOLIDATED=Y","Sort=A","Dates=H","DateFormat=P","Fill=—","Direction=H","UseDPDF=Y")</f>
        <v>—</v>
      </c>
      <c r="D43" s="14" t="str">
        <f>_xll.BDH("RCOM IN Equity","ARD_BASIC_EPS","FY 2010","FY 2010","Currency=INR","Period=FY","BEST_FPERIOD_OVERRIDE=FY","FILING_STATUS=MR","EQY_CONSOLIDATED=Y","Sort=A","Dates=H","DateFormat=P","Fill=—","Direction=H","UseDPDF=Y")</f>
        <v>—</v>
      </c>
      <c r="E43" s="14" t="str">
        <f>_xll.BDH("RCOM IN Equity","ARD_BASIC_EPS","FY 2011","FY 2011","Currency=INR","Period=FY","BEST_FPERIOD_OVERRIDE=FY","FILING_STATUS=MR","EQY_CONSOLIDATED=Y","Sort=A","Dates=H","DateFormat=P","Fill=—","Direction=H","UseDPDF=Y")</f>
        <v>—</v>
      </c>
      <c r="F43" s="14">
        <f>_xll.BDH("RCOM IN Equity","ARD_BASIC_EPS","FY 2012","FY 2012","Currency=INR","Period=FY","BEST_FPERIOD_OVERRIDE=FY","FILING_STATUS=MR","EQY_CONSOLIDATED=Y","Sort=A","Dates=H","DateFormat=P","Fill=—","Direction=H","UseDPDF=Y")</f>
        <v>4.5</v>
      </c>
      <c r="G43" s="14">
        <f>_xll.BDH("RCOM IN Equity","ARD_BASIC_EPS","FY 2013","FY 2013","Currency=INR","Period=FY","BEST_FPERIOD_OVERRIDE=FY","FILING_STATUS=MR","EQY_CONSOLIDATED=Y","Sort=A","Dates=H","DateFormat=P","Fill=—","Direction=H","UseDPDF=Y")</f>
        <v>3.26</v>
      </c>
      <c r="H43" s="14">
        <f>_xll.BDH("RCOM IN Equity","ARD_BASIC_EPS","FY 2014","FY 2014","Currency=INR","Period=FY","BEST_FPERIOD_OVERRIDE=FY","FILING_STATUS=MR","EQY_CONSOLIDATED=Y","Sort=A","Dates=H","DateFormat=P","Fill=—","Direction=H","UseDPDF=Y")</f>
        <v>5.07</v>
      </c>
      <c r="I43" s="14">
        <f>_xll.BDH("RCOM IN Equity","ARD_BASIC_EPS","FY 2015","FY 2015","Currency=INR","Period=FY","BEST_FPERIOD_OVERRIDE=FY","FILING_STATUS=MR","EQY_CONSOLIDATED=Y","Sort=A","Dates=H","DateFormat=P","Fill=—","Direction=H","UseDPDF=Y")</f>
        <v>3.05</v>
      </c>
      <c r="J43" s="14">
        <f>_xll.BDH("RCOM IN Equity","ARD_BASIC_EPS","FY 2016","FY 2016","Currency=INR","Period=FY","BEST_FPERIOD_OVERRIDE=FY","FILING_STATUS=MR","EQY_CONSOLIDATED=Y","Sort=A","Dates=H","DateFormat=P","Fill=—","Direction=H","UseDPDF=Y")</f>
        <v>2.59</v>
      </c>
      <c r="K43" s="14" t="str">
        <f>_xll.BDH("RCOM IN Equity","ARD_BASIC_EPS","FY 2017","FY 2017","Currency=INR","Period=FY","BEST_FPERIOD_OVERRIDE=FY","FILING_STATUS=MR","EQY_CONSOLIDATED=Y","Sort=A","Dates=H","DateFormat=P","Fill=—","Direction=H","UseDPDF=Y")</f>
        <v>—</v>
      </c>
      <c r="L43" s="14" t="str">
        <f>_xll.BDH("RCOM IN Equity","ARD_BASIC_EPS","FY 2018","FY 2018","Currency=INR","Period=FY","BEST_FPERIOD_OVERRIDE=FY","FILING_STATUS=MR","EQY_CONSOLIDATED=Y","Sort=A","Dates=H","DateFormat=P","Fill=—","Direction=H","UseDPDF=Y")</f>
        <v>—</v>
      </c>
    </row>
    <row r="44" spans="1:12">
      <c r="A44" s="10" t="s">
        <v>453</v>
      </c>
      <c r="B44" s="10" t="s">
        <v>454</v>
      </c>
      <c r="C44" s="14" t="str">
        <f>_xll.BDH("RCOM IN Equity","ARD_DILUTED_EPS_BEF_XO_ITEMS","FY 2009","FY 2009","Currency=INR","Period=FY","BEST_FPERIOD_OVERRIDE=FY","FILING_STATUS=MR","EQY_CONSOLIDATED=Y","Sort=A","Dates=H","DateFormat=P","Fill=—","Direction=H","UseDPDF=Y")</f>
        <v>—</v>
      </c>
      <c r="D44" s="14" t="str">
        <f>_xll.BDH("RCOM IN Equity","ARD_DILUTED_EPS_BEF_XO_ITEMS","FY 2010","FY 2010","Currency=INR","Period=FY","BEST_FPERIOD_OVERRIDE=FY","FILING_STATUS=MR","EQY_CONSOLIDATED=Y","Sort=A","Dates=H","DateFormat=P","Fill=—","Direction=H","UseDPDF=Y")</f>
        <v>—</v>
      </c>
      <c r="E44" s="14" t="str">
        <f>_xll.BDH("RCOM IN Equity","ARD_DILUTED_EPS_BEF_XO_ITEMS","FY 2011","FY 2011","Currency=INR","Period=FY","BEST_FPERIOD_OVERRIDE=FY","FILING_STATUS=MR","EQY_CONSOLIDATED=Y","Sort=A","Dates=H","DateFormat=P","Fill=—","Direction=H","UseDPDF=Y")</f>
        <v>—</v>
      </c>
      <c r="F44" s="14">
        <f>_xll.BDH("RCOM IN Equity","ARD_DILUTED_EPS_BEF_XO_ITEMS","FY 2012","FY 2012","Currency=INR","Period=FY","BEST_FPERIOD_OVERRIDE=FY","FILING_STATUS=MR","EQY_CONSOLIDATED=Y","Sort=A","Dates=H","DateFormat=P","Fill=—","Direction=H","UseDPDF=Y")</f>
        <v>4.41</v>
      </c>
      <c r="G44" s="14" t="str">
        <f>_xll.BDH("RCOM IN Equity","ARD_DILUTED_EPS_BEF_XO_ITEMS","FY 2013","FY 2013","Currency=INR","Period=FY","BEST_FPERIOD_OVERRIDE=FY","FILING_STATUS=MR","EQY_CONSOLIDATED=Y","Sort=A","Dates=H","DateFormat=P","Fill=—","Direction=H","UseDPDF=Y")</f>
        <v>—</v>
      </c>
      <c r="H44" s="14" t="str">
        <f>_xll.BDH("RCOM IN Equity","ARD_DILUTED_EPS_BEF_XO_ITEMS","FY 2014","FY 2014","Currency=INR","Period=FY","BEST_FPERIOD_OVERRIDE=FY","FILING_STATUS=MR","EQY_CONSOLIDATED=Y","Sort=A","Dates=H","DateFormat=P","Fill=—","Direction=H","UseDPDF=Y")</f>
        <v>—</v>
      </c>
      <c r="I44" s="14" t="str">
        <f>_xll.BDH("RCOM IN Equity","ARD_DILUTED_EPS_BEF_XO_ITEMS","FY 2015","FY 2015","Currency=INR","Period=FY","BEST_FPERIOD_OVERRIDE=FY","FILING_STATUS=MR","EQY_CONSOLIDATED=Y","Sort=A","Dates=H","DateFormat=P","Fill=—","Direction=H","UseDPDF=Y")</f>
        <v>—</v>
      </c>
      <c r="J44" s="14" t="str">
        <f>_xll.BDH("RCOM IN Equity","ARD_DILUTED_EPS_BEF_XO_ITEMS","FY 2016","FY 2016","Currency=INR","Period=FY","BEST_FPERIOD_OVERRIDE=FY","FILING_STATUS=MR","EQY_CONSOLIDATED=Y","Sort=A","Dates=H","DateFormat=P","Fill=—","Direction=H","UseDPDF=Y")</f>
        <v>—</v>
      </c>
      <c r="K44" s="14" t="str">
        <f>_xll.BDH("RCOM IN Equity","ARD_DILUTED_EPS_BEF_XO_ITEMS","FY 2017","FY 2017","Currency=INR","Period=FY","BEST_FPERIOD_OVERRIDE=FY","FILING_STATUS=MR","EQY_CONSOLIDATED=Y","Sort=A","Dates=H","DateFormat=P","Fill=—","Direction=H","UseDPDF=Y")</f>
        <v>—</v>
      </c>
      <c r="L44" s="14" t="str">
        <f>_xll.BDH("RCOM IN Equity","ARD_DILUTED_EPS_BEF_XO_ITEMS","FY 2018","FY 2018","Currency=INR","Period=FY","BEST_FPERIOD_OVERRIDE=FY","FILING_STATUS=MR","EQY_CONSOLIDATED=Y","Sort=A","Dates=H","DateFormat=P","Fill=—","Direction=H","UseDPDF=Y")</f>
        <v>—</v>
      </c>
    </row>
    <row r="45" spans="1:12">
      <c r="A45" s="10" t="s">
        <v>455</v>
      </c>
      <c r="B45" s="10" t="s">
        <v>456</v>
      </c>
      <c r="C45" s="14" t="str">
        <f>_xll.BDH("RCOM IN Equity","ARD_DILUTED_EPS","FY 2009","FY 2009","Currency=INR","Period=FY","BEST_FPERIOD_OVERRIDE=FY","FILING_STATUS=MR","EQY_CONSOLIDATED=Y","Sort=A","Dates=H","DateFormat=P","Fill=—","Direction=H","UseDPDF=Y")</f>
        <v>—</v>
      </c>
      <c r="D45" s="14" t="str">
        <f>_xll.BDH("RCOM IN Equity","ARD_DILUTED_EPS","FY 2010","FY 2010","Currency=INR","Period=FY","BEST_FPERIOD_OVERRIDE=FY","FILING_STATUS=MR","EQY_CONSOLIDATED=Y","Sort=A","Dates=H","DateFormat=P","Fill=—","Direction=H","UseDPDF=Y")</f>
        <v>—</v>
      </c>
      <c r="E45" s="14" t="str">
        <f>_xll.BDH("RCOM IN Equity","ARD_DILUTED_EPS","FY 2011","FY 2011","Currency=INR","Period=FY","BEST_FPERIOD_OVERRIDE=FY","FILING_STATUS=MR","EQY_CONSOLIDATED=Y","Sort=A","Dates=H","DateFormat=P","Fill=—","Direction=H","UseDPDF=Y")</f>
        <v>—</v>
      </c>
      <c r="F45" s="14">
        <f>_xll.BDH("RCOM IN Equity","ARD_DILUTED_EPS","FY 2012","FY 2012","Currency=INR","Period=FY","BEST_FPERIOD_OVERRIDE=FY","FILING_STATUS=MR","EQY_CONSOLIDATED=Y","Sort=A","Dates=H","DateFormat=P","Fill=—","Direction=H","UseDPDF=Y")</f>
        <v>4.41</v>
      </c>
      <c r="G45" s="14">
        <f>_xll.BDH("RCOM IN Equity","ARD_DILUTED_EPS","FY 2013","FY 2013","Currency=INR","Period=FY","BEST_FPERIOD_OVERRIDE=FY","FILING_STATUS=MR","EQY_CONSOLIDATED=Y","Sort=A","Dates=H","DateFormat=P","Fill=—","Direction=H","UseDPDF=Y")</f>
        <v>3.26</v>
      </c>
      <c r="H45" s="14">
        <f>_xll.BDH("RCOM IN Equity","ARD_DILUTED_EPS","FY 2014","FY 2014","Currency=INR","Period=FY","BEST_FPERIOD_OVERRIDE=FY","FILING_STATUS=MR","EQY_CONSOLIDATED=Y","Sort=A","Dates=H","DateFormat=P","Fill=—","Direction=H","UseDPDF=Y")</f>
        <v>5.07</v>
      </c>
      <c r="I45" s="14">
        <f>_xll.BDH("RCOM IN Equity","ARD_DILUTED_EPS","FY 2015","FY 2015","Currency=INR","Period=FY","BEST_FPERIOD_OVERRIDE=FY","FILING_STATUS=MR","EQY_CONSOLIDATED=Y","Sort=A","Dates=H","DateFormat=P","Fill=—","Direction=H","UseDPDF=Y")</f>
        <v>3.05</v>
      </c>
      <c r="J45" s="14">
        <f>_xll.BDH("RCOM IN Equity","ARD_DILUTED_EPS","FY 2016","FY 2016","Currency=INR","Period=FY","BEST_FPERIOD_OVERRIDE=FY","FILING_STATUS=MR","EQY_CONSOLIDATED=Y","Sort=A","Dates=H","DateFormat=P","Fill=—","Direction=H","UseDPDF=Y")</f>
        <v>2.59</v>
      </c>
      <c r="K45" s="14" t="str">
        <f>_xll.BDH("RCOM IN Equity","ARD_DILUTED_EPS","FY 2017","FY 2017","Currency=INR","Period=FY","BEST_FPERIOD_OVERRIDE=FY","FILING_STATUS=MR","EQY_CONSOLIDATED=Y","Sort=A","Dates=H","DateFormat=P","Fill=—","Direction=H","UseDPDF=Y")</f>
        <v>—</v>
      </c>
      <c r="L45" s="14" t="str">
        <f>_xll.BDH("RCOM IN Equity","ARD_DILUTED_EPS","FY 2018","FY 2018","Currency=INR","Period=FY","BEST_FPERIOD_OVERRIDE=FY","FILING_STATUS=MR","EQY_CONSOLIDATED=Y","Sort=A","Dates=H","DateFormat=P","Fill=—","Direction=H","UseDPDF=Y")</f>
        <v>—</v>
      </c>
    </row>
    <row r="46" spans="1:12">
      <c r="A46" s="10" t="s">
        <v>457</v>
      </c>
      <c r="B46" s="10" t="s">
        <v>458</v>
      </c>
      <c r="C46" s="14" t="str">
        <f>_xll.BDH("RCOM IN Equity","ARD_DISC_OPS_PER_SH_BASIC_DIL","FY 2009","FY 2009","Currency=INR","Period=FY","BEST_FPERIOD_OVERRIDE=FY","FILING_STATUS=MR","EQY_CONSOLIDATED=Y","Sort=A","Dates=H","DateFormat=P","Fill=—","Direction=H","UseDPDF=Y")</f>
        <v>—</v>
      </c>
      <c r="D46" s="14" t="str">
        <f>_xll.BDH("RCOM IN Equity","ARD_DISC_OPS_PER_SH_BASIC_DIL","FY 2010","FY 2010","Currency=INR","Period=FY","BEST_FPERIOD_OVERRIDE=FY","FILING_STATUS=MR","EQY_CONSOLIDATED=Y","Sort=A","Dates=H","DateFormat=P","Fill=—","Direction=H","UseDPDF=Y")</f>
        <v>—</v>
      </c>
      <c r="E46" s="14" t="str">
        <f>_xll.BDH("RCOM IN Equity","ARD_DISC_OPS_PER_SH_BASIC_DIL","FY 2011","FY 2011","Currency=INR","Period=FY","BEST_FPERIOD_OVERRIDE=FY","FILING_STATUS=MR","EQY_CONSOLIDATED=Y","Sort=A","Dates=H","DateFormat=P","Fill=—","Direction=H","UseDPDF=Y")</f>
        <v>—</v>
      </c>
      <c r="F46" s="14" t="str">
        <f>_xll.BDH("RCOM IN Equity","ARD_DISC_OPS_PER_SH_BASIC_DIL","FY 2012","FY 2012","Currency=INR","Period=FY","BEST_FPERIOD_OVERRIDE=FY","FILING_STATUS=MR","EQY_CONSOLIDATED=Y","Sort=A","Dates=H","DateFormat=P","Fill=—","Direction=H","UseDPDF=Y")</f>
        <v>—</v>
      </c>
      <c r="G46" s="14" t="str">
        <f>_xll.BDH("RCOM IN Equity","ARD_DISC_OPS_PER_SH_BASIC_DIL","FY 2013","FY 2013","Currency=INR","Period=FY","BEST_FPERIOD_OVERRIDE=FY","FILING_STATUS=MR","EQY_CONSOLIDATED=Y","Sort=A","Dates=H","DateFormat=P","Fill=—","Direction=H","UseDPDF=Y")</f>
        <v>—</v>
      </c>
      <c r="H46" s="14" t="str">
        <f>_xll.BDH("RCOM IN Equity","ARD_DISC_OPS_PER_SH_BASIC_DIL","FY 2014","FY 2014","Currency=INR","Period=FY","BEST_FPERIOD_OVERRIDE=FY","FILING_STATUS=MR","EQY_CONSOLIDATED=Y","Sort=A","Dates=H","DateFormat=P","Fill=—","Direction=H","UseDPDF=Y")</f>
        <v>—</v>
      </c>
      <c r="I46" s="14" t="str">
        <f>_xll.BDH("RCOM IN Equity","ARD_DISC_OPS_PER_SH_BASIC_DIL","FY 2015","FY 2015","Currency=INR","Period=FY","BEST_FPERIOD_OVERRIDE=FY","FILING_STATUS=MR","EQY_CONSOLIDATED=Y","Sort=A","Dates=H","DateFormat=P","Fill=—","Direction=H","UseDPDF=Y")</f>
        <v>—</v>
      </c>
      <c r="J46" s="14" t="str">
        <f>_xll.BDH("RCOM IN Equity","ARD_DISC_OPS_PER_SH_BASIC_DIL","FY 2016","FY 2016","Currency=INR","Period=FY","BEST_FPERIOD_OVERRIDE=FY","FILING_STATUS=MR","EQY_CONSOLIDATED=Y","Sort=A","Dates=H","DateFormat=P","Fill=—","Direction=H","UseDPDF=Y")</f>
        <v>—</v>
      </c>
      <c r="K46" s="14">
        <f>_xll.BDH("RCOM IN Equity","ARD_DISC_OPS_PER_SH_BASIC_DIL","FY 2017","FY 2017","Currency=INR","Period=FY","BEST_FPERIOD_OVERRIDE=FY","FILING_STATUS=MR","EQY_CONSOLIDATED=Y","Sort=A","Dates=H","DateFormat=P","Fill=—","Direction=H","UseDPDF=Y")</f>
        <v>-6.68</v>
      </c>
      <c r="L46" s="14">
        <f>_xll.BDH("RCOM IN Equity","ARD_DISC_OPS_PER_SH_BASIC_DIL","FY 2018","FY 2018","Currency=INR","Period=FY","BEST_FPERIOD_OVERRIDE=FY","FILING_STATUS=MR","EQY_CONSOLIDATED=Y","Sort=A","Dates=H","DateFormat=P","Fill=—","Direction=H","UseDPDF=Y")</f>
        <v>-92.22</v>
      </c>
    </row>
    <row r="47" spans="1:12">
      <c r="A47" s="10" t="s">
        <v>459</v>
      </c>
      <c r="B47" s="10" t="s">
        <v>460</v>
      </c>
      <c r="C47" s="13">
        <f>_xll.BDH("RCOM IN Equity","ARD_INTERIM_DIVIDEND_PAID","FY 2009","FY 2009","Currency=INR","Period=FY","BEST_FPERIOD_OVERRIDE=FY","FILING_STATUS=MR","EQY_CONSOLIDATED=Y","SCALING_FORMAT=MLN","Sort=A","Dates=H","DateFormat=P","Fill=—","Direction=H","UseDPDF=Y")</f>
        <v>1651.2</v>
      </c>
      <c r="D47" s="13" t="str">
        <f>_xll.BDH("RCOM IN Equity","ARD_INTERIM_DIVIDEND_PAID","FY 2010","FY 2010","Currency=INR","Period=FY","BEST_FPERIOD_OVERRIDE=FY","FILING_STATUS=MR","EQY_CONSOLIDATED=Y","SCALING_FORMAT=MLN","Sort=A","Dates=H","DateFormat=P","Fill=—","Direction=H","UseDPDF=Y")</f>
        <v>—</v>
      </c>
      <c r="E47" s="13" t="str">
        <f>_xll.BDH("RCOM IN Equity","ARD_INTERIM_DIVIDEND_PAID","FY 2011","FY 2011","Currency=INR","Period=FY","BEST_FPERIOD_OVERRIDE=FY","FILING_STATUS=MR","EQY_CONSOLIDATED=Y","SCALING_FORMAT=MLN","Sort=A","Dates=H","DateFormat=P","Fill=—","Direction=H","UseDPDF=Y")</f>
        <v>—</v>
      </c>
      <c r="F47" s="13" t="str">
        <f>_xll.BDH("RCOM IN Equity","ARD_INTERIM_DIVIDEND_PAID","FY 2012","FY 2012","Currency=INR","Period=FY","BEST_FPERIOD_OVERRIDE=FY","FILING_STATUS=MR","EQY_CONSOLIDATED=Y","SCALING_FORMAT=MLN","Sort=A","Dates=H","DateFormat=P","Fill=—","Direction=H","UseDPDF=Y")</f>
        <v>—</v>
      </c>
      <c r="G47" s="13" t="str">
        <f>_xll.BDH("RCOM IN Equity","ARD_INTERIM_DIVIDEND_PAID","FY 2013","FY 2013","Currency=INR","Period=FY","BEST_FPERIOD_OVERRIDE=FY","FILING_STATUS=MR","EQY_CONSOLIDATED=Y","SCALING_FORMAT=MLN","Sort=A","Dates=H","DateFormat=P","Fill=—","Direction=H","UseDPDF=Y")</f>
        <v>—</v>
      </c>
      <c r="H47" s="13" t="str">
        <f>_xll.BDH("RCOM IN Equity","ARD_INTERIM_DIVIDEND_PAID","FY 2014","FY 2014","Currency=INR","Period=FY","BEST_FPERIOD_OVERRIDE=FY","FILING_STATUS=MR","EQY_CONSOLIDATED=Y","SCALING_FORMAT=MLN","Sort=A","Dates=H","DateFormat=P","Fill=—","Direction=H","UseDPDF=Y")</f>
        <v>—</v>
      </c>
      <c r="I47" s="13" t="str">
        <f>_xll.BDH("RCOM IN Equity","ARD_INTERIM_DIVIDEND_PAID","FY 2015","FY 2015","Currency=INR","Period=FY","BEST_FPERIOD_OVERRIDE=FY","FILING_STATUS=MR","EQY_CONSOLIDATED=Y","SCALING_FORMAT=MLN","Sort=A","Dates=H","DateFormat=P","Fill=—","Direction=H","UseDPDF=Y")</f>
        <v>—</v>
      </c>
      <c r="J47" s="13" t="str">
        <f>_xll.BDH("RCOM IN Equity","ARD_INTERIM_DIVIDEND_PAID","FY 2016","FY 2016","Currency=INR","Period=FY","BEST_FPERIOD_OVERRIDE=FY","FILING_STATUS=MR","EQY_CONSOLIDATED=Y","SCALING_FORMAT=MLN","Sort=A","Dates=H","DateFormat=P","Fill=—","Direction=H","UseDPDF=Y")</f>
        <v>—</v>
      </c>
      <c r="K47" s="13" t="str">
        <f>_xll.BDH("RCOM IN Equity","ARD_INTERIM_DIVIDEND_PAID","FY 2017","FY 2017","Currency=INR","Period=FY","BEST_FPERIOD_OVERRIDE=FY","FILING_STATUS=MR","EQY_CONSOLIDATED=Y","SCALING_FORMAT=MLN","Sort=A","Dates=H","DateFormat=P","Fill=—","Direction=H","UseDPDF=Y")</f>
        <v>—</v>
      </c>
      <c r="L47" s="13" t="str">
        <f>_xll.BDH("RCOM IN Equity","ARD_INTERIM_DIVIDEND_PAID","FY 2018","FY 2018","Currency=INR","Period=FY","BEST_FPERIOD_OVERRIDE=FY","FILING_STATUS=MR","EQY_CONSOLIDATED=Y","SCALING_FORMAT=MLN","Sort=A","Dates=H","DateFormat=P","Fill=—","Direction=H","UseDPDF=Y")</f>
        <v>—</v>
      </c>
    </row>
    <row r="48" spans="1:12">
      <c r="A48" s="10" t="s">
        <v>461</v>
      </c>
      <c r="B48" s="10" t="s">
        <v>462</v>
      </c>
      <c r="C48" s="13" t="str">
        <f>_xll.BDH("RCOM IN Equity","ARD_PROPOSED_FINAL_DIVIDEND","FY 2009","FY 2009","Currency=INR","Period=FY","BEST_FPERIOD_OVERRIDE=FY","FILING_STATUS=MR","EQY_CONSOLIDATED=Y","SCALING_FORMAT=MLN","Sort=A","Dates=H","DateFormat=P","Fill=—","Direction=H","UseDPDF=Y")</f>
        <v>—</v>
      </c>
      <c r="D48" s="13">
        <f>_xll.BDH("RCOM IN Equity","ARD_PROPOSED_FINAL_DIVIDEND","FY 2010","FY 2010","Currency=INR","Period=FY","BEST_FPERIOD_OVERRIDE=FY","FILING_STATUS=MR","EQY_CONSOLIDATED=Y","SCALING_FORMAT=MLN","Sort=A","Dates=H","DateFormat=P","Fill=—","Direction=H","UseDPDF=Y")</f>
        <v>1754.4</v>
      </c>
      <c r="E48" s="13">
        <f>_xll.BDH("RCOM IN Equity","ARD_PROPOSED_FINAL_DIVIDEND","FY 2011","FY 2011","Currency=INR","Period=FY","BEST_FPERIOD_OVERRIDE=FY","FILING_STATUS=MR","EQY_CONSOLIDATED=Y","SCALING_FORMAT=MLN","Sort=A","Dates=H","DateFormat=P","Fill=—","Direction=H","UseDPDF=Y")</f>
        <v>1030</v>
      </c>
      <c r="F48" s="13">
        <f>_xll.BDH("RCOM IN Equity","ARD_PROPOSED_FINAL_DIVIDEND","FY 2012","FY 2012","Currency=INR","Period=FY","BEST_FPERIOD_OVERRIDE=FY","FILING_STATUS=MR","EQY_CONSOLIDATED=Y","SCALING_FORMAT=MLN","Sort=A","Dates=H","DateFormat=P","Fill=—","Direction=H","UseDPDF=Y")</f>
        <v>520</v>
      </c>
      <c r="G48" s="13">
        <f>_xll.BDH("RCOM IN Equity","ARD_PROPOSED_FINAL_DIVIDEND","FY 2013","FY 2013","Currency=INR","Period=FY","BEST_FPERIOD_OVERRIDE=FY","FILING_STATUS=MR","EQY_CONSOLIDATED=Y","SCALING_FORMAT=MLN","Sort=A","Dates=H","DateFormat=P","Fill=—","Direction=H","UseDPDF=Y")</f>
        <v>520</v>
      </c>
      <c r="H48" s="13">
        <f>_xll.BDH("RCOM IN Equity","ARD_PROPOSED_FINAL_DIVIDEND","FY 2014","FY 2014","Currency=INR","Period=FY","BEST_FPERIOD_OVERRIDE=FY","FILING_STATUS=MR","EQY_CONSOLIDATED=Y","SCALING_FORMAT=MLN","Sort=A","Dates=H","DateFormat=P","Fill=—","Direction=H","UseDPDF=Y")</f>
        <v>0</v>
      </c>
      <c r="I48" s="13">
        <f>_xll.BDH("RCOM IN Equity","ARD_PROPOSED_FINAL_DIVIDEND","FY 2015","FY 2015","Currency=INR","Period=FY","BEST_FPERIOD_OVERRIDE=FY","FILING_STATUS=MR","EQY_CONSOLIDATED=Y","SCALING_FORMAT=MLN","Sort=A","Dates=H","DateFormat=P","Fill=—","Direction=H","UseDPDF=Y")</f>
        <v>0</v>
      </c>
      <c r="J48" s="13" t="str">
        <f>_xll.BDH("RCOM IN Equity","ARD_PROPOSED_FINAL_DIVIDEND","FY 2016","FY 2016","Currency=INR","Period=FY","BEST_FPERIOD_OVERRIDE=FY","FILING_STATUS=MR","EQY_CONSOLIDATED=Y","SCALING_FORMAT=MLN","Sort=A","Dates=H","DateFormat=P","Fill=—","Direction=H","UseDPDF=Y")</f>
        <v>—</v>
      </c>
      <c r="K48" s="13" t="str">
        <f>_xll.BDH("RCOM IN Equity","ARD_PROPOSED_FINAL_DIVIDEND","FY 2017","FY 2017","Currency=INR","Period=FY","BEST_FPERIOD_OVERRIDE=FY","FILING_STATUS=MR","EQY_CONSOLIDATED=Y","SCALING_FORMAT=MLN","Sort=A","Dates=H","DateFormat=P","Fill=—","Direction=H","UseDPDF=Y")</f>
        <v>—</v>
      </c>
      <c r="L48" s="13" t="str">
        <f>_xll.BDH("RCOM IN Equity","ARD_PROPOSED_FINAL_DIVIDEND","FY 2018","FY 2018","Currency=INR","Period=FY","BEST_FPERIOD_OVERRIDE=FY","FILING_STATUS=MR","EQY_CONSOLIDATED=Y","SCALING_FORMAT=MLN","Sort=A","Dates=H","DateFormat=P","Fill=—","Direction=H","UseDPDF=Y")</f>
        <v>—</v>
      </c>
    </row>
    <row r="49" spans="1:12">
      <c r="A49" s="10" t="s">
        <v>463</v>
      </c>
      <c r="B49" s="10" t="s">
        <v>464</v>
      </c>
      <c r="C49" s="13">
        <f>_xll.BDH("RCOM IN Equity","ARD_PROFIT_AVAIL_APPROPRIATION","FY 2009","FY 2009","Currency=INR","Period=FY","BEST_FPERIOD_OVERRIDE=FY","FILING_STATUS=MR","EQY_CONSOLIDATED=Y","SCALING_FORMAT=MLN","Sort=A","Dates=H","DateFormat=P","Fill=—","Direction=H","UseDPDF=Y")</f>
        <v>142314.79999999999</v>
      </c>
      <c r="D49" s="13">
        <f>_xll.BDH("RCOM IN Equity","ARD_PROFIT_AVAIL_APPROPRIATION","FY 2010","FY 2010","Currency=INR","Period=FY","BEST_FPERIOD_OVERRIDE=FY","FILING_STATUS=MR","EQY_CONSOLIDATED=Y","SCALING_FORMAT=MLN","Sort=A","Dates=H","DateFormat=P","Fill=—","Direction=H","UseDPDF=Y")</f>
        <v>102863</v>
      </c>
      <c r="E49" s="13" t="str">
        <f>_xll.BDH("RCOM IN Equity","ARD_PROFIT_AVAIL_APPROPRIATION","FY 2011","FY 2011","Currency=INR","Period=FY","BEST_FPERIOD_OVERRIDE=FY","FILING_STATUS=MR","EQY_CONSOLIDATED=Y","SCALING_FORMAT=MLN","Sort=A","Dates=H","DateFormat=P","Fill=—","Direction=H","UseDPDF=Y")</f>
        <v>—</v>
      </c>
      <c r="F49" s="13" t="str">
        <f>_xll.BDH("RCOM IN Equity","ARD_PROFIT_AVAIL_APPROPRIATION","FY 2012","FY 2012","Currency=INR","Period=FY","BEST_FPERIOD_OVERRIDE=FY","FILING_STATUS=MR","EQY_CONSOLIDATED=Y","SCALING_FORMAT=MLN","Sort=A","Dates=H","DateFormat=P","Fill=—","Direction=H","UseDPDF=Y")</f>
        <v>—</v>
      </c>
      <c r="G49" s="13" t="str">
        <f>_xll.BDH("RCOM IN Equity","ARD_PROFIT_AVAIL_APPROPRIATION","FY 2013","FY 2013","Currency=INR","Period=FY","BEST_FPERIOD_OVERRIDE=FY","FILING_STATUS=MR","EQY_CONSOLIDATED=Y","SCALING_FORMAT=MLN","Sort=A","Dates=H","DateFormat=P","Fill=—","Direction=H","UseDPDF=Y")</f>
        <v>—</v>
      </c>
      <c r="H49" s="13" t="str">
        <f>_xll.BDH("RCOM IN Equity","ARD_PROFIT_AVAIL_APPROPRIATION","FY 2014","FY 2014","Currency=INR","Period=FY","BEST_FPERIOD_OVERRIDE=FY","FILING_STATUS=MR","EQY_CONSOLIDATED=Y","SCALING_FORMAT=MLN","Sort=A","Dates=H","DateFormat=P","Fill=—","Direction=H","UseDPDF=Y")</f>
        <v>—</v>
      </c>
      <c r="I49" s="13" t="str">
        <f>_xll.BDH("RCOM IN Equity","ARD_PROFIT_AVAIL_APPROPRIATION","FY 2015","FY 2015","Currency=INR","Period=FY","BEST_FPERIOD_OVERRIDE=FY","FILING_STATUS=MR","EQY_CONSOLIDATED=Y","SCALING_FORMAT=MLN","Sort=A","Dates=H","DateFormat=P","Fill=—","Direction=H","UseDPDF=Y")</f>
        <v>—</v>
      </c>
      <c r="J49" s="13" t="str">
        <f>_xll.BDH("RCOM IN Equity","ARD_PROFIT_AVAIL_APPROPRIATION","FY 2016","FY 2016","Currency=INR","Period=FY","BEST_FPERIOD_OVERRIDE=FY","FILING_STATUS=MR","EQY_CONSOLIDATED=Y","SCALING_FORMAT=MLN","Sort=A","Dates=H","DateFormat=P","Fill=—","Direction=H","UseDPDF=Y")</f>
        <v>—</v>
      </c>
      <c r="K49" s="13" t="str">
        <f>_xll.BDH("RCOM IN Equity","ARD_PROFIT_AVAIL_APPROPRIATION","FY 2017","FY 2017","Currency=INR","Period=FY","BEST_FPERIOD_OVERRIDE=FY","FILING_STATUS=MR","EQY_CONSOLIDATED=Y","SCALING_FORMAT=MLN","Sort=A","Dates=H","DateFormat=P","Fill=—","Direction=H","UseDPDF=Y")</f>
        <v>—</v>
      </c>
      <c r="L49" s="13" t="str">
        <f>_xll.BDH("RCOM IN Equity","ARD_PROFIT_AVAIL_APPROPRIATION","FY 2018","FY 2018","Currency=INR","Period=FY","BEST_FPERIOD_OVERRIDE=FY","FILING_STATUS=MR","EQY_CONSOLIDATED=Y","SCALING_FORMAT=MLN","Sort=A","Dates=H","DateFormat=P","Fill=—","Direction=H","UseDPDF=Y")</f>
        <v>—</v>
      </c>
    </row>
    <row r="50" spans="1:12">
      <c r="A50" s="10" t="s">
        <v>465</v>
      </c>
      <c r="B50" s="10" t="s">
        <v>466</v>
      </c>
      <c r="C50" s="13">
        <f>_xll.BDH("RCOM IN Equity","ARD_CORPORATE_DIVIDEND_TAX","FY 2009","FY 2009","Currency=INR","Period=FY","BEST_FPERIOD_OVERRIDE=FY","FILING_STATUS=MR","EQY_CONSOLIDATED=Y","SCALING_FORMAT=MLN","Sort=A","Dates=H","DateFormat=P","Fill=—","Direction=H","UseDPDF=Y")</f>
        <v>280.60000000000002</v>
      </c>
      <c r="D50" s="13">
        <f>_xll.BDH("RCOM IN Equity","ARD_CORPORATE_DIVIDEND_TAX","FY 2010","FY 2010","Currency=INR","Period=FY","BEST_FPERIOD_OVERRIDE=FY","FILING_STATUS=MR","EQY_CONSOLIDATED=Y","SCALING_FORMAT=MLN","Sort=A","Dates=H","DateFormat=P","Fill=—","Direction=H","UseDPDF=Y")</f>
        <v>291.39999999999998</v>
      </c>
      <c r="E50" s="13">
        <f>_xll.BDH("RCOM IN Equity","ARD_CORPORATE_DIVIDEND_TAX","FY 2011","FY 2011","Currency=INR","Period=FY","BEST_FPERIOD_OVERRIDE=FY","FILING_STATUS=MR","EQY_CONSOLIDATED=Y","SCALING_FORMAT=MLN","Sort=A","Dates=H","DateFormat=P","Fill=—","Direction=H","UseDPDF=Y")</f>
        <v>170</v>
      </c>
      <c r="F50" s="13">
        <f>_xll.BDH("RCOM IN Equity","ARD_CORPORATE_DIVIDEND_TAX","FY 2012","FY 2012","Currency=INR","Period=FY","BEST_FPERIOD_OVERRIDE=FY","FILING_STATUS=MR","EQY_CONSOLIDATED=Y","SCALING_FORMAT=MLN","Sort=A","Dates=H","DateFormat=P","Fill=—","Direction=H","UseDPDF=Y")</f>
        <v>80</v>
      </c>
      <c r="G50" s="13">
        <f>_xll.BDH("RCOM IN Equity","ARD_CORPORATE_DIVIDEND_TAX","FY 2013","FY 2013","Currency=INR","Period=FY","BEST_FPERIOD_OVERRIDE=FY","FILING_STATUS=MR","EQY_CONSOLIDATED=Y","SCALING_FORMAT=MLN","Sort=A","Dates=H","DateFormat=P","Fill=—","Direction=H","UseDPDF=Y")</f>
        <v>90</v>
      </c>
      <c r="H50" s="13">
        <f>_xll.BDH("RCOM IN Equity","ARD_CORPORATE_DIVIDEND_TAX","FY 2014","FY 2014","Currency=INR","Period=FY","BEST_FPERIOD_OVERRIDE=FY","FILING_STATUS=MR","EQY_CONSOLIDATED=Y","SCALING_FORMAT=MLN","Sort=A","Dates=H","DateFormat=P","Fill=—","Direction=H","UseDPDF=Y")</f>
        <v>0</v>
      </c>
      <c r="I50" s="13">
        <f>_xll.BDH("RCOM IN Equity","ARD_CORPORATE_DIVIDEND_TAX","FY 2015","FY 2015","Currency=INR","Period=FY","BEST_FPERIOD_OVERRIDE=FY","FILING_STATUS=MR","EQY_CONSOLIDATED=Y","SCALING_FORMAT=MLN","Sort=A","Dates=H","DateFormat=P","Fill=—","Direction=H","UseDPDF=Y")</f>
        <v>0</v>
      </c>
      <c r="J50" s="13" t="str">
        <f>_xll.BDH("RCOM IN Equity","ARD_CORPORATE_DIVIDEND_TAX","FY 2016","FY 2016","Currency=INR","Period=FY","BEST_FPERIOD_OVERRIDE=FY","FILING_STATUS=MR","EQY_CONSOLIDATED=Y","SCALING_FORMAT=MLN","Sort=A","Dates=H","DateFormat=P","Fill=—","Direction=H","UseDPDF=Y")</f>
        <v>—</v>
      </c>
      <c r="K50" s="13" t="str">
        <f>_xll.BDH("RCOM IN Equity","ARD_CORPORATE_DIVIDEND_TAX","FY 2017","FY 2017","Currency=INR","Period=FY","BEST_FPERIOD_OVERRIDE=FY","FILING_STATUS=MR","EQY_CONSOLIDATED=Y","SCALING_FORMAT=MLN","Sort=A","Dates=H","DateFormat=P","Fill=—","Direction=H","UseDPDF=Y")</f>
        <v>—</v>
      </c>
      <c r="L50" s="13" t="str">
        <f>_xll.BDH("RCOM IN Equity","ARD_CORPORATE_DIVIDEND_TAX","FY 2018","FY 2018","Currency=INR","Period=FY","BEST_FPERIOD_OVERRIDE=FY","FILING_STATUS=MR","EQY_CONSOLIDATED=Y","SCALING_FORMAT=MLN","Sort=A","Dates=H","DateFormat=P","Fill=—","Direction=H","UseDPDF=Y")</f>
        <v>—</v>
      </c>
    </row>
    <row r="51" spans="1:12">
      <c r="A51" s="6" t="s">
        <v>116</v>
      </c>
      <c r="B51" s="6" t="s">
        <v>467</v>
      </c>
      <c r="C51" s="19">
        <f>_xll.BDH("RCOM IN Equity","ARD_NET_INC","FY 2009","FY 2009","Currency=INR","Period=FY","BEST_FPERIOD_OVERRIDE=FY","FILING_STATUS=MR","EQY_CONSOLIDATED=Y","SCALING_FORMAT=MLN","Sort=A","Dates=H","DateFormat=P","Fill=—","Direction=H","UseDPDF=Y")</f>
        <v>60449.3</v>
      </c>
      <c r="D51" s="19">
        <f>_xll.BDH("RCOM IN Equity","ARD_NET_INC","FY 2010","FY 2010","Currency=INR","Period=FY","BEST_FPERIOD_OVERRIDE=FY","FILING_STATUS=MR","EQY_CONSOLIDATED=Y","SCALING_FORMAT=MLN","Sort=A","Dates=H","DateFormat=P","Fill=—","Direction=H","UseDPDF=Y")</f>
        <v>46550</v>
      </c>
      <c r="E51" s="19">
        <f>_xll.BDH("RCOM IN Equity","ARD_NET_INC","FY 2011","FY 2011","Currency=INR","Period=FY","BEST_FPERIOD_OVERRIDE=FY","FILING_STATUS=MR","EQY_CONSOLIDATED=Y","SCALING_FORMAT=MLN","Sort=A","Dates=H","DateFormat=P","Fill=—","Direction=H","UseDPDF=Y")</f>
        <v>13450</v>
      </c>
      <c r="F51" s="19">
        <f>_xll.BDH("RCOM IN Equity","ARD_NET_INC","FY 2012","FY 2012","Currency=INR","Period=FY","BEST_FPERIOD_OVERRIDE=FY","FILING_STATUS=MR","EQY_CONSOLIDATED=Y","SCALING_FORMAT=MLN","Sort=A","Dates=H","DateFormat=P","Fill=—","Direction=H","UseDPDF=Y")</f>
        <v>9280</v>
      </c>
      <c r="G51" s="19">
        <f>_xll.BDH("RCOM IN Equity","ARD_NET_INC","FY 2013","FY 2013","Currency=INR","Period=FY","BEST_FPERIOD_OVERRIDE=FY","FILING_STATUS=MR","EQY_CONSOLIDATED=Y","SCALING_FORMAT=MLN","Sort=A","Dates=H","DateFormat=P","Fill=—","Direction=H","UseDPDF=Y")</f>
        <v>6720</v>
      </c>
      <c r="H51" s="19">
        <f>_xll.BDH("RCOM IN Equity","ARD_NET_INC","FY 2014","FY 2014","Currency=INR","Period=FY","BEST_FPERIOD_OVERRIDE=FY","FILING_STATUS=MR","EQY_CONSOLIDATED=Y","SCALING_FORMAT=MLN","Sort=A","Dates=H","DateFormat=P","Fill=—","Direction=H","UseDPDF=Y")</f>
        <v>10470</v>
      </c>
      <c r="I51" s="19">
        <f>_xll.BDH("RCOM IN Equity","ARD_NET_INC","FY 2015","FY 2015","Currency=INR","Period=FY","BEST_FPERIOD_OVERRIDE=FY","FILING_STATUS=MR","EQY_CONSOLIDATED=Y","SCALING_FORMAT=MLN","Sort=A","Dates=H","DateFormat=P","Fill=—","Direction=H","UseDPDF=Y")</f>
        <v>7140</v>
      </c>
      <c r="J51" s="19">
        <f>_xll.BDH("RCOM IN Equity","ARD_NET_INC","FY 2016","FY 2016","Currency=INR","Period=FY","BEST_FPERIOD_OVERRIDE=FY","FILING_STATUS=MR","EQY_CONSOLIDATED=Y","SCALING_FORMAT=MLN","Sort=A","Dates=H","DateFormat=P","Fill=—","Direction=H","UseDPDF=Y")</f>
        <v>6390</v>
      </c>
      <c r="K51" s="19">
        <f>_xll.BDH("RCOM IN Equity","ARD_NET_INC","FY 2017","FY 2017","Currency=INR","Period=FY","BEST_FPERIOD_OVERRIDE=FY","FILING_STATUS=MR","EQY_CONSOLIDATED=Y","SCALING_FORMAT=MLN","Sort=A","Dates=H","DateFormat=P","Fill=—","Direction=H","UseDPDF=Y")</f>
        <v>-14030</v>
      </c>
      <c r="L51" s="19">
        <f>_xll.BDH("RCOM IN Equity","ARD_NET_INC","FY 2018","FY 2018","Currency=INR","Period=FY","BEST_FPERIOD_OVERRIDE=FY","FILING_STATUS=MR","EQY_CONSOLIDATED=Y","SCALING_FORMAT=MLN","Sort=A","Dates=H","DateFormat=P","Fill=—","Direction=H","UseDPDF=Y")</f>
        <v>-238390</v>
      </c>
    </row>
    <row r="52" spans="1:12">
      <c r="A52" s="10" t="s">
        <v>468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>
      <c r="A53" s="10" t="s">
        <v>469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</row>
    <row r="54" spans="1:12">
      <c r="A54" s="6" t="s">
        <v>470</v>
      </c>
      <c r="B54" s="6" t="s">
        <v>471</v>
      </c>
      <c r="C54" s="19" t="str">
        <f>_xll.BDH("RCOM IN Equity","ARD_PENSION_RELATED_ADJUSTMENTS","FY 2009","FY 2009","Currency=INR","Period=FY","BEST_FPERIOD_OVERRIDE=FY","FILING_STATUS=MR","EQY_CONSOLIDATED=Y","SCALING_FORMAT=MLN","Sort=A","Dates=H","DateFormat=P","Fill=—","Direction=H","UseDPDF=Y")</f>
        <v>—</v>
      </c>
      <c r="D54" s="19" t="str">
        <f>_xll.BDH("RCOM IN Equity","ARD_PENSION_RELATED_ADJUSTMENTS","FY 2010","FY 2010","Currency=INR","Period=FY","BEST_FPERIOD_OVERRIDE=FY","FILING_STATUS=MR","EQY_CONSOLIDATED=Y","SCALING_FORMAT=MLN","Sort=A","Dates=H","DateFormat=P","Fill=—","Direction=H","UseDPDF=Y")</f>
        <v>—</v>
      </c>
      <c r="E54" s="19" t="str">
        <f>_xll.BDH("RCOM IN Equity","ARD_PENSION_RELATED_ADJUSTMENTS","FY 2011","FY 2011","Currency=INR","Period=FY","BEST_FPERIOD_OVERRIDE=FY","FILING_STATUS=MR","EQY_CONSOLIDATED=Y","SCALING_FORMAT=MLN","Sort=A","Dates=H","DateFormat=P","Fill=—","Direction=H","UseDPDF=Y")</f>
        <v>—</v>
      </c>
      <c r="F54" s="19" t="str">
        <f>_xll.BDH("RCOM IN Equity","ARD_PENSION_RELATED_ADJUSTMENTS","FY 2012","FY 2012","Currency=INR","Period=FY","BEST_FPERIOD_OVERRIDE=FY","FILING_STATUS=MR","EQY_CONSOLIDATED=Y","SCALING_FORMAT=MLN","Sort=A","Dates=H","DateFormat=P","Fill=—","Direction=H","UseDPDF=Y")</f>
        <v>—</v>
      </c>
      <c r="G54" s="19" t="str">
        <f>_xll.BDH("RCOM IN Equity","ARD_PENSION_RELATED_ADJUSTMENTS","FY 2013","FY 2013","Currency=INR","Period=FY","BEST_FPERIOD_OVERRIDE=FY","FILING_STATUS=MR","EQY_CONSOLIDATED=Y","SCALING_FORMAT=MLN","Sort=A","Dates=H","DateFormat=P","Fill=—","Direction=H","UseDPDF=Y")</f>
        <v>—</v>
      </c>
      <c r="H54" s="19" t="str">
        <f>_xll.BDH("RCOM IN Equity","ARD_PENSION_RELATED_ADJUSTMENTS","FY 2014","FY 2014","Currency=INR","Period=FY","BEST_FPERIOD_OVERRIDE=FY","FILING_STATUS=MR","EQY_CONSOLIDATED=Y","SCALING_FORMAT=MLN","Sort=A","Dates=H","DateFormat=P","Fill=—","Direction=H","UseDPDF=Y")</f>
        <v>—</v>
      </c>
      <c r="I54" s="19" t="str">
        <f>_xll.BDH("RCOM IN Equity","ARD_PENSION_RELATED_ADJUSTMENTS","FY 2015","FY 2015","Currency=INR","Period=FY","BEST_FPERIOD_OVERRIDE=FY","FILING_STATUS=MR","EQY_CONSOLIDATED=Y","SCALING_FORMAT=MLN","Sort=A","Dates=H","DateFormat=P","Fill=—","Direction=H","UseDPDF=Y")</f>
        <v>—</v>
      </c>
      <c r="J54" s="19">
        <f>_xll.BDH("RCOM IN Equity","ARD_PENSION_RELATED_ADJUSTMENTS","FY 2016","FY 2016","Currency=INR","Period=FY","BEST_FPERIOD_OVERRIDE=FY","FILING_STATUS=MR","EQY_CONSOLIDATED=Y","SCALING_FORMAT=MLN","Sort=A","Dates=H","DateFormat=P","Fill=—","Direction=H","UseDPDF=Y")</f>
        <v>-10</v>
      </c>
      <c r="K54" s="19">
        <f>_xll.BDH("RCOM IN Equity","ARD_PENSION_RELATED_ADJUSTMENTS","FY 2017","FY 2017","Currency=INR","Period=FY","BEST_FPERIOD_OVERRIDE=FY","FILING_STATUS=MR","EQY_CONSOLIDATED=Y","SCALING_FORMAT=MLN","Sort=A","Dates=H","DateFormat=P","Fill=—","Direction=H","UseDPDF=Y")</f>
        <v>-10</v>
      </c>
      <c r="L54" s="19">
        <f>_xll.BDH("RCOM IN Equity","ARD_PENSION_RELATED_ADJUSTMENTS","FY 2018","FY 2018","Currency=INR","Period=FY","BEST_FPERIOD_OVERRIDE=FY","FILING_STATUS=MR","EQY_CONSOLIDATED=Y","SCALING_FORMAT=MLN","Sort=A","Dates=H","DateFormat=P","Fill=—","Direction=H","UseDPDF=Y")</f>
        <v>40</v>
      </c>
    </row>
    <row r="55" spans="1:12">
      <c r="A55" s="6" t="s">
        <v>472</v>
      </c>
      <c r="B55" s="6" t="s">
        <v>473</v>
      </c>
      <c r="C55" s="19" t="str">
        <f>_xll.BDH("RCOM IN Equity","ARD_OTHER_COMPREHENSIVE_INCOME","FY 2009","FY 2009","Currency=INR","Period=FY","BEST_FPERIOD_OVERRIDE=FY","FILING_STATUS=MR","EQY_CONSOLIDATED=Y","SCALING_FORMAT=MLN","Sort=A","Dates=H","DateFormat=P","Fill=—","Direction=H","UseDPDF=Y")</f>
        <v>—</v>
      </c>
      <c r="D55" s="19" t="str">
        <f>_xll.BDH("RCOM IN Equity","ARD_OTHER_COMPREHENSIVE_INCOME","FY 2010","FY 2010","Currency=INR","Period=FY","BEST_FPERIOD_OVERRIDE=FY","FILING_STATUS=MR","EQY_CONSOLIDATED=Y","SCALING_FORMAT=MLN","Sort=A","Dates=H","DateFormat=P","Fill=—","Direction=H","UseDPDF=Y")</f>
        <v>—</v>
      </c>
      <c r="E55" s="19" t="str">
        <f>_xll.BDH("RCOM IN Equity","ARD_OTHER_COMPREHENSIVE_INCOME","FY 2011","FY 2011","Currency=INR","Period=FY","BEST_FPERIOD_OVERRIDE=FY","FILING_STATUS=MR","EQY_CONSOLIDATED=Y","SCALING_FORMAT=MLN","Sort=A","Dates=H","DateFormat=P","Fill=—","Direction=H","UseDPDF=Y")</f>
        <v>—</v>
      </c>
      <c r="F55" s="19" t="str">
        <f>_xll.BDH("RCOM IN Equity","ARD_OTHER_COMPREHENSIVE_INCOME","FY 2012","FY 2012","Currency=INR","Period=FY","BEST_FPERIOD_OVERRIDE=FY","FILING_STATUS=MR","EQY_CONSOLIDATED=Y","SCALING_FORMAT=MLN","Sort=A","Dates=H","DateFormat=P","Fill=—","Direction=H","UseDPDF=Y")</f>
        <v>—</v>
      </c>
      <c r="G55" s="19" t="str">
        <f>_xll.BDH("RCOM IN Equity","ARD_OTHER_COMPREHENSIVE_INCOME","FY 2013","FY 2013","Currency=INR","Period=FY","BEST_FPERIOD_OVERRIDE=FY","FILING_STATUS=MR","EQY_CONSOLIDATED=Y","SCALING_FORMAT=MLN","Sort=A","Dates=H","DateFormat=P","Fill=—","Direction=H","UseDPDF=Y")</f>
        <v>—</v>
      </c>
      <c r="H55" s="19" t="str">
        <f>_xll.BDH("RCOM IN Equity","ARD_OTHER_COMPREHENSIVE_INCOME","FY 2014","FY 2014","Currency=INR","Period=FY","BEST_FPERIOD_OVERRIDE=FY","FILING_STATUS=MR","EQY_CONSOLIDATED=Y","SCALING_FORMAT=MLN","Sort=A","Dates=H","DateFormat=P","Fill=—","Direction=H","UseDPDF=Y")</f>
        <v>—</v>
      </c>
      <c r="I55" s="19" t="str">
        <f>_xll.BDH("RCOM IN Equity","ARD_OTHER_COMPREHENSIVE_INCOME","FY 2015","FY 2015","Currency=INR","Period=FY","BEST_FPERIOD_OVERRIDE=FY","FILING_STATUS=MR","EQY_CONSOLIDATED=Y","SCALING_FORMAT=MLN","Sort=A","Dates=H","DateFormat=P","Fill=—","Direction=H","UseDPDF=Y")</f>
        <v>—</v>
      </c>
      <c r="J55" s="19">
        <f>_xll.BDH("RCOM IN Equity","ARD_OTHER_COMPREHENSIVE_INCOME","FY 2016","FY 2016","Currency=INR","Period=FY","BEST_FPERIOD_OVERRIDE=FY","FILING_STATUS=MR","EQY_CONSOLIDATED=Y","SCALING_FORMAT=MLN","Sort=A","Dates=H","DateFormat=P","Fill=—","Direction=H","UseDPDF=Y")</f>
        <v>30</v>
      </c>
      <c r="K55" s="19">
        <f>_xll.BDH("RCOM IN Equity","ARD_OTHER_COMPREHENSIVE_INCOME","FY 2017","FY 2017","Currency=INR","Period=FY","BEST_FPERIOD_OVERRIDE=FY","FILING_STATUS=MR","EQY_CONSOLIDATED=Y","SCALING_FORMAT=MLN","Sort=A","Dates=H","DateFormat=P","Fill=—","Direction=H","UseDPDF=Y")</f>
        <v>-10</v>
      </c>
      <c r="L55" s="19">
        <f>_xll.BDH("RCOM IN Equity","ARD_OTHER_COMPREHENSIVE_INCOME","FY 2018","FY 2018","Currency=INR","Period=FY","BEST_FPERIOD_OVERRIDE=FY","FILING_STATUS=MR","EQY_CONSOLIDATED=Y","SCALING_FORMAT=MLN","Sort=A","Dates=H","DateFormat=P","Fill=—","Direction=H","UseDPDF=Y")</f>
        <v>479000</v>
      </c>
    </row>
    <row r="56" spans="1:12">
      <c r="A56" s="6" t="s">
        <v>474</v>
      </c>
      <c r="B56" s="6" t="s">
        <v>475</v>
      </c>
      <c r="C56" s="19" t="str">
        <f>_xll.BDH("RCOM IN Equity","ARD_TOTAL_COMPREHENSIVE_INCOME","FY 2009","FY 2009","Currency=INR","Period=FY","BEST_FPERIOD_OVERRIDE=FY","FILING_STATUS=MR","EQY_CONSOLIDATED=Y","SCALING_FORMAT=MLN","Sort=A","Dates=H","DateFormat=P","Fill=—","Direction=H","UseDPDF=Y")</f>
        <v>—</v>
      </c>
      <c r="D56" s="19" t="str">
        <f>_xll.BDH("RCOM IN Equity","ARD_TOTAL_COMPREHENSIVE_INCOME","FY 2010","FY 2010","Currency=INR","Period=FY","BEST_FPERIOD_OVERRIDE=FY","FILING_STATUS=MR","EQY_CONSOLIDATED=Y","SCALING_FORMAT=MLN","Sort=A","Dates=H","DateFormat=P","Fill=—","Direction=H","UseDPDF=Y")</f>
        <v>—</v>
      </c>
      <c r="E56" s="19" t="str">
        <f>_xll.BDH("RCOM IN Equity","ARD_TOTAL_COMPREHENSIVE_INCOME","FY 2011","FY 2011","Currency=INR","Period=FY","BEST_FPERIOD_OVERRIDE=FY","FILING_STATUS=MR","EQY_CONSOLIDATED=Y","SCALING_FORMAT=MLN","Sort=A","Dates=H","DateFormat=P","Fill=—","Direction=H","UseDPDF=Y")</f>
        <v>—</v>
      </c>
      <c r="F56" s="19" t="str">
        <f>_xll.BDH("RCOM IN Equity","ARD_TOTAL_COMPREHENSIVE_INCOME","FY 2012","FY 2012","Currency=INR","Period=FY","BEST_FPERIOD_OVERRIDE=FY","FILING_STATUS=MR","EQY_CONSOLIDATED=Y","SCALING_FORMAT=MLN","Sort=A","Dates=H","DateFormat=P","Fill=—","Direction=H","UseDPDF=Y")</f>
        <v>—</v>
      </c>
      <c r="G56" s="19" t="str">
        <f>_xll.BDH("RCOM IN Equity","ARD_TOTAL_COMPREHENSIVE_INCOME","FY 2013","FY 2013","Currency=INR","Period=FY","BEST_FPERIOD_OVERRIDE=FY","FILING_STATUS=MR","EQY_CONSOLIDATED=Y","SCALING_FORMAT=MLN","Sort=A","Dates=H","DateFormat=P","Fill=—","Direction=H","UseDPDF=Y")</f>
        <v>—</v>
      </c>
      <c r="H56" s="19" t="str">
        <f>_xll.BDH("RCOM IN Equity","ARD_TOTAL_COMPREHENSIVE_INCOME","FY 2014","FY 2014","Currency=INR","Period=FY","BEST_FPERIOD_OVERRIDE=FY","FILING_STATUS=MR","EQY_CONSOLIDATED=Y","SCALING_FORMAT=MLN","Sort=A","Dates=H","DateFormat=P","Fill=—","Direction=H","UseDPDF=Y")</f>
        <v>—</v>
      </c>
      <c r="I56" s="19" t="str">
        <f>_xll.BDH("RCOM IN Equity","ARD_TOTAL_COMPREHENSIVE_INCOME","FY 2015","FY 2015","Currency=INR","Period=FY","BEST_FPERIOD_OVERRIDE=FY","FILING_STATUS=MR","EQY_CONSOLIDATED=Y","SCALING_FORMAT=MLN","Sort=A","Dates=H","DateFormat=P","Fill=—","Direction=H","UseDPDF=Y")</f>
        <v>—</v>
      </c>
      <c r="J56" s="19">
        <f>_xll.BDH("RCOM IN Equity","ARD_TOTAL_COMPREHENSIVE_INCOME","FY 2016","FY 2016","Currency=INR","Period=FY","BEST_FPERIOD_OVERRIDE=FY","FILING_STATUS=MR","EQY_CONSOLIDATED=Y","SCALING_FORMAT=MLN","Sort=A","Dates=H","DateFormat=P","Fill=—","Direction=H","UseDPDF=Y")</f>
        <v>7770</v>
      </c>
      <c r="K56" s="19">
        <f>_xll.BDH("RCOM IN Equity","ARD_TOTAL_COMPREHENSIVE_INCOME","FY 2017","FY 2017","Currency=INR","Period=FY","BEST_FPERIOD_OVERRIDE=FY","FILING_STATUS=MR","EQY_CONSOLIDATED=Y","SCALING_FORMAT=MLN","Sort=A","Dates=H","DateFormat=P","Fill=—","Direction=H","UseDPDF=Y")</f>
        <v>-14400</v>
      </c>
      <c r="L56" s="19">
        <f>_xll.BDH("RCOM IN Equity","ARD_TOTAL_COMPREHENSIVE_INCOME","FY 2018","FY 2018","Currency=INR","Period=FY","BEST_FPERIOD_OVERRIDE=FY","FILING_STATUS=MR","EQY_CONSOLIDATED=Y","SCALING_FORMAT=MLN","Sort=A","Dates=H","DateFormat=P","Fill=—","Direction=H","UseDPDF=Y")</f>
        <v>238820</v>
      </c>
    </row>
    <row r="57" spans="1:12">
      <c r="A57" s="6" t="s">
        <v>476</v>
      </c>
      <c r="B57" s="6" t="s">
        <v>477</v>
      </c>
      <c r="C57" s="19" t="str">
        <f>_xll.BDH("RCOM IN Equity","ARD_FOR_CRNCY_TRANS_ADJ_TAX","FY 2009","FY 2009","Currency=INR","Period=FY","BEST_FPERIOD_OVERRIDE=FY","FILING_STATUS=MR","EQY_CONSOLIDATED=Y","SCALING_FORMAT=MLN","Sort=A","Dates=H","DateFormat=P","Fill=—","Direction=H","UseDPDF=Y")</f>
        <v>—</v>
      </c>
      <c r="D57" s="19" t="str">
        <f>_xll.BDH("RCOM IN Equity","ARD_FOR_CRNCY_TRANS_ADJ_TAX","FY 2010","FY 2010","Currency=INR","Period=FY","BEST_FPERIOD_OVERRIDE=FY","FILING_STATUS=MR","EQY_CONSOLIDATED=Y","SCALING_FORMAT=MLN","Sort=A","Dates=H","DateFormat=P","Fill=—","Direction=H","UseDPDF=Y")</f>
        <v>—</v>
      </c>
      <c r="E57" s="19" t="str">
        <f>_xll.BDH("RCOM IN Equity","ARD_FOR_CRNCY_TRANS_ADJ_TAX","FY 2011","FY 2011","Currency=INR","Period=FY","BEST_FPERIOD_OVERRIDE=FY","FILING_STATUS=MR","EQY_CONSOLIDATED=Y","SCALING_FORMAT=MLN","Sort=A","Dates=H","DateFormat=P","Fill=—","Direction=H","UseDPDF=Y")</f>
        <v>—</v>
      </c>
      <c r="F57" s="19" t="str">
        <f>_xll.BDH("RCOM IN Equity","ARD_FOR_CRNCY_TRANS_ADJ_TAX","FY 2012","FY 2012","Currency=INR","Period=FY","BEST_FPERIOD_OVERRIDE=FY","FILING_STATUS=MR","EQY_CONSOLIDATED=Y","SCALING_FORMAT=MLN","Sort=A","Dates=H","DateFormat=P","Fill=—","Direction=H","UseDPDF=Y")</f>
        <v>—</v>
      </c>
      <c r="G57" s="19" t="str">
        <f>_xll.BDH("RCOM IN Equity","ARD_FOR_CRNCY_TRANS_ADJ_TAX","FY 2013","FY 2013","Currency=INR","Period=FY","BEST_FPERIOD_OVERRIDE=FY","FILING_STATUS=MR","EQY_CONSOLIDATED=Y","SCALING_FORMAT=MLN","Sort=A","Dates=H","DateFormat=P","Fill=—","Direction=H","UseDPDF=Y")</f>
        <v>—</v>
      </c>
      <c r="H57" s="19" t="str">
        <f>_xll.BDH("RCOM IN Equity","ARD_FOR_CRNCY_TRANS_ADJ_TAX","FY 2014","FY 2014","Currency=INR","Period=FY","BEST_FPERIOD_OVERRIDE=FY","FILING_STATUS=MR","EQY_CONSOLIDATED=Y","SCALING_FORMAT=MLN","Sort=A","Dates=H","DateFormat=P","Fill=—","Direction=H","UseDPDF=Y")</f>
        <v>—</v>
      </c>
      <c r="I57" s="19" t="str">
        <f>_xll.BDH("RCOM IN Equity","ARD_FOR_CRNCY_TRANS_ADJ_TAX","FY 2015","FY 2015","Currency=INR","Period=FY","BEST_FPERIOD_OVERRIDE=FY","FILING_STATUS=MR","EQY_CONSOLIDATED=Y","SCALING_FORMAT=MLN","Sort=A","Dates=H","DateFormat=P","Fill=—","Direction=H","UseDPDF=Y")</f>
        <v>—</v>
      </c>
      <c r="J57" s="19">
        <f>_xll.BDH("RCOM IN Equity","ARD_FOR_CRNCY_TRANS_ADJ_TAX","FY 2016","FY 2016","Currency=INR","Period=FY","BEST_FPERIOD_OVERRIDE=FY","FILING_STATUS=MR","EQY_CONSOLIDATED=Y","SCALING_FORMAT=MLN","Sort=A","Dates=H","DateFormat=P","Fill=—","Direction=H","UseDPDF=Y")</f>
        <v>1360</v>
      </c>
      <c r="K57" s="19">
        <f>_xll.BDH("RCOM IN Equity","ARD_FOR_CRNCY_TRANS_ADJ_TAX","FY 2017","FY 2017","Currency=INR","Period=FY","BEST_FPERIOD_OVERRIDE=FY","FILING_STATUS=MR","EQY_CONSOLIDATED=Y","SCALING_FORMAT=MLN","Sort=A","Dates=H","DateFormat=P","Fill=—","Direction=H","UseDPDF=Y")</f>
        <v>-350</v>
      </c>
      <c r="L57" s="19">
        <f>_xll.BDH("RCOM IN Equity","ARD_FOR_CRNCY_TRANS_ADJ_TAX","FY 2018","FY 2018","Currency=INR","Period=FY","BEST_FPERIOD_OVERRIDE=FY","FILING_STATUS=MR","EQY_CONSOLIDATED=Y","SCALING_FORMAT=MLN","Sort=A","Dates=H","DateFormat=P","Fill=—","Direction=H","UseDPDF=Y")</f>
        <v>-470</v>
      </c>
    </row>
    <row r="58" spans="1:12">
      <c r="A58" s="6" t="s">
        <v>478</v>
      </c>
      <c r="B58" s="6" t="s">
        <v>479</v>
      </c>
      <c r="C58" s="19" t="str">
        <f>_xll.BDH("RCOM IN Equity","ARD_COMPREHENSIVE_INC_ATTRIB_MI","FY 2009","FY 2009","Currency=INR","Period=FY","BEST_FPERIOD_OVERRIDE=FY","FILING_STATUS=MR","EQY_CONSOLIDATED=Y","SCALING_FORMAT=MLN","Sort=A","Dates=H","DateFormat=P","Fill=—","Direction=H","UseDPDF=Y")</f>
        <v>—</v>
      </c>
      <c r="D58" s="19" t="str">
        <f>_xll.BDH("RCOM IN Equity","ARD_COMPREHENSIVE_INC_ATTRIB_MI","FY 2010","FY 2010","Currency=INR","Period=FY","BEST_FPERIOD_OVERRIDE=FY","FILING_STATUS=MR","EQY_CONSOLIDATED=Y","SCALING_FORMAT=MLN","Sort=A","Dates=H","DateFormat=P","Fill=—","Direction=H","UseDPDF=Y")</f>
        <v>—</v>
      </c>
      <c r="E58" s="19" t="str">
        <f>_xll.BDH("RCOM IN Equity","ARD_COMPREHENSIVE_INC_ATTRIB_MI","FY 2011","FY 2011","Currency=INR","Period=FY","BEST_FPERIOD_OVERRIDE=FY","FILING_STATUS=MR","EQY_CONSOLIDATED=Y","SCALING_FORMAT=MLN","Sort=A","Dates=H","DateFormat=P","Fill=—","Direction=H","UseDPDF=Y")</f>
        <v>—</v>
      </c>
      <c r="F58" s="19" t="str">
        <f>_xll.BDH("RCOM IN Equity","ARD_COMPREHENSIVE_INC_ATTRIB_MI","FY 2012","FY 2012","Currency=INR","Period=FY","BEST_FPERIOD_OVERRIDE=FY","FILING_STATUS=MR","EQY_CONSOLIDATED=Y","SCALING_FORMAT=MLN","Sort=A","Dates=H","DateFormat=P","Fill=—","Direction=H","UseDPDF=Y")</f>
        <v>—</v>
      </c>
      <c r="G58" s="19" t="str">
        <f>_xll.BDH("RCOM IN Equity","ARD_COMPREHENSIVE_INC_ATTRIB_MI","FY 2013","FY 2013","Currency=INR","Period=FY","BEST_FPERIOD_OVERRIDE=FY","FILING_STATUS=MR","EQY_CONSOLIDATED=Y","SCALING_FORMAT=MLN","Sort=A","Dates=H","DateFormat=P","Fill=—","Direction=H","UseDPDF=Y")</f>
        <v>—</v>
      </c>
      <c r="H58" s="19" t="str">
        <f>_xll.BDH("RCOM IN Equity","ARD_COMPREHENSIVE_INC_ATTRIB_MI","FY 2014","FY 2014","Currency=INR","Period=FY","BEST_FPERIOD_OVERRIDE=FY","FILING_STATUS=MR","EQY_CONSOLIDATED=Y","SCALING_FORMAT=MLN","Sort=A","Dates=H","DateFormat=P","Fill=—","Direction=H","UseDPDF=Y")</f>
        <v>—</v>
      </c>
      <c r="I58" s="19" t="str">
        <f>_xll.BDH("RCOM IN Equity","ARD_COMPREHENSIVE_INC_ATTRIB_MI","FY 2015","FY 2015","Currency=INR","Period=FY","BEST_FPERIOD_OVERRIDE=FY","FILING_STATUS=MR","EQY_CONSOLIDATED=Y","SCALING_FORMAT=MLN","Sort=A","Dates=H","DateFormat=P","Fill=—","Direction=H","UseDPDF=Y")</f>
        <v>—</v>
      </c>
      <c r="J58" s="19">
        <f>_xll.BDH("RCOM IN Equity","ARD_COMPREHENSIVE_INC_ATTRIB_MI","FY 2016","FY 2016","Currency=INR","Period=FY","BEST_FPERIOD_OVERRIDE=FY","FILING_STATUS=MR","EQY_CONSOLIDATED=Y","SCALING_FORMAT=MLN","Sort=A","Dates=H","DateFormat=P","Fill=—","Direction=H","UseDPDF=Y")</f>
        <v>210</v>
      </c>
      <c r="K58" s="19">
        <f>_xll.BDH("RCOM IN Equity","ARD_COMPREHENSIVE_INC_ATTRIB_MI","FY 2017","FY 2017","Currency=INR","Period=FY","BEST_FPERIOD_OVERRIDE=FY","FILING_STATUS=MR","EQY_CONSOLIDATED=Y","SCALING_FORMAT=MLN","Sort=A","Dates=H","DateFormat=P","Fill=—","Direction=H","UseDPDF=Y")</f>
        <v>1200</v>
      </c>
      <c r="L58" s="19">
        <f>_xll.BDH("RCOM IN Equity","ARD_COMPREHENSIVE_INC_ATTRIB_MI","FY 2018","FY 2018","Currency=INR","Period=FY","BEST_FPERIOD_OVERRIDE=FY","FILING_STATUS=MR","EQY_CONSOLIDATED=Y","SCALING_FORMAT=MLN","Sort=A","Dates=H","DateFormat=P","Fill=—","Direction=H","UseDPDF=Y")</f>
        <v>680</v>
      </c>
    </row>
    <row r="59" spans="1:12">
      <c r="A59" s="6" t="s">
        <v>480</v>
      </c>
      <c r="B59" s="6" t="s">
        <v>481</v>
      </c>
      <c r="C59" s="19" t="str">
        <f>_xll.BDH("RCOM IN Equity","ARD_COMPREHENSIVE_INCOME_NET_INC","FY 2009","FY 2009","Currency=INR","Period=FY","BEST_FPERIOD_OVERRIDE=FY","FILING_STATUS=MR","EQY_CONSOLIDATED=Y","SCALING_FORMAT=MLN","Sort=A","Dates=H","DateFormat=P","Fill=—","Direction=H","UseDPDF=Y")</f>
        <v>—</v>
      </c>
      <c r="D59" s="19" t="str">
        <f>_xll.BDH("RCOM IN Equity","ARD_COMPREHENSIVE_INCOME_NET_INC","FY 2010","FY 2010","Currency=INR","Period=FY","BEST_FPERIOD_OVERRIDE=FY","FILING_STATUS=MR","EQY_CONSOLIDATED=Y","SCALING_FORMAT=MLN","Sort=A","Dates=H","DateFormat=P","Fill=—","Direction=H","UseDPDF=Y")</f>
        <v>—</v>
      </c>
      <c r="E59" s="19" t="str">
        <f>_xll.BDH("RCOM IN Equity","ARD_COMPREHENSIVE_INCOME_NET_INC","FY 2011","FY 2011","Currency=INR","Period=FY","BEST_FPERIOD_OVERRIDE=FY","FILING_STATUS=MR","EQY_CONSOLIDATED=Y","SCALING_FORMAT=MLN","Sort=A","Dates=H","DateFormat=P","Fill=—","Direction=H","UseDPDF=Y")</f>
        <v>—</v>
      </c>
      <c r="F59" s="19" t="str">
        <f>_xll.BDH("RCOM IN Equity","ARD_COMPREHENSIVE_INCOME_NET_INC","FY 2012","FY 2012","Currency=INR","Period=FY","BEST_FPERIOD_OVERRIDE=FY","FILING_STATUS=MR","EQY_CONSOLIDATED=Y","SCALING_FORMAT=MLN","Sort=A","Dates=H","DateFormat=P","Fill=—","Direction=H","UseDPDF=Y")</f>
        <v>—</v>
      </c>
      <c r="G59" s="19" t="str">
        <f>_xll.BDH("RCOM IN Equity","ARD_COMPREHENSIVE_INCOME_NET_INC","FY 2013","FY 2013","Currency=INR","Period=FY","BEST_FPERIOD_OVERRIDE=FY","FILING_STATUS=MR","EQY_CONSOLIDATED=Y","SCALING_FORMAT=MLN","Sort=A","Dates=H","DateFormat=P","Fill=—","Direction=H","UseDPDF=Y")</f>
        <v>—</v>
      </c>
      <c r="H59" s="19" t="str">
        <f>_xll.BDH("RCOM IN Equity","ARD_COMPREHENSIVE_INCOME_NET_INC","FY 2014","FY 2014","Currency=INR","Period=FY","BEST_FPERIOD_OVERRIDE=FY","FILING_STATUS=MR","EQY_CONSOLIDATED=Y","SCALING_FORMAT=MLN","Sort=A","Dates=H","DateFormat=P","Fill=—","Direction=H","UseDPDF=Y")</f>
        <v>—</v>
      </c>
      <c r="I59" s="19" t="str">
        <f>_xll.BDH("RCOM IN Equity","ARD_COMPREHENSIVE_INCOME_NET_INC","FY 2015","FY 2015","Currency=INR","Period=FY","BEST_FPERIOD_OVERRIDE=FY","FILING_STATUS=MR","EQY_CONSOLIDATED=Y","SCALING_FORMAT=MLN","Sort=A","Dates=H","DateFormat=P","Fill=—","Direction=H","UseDPDF=Y")</f>
        <v>—</v>
      </c>
      <c r="J59" s="19">
        <f>_xll.BDH("RCOM IN Equity","ARD_COMPREHENSIVE_INCOME_NET_INC","FY 2016","FY 2016","Currency=INR","Period=FY","BEST_FPERIOD_OVERRIDE=FY","FILING_STATUS=MR","EQY_CONSOLIDATED=Y","SCALING_FORMAT=MLN","Sort=A","Dates=H","DateFormat=P","Fill=—","Direction=H","UseDPDF=Y")</f>
        <v>6600</v>
      </c>
      <c r="K59" s="19" t="str">
        <f>_xll.BDH("RCOM IN Equity","ARD_COMPREHENSIVE_INCOME_NET_INC","FY 2017","FY 2017","Currency=INR","Period=FY","BEST_FPERIOD_OVERRIDE=FY","FILING_STATUS=MR","EQY_CONSOLIDATED=Y","SCALING_FORMAT=MLN","Sort=A","Dates=H","DateFormat=P","Fill=—","Direction=H","UseDPDF=Y")</f>
        <v>—</v>
      </c>
      <c r="L59" s="19" t="str">
        <f>_xll.BDH("RCOM IN Equity","ARD_COMPREHENSIVE_INCOME_NET_INC","FY 2018","FY 2018","Currency=INR","Period=FY","BEST_FPERIOD_OVERRIDE=FY","FILING_STATUS=MR","EQY_CONSOLIDATED=Y","SCALING_FORMAT=MLN","Sort=A","Dates=H","DateFormat=P","Fill=—","Direction=H","UseDPDF=Y")</f>
        <v>—</v>
      </c>
    </row>
    <row r="60" spans="1:12">
      <c r="A60" s="6" t="s">
        <v>482</v>
      </c>
      <c r="B60" s="6" t="s">
        <v>483</v>
      </c>
      <c r="C60" s="19" t="str">
        <f>_xll.BDH("RCOM IN Equity","ARD_TOT_COMP_INC_INCL_MIN_INT","FY 2009","FY 2009","Currency=INR","Period=FY","BEST_FPERIOD_OVERRIDE=FY","FILING_STATUS=MR","EQY_CONSOLIDATED=Y","SCALING_FORMAT=MLN","Sort=A","Dates=H","DateFormat=P","Fill=—","Direction=H","UseDPDF=Y")</f>
        <v>—</v>
      </c>
      <c r="D60" s="19" t="str">
        <f>_xll.BDH("RCOM IN Equity","ARD_TOT_COMP_INC_INCL_MIN_INT","FY 2010","FY 2010","Currency=INR","Period=FY","BEST_FPERIOD_OVERRIDE=FY","FILING_STATUS=MR","EQY_CONSOLIDATED=Y","SCALING_FORMAT=MLN","Sort=A","Dates=H","DateFormat=P","Fill=—","Direction=H","UseDPDF=Y")</f>
        <v>—</v>
      </c>
      <c r="E60" s="19" t="str">
        <f>_xll.BDH("RCOM IN Equity","ARD_TOT_COMP_INC_INCL_MIN_INT","FY 2011","FY 2011","Currency=INR","Period=FY","BEST_FPERIOD_OVERRIDE=FY","FILING_STATUS=MR","EQY_CONSOLIDATED=Y","SCALING_FORMAT=MLN","Sort=A","Dates=H","DateFormat=P","Fill=—","Direction=H","UseDPDF=Y")</f>
        <v>—</v>
      </c>
      <c r="F60" s="19" t="str">
        <f>_xll.BDH("RCOM IN Equity","ARD_TOT_COMP_INC_INCL_MIN_INT","FY 2012","FY 2012","Currency=INR","Period=FY","BEST_FPERIOD_OVERRIDE=FY","FILING_STATUS=MR","EQY_CONSOLIDATED=Y","SCALING_FORMAT=MLN","Sort=A","Dates=H","DateFormat=P","Fill=—","Direction=H","UseDPDF=Y")</f>
        <v>—</v>
      </c>
      <c r="G60" s="19" t="str">
        <f>_xll.BDH("RCOM IN Equity","ARD_TOT_COMP_INC_INCL_MIN_INT","FY 2013","FY 2013","Currency=INR","Period=FY","BEST_FPERIOD_OVERRIDE=FY","FILING_STATUS=MR","EQY_CONSOLIDATED=Y","SCALING_FORMAT=MLN","Sort=A","Dates=H","DateFormat=P","Fill=—","Direction=H","UseDPDF=Y")</f>
        <v>—</v>
      </c>
      <c r="H60" s="19" t="str">
        <f>_xll.BDH("RCOM IN Equity","ARD_TOT_COMP_INC_INCL_MIN_INT","FY 2014","FY 2014","Currency=INR","Period=FY","BEST_FPERIOD_OVERRIDE=FY","FILING_STATUS=MR","EQY_CONSOLIDATED=Y","SCALING_FORMAT=MLN","Sort=A","Dates=H","DateFormat=P","Fill=—","Direction=H","UseDPDF=Y")</f>
        <v>—</v>
      </c>
      <c r="I60" s="19" t="str">
        <f>_xll.BDH("RCOM IN Equity","ARD_TOT_COMP_INC_INCL_MIN_INT","FY 2015","FY 2015","Currency=INR","Period=FY","BEST_FPERIOD_OVERRIDE=FY","FILING_STATUS=MR","EQY_CONSOLIDATED=Y","SCALING_FORMAT=MLN","Sort=A","Dates=H","DateFormat=P","Fill=—","Direction=H","UseDPDF=Y")</f>
        <v>—</v>
      </c>
      <c r="J60" s="19">
        <f>_xll.BDH("RCOM IN Equity","ARD_TOT_COMP_INC_INCL_MIN_INT","FY 2016","FY 2016","Currency=INR","Period=FY","BEST_FPERIOD_OVERRIDE=FY","FILING_STATUS=MR","EQY_CONSOLIDATED=Y","SCALING_FORMAT=MLN","Sort=A","Dates=H","DateFormat=P","Fill=—","Direction=H","UseDPDF=Y")</f>
        <v>7980</v>
      </c>
      <c r="K60" s="19">
        <f>_xll.BDH("RCOM IN Equity","ARD_TOT_COMP_INC_INCL_MIN_INT","FY 2017","FY 2017","Currency=INR","Period=FY","BEST_FPERIOD_OVERRIDE=FY","FILING_STATUS=MR","EQY_CONSOLIDATED=Y","SCALING_FORMAT=MLN","Sort=A","Dates=H","DateFormat=P","Fill=—","Direction=H","UseDPDF=Y")</f>
        <v>13200</v>
      </c>
      <c r="L60" s="19">
        <f>_xll.BDH("RCOM IN Equity","ARD_TOT_COMP_INC_INCL_MIN_INT","FY 2018","FY 2018","Currency=INR","Period=FY","BEST_FPERIOD_OVERRIDE=FY","FILING_STATUS=MR","EQY_CONSOLIDATED=Y","SCALING_FORMAT=MLN","Sort=A","Dates=H","DateFormat=P","Fill=—","Direction=H","UseDPDF=Y")</f>
        <v>239500</v>
      </c>
    </row>
    <row r="61" spans="1:12">
      <c r="A61" s="10" t="s">
        <v>484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>
      <c r="A62" s="6" t="s">
        <v>485</v>
      </c>
      <c r="B62" s="6" t="s">
        <v>486</v>
      </c>
      <c r="C62" s="19" t="str">
        <f>_xll.BDH("RCOM IN Equity","ARD_DISC_OPS_LOSS_BEN_NET","FY 2009","FY 2009","Currency=INR","Period=FY","BEST_FPERIOD_OVERRIDE=FY","FILING_STATUS=MR","EQY_CONSOLIDATED=Y","SCALING_FORMAT=MLN","Sort=A","Dates=H","DateFormat=P","Fill=—","Direction=H","UseDPDF=Y")</f>
        <v>—</v>
      </c>
      <c r="D62" s="19" t="str">
        <f>_xll.BDH("RCOM IN Equity","ARD_DISC_OPS_LOSS_BEN_NET","FY 2010","FY 2010","Currency=INR","Period=FY","BEST_FPERIOD_OVERRIDE=FY","FILING_STATUS=MR","EQY_CONSOLIDATED=Y","SCALING_FORMAT=MLN","Sort=A","Dates=H","DateFormat=P","Fill=—","Direction=H","UseDPDF=Y")</f>
        <v>—</v>
      </c>
      <c r="E62" s="19" t="str">
        <f>_xll.BDH("RCOM IN Equity","ARD_DISC_OPS_LOSS_BEN_NET","FY 2011","FY 2011","Currency=INR","Period=FY","BEST_FPERIOD_OVERRIDE=FY","FILING_STATUS=MR","EQY_CONSOLIDATED=Y","SCALING_FORMAT=MLN","Sort=A","Dates=H","DateFormat=P","Fill=—","Direction=H","UseDPDF=Y")</f>
        <v>—</v>
      </c>
      <c r="F62" s="19" t="str">
        <f>_xll.BDH("RCOM IN Equity","ARD_DISC_OPS_LOSS_BEN_NET","FY 2012","FY 2012","Currency=INR","Period=FY","BEST_FPERIOD_OVERRIDE=FY","FILING_STATUS=MR","EQY_CONSOLIDATED=Y","SCALING_FORMAT=MLN","Sort=A","Dates=H","DateFormat=P","Fill=—","Direction=H","UseDPDF=Y")</f>
        <v>—</v>
      </c>
      <c r="G62" s="19" t="str">
        <f>_xll.BDH("RCOM IN Equity","ARD_DISC_OPS_LOSS_BEN_NET","FY 2013","FY 2013","Currency=INR","Period=FY","BEST_FPERIOD_OVERRIDE=FY","FILING_STATUS=MR","EQY_CONSOLIDATED=Y","SCALING_FORMAT=MLN","Sort=A","Dates=H","DateFormat=P","Fill=—","Direction=H","UseDPDF=Y")</f>
        <v>—</v>
      </c>
      <c r="H62" s="19" t="str">
        <f>_xll.BDH("RCOM IN Equity","ARD_DISC_OPS_LOSS_BEN_NET","FY 2014","FY 2014","Currency=INR","Period=FY","BEST_FPERIOD_OVERRIDE=FY","FILING_STATUS=MR","EQY_CONSOLIDATED=Y","SCALING_FORMAT=MLN","Sort=A","Dates=H","DateFormat=P","Fill=—","Direction=H","UseDPDF=Y")</f>
        <v>—</v>
      </c>
      <c r="I62" s="19" t="str">
        <f>_xll.BDH("RCOM IN Equity","ARD_DISC_OPS_LOSS_BEN_NET","FY 2015","FY 2015","Currency=INR","Period=FY","BEST_FPERIOD_OVERRIDE=FY","FILING_STATUS=MR","EQY_CONSOLIDATED=Y","SCALING_FORMAT=MLN","Sort=A","Dates=H","DateFormat=P","Fill=—","Direction=H","UseDPDF=Y")</f>
        <v>—</v>
      </c>
      <c r="J62" s="19" t="str">
        <f>_xll.BDH("RCOM IN Equity","ARD_DISC_OPS_LOSS_BEN_NET","FY 2016","FY 2016","Currency=INR","Period=FY","BEST_FPERIOD_OVERRIDE=FY","FILING_STATUS=MR","EQY_CONSOLIDATED=Y","SCALING_FORMAT=MLN","Sort=A","Dates=H","DateFormat=P","Fill=—","Direction=H","UseDPDF=Y")</f>
        <v>—</v>
      </c>
      <c r="K62" s="19">
        <f>_xll.BDH("RCOM IN Equity","ARD_DISC_OPS_LOSS_BEN_NET","FY 2017","FY 2017","Currency=INR","Period=FY","BEST_FPERIOD_OVERRIDE=FY","FILING_STATUS=MR","EQY_CONSOLIDATED=Y","SCALING_FORMAT=MLN","Sort=A","Dates=H","DateFormat=P","Fill=—","Direction=H","UseDPDF=Y")</f>
        <v>25420</v>
      </c>
      <c r="L62" s="19">
        <f>_xll.BDH("RCOM IN Equity","ARD_DISC_OPS_LOSS_BEN_NET","FY 2018","FY 2018","Currency=INR","Period=FY","BEST_FPERIOD_OVERRIDE=FY","FILING_STATUS=MR","EQY_CONSOLIDATED=Y","SCALING_FORMAT=MLN","Sort=A","Dates=H","DateFormat=P","Fill=—","Direction=H","UseDPDF=Y")</f>
        <v>258110</v>
      </c>
    </row>
    <row r="63" spans="1:12">
      <c r="A63" s="6" t="s">
        <v>487</v>
      </c>
      <c r="B63" s="6" t="s">
        <v>488</v>
      </c>
      <c r="C63" s="19" t="str">
        <f>_xll.BDH("RCOM IN Equity","ARD_TAX_ON_DISCONTINUED_OPS","FY 2009","FY 2009","Currency=INR","Period=FY","BEST_FPERIOD_OVERRIDE=FY","FILING_STATUS=MR","EQY_CONSOLIDATED=Y","SCALING_FORMAT=MLN","Sort=A","Dates=H","DateFormat=P","Fill=—","Direction=H","UseDPDF=Y")</f>
        <v>—</v>
      </c>
      <c r="D63" s="19" t="str">
        <f>_xll.BDH("RCOM IN Equity","ARD_TAX_ON_DISCONTINUED_OPS","FY 2010","FY 2010","Currency=INR","Period=FY","BEST_FPERIOD_OVERRIDE=FY","FILING_STATUS=MR","EQY_CONSOLIDATED=Y","SCALING_FORMAT=MLN","Sort=A","Dates=H","DateFormat=P","Fill=—","Direction=H","UseDPDF=Y")</f>
        <v>—</v>
      </c>
      <c r="E63" s="19" t="str">
        <f>_xll.BDH("RCOM IN Equity","ARD_TAX_ON_DISCONTINUED_OPS","FY 2011","FY 2011","Currency=INR","Period=FY","BEST_FPERIOD_OVERRIDE=FY","FILING_STATUS=MR","EQY_CONSOLIDATED=Y","SCALING_FORMAT=MLN","Sort=A","Dates=H","DateFormat=P","Fill=—","Direction=H","UseDPDF=Y")</f>
        <v>—</v>
      </c>
      <c r="F63" s="19" t="str">
        <f>_xll.BDH("RCOM IN Equity","ARD_TAX_ON_DISCONTINUED_OPS","FY 2012","FY 2012","Currency=INR","Period=FY","BEST_FPERIOD_OVERRIDE=FY","FILING_STATUS=MR","EQY_CONSOLIDATED=Y","SCALING_FORMAT=MLN","Sort=A","Dates=H","DateFormat=P","Fill=—","Direction=H","UseDPDF=Y")</f>
        <v>—</v>
      </c>
      <c r="G63" s="19" t="str">
        <f>_xll.BDH("RCOM IN Equity","ARD_TAX_ON_DISCONTINUED_OPS","FY 2013","FY 2013","Currency=INR","Period=FY","BEST_FPERIOD_OVERRIDE=FY","FILING_STATUS=MR","EQY_CONSOLIDATED=Y","SCALING_FORMAT=MLN","Sort=A","Dates=H","DateFormat=P","Fill=—","Direction=H","UseDPDF=Y")</f>
        <v>—</v>
      </c>
      <c r="H63" s="19" t="str">
        <f>_xll.BDH("RCOM IN Equity","ARD_TAX_ON_DISCONTINUED_OPS","FY 2014","FY 2014","Currency=INR","Period=FY","BEST_FPERIOD_OVERRIDE=FY","FILING_STATUS=MR","EQY_CONSOLIDATED=Y","SCALING_FORMAT=MLN","Sort=A","Dates=H","DateFormat=P","Fill=—","Direction=H","UseDPDF=Y")</f>
        <v>—</v>
      </c>
      <c r="I63" s="19" t="str">
        <f>_xll.BDH("RCOM IN Equity","ARD_TAX_ON_DISCONTINUED_OPS","FY 2015","FY 2015","Currency=INR","Period=FY","BEST_FPERIOD_OVERRIDE=FY","FILING_STATUS=MR","EQY_CONSOLIDATED=Y","SCALING_FORMAT=MLN","Sort=A","Dates=H","DateFormat=P","Fill=—","Direction=H","UseDPDF=Y")</f>
        <v>—</v>
      </c>
      <c r="J63" s="19" t="str">
        <f>_xll.BDH("RCOM IN Equity","ARD_TAX_ON_DISCONTINUED_OPS","FY 2016","FY 2016","Currency=INR","Period=FY","BEST_FPERIOD_OVERRIDE=FY","FILING_STATUS=MR","EQY_CONSOLIDATED=Y","SCALING_FORMAT=MLN","Sort=A","Dates=H","DateFormat=P","Fill=—","Direction=H","UseDPDF=Y")</f>
        <v>—</v>
      </c>
      <c r="K63" s="19">
        <f>_xll.BDH("RCOM IN Equity","ARD_TAX_ON_DISCONTINUED_OPS","FY 2017","FY 2017","Currency=INR","Period=FY","BEST_FPERIOD_OVERRIDE=FY","FILING_STATUS=MR","EQY_CONSOLIDATED=Y","SCALING_FORMAT=MLN","Sort=A","Dates=H","DateFormat=P","Fill=—","Direction=H","UseDPDF=Y")</f>
        <v>-10140</v>
      </c>
      <c r="L63" s="19">
        <f>_xll.BDH("RCOM IN Equity","ARD_TAX_ON_DISCONTINUED_OPS","FY 2018","FY 2018","Currency=INR","Period=FY","BEST_FPERIOD_OVERRIDE=FY","FILING_STATUS=MR","EQY_CONSOLIDATED=Y","SCALING_FORMAT=MLN","Sort=A","Dates=H","DateFormat=P","Fill=—","Direction=H","UseDPDF=Y")</f>
        <v>-19230</v>
      </c>
    </row>
    <row r="64" spans="1:12">
      <c r="A64" s="10" t="s">
        <v>489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</row>
    <row r="65" spans="1:12">
      <c r="A65" s="10" t="s">
        <v>396</v>
      </c>
      <c r="B65" s="10" t="s">
        <v>490</v>
      </c>
      <c r="C65" s="13" t="str">
        <f>_xll.BDH("RCOM IN Equity","ARDR_SALARIES_WAGE_EMPLOYEE_BEN","FY 2009","FY 2009","Currency=INR","Period=FY","BEST_FPERIOD_OVERRIDE=FY","FILING_STATUS=MR","EQY_CONSOLIDATED=Y","SCALING_FORMAT=MLN","Sort=A","Dates=H","DateFormat=P","Fill=—","Direction=H","UseDPDF=Y")</f>
        <v>—</v>
      </c>
      <c r="D65" s="13" t="str">
        <f>_xll.BDH("RCOM IN Equity","ARDR_SALARIES_WAGE_EMPLOYEE_BEN","FY 2010","FY 2010","Currency=INR","Period=FY","BEST_FPERIOD_OVERRIDE=FY","FILING_STATUS=MR","EQY_CONSOLIDATED=Y","SCALING_FORMAT=MLN","Sort=A","Dates=H","DateFormat=P","Fill=—","Direction=H","UseDPDF=Y")</f>
        <v>—</v>
      </c>
      <c r="E65" s="13" t="str">
        <f>_xll.BDH("RCOM IN Equity","ARDR_SALARIES_WAGE_EMPLOYEE_BEN","FY 2011","FY 2011","Currency=INR","Period=FY","BEST_FPERIOD_OVERRIDE=FY","FILING_STATUS=MR","EQY_CONSOLIDATED=Y","SCALING_FORMAT=MLN","Sort=A","Dates=H","DateFormat=P","Fill=—","Direction=H","UseDPDF=Y")</f>
        <v>—</v>
      </c>
      <c r="F65" s="13">
        <f>_xll.BDH("RCOM IN Equity","ARDR_SALARIES_WAGE_EMPLOYEE_BEN","FY 2012","FY 2012","Currency=INR","Period=FY","BEST_FPERIOD_OVERRIDE=FY","FILING_STATUS=MR","EQY_CONSOLIDATED=Y","SCALING_FORMAT=MLN","Sort=A","Dates=H","DateFormat=P","Fill=—","Direction=H","UseDPDF=Y")</f>
        <v>12830</v>
      </c>
      <c r="G65" s="13" t="str">
        <f>_xll.BDH("RCOM IN Equity","ARDR_SALARIES_WAGE_EMPLOYEE_BEN","FY 2013","FY 2013","Currency=INR","Period=FY","BEST_FPERIOD_OVERRIDE=FY","FILING_STATUS=MR","EQY_CONSOLIDATED=Y","SCALING_FORMAT=MLN","Sort=A","Dates=H","DateFormat=P","Fill=—","Direction=H","UseDPDF=Y")</f>
        <v>—</v>
      </c>
      <c r="H65" s="13" t="str">
        <f>_xll.BDH("RCOM IN Equity","ARDR_SALARIES_WAGE_EMPLOYEE_BEN","FY 2014","FY 2014","Currency=INR","Period=FY","BEST_FPERIOD_OVERRIDE=FY","FILING_STATUS=MR","EQY_CONSOLIDATED=Y","SCALING_FORMAT=MLN","Sort=A","Dates=H","DateFormat=P","Fill=—","Direction=H","UseDPDF=Y")</f>
        <v>—</v>
      </c>
      <c r="I65" s="13" t="str">
        <f>_xll.BDH("RCOM IN Equity","ARDR_SALARIES_WAGE_EMPLOYEE_BEN","FY 2015","FY 2015","Currency=INR","Period=FY","BEST_FPERIOD_OVERRIDE=FY","FILING_STATUS=MR","EQY_CONSOLIDATED=Y","SCALING_FORMAT=MLN","Sort=A","Dates=H","DateFormat=P","Fill=—","Direction=H","UseDPDF=Y")</f>
        <v>—</v>
      </c>
      <c r="J65" s="13">
        <f>_xll.BDH("RCOM IN Equity","ARDR_SALARIES_WAGE_EMPLOYEE_BEN","FY 2016","FY 2016","Currency=INR","Period=FY","BEST_FPERIOD_OVERRIDE=FY","FILING_STATUS=MR","EQY_CONSOLIDATED=Y","SCALING_FORMAT=MLN","Sort=A","Dates=H","DateFormat=P","Fill=—","Direction=H","UseDPDF=Y")</f>
        <v>11200</v>
      </c>
      <c r="K65" s="13">
        <f>_xll.BDH("RCOM IN Equity","ARDR_SALARIES_WAGE_EMPLOYEE_BEN","FY 2017","FY 2017","Currency=INR","Period=FY","BEST_FPERIOD_OVERRIDE=FY","FILING_STATUS=MR","EQY_CONSOLIDATED=Y","SCALING_FORMAT=MLN","Sort=A","Dates=H","DateFormat=P","Fill=—","Direction=H","UseDPDF=Y")</f>
        <v>4420</v>
      </c>
      <c r="L65" s="13">
        <f>_xll.BDH("RCOM IN Equity","ARDR_SALARIES_WAGE_EMPLOYEE_BEN","FY 2018","FY 2018","Currency=INR","Period=FY","BEST_FPERIOD_OVERRIDE=FY","FILING_STATUS=MR","EQY_CONSOLIDATED=Y","SCALING_FORMAT=MLN","Sort=A","Dates=H","DateFormat=P","Fill=—","Direction=H","UseDPDF=Y")</f>
        <v>4270</v>
      </c>
    </row>
    <row r="66" spans="1:12">
      <c r="A66" s="10" t="s">
        <v>371</v>
      </c>
      <c r="B66" s="10" t="s">
        <v>491</v>
      </c>
      <c r="C66" s="13">
        <f>_xll.BDH("RCOM IN Equity","ARDR_DEPRECIATION_EXP","FY 2009","FY 2009","Currency=INR","Period=FY","BEST_FPERIOD_OVERRIDE=FY","FILING_STATUS=MR","EQY_CONSOLIDATED=Y","SCALING_FORMAT=MLN","Sort=A","Dates=H","DateFormat=P","Fill=—","Direction=H","UseDPDF=Y")</f>
        <v>32737</v>
      </c>
      <c r="D66" s="13">
        <f>_xll.BDH("RCOM IN Equity","ARDR_DEPRECIATION_EXP","FY 2010","FY 2010","Currency=INR","Period=FY","BEST_FPERIOD_OVERRIDE=FY","FILING_STATUS=MR","EQY_CONSOLIDATED=Y","SCALING_FORMAT=MLN","Sort=A","Dates=H","DateFormat=P","Fill=—","Direction=H","UseDPDF=Y")</f>
        <v>28646</v>
      </c>
      <c r="E66" s="13">
        <f>_xll.BDH("RCOM IN Equity","ARDR_DEPRECIATION_EXP","FY 2011","FY 2011","Currency=INR","Period=FY","BEST_FPERIOD_OVERRIDE=FY","FILING_STATUS=MR","EQY_CONSOLIDATED=Y","SCALING_FORMAT=MLN","Sort=A","Dates=H","DateFormat=P","Fill=—","Direction=H","UseDPDF=Y")</f>
        <v>37440</v>
      </c>
      <c r="F66" s="13">
        <f>_xll.BDH("RCOM IN Equity","ARDR_DEPRECIATION_EXP","FY 2012","FY 2012","Currency=INR","Period=FY","BEST_FPERIOD_OVERRIDE=FY","FILING_STATUS=MR","EQY_CONSOLIDATED=Y","SCALING_FORMAT=MLN","Sort=A","Dates=H","DateFormat=P","Fill=—","Direction=H","UseDPDF=Y")</f>
        <v>16370</v>
      </c>
      <c r="G66" s="13">
        <f>_xll.BDH("RCOM IN Equity","ARDR_DEPRECIATION_EXP","FY 2013","FY 2013","Currency=INR","Period=FY","BEST_FPERIOD_OVERRIDE=FY","FILING_STATUS=MR","EQY_CONSOLIDATED=Y","SCALING_FORMAT=MLN","Sort=A","Dates=H","DateFormat=P","Fill=—","Direction=H","UseDPDF=Y")</f>
        <v>19080</v>
      </c>
      <c r="H66" s="13" t="str">
        <f>_xll.BDH("RCOM IN Equity","ARDR_DEPRECIATION_EXP","FY 2014","FY 2014","Currency=INR","Period=FY","BEST_FPERIOD_OVERRIDE=FY","FILING_STATUS=MR","EQY_CONSOLIDATED=Y","SCALING_FORMAT=MLN","Sort=A","Dates=H","DateFormat=P","Fill=—","Direction=H","UseDPDF=Y")</f>
        <v>—</v>
      </c>
      <c r="I66" s="13" t="str">
        <f>_xll.BDH("RCOM IN Equity","ARDR_DEPRECIATION_EXP","FY 2015","FY 2015","Currency=INR","Period=FY","BEST_FPERIOD_OVERRIDE=FY","FILING_STATUS=MR","EQY_CONSOLIDATED=Y","SCALING_FORMAT=MLN","Sort=A","Dates=H","DateFormat=P","Fill=—","Direction=H","UseDPDF=Y")</f>
        <v>—</v>
      </c>
      <c r="J66" s="13" t="str">
        <f>_xll.BDH("RCOM IN Equity","ARDR_DEPRECIATION_EXP","FY 2016","FY 2016","Currency=INR","Period=FY","BEST_FPERIOD_OVERRIDE=FY","FILING_STATUS=MR","EQY_CONSOLIDATED=Y","SCALING_FORMAT=MLN","Sort=A","Dates=H","DateFormat=P","Fill=—","Direction=H","UseDPDF=Y")</f>
        <v>—</v>
      </c>
      <c r="K66" s="13" t="str">
        <f>_xll.BDH("RCOM IN Equity","ARDR_DEPRECIATION_EXP","FY 2017","FY 2017","Currency=INR","Period=FY","BEST_FPERIOD_OVERRIDE=FY","FILING_STATUS=MR","EQY_CONSOLIDATED=Y","SCALING_FORMAT=MLN","Sort=A","Dates=H","DateFormat=P","Fill=—","Direction=H","UseDPDF=Y")</f>
        <v>—</v>
      </c>
      <c r="L66" s="13" t="str">
        <f>_xll.BDH("RCOM IN Equity","ARDR_DEPRECIATION_EXP","FY 2018","FY 2018","Currency=INR","Period=FY","BEST_FPERIOD_OVERRIDE=FY","FILING_STATUS=MR","EQY_CONSOLIDATED=Y","SCALING_FORMAT=MLN","Sort=A","Dates=H","DateFormat=P","Fill=—","Direction=H","UseDPDF=Y")</f>
        <v>—</v>
      </c>
    </row>
    <row r="67" spans="1:12">
      <c r="A67" s="10" t="s">
        <v>492</v>
      </c>
      <c r="B67" s="10" t="s">
        <v>493</v>
      </c>
      <c r="C67" s="13">
        <f>_xll.BDH("RCOM IN Equity","ARDR_PROV_FOR_DOUBTFUL_ACCTS","FY 2009","FY 2009","Currency=INR","Period=FY","BEST_FPERIOD_OVERRIDE=FY","FILING_STATUS=MR","EQY_CONSOLIDATED=Y","SCALING_FORMAT=MLN","Sort=A","Dates=H","DateFormat=P","Fill=—","Direction=H","UseDPDF=Y")</f>
        <v>1368.1</v>
      </c>
      <c r="D67" s="13">
        <f>_xll.BDH("RCOM IN Equity","ARDR_PROV_FOR_DOUBTFUL_ACCTS","FY 2010","FY 2010","Currency=INR","Period=FY","BEST_FPERIOD_OVERRIDE=FY","FILING_STATUS=MR","EQY_CONSOLIDATED=Y","SCALING_FORMAT=MLN","Sort=A","Dates=H","DateFormat=P","Fill=—","Direction=H","UseDPDF=Y")</f>
        <v>1982.8</v>
      </c>
      <c r="E67" s="13">
        <f>_xll.BDH("RCOM IN Equity","ARDR_PROV_FOR_DOUBTFUL_ACCTS","FY 2011","FY 2011","Currency=INR","Period=FY","BEST_FPERIOD_OVERRIDE=FY","FILING_STATUS=MR","EQY_CONSOLIDATED=Y","SCALING_FORMAT=MLN","Sort=A","Dates=H","DateFormat=P","Fill=—","Direction=H","UseDPDF=Y")</f>
        <v>1690</v>
      </c>
      <c r="F67" s="13">
        <f>_xll.BDH("RCOM IN Equity","ARDR_PROV_FOR_DOUBTFUL_ACCTS","FY 2012","FY 2012","Currency=INR","Period=FY","BEST_FPERIOD_OVERRIDE=FY","FILING_STATUS=MR","EQY_CONSOLIDATED=Y","SCALING_FORMAT=MLN","Sort=A","Dates=H","DateFormat=P","Fill=—","Direction=H","UseDPDF=Y")</f>
        <v>610</v>
      </c>
      <c r="G67" s="13">
        <f>_xll.BDH("RCOM IN Equity","ARDR_PROV_FOR_DOUBTFUL_ACCTS","FY 2013","FY 2013","Currency=INR","Period=FY","BEST_FPERIOD_OVERRIDE=FY","FILING_STATUS=MR","EQY_CONSOLIDATED=Y","SCALING_FORMAT=MLN","Sort=A","Dates=H","DateFormat=P","Fill=—","Direction=H","UseDPDF=Y")</f>
        <v>1080</v>
      </c>
      <c r="H67" s="13">
        <f>_xll.BDH("RCOM IN Equity","ARDR_PROV_FOR_DOUBTFUL_ACCTS","FY 2014","FY 2014","Currency=INR","Period=FY","BEST_FPERIOD_OVERRIDE=FY","FILING_STATUS=MR","EQY_CONSOLIDATED=Y","SCALING_FORMAT=MLN","Sort=A","Dates=H","DateFormat=P","Fill=—","Direction=H","UseDPDF=Y")</f>
        <v>2890</v>
      </c>
      <c r="I67" s="13">
        <f>_xll.BDH("RCOM IN Equity","ARDR_PROV_FOR_DOUBTFUL_ACCTS","FY 2015","FY 2015","Currency=INR","Period=FY","BEST_FPERIOD_OVERRIDE=FY","FILING_STATUS=MR","EQY_CONSOLIDATED=Y","SCALING_FORMAT=MLN","Sort=A","Dates=H","DateFormat=P","Fill=—","Direction=H","UseDPDF=Y")</f>
        <v>1160</v>
      </c>
      <c r="J67" s="13">
        <f>_xll.BDH("RCOM IN Equity","ARDR_PROV_FOR_DOUBTFUL_ACCTS","FY 2016","FY 2016","Currency=INR","Period=FY","BEST_FPERIOD_OVERRIDE=FY","FILING_STATUS=MR","EQY_CONSOLIDATED=Y","SCALING_FORMAT=MLN","Sort=A","Dates=H","DateFormat=P","Fill=—","Direction=H","UseDPDF=Y")</f>
        <v>1360</v>
      </c>
      <c r="K67" s="13">
        <f>_xll.BDH("RCOM IN Equity","ARDR_PROV_FOR_DOUBTFUL_ACCTS","FY 2017","FY 2017","Currency=INR","Period=FY","BEST_FPERIOD_OVERRIDE=FY","FILING_STATUS=MR","EQY_CONSOLIDATED=Y","SCALING_FORMAT=MLN","Sort=A","Dates=H","DateFormat=P","Fill=—","Direction=H","UseDPDF=Y")</f>
        <v>880</v>
      </c>
      <c r="L67" s="13">
        <f>_xll.BDH("RCOM IN Equity","ARDR_PROV_FOR_DOUBTFUL_ACCTS","FY 2018","FY 2018","Currency=INR","Period=FY","BEST_FPERIOD_OVERRIDE=FY","FILING_STATUS=MR","EQY_CONSOLIDATED=Y","SCALING_FORMAT=MLN","Sort=A","Dates=H","DateFormat=P","Fill=—","Direction=H","UseDPDF=Y")</f>
        <v>450</v>
      </c>
    </row>
    <row r="68" spans="1:12">
      <c r="A68" s="10" t="s">
        <v>403</v>
      </c>
      <c r="B68" s="10" t="s">
        <v>494</v>
      </c>
      <c r="C68" s="13" t="str">
        <f>_xll.BDH("RCOM IN Equity","ARDR_OTHER_OPERATING_EXPENSES","FY 2009","FY 2009","Currency=INR","Period=FY","BEST_FPERIOD_OVERRIDE=FY","FILING_STATUS=MR","EQY_CONSOLIDATED=Y","SCALING_FORMAT=MLN","Sort=A","Dates=H","DateFormat=P","Fill=—","Direction=H","UseDPDF=Y")</f>
        <v>—</v>
      </c>
      <c r="D68" s="13" t="str">
        <f>_xll.BDH("RCOM IN Equity","ARDR_OTHER_OPERATING_EXPENSES","FY 2010","FY 2010","Currency=INR","Period=FY","BEST_FPERIOD_OVERRIDE=FY","FILING_STATUS=MR","EQY_CONSOLIDATED=Y","SCALING_FORMAT=MLN","Sort=A","Dates=H","DateFormat=P","Fill=—","Direction=H","UseDPDF=Y")</f>
        <v>—</v>
      </c>
      <c r="E68" s="13" t="str">
        <f>_xll.BDH("RCOM IN Equity","ARDR_OTHER_OPERATING_EXPENSES","FY 2011","FY 2011","Currency=INR","Period=FY","BEST_FPERIOD_OVERRIDE=FY","FILING_STATUS=MR","EQY_CONSOLIDATED=Y","SCALING_FORMAT=MLN","Sort=A","Dates=H","DateFormat=P","Fill=—","Direction=H","UseDPDF=Y")</f>
        <v>—</v>
      </c>
      <c r="F68" s="13" t="str">
        <f>_xll.BDH("RCOM IN Equity","ARDR_OTHER_OPERATING_EXPENSES","FY 2012","FY 2012","Currency=INR","Period=FY","BEST_FPERIOD_OVERRIDE=FY","FILING_STATUS=MR","EQY_CONSOLIDATED=Y","SCALING_FORMAT=MLN","Sort=A","Dates=H","DateFormat=P","Fill=—","Direction=H","UseDPDF=Y")</f>
        <v>—</v>
      </c>
      <c r="G68" s="13" t="str">
        <f>_xll.BDH("RCOM IN Equity","ARDR_OTHER_OPERATING_EXPENSES","FY 2013","FY 2013","Currency=INR","Period=FY","BEST_FPERIOD_OVERRIDE=FY","FILING_STATUS=MR","EQY_CONSOLIDATED=Y","SCALING_FORMAT=MLN","Sort=A","Dates=H","DateFormat=P","Fill=—","Direction=H","UseDPDF=Y")</f>
        <v>—</v>
      </c>
      <c r="H68" s="13" t="str">
        <f>_xll.BDH("RCOM IN Equity","ARDR_OTHER_OPERATING_EXPENSES","FY 2014","FY 2014","Currency=INR","Period=FY","BEST_FPERIOD_OVERRIDE=FY","FILING_STATUS=MR","EQY_CONSOLIDATED=Y","SCALING_FORMAT=MLN","Sort=A","Dates=H","DateFormat=P","Fill=—","Direction=H","UseDPDF=Y")</f>
        <v>—</v>
      </c>
      <c r="I68" s="13" t="str">
        <f>_xll.BDH("RCOM IN Equity","ARDR_OTHER_OPERATING_EXPENSES","FY 2015","FY 2015","Currency=INR","Period=FY","BEST_FPERIOD_OVERRIDE=FY","FILING_STATUS=MR","EQY_CONSOLIDATED=Y","SCALING_FORMAT=MLN","Sort=A","Dates=H","DateFormat=P","Fill=—","Direction=H","UseDPDF=Y")</f>
        <v>—</v>
      </c>
      <c r="J68" s="13">
        <f>_xll.BDH("RCOM IN Equity","ARDR_OTHER_OPERATING_EXPENSES","FY 2016","FY 2016","Currency=INR","Period=FY","BEST_FPERIOD_OVERRIDE=FY","FILING_STATUS=MR","EQY_CONSOLIDATED=Y","SCALING_FORMAT=MLN","Sort=A","Dates=H","DateFormat=P","Fill=—","Direction=H","UseDPDF=Y")</f>
        <v>72870</v>
      </c>
      <c r="K68" s="13">
        <f>_xll.BDH("RCOM IN Equity","ARDR_OTHER_OPERATING_EXPENSES","FY 2017","FY 2017","Currency=INR","Period=FY","BEST_FPERIOD_OVERRIDE=FY","FILING_STATUS=MR","EQY_CONSOLIDATED=Y","SCALING_FORMAT=MLN","Sort=A","Dates=H","DateFormat=P","Fill=—","Direction=H","UseDPDF=Y")</f>
        <v>32520</v>
      </c>
      <c r="L68" s="13">
        <f>_xll.BDH("RCOM IN Equity","ARDR_OTHER_OPERATING_EXPENSES","FY 2018","FY 2018","Currency=INR","Period=FY","BEST_FPERIOD_OVERRIDE=FY","FILING_STATUS=MR","EQY_CONSOLIDATED=Y","SCALING_FORMAT=MLN","Sort=A","Dates=H","DateFormat=P","Fill=—","Direction=H","UseDPDF=Y")</f>
        <v>18210</v>
      </c>
    </row>
    <row r="69" spans="1:12">
      <c r="A69" s="10" t="s">
        <v>495</v>
      </c>
      <c r="B69" s="10" t="s">
        <v>496</v>
      </c>
      <c r="C69" s="13" t="str">
        <f>_xll.BDH("RCOM IN Equity","ARDR_INT_EXP","FY 2009","FY 2009","Currency=INR","Period=FY","BEST_FPERIOD_OVERRIDE=FY","FILING_STATUS=MR","EQY_CONSOLIDATED=Y","SCALING_FORMAT=MLN","Sort=A","Dates=H","DateFormat=P","Fill=—","Direction=H","UseDPDF=Y")</f>
        <v>—</v>
      </c>
      <c r="D69" s="13" t="str">
        <f>_xll.BDH("RCOM IN Equity","ARDR_INT_EXP","FY 2010","FY 2010","Currency=INR","Period=FY","BEST_FPERIOD_OVERRIDE=FY","FILING_STATUS=MR","EQY_CONSOLIDATED=Y","SCALING_FORMAT=MLN","Sort=A","Dates=H","DateFormat=P","Fill=—","Direction=H","UseDPDF=Y")</f>
        <v>—</v>
      </c>
      <c r="E69" s="13" t="str">
        <f>_xll.BDH("RCOM IN Equity","ARDR_INT_EXP","FY 2011","FY 2011","Currency=INR","Period=FY","BEST_FPERIOD_OVERRIDE=FY","FILING_STATUS=MR","EQY_CONSOLIDATED=Y","SCALING_FORMAT=MLN","Sort=A","Dates=H","DateFormat=P","Fill=—","Direction=H","UseDPDF=Y")</f>
        <v>—</v>
      </c>
      <c r="F69" s="13">
        <f>_xll.BDH("RCOM IN Equity","ARDR_INT_EXP","FY 2012","FY 2012","Currency=INR","Period=FY","BEST_FPERIOD_OVERRIDE=FY","FILING_STATUS=MR","EQY_CONSOLIDATED=Y","SCALING_FORMAT=MLN","Sort=A","Dates=H","DateFormat=P","Fill=—","Direction=H","UseDPDF=Y")</f>
        <v>14770</v>
      </c>
      <c r="G69" s="13">
        <f>_xll.BDH("RCOM IN Equity","ARDR_INT_EXP","FY 2013","FY 2013","Currency=INR","Period=FY","BEST_FPERIOD_OVERRIDE=FY","FILING_STATUS=MR","EQY_CONSOLIDATED=Y","SCALING_FORMAT=MLN","Sort=A","Dates=H","DateFormat=P","Fill=—","Direction=H","UseDPDF=Y")</f>
        <v>11330</v>
      </c>
      <c r="H69" s="13" t="str">
        <f>_xll.BDH("RCOM IN Equity","ARDR_INT_EXP","FY 2014","FY 2014","Currency=INR","Period=FY","BEST_FPERIOD_OVERRIDE=FY","FILING_STATUS=MR","EQY_CONSOLIDATED=Y","SCALING_FORMAT=MLN","Sort=A","Dates=H","DateFormat=P","Fill=—","Direction=H","UseDPDF=Y")</f>
        <v>—</v>
      </c>
      <c r="I69" s="13" t="str">
        <f>_xll.BDH("RCOM IN Equity","ARDR_INT_EXP","FY 2015","FY 2015","Currency=INR","Period=FY","BEST_FPERIOD_OVERRIDE=FY","FILING_STATUS=MR","EQY_CONSOLIDATED=Y","SCALING_FORMAT=MLN","Sort=A","Dates=H","DateFormat=P","Fill=—","Direction=H","UseDPDF=Y")</f>
        <v>—</v>
      </c>
      <c r="J69" s="13" t="str">
        <f>_xll.BDH("RCOM IN Equity","ARDR_INT_EXP","FY 2016","FY 2016","Currency=INR","Period=FY","BEST_FPERIOD_OVERRIDE=FY","FILING_STATUS=MR","EQY_CONSOLIDATED=Y","SCALING_FORMAT=MLN","Sort=A","Dates=H","DateFormat=P","Fill=—","Direction=H","UseDPDF=Y")</f>
        <v>—</v>
      </c>
      <c r="K69" s="13" t="str">
        <f>_xll.BDH("RCOM IN Equity","ARDR_INT_EXP","FY 2017","FY 2017","Currency=INR","Period=FY","BEST_FPERIOD_OVERRIDE=FY","FILING_STATUS=MR","EQY_CONSOLIDATED=Y","SCALING_FORMAT=MLN","Sort=A","Dates=H","DateFormat=P","Fill=—","Direction=H","UseDPDF=Y")</f>
        <v>—</v>
      </c>
      <c r="L69" s="13" t="str">
        <f>_xll.BDH("RCOM IN Equity","ARDR_INT_EXP","FY 2018","FY 2018","Currency=INR","Period=FY","BEST_FPERIOD_OVERRIDE=FY","FILING_STATUS=MR","EQY_CONSOLIDATED=Y","SCALING_FORMAT=MLN","Sort=A","Dates=H","DateFormat=P","Fill=—","Direction=H","UseDPDF=Y")</f>
        <v>—</v>
      </c>
    </row>
    <row r="70" spans="1:12">
      <c r="A70" s="10" t="s">
        <v>410</v>
      </c>
      <c r="B70" s="10" t="s">
        <v>497</v>
      </c>
      <c r="C70" s="13">
        <f>_xll.BDH("RCOM IN Equity","ARDR_FOREIGN_EXCHANGE","FY 2009","FY 2009","Currency=INR","Period=FY","BEST_FPERIOD_OVERRIDE=FY","FILING_STATUS=MR","EQY_CONSOLIDATED=Y","SCALING_FORMAT=MLN","Sort=A","Dates=H","DateFormat=P","Fill=—","Direction=H","UseDPDF=Y")</f>
        <v>-1874</v>
      </c>
      <c r="D70" s="13">
        <f>_xll.BDH("RCOM IN Equity","ARDR_FOREIGN_EXCHANGE","FY 2010","FY 2010","Currency=INR","Period=FY","BEST_FPERIOD_OVERRIDE=FY","FILING_STATUS=MR","EQY_CONSOLIDATED=Y","SCALING_FORMAT=MLN","Sort=A","Dates=H","DateFormat=P","Fill=—","Direction=H","UseDPDF=Y")</f>
        <v>-26450.3</v>
      </c>
      <c r="E70" s="13" t="str">
        <f>_xll.BDH("RCOM IN Equity","ARDR_FOREIGN_EXCHANGE","FY 2011","FY 2011","Currency=INR","Period=FY","BEST_FPERIOD_OVERRIDE=FY","FILING_STATUS=MR","EQY_CONSOLIDATED=Y","SCALING_FORMAT=MLN","Sort=A","Dates=H","DateFormat=P","Fill=—","Direction=H","UseDPDF=Y")</f>
        <v>—</v>
      </c>
      <c r="F70" s="13">
        <f>_xll.BDH("RCOM IN Equity","ARDR_FOREIGN_EXCHANGE","FY 2012","FY 2012","Currency=INR","Period=FY","BEST_FPERIOD_OVERRIDE=FY","FILING_STATUS=MR","EQY_CONSOLIDATED=Y","SCALING_FORMAT=MLN","Sort=A","Dates=H","DateFormat=P","Fill=—","Direction=H","UseDPDF=Y")</f>
        <v>100</v>
      </c>
      <c r="G70" s="13" t="str">
        <f>_xll.BDH("RCOM IN Equity","ARDR_FOREIGN_EXCHANGE","FY 2013","FY 2013","Currency=INR","Period=FY","BEST_FPERIOD_OVERRIDE=FY","FILING_STATUS=MR","EQY_CONSOLIDATED=Y","SCALING_FORMAT=MLN","Sort=A","Dates=H","DateFormat=P","Fill=—","Direction=H","UseDPDF=Y")</f>
        <v>—</v>
      </c>
      <c r="H70" s="13" t="str">
        <f>_xll.BDH("RCOM IN Equity","ARDR_FOREIGN_EXCHANGE","FY 2014","FY 2014","Currency=INR","Period=FY","BEST_FPERIOD_OVERRIDE=FY","FILING_STATUS=MR","EQY_CONSOLIDATED=Y","SCALING_FORMAT=MLN","Sort=A","Dates=H","DateFormat=P","Fill=—","Direction=H","UseDPDF=Y")</f>
        <v>—</v>
      </c>
      <c r="I70" s="13" t="str">
        <f>_xll.BDH("RCOM IN Equity","ARDR_FOREIGN_EXCHANGE","FY 2015","FY 2015","Currency=INR","Period=FY","BEST_FPERIOD_OVERRIDE=FY","FILING_STATUS=MR","EQY_CONSOLIDATED=Y","SCALING_FORMAT=MLN","Sort=A","Dates=H","DateFormat=P","Fill=—","Direction=H","UseDPDF=Y")</f>
        <v>—</v>
      </c>
      <c r="J70" s="13" t="str">
        <f>_xll.BDH("RCOM IN Equity","ARDR_FOREIGN_EXCHANGE","FY 2016","FY 2016","Currency=INR","Period=FY","BEST_FPERIOD_OVERRIDE=FY","FILING_STATUS=MR","EQY_CONSOLIDATED=Y","SCALING_FORMAT=MLN","Sort=A","Dates=H","DateFormat=P","Fill=—","Direction=H","UseDPDF=Y")</f>
        <v>—</v>
      </c>
      <c r="K70" s="13" t="str">
        <f>_xll.BDH("RCOM IN Equity","ARDR_FOREIGN_EXCHANGE","FY 2017","FY 2017","Currency=INR","Period=FY","BEST_FPERIOD_OVERRIDE=FY","FILING_STATUS=MR","EQY_CONSOLIDATED=Y","SCALING_FORMAT=MLN","Sort=A","Dates=H","DateFormat=P","Fill=—","Direction=H","UseDPDF=Y")</f>
        <v>—</v>
      </c>
      <c r="L70" s="13" t="str">
        <f>_xll.BDH("RCOM IN Equity","ARDR_FOREIGN_EXCHANGE","FY 2018","FY 2018","Currency=INR","Period=FY","BEST_FPERIOD_OVERRIDE=FY","FILING_STATUS=MR","EQY_CONSOLIDATED=Y","SCALING_FORMAT=MLN","Sort=A","Dates=H","DateFormat=P","Fill=—","Direction=H","UseDPDF=Y")</f>
        <v>—</v>
      </c>
    </row>
    <row r="71" spans="1:12">
      <c r="A71" s="10" t="s">
        <v>498</v>
      </c>
      <c r="B71" s="10" t="s">
        <v>499</v>
      </c>
      <c r="C71" s="13">
        <f>_xll.BDH("RCOM IN Equity","ARDR_GL_ON_SALE_OF_ASSETS","FY 2009","FY 2009","Currency=INR","Period=FY","BEST_FPERIOD_OVERRIDE=FY","FILING_STATUS=MR","EQY_CONSOLIDATED=Y","SCALING_FORMAT=MLN","Sort=A","Dates=H","DateFormat=P","Fill=—","Direction=H","UseDPDF=Y")</f>
        <v>0.6</v>
      </c>
      <c r="D71" s="13">
        <f>_xll.BDH("RCOM IN Equity","ARDR_GL_ON_SALE_OF_ASSETS","FY 2010","FY 2010","Currency=INR","Period=FY","BEST_FPERIOD_OVERRIDE=FY","FILING_STATUS=MR","EQY_CONSOLIDATED=Y","SCALING_FORMAT=MLN","Sort=A","Dates=H","DateFormat=P","Fill=—","Direction=H","UseDPDF=Y")</f>
        <v>14.9</v>
      </c>
      <c r="E71" s="13">
        <f>_xll.BDH("RCOM IN Equity","ARDR_GL_ON_SALE_OF_ASSETS","FY 2011","FY 2011","Currency=INR","Period=FY","BEST_FPERIOD_OVERRIDE=FY","FILING_STATUS=MR","EQY_CONSOLIDATED=Y","SCALING_FORMAT=MLN","Sort=A","Dates=H","DateFormat=P","Fill=—","Direction=H","UseDPDF=Y")</f>
        <v>0.8</v>
      </c>
      <c r="F71" s="13">
        <f>_xll.BDH("RCOM IN Equity","ARDR_GL_ON_SALE_OF_ASSETS","FY 2012","FY 2012","Currency=INR","Period=FY","BEST_FPERIOD_OVERRIDE=FY","FILING_STATUS=MR","EQY_CONSOLIDATED=Y","SCALING_FORMAT=MLN","Sort=A","Dates=H","DateFormat=P","Fill=—","Direction=H","UseDPDF=Y")</f>
        <v>-70</v>
      </c>
      <c r="G71" s="13">
        <f>_xll.BDH("RCOM IN Equity","ARDR_GL_ON_SALE_OF_ASSETS","FY 2013","FY 2013","Currency=INR","Period=FY","BEST_FPERIOD_OVERRIDE=FY","FILING_STATUS=MR","EQY_CONSOLIDATED=Y","SCALING_FORMAT=MLN","Sort=A","Dates=H","DateFormat=P","Fill=—","Direction=H","UseDPDF=Y")</f>
        <v>300</v>
      </c>
      <c r="H71" s="13">
        <f>_xll.BDH("RCOM IN Equity","ARDR_GL_ON_SALE_OF_ASSETS","FY 2014","FY 2014","Currency=INR","Period=FY","BEST_FPERIOD_OVERRIDE=FY","FILING_STATUS=MR","EQY_CONSOLIDATED=Y","SCALING_FORMAT=MLN","Sort=A","Dates=H","DateFormat=P","Fill=—","Direction=H","UseDPDF=Y")</f>
        <v>200</v>
      </c>
      <c r="I71" s="13">
        <f>_xll.BDH("RCOM IN Equity","ARDR_GL_ON_SALE_OF_ASSETS","FY 2015","FY 2015","Currency=INR","Period=FY","BEST_FPERIOD_OVERRIDE=FY","FILING_STATUS=MR","EQY_CONSOLIDATED=Y","SCALING_FORMAT=MLN","Sort=A","Dates=H","DateFormat=P","Fill=—","Direction=H","UseDPDF=Y")</f>
        <v>40</v>
      </c>
      <c r="J71" s="13">
        <f>_xll.BDH("RCOM IN Equity","ARDR_GL_ON_SALE_OF_ASSETS","FY 2016","FY 2016","Currency=INR","Period=FY","BEST_FPERIOD_OVERRIDE=FY","FILING_STATUS=MR","EQY_CONSOLIDATED=Y","SCALING_FORMAT=MLN","Sort=A","Dates=H","DateFormat=P","Fill=—","Direction=H","UseDPDF=Y")</f>
        <v>160</v>
      </c>
      <c r="K71" s="13" t="str">
        <f>_xll.BDH("RCOM IN Equity","ARDR_GL_ON_SALE_OF_ASSETS","FY 2017","FY 2017","Currency=INR","Period=FY","BEST_FPERIOD_OVERRIDE=FY","FILING_STATUS=MR","EQY_CONSOLIDATED=Y","SCALING_FORMAT=MLN","Sort=A","Dates=H","DateFormat=P","Fill=—","Direction=H","UseDPDF=Y")</f>
        <v>—</v>
      </c>
      <c r="L71" s="13" t="str">
        <f>_xll.BDH("RCOM IN Equity","ARDR_GL_ON_SALE_OF_ASSETS","FY 2018","FY 2018","Currency=INR","Period=FY","BEST_FPERIOD_OVERRIDE=FY","FILING_STATUS=MR","EQY_CONSOLIDATED=Y","SCALING_FORMAT=MLN","Sort=A","Dates=H","DateFormat=P","Fill=—","Direction=H","UseDPDF=Y")</f>
        <v>—</v>
      </c>
    </row>
    <row r="72" spans="1:12">
      <c r="A72" s="10" t="s">
        <v>500</v>
      </c>
      <c r="B72" s="10" t="s">
        <v>501</v>
      </c>
      <c r="C72" s="13" t="str">
        <f>_xll.BDH("RCOM IN Equity","ARDR_WRITEDOWN_IMPAIR_OF_ASSETS","FY 2009","FY 2009","Currency=INR","Period=FY","BEST_FPERIOD_OVERRIDE=FY","FILING_STATUS=MR","EQY_CONSOLIDATED=Y","SCALING_FORMAT=MLN","Sort=A","Dates=H","DateFormat=P","Fill=—","Direction=H","UseDPDF=Y")</f>
        <v>—</v>
      </c>
      <c r="D72" s="13">
        <f>_xll.BDH("RCOM IN Equity","ARDR_WRITEDOWN_IMPAIR_OF_ASSETS","FY 2010","FY 2010","Currency=INR","Period=FY","BEST_FPERIOD_OVERRIDE=FY","FILING_STATUS=MR","EQY_CONSOLIDATED=Y","SCALING_FORMAT=MLN","Sort=A","Dates=H","DateFormat=P","Fill=—","Direction=H","UseDPDF=Y")</f>
        <v>3049.7</v>
      </c>
      <c r="E72" s="13" t="str">
        <f>_xll.BDH("RCOM IN Equity","ARDR_WRITEDOWN_IMPAIR_OF_ASSETS","FY 2011","FY 2011","Currency=INR","Period=FY","BEST_FPERIOD_OVERRIDE=FY","FILING_STATUS=MR","EQY_CONSOLIDATED=Y","SCALING_FORMAT=MLN","Sort=A","Dates=H","DateFormat=P","Fill=—","Direction=H","UseDPDF=Y")</f>
        <v>—</v>
      </c>
      <c r="F72" s="13">
        <f>_xll.BDH("RCOM IN Equity","ARDR_WRITEDOWN_IMPAIR_OF_ASSETS","FY 2012","FY 2012","Currency=INR","Period=FY","BEST_FPERIOD_OVERRIDE=FY","FILING_STATUS=MR","EQY_CONSOLIDATED=Y","SCALING_FORMAT=MLN","Sort=A","Dates=H","DateFormat=P","Fill=—","Direction=H","UseDPDF=Y")</f>
        <v>3700</v>
      </c>
      <c r="G72" s="13" t="str">
        <f>_xll.BDH("RCOM IN Equity","ARDR_WRITEDOWN_IMPAIR_OF_ASSETS","FY 2013","FY 2013","Currency=INR","Period=FY","BEST_FPERIOD_OVERRIDE=FY","FILING_STATUS=MR","EQY_CONSOLIDATED=Y","SCALING_FORMAT=MLN","Sort=A","Dates=H","DateFormat=P","Fill=—","Direction=H","UseDPDF=Y")</f>
        <v>—</v>
      </c>
      <c r="H72" s="13" t="str">
        <f>_xll.BDH("RCOM IN Equity","ARDR_WRITEDOWN_IMPAIR_OF_ASSETS","FY 2014","FY 2014","Currency=INR","Period=FY","BEST_FPERIOD_OVERRIDE=FY","FILING_STATUS=MR","EQY_CONSOLIDATED=Y","SCALING_FORMAT=MLN","Sort=A","Dates=H","DateFormat=P","Fill=—","Direction=H","UseDPDF=Y")</f>
        <v>—</v>
      </c>
      <c r="I72" s="13" t="str">
        <f>_xll.BDH("RCOM IN Equity","ARDR_WRITEDOWN_IMPAIR_OF_ASSETS","FY 2015","FY 2015","Currency=INR","Period=FY","BEST_FPERIOD_OVERRIDE=FY","FILING_STATUS=MR","EQY_CONSOLIDATED=Y","SCALING_FORMAT=MLN","Sort=A","Dates=H","DateFormat=P","Fill=—","Direction=H","UseDPDF=Y")</f>
        <v>—</v>
      </c>
      <c r="J72" s="13" t="str">
        <f>_xll.BDH("RCOM IN Equity","ARDR_WRITEDOWN_IMPAIR_OF_ASSETS","FY 2016","FY 2016","Currency=INR","Period=FY","BEST_FPERIOD_OVERRIDE=FY","FILING_STATUS=MR","EQY_CONSOLIDATED=Y","SCALING_FORMAT=MLN","Sort=A","Dates=H","DateFormat=P","Fill=—","Direction=H","UseDPDF=Y")</f>
        <v>—</v>
      </c>
      <c r="K72" s="13" t="str">
        <f>_xll.BDH("RCOM IN Equity","ARDR_WRITEDOWN_IMPAIR_OF_ASSETS","FY 2017","FY 2017","Currency=INR","Period=FY","BEST_FPERIOD_OVERRIDE=FY","FILING_STATUS=MR","EQY_CONSOLIDATED=Y","SCALING_FORMAT=MLN","Sort=A","Dates=H","DateFormat=P","Fill=—","Direction=H","UseDPDF=Y")</f>
        <v>—</v>
      </c>
      <c r="L72" s="13" t="str">
        <f>_xll.BDH("RCOM IN Equity","ARDR_WRITEDOWN_IMPAIR_OF_ASSETS","FY 2018","FY 2018","Currency=INR","Period=FY","BEST_FPERIOD_OVERRIDE=FY","FILING_STATUS=MR","EQY_CONSOLIDATED=Y","SCALING_FORMAT=MLN","Sort=A","Dates=H","DateFormat=P","Fill=—","Direction=H","UseDPDF=Y")</f>
        <v>—</v>
      </c>
    </row>
    <row r="73" spans="1:12">
      <c r="A73" s="10" t="s">
        <v>502</v>
      </c>
      <c r="B73" s="10" t="s">
        <v>503</v>
      </c>
      <c r="C73" s="13" t="str">
        <f>_xll.BDH("RCOM IN Equity","ARDR_INT_INCOME","FY 2009","FY 2009","Currency=INR","Period=FY","BEST_FPERIOD_OVERRIDE=FY","FILING_STATUS=MR","EQY_CONSOLIDATED=Y","SCALING_FORMAT=MLN","Sort=A","Dates=H","DateFormat=P","Fill=—","Direction=H","UseDPDF=Y")</f>
        <v>—</v>
      </c>
      <c r="D73" s="13" t="str">
        <f>_xll.BDH("RCOM IN Equity","ARDR_INT_INCOME","FY 2010","FY 2010","Currency=INR","Period=FY","BEST_FPERIOD_OVERRIDE=FY","FILING_STATUS=MR","EQY_CONSOLIDATED=Y","SCALING_FORMAT=MLN","Sort=A","Dates=H","DateFormat=P","Fill=—","Direction=H","UseDPDF=Y")</f>
        <v>—</v>
      </c>
      <c r="E73" s="13">
        <f>_xll.BDH("RCOM IN Equity","ARDR_INT_INCOME","FY 2011","FY 2011","Currency=INR","Period=FY","BEST_FPERIOD_OVERRIDE=FY","FILING_STATUS=MR","EQY_CONSOLIDATED=Y","SCALING_FORMAT=MLN","Sort=A","Dates=H","DateFormat=P","Fill=—","Direction=H","UseDPDF=Y")</f>
        <v>-610</v>
      </c>
      <c r="F73" s="13">
        <f>_xll.BDH("RCOM IN Equity","ARDR_INT_INCOME","FY 2012","FY 2012","Currency=INR","Period=FY","BEST_FPERIOD_OVERRIDE=FY","FILING_STATUS=MR","EQY_CONSOLIDATED=Y","SCALING_FORMAT=MLN","Sort=A","Dates=H","DateFormat=P","Fill=—","Direction=H","UseDPDF=Y")</f>
        <v>-400</v>
      </c>
      <c r="G73" s="13">
        <f>_xll.BDH("RCOM IN Equity","ARDR_INT_INCOME","FY 2013","FY 2013","Currency=INR","Period=FY","BEST_FPERIOD_OVERRIDE=FY","FILING_STATUS=MR","EQY_CONSOLIDATED=Y","SCALING_FORMAT=MLN","Sort=A","Dates=H","DateFormat=P","Fill=—","Direction=H","UseDPDF=Y")</f>
        <v>-1650</v>
      </c>
      <c r="H73" s="13">
        <f>_xll.BDH("RCOM IN Equity","ARDR_INT_INCOME","FY 2014","FY 2014","Currency=INR","Period=FY","BEST_FPERIOD_OVERRIDE=FY","FILING_STATUS=MR","EQY_CONSOLIDATED=Y","SCALING_FORMAT=MLN","Sort=A","Dates=H","DateFormat=P","Fill=—","Direction=H","UseDPDF=Y")</f>
        <v>-470</v>
      </c>
      <c r="I73" s="13">
        <f>_xll.BDH("RCOM IN Equity","ARDR_INT_INCOME","FY 2015","FY 2015","Currency=INR","Period=FY","BEST_FPERIOD_OVERRIDE=FY","FILING_STATUS=MR","EQY_CONSOLIDATED=Y","SCALING_FORMAT=MLN","Sort=A","Dates=H","DateFormat=P","Fill=—","Direction=H","UseDPDF=Y")</f>
        <v>-470</v>
      </c>
      <c r="J73" s="13">
        <f>_xll.BDH("RCOM IN Equity","ARDR_INT_INCOME","FY 2016","FY 2016","Currency=INR","Period=FY","BEST_FPERIOD_OVERRIDE=FY","FILING_STATUS=MR","EQY_CONSOLIDATED=Y","SCALING_FORMAT=MLN","Sort=A","Dates=H","DateFormat=P","Fill=—","Direction=H","UseDPDF=Y")</f>
        <v>-1060</v>
      </c>
      <c r="K73" s="13" t="str">
        <f>_xll.BDH("RCOM IN Equity","ARDR_INT_INCOME","FY 2017","FY 2017","Currency=INR","Period=FY","BEST_FPERIOD_OVERRIDE=FY","FILING_STATUS=MR","EQY_CONSOLIDATED=Y","SCALING_FORMAT=MLN","Sort=A","Dates=H","DateFormat=P","Fill=—","Direction=H","UseDPDF=Y")</f>
        <v>—</v>
      </c>
      <c r="L73" s="13" t="str">
        <f>_xll.BDH("RCOM IN Equity","ARDR_INT_INCOME","FY 2018","FY 2018","Currency=INR","Period=FY","BEST_FPERIOD_OVERRIDE=FY","FILING_STATUS=MR","EQY_CONSOLIDATED=Y","SCALING_FORMAT=MLN","Sort=A","Dates=H","DateFormat=P","Fill=—","Direction=H","UseDPDF=Y")</f>
        <v>—</v>
      </c>
    </row>
    <row r="74" spans="1:12">
      <c r="A74" s="10" t="s">
        <v>414</v>
      </c>
      <c r="B74" s="10" t="s">
        <v>504</v>
      </c>
      <c r="C74" s="13" t="str">
        <f>_xll.BDH("RCOM IN Equity","ARDR_INT_EXP_NET","FY 2009","FY 2009","Currency=INR","Period=FY","BEST_FPERIOD_OVERRIDE=FY","FILING_STATUS=MR","EQY_CONSOLIDATED=Y","SCALING_FORMAT=MLN","Sort=A","Dates=H","DateFormat=P","Fill=—","Direction=H","UseDPDF=Y")</f>
        <v>—</v>
      </c>
      <c r="D74" s="13" t="str">
        <f>_xll.BDH("RCOM IN Equity","ARDR_INT_EXP_NET","FY 2010","FY 2010","Currency=INR","Period=FY","BEST_FPERIOD_OVERRIDE=FY","FILING_STATUS=MR","EQY_CONSOLIDATED=Y","SCALING_FORMAT=MLN","Sort=A","Dates=H","DateFormat=P","Fill=—","Direction=H","UseDPDF=Y")</f>
        <v>—</v>
      </c>
      <c r="E74" s="13" t="str">
        <f>_xll.BDH("RCOM IN Equity","ARDR_INT_EXP_NET","FY 2011","FY 2011","Currency=INR","Period=FY","BEST_FPERIOD_OVERRIDE=FY","FILING_STATUS=MR","EQY_CONSOLIDATED=Y","SCALING_FORMAT=MLN","Sort=A","Dates=H","DateFormat=P","Fill=—","Direction=H","UseDPDF=Y")</f>
        <v>—</v>
      </c>
      <c r="F74" s="13">
        <f>_xll.BDH("RCOM IN Equity","ARDR_INT_EXP_NET","FY 2012","FY 2012","Currency=INR","Period=FY","BEST_FPERIOD_OVERRIDE=FY","FILING_STATUS=MR","EQY_CONSOLIDATED=Y","SCALING_FORMAT=MLN","Sort=A","Dates=H","DateFormat=P","Fill=—","Direction=H","UseDPDF=Y")</f>
        <v>16300</v>
      </c>
      <c r="G74" s="13" t="str">
        <f>_xll.BDH("RCOM IN Equity","ARDR_INT_EXP_NET","FY 2013","FY 2013","Currency=INR","Period=FY","BEST_FPERIOD_OVERRIDE=FY","FILING_STATUS=MR","EQY_CONSOLIDATED=Y","SCALING_FORMAT=MLN","Sort=A","Dates=H","DateFormat=P","Fill=—","Direction=H","UseDPDF=Y")</f>
        <v>—</v>
      </c>
      <c r="H74" s="13" t="str">
        <f>_xll.BDH("RCOM IN Equity","ARDR_INT_EXP_NET","FY 2014","FY 2014","Currency=INR","Period=FY","BEST_FPERIOD_OVERRIDE=FY","FILING_STATUS=MR","EQY_CONSOLIDATED=Y","SCALING_FORMAT=MLN","Sort=A","Dates=H","DateFormat=P","Fill=—","Direction=H","UseDPDF=Y")</f>
        <v>—</v>
      </c>
      <c r="I74" s="13" t="str">
        <f>_xll.BDH("RCOM IN Equity","ARDR_INT_EXP_NET","FY 2015","FY 2015","Currency=INR","Period=FY","BEST_FPERIOD_OVERRIDE=FY","FILING_STATUS=MR","EQY_CONSOLIDATED=Y","SCALING_FORMAT=MLN","Sort=A","Dates=H","DateFormat=P","Fill=—","Direction=H","UseDPDF=Y")</f>
        <v>—</v>
      </c>
      <c r="J74" s="13" t="str">
        <f>_xll.BDH("RCOM IN Equity","ARDR_INT_EXP_NET","FY 2016","FY 2016","Currency=INR","Period=FY","BEST_FPERIOD_OVERRIDE=FY","FILING_STATUS=MR","EQY_CONSOLIDATED=Y","SCALING_FORMAT=MLN","Sort=A","Dates=H","DateFormat=P","Fill=—","Direction=H","UseDPDF=Y")</f>
        <v>—</v>
      </c>
      <c r="K74" s="13" t="str">
        <f>_xll.BDH("RCOM IN Equity","ARDR_INT_EXP_NET","FY 2017","FY 2017","Currency=INR","Period=FY","BEST_FPERIOD_OVERRIDE=FY","FILING_STATUS=MR","EQY_CONSOLIDATED=Y","SCALING_FORMAT=MLN","Sort=A","Dates=H","DateFormat=P","Fill=—","Direction=H","UseDPDF=Y")</f>
        <v>—</v>
      </c>
      <c r="L74" s="13" t="str">
        <f>_xll.BDH("RCOM IN Equity","ARDR_INT_EXP_NET","FY 2018","FY 2018","Currency=INR","Period=FY","BEST_FPERIOD_OVERRIDE=FY","FILING_STATUS=MR","EQY_CONSOLIDATED=Y","SCALING_FORMAT=MLN","Sort=A","Dates=H","DateFormat=P","Fill=—","Direction=H","UseDPDF=Y")</f>
        <v>—</v>
      </c>
    </row>
    <row r="75" spans="1:12">
      <c r="A75" s="10" t="s">
        <v>505</v>
      </c>
      <c r="B75" s="10" t="s">
        <v>506</v>
      </c>
      <c r="C75" s="13">
        <f>_xll.BDH("RCOM IN Equity","ARDR_GENERAL_ADMINISTRATIVE_EXP","FY 2009","FY 2009","Currency=INR","Period=FY","BEST_FPERIOD_OVERRIDE=FY","FILING_STATUS=MR","EQY_CONSOLIDATED=Y","SCALING_FORMAT=MLN","Sort=A","Dates=H","DateFormat=P","Fill=—","Direction=H","UseDPDF=Y")</f>
        <v>18654.900000000001</v>
      </c>
      <c r="D75" s="13">
        <f>_xll.BDH("RCOM IN Equity","ARDR_GENERAL_ADMINISTRATIVE_EXP","FY 2010","FY 2010","Currency=INR","Period=FY","BEST_FPERIOD_OVERRIDE=FY","FILING_STATUS=MR","EQY_CONSOLIDATED=Y","SCALING_FORMAT=MLN","Sort=A","Dates=H","DateFormat=P","Fill=—","Direction=H","UseDPDF=Y")</f>
        <v>12829.5</v>
      </c>
      <c r="E75" s="13">
        <f>_xll.BDH("RCOM IN Equity","ARDR_GENERAL_ADMINISTRATIVE_EXP","FY 2011","FY 2011","Currency=INR","Period=FY","BEST_FPERIOD_OVERRIDE=FY","FILING_STATUS=MR","EQY_CONSOLIDATED=Y","SCALING_FORMAT=MLN","Sort=A","Dates=H","DateFormat=P","Fill=—","Direction=H","UseDPDF=Y")</f>
        <v>11710</v>
      </c>
      <c r="F75" s="13">
        <f>_xll.BDH("RCOM IN Equity","ARDR_GENERAL_ADMINISTRATIVE_EXP","FY 2012","FY 2012","Currency=INR","Period=FY","BEST_FPERIOD_OVERRIDE=FY","FILING_STATUS=MR","EQY_CONSOLIDATED=Y","SCALING_FORMAT=MLN","Sort=A","Dates=H","DateFormat=P","Fill=—","Direction=H","UseDPDF=Y")</f>
        <v>9680</v>
      </c>
      <c r="G75" s="13">
        <f>_xll.BDH("RCOM IN Equity","ARDR_GENERAL_ADMINISTRATIVE_EXP","FY 2013","FY 2013","Currency=INR","Period=FY","BEST_FPERIOD_OVERRIDE=FY","FILING_STATUS=MR","EQY_CONSOLIDATED=Y","SCALING_FORMAT=MLN","Sort=A","Dates=H","DateFormat=P","Fill=—","Direction=H","UseDPDF=Y")</f>
        <v>12080</v>
      </c>
      <c r="H75" s="13">
        <f>_xll.BDH("RCOM IN Equity","ARDR_GENERAL_ADMINISTRATIVE_EXP","FY 2014","FY 2014","Currency=INR","Period=FY","BEST_FPERIOD_OVERRIDE=FY","FILING_STATUS=MR","EQY_CONSOLIDATED=Y","SCALING_FORMAT=MLN","Sort=A","Dates=H","DateFormat=P","Fill=—","Direction=H","UseDPDF=Y")</f>
        <v>14770</v>
      </c>
      <c r="I75" s="13">
        <f>_xll.BDH("RCOM IN Equity","ARDR_GENERAL_ADMINISTRATIVE_EXP","FY 2015","FY 2015","Currency=INR","Period=FY","BEST_FPERIOD_OVERRIDE=FY","FILING_STATUS=MR","EQY_CONSOLIDATED=Y","SCALING_FORMAT=MLN","Sort=A","Dates=H","DateFormat=P","Fill=—","Direction=H","UseDPDF=Y")</f>
        <v>10320</v>
      </c>
      <c r="J75" s="13">
        <f>_xll.BDH("RCOM IN Equity","ARDR_GENERAL_ADMINISTRATIVE_EXP","FY 2016","FY 2016","Currency=INR","Period=FY","BEST_FPERIOD_OVERRIDE=FY","FILING_STATUS=MR","EQY_CONSOLIDATED=Y","SCALING_FORMAT=MLN","Sort=A","Dates=H","DateFormat=P","Fill=—","Direction=H","UseDPDF=Y")</f>
        <v>4550</v>
      </c>
      <c r="K75" s="13">
        <f>_xll.BDH("RCOM IN Equity","ARDR_GENERAL_ADMINISTRATIVE_EXP","FY 2017","FY 2017","Currency=INR","Period=FY","BEST_FPERIOD_OVERRIDE=FY","FILING_STATUS=MR","EQY_CONSOLIDATED=Y","SCALING_FORMAT=MLN","Sort=A","Dates=H","DateFormat=P","Fill=—","Direction=H","UseDPDF=Y")</f>
        <v>5530</v>
      </c>
      <c r="L75" s="13">
        <f>_xll.BDH("RCOM IN Equity","ARDR_GENERAL_ADMINISTRATIVE_EXP","FY 2018","FY 2018","Currency=INR","Period=FY","BEST_FPERIOD_OVERRIDE=FY","FILING_STATUS=MR","EQY_CONSOLIDATED=Y","SCALING_FORMAT=MLN","Sort=A","Dates=H","DateFormat=P","Fill=—","Direction=H","UseDPDF=Y")</f>
        <v>4920</v>
      </c>
    </row>
    <row r="76" spans="1:12">
      <c r="A76" s="10" t="s">
        <v>405</v>
      </c>
      <c r="B76" s="10" t="s">
        <v>507</v>
      </c>
      <c r="C76" s="13" t="str">
        <f>_xll.BDH("RCOM IN Equity","ARDR_OTHER_OPERATING_INC","FY 2009","FY 2009","Currency=INR","Period=FY","BEST_FPERIOD_OVERRIDE=FY","FILING_STATUS=MR","EQY_CONSOLIDATED=Y","SCALING_FORMAT=MLN","Sort=A","Dates=H","DateFormat=P","Fill=—","Direction=H","UseDPDF=Y")</f>
        <v>—</v>
      </c>
      <c r="D76" s="13" t="str">
        <f>_xll.BDH("RCOM IN Equity","ARDR_OTHER_OPERATING_INC","FY 2010","FY 2010","Currency=INR","Period=FY","BEST_FPERIOD_OVERRIDE=FY","FILING_STATUS=MR","EQY_CONSOLIDATED=Y","SCALING_FORMAT=MLN","Sort=A","Dates=H","DateFormat=P","Fill=—","Direction=H","UseDPDF=Y")</f>
        <v>—</v>
      </c>
      <c r="E76" s="13" t="str">
        <f>_xll.BDH("RCOM IN Equity","ARDR_OTHER_OPERATING_INC","FY 2011","FY 2011","Currency=INR","Period=FY","BEST_FPERIOD_OVERRIDE=FY","FILING_STATUS=MR","EQY_CONSOLIDATED=Y","SCALING_FORMAT=MLN","Sort=A","Dates=H","DateFormat=P","Fill=—","Direction=H","UseDPDF=Y")</f>
        <v>—</v>
      </c>
      <c r="F76" s="13">
        <f>_xll.BDH("RCOM IN Equity","ARDR_OTHER_OPERATING_INC","FY 2012","FY 2012","Currency=INR","Period=FY","BEST_FPERIOD_OVERRIDE=FY","FILING_STATUS=MR","EQY_CONSOLIDATED=Y","SCALING_FORMAT=MLN","Sort=A","Dates=H","DateFormat=P","Fill=—","Direction=H","UseDPDF=Y")</f>
        <v>9610</v>
      </c>
      <c r="G76" s="13" t="str">
        <f>_xll.BDH("RCOM IN Equity","ARDR_OTHER_OPERATING_INC","FY 2013","FY 2013","Currency=INR","Period=FY","BEST_FPERIOD_OVERRIDE=FY","FILING_STATUS=MR","EQY_CONSOLIDATED=Y","SCALING_FORMAT=MLN","Sort=A","Dates=H","DateFormat=P","Fill=—","Direction=H","UseDPDF=Y")</f>
        <v>—</v>
      </c>
      <c r="H76" s="13" t="str">
        <f>_xll.BDH("RCOM IN Equity","ARDR_OTHER_OPERATING_INC","FY 2014","FY 2014","Currency=INR","Period=FY","BEST_FPERIOD_OVERRIDE=FY","FILING_STATUS=MR","EQY_CONSOLIDATED=Y","SCALING_FORMAT=MLN","Sort=A","Dates=H","DateFormat=P","Fill=—","Direction=H","UseDPDF=Y")</f>
        <v>—</v>
      </c>
      <c r="I76" s="13" t="str">
        <f>_xll.BDH("RCOM IN Equity","ARDR_OTHER_OPERATING_INC","FY 2015","FY 2015","Currency=INR","Period=FY","BEST_FPERIOD_OVERRIDE=FY","FILING_STATUS=MR","EQY_CONSOLIDATED=Y","SCALING_FORMAT=MLN","Sort=A","Dates=H","DateFormat=P","Fill=—","Direction=H","UseDPDF=Y")</f>
        <v>—</v>
      </c>
      <c r="J76" s="13" t="str">
        <f>_xll.BDH("RCOM IN Equity","ARDR_OTHER_OPERATING_INC","FY 2016","FY 2016","Currency=INR","Period=FY","BEST_FPERIOD_OVERRIDE=FY","FILING_STATUS=MR","EQY_CONSOLIDATED=Y","SCALING_FORMAT=MLN","Sort=A","Dates=H","DateFormat=P","Fill=—","Direction=H","UseDPDF=Y")</f>
        <v>—</v>
      </c>
      <c r="K76" s="13" t="str">
        <f>_xll.BDH("RCOM IN Equity","ARDR_OTHER_OPERATING_INC","FY 2017","FY 2017","Currency=INR","Period=FY","BEST_FPERIOD_OVERRIDE=FY","FILING_STATUS=MR","EQY_CONSOLIDATED=Y","SCALING_FORMAT=MLN","Sort=A","Dates=H","DateFormat=P","Fill=—","Direction=H","UseDPDF=Y")</f>
        <v>—</v>
      </c>
      <c r="L76" s="13" t="str">
        <f>_xll.BDH("RCOM IN Equity","ARDR_OTHER_OPERATING_INC","FY 2018","FY 2018","Currency=INR","Period=FY","BEST_FPERIOD_OVERRIDE=FY","FILING_STATUS=MR","EQY_CONSOLIDATED=Y","SCALING_FORMAT=MLN","Sort=A","Dates=H","DateFormat=P","Fill=—","Direction=H","UseDPDF=Y")</f>
        <v>—</v>
      </c>
    </row>
    <row r="77" spans="1:12">
      <c r="A77" s="10" t="s">
        <v>508</v>
      </c>
      <c r="B77" s="10" t="s">
        <v>509</v>
      </c>
      <c r="C77" s="13">
        <f>_xll.BDH("RCOM IN Equity","ARDR_OTHER_TAX","FY 2009","FY 2009","Currency=INR","Period=FY","BEST_FPERIOD_OVERRIDE=FY","FILING_STATUS=MR","EQY_CONSOLIDATED=Y","SCALING_FORMAT=MLN","Sort=A","Dates=H","DateFormat=P","Fill=—","Direction=H","UseDPDF=Y")</f>
        <v>6.4</v>
      </c>
      <c r="D77" s="13">
        <f>_xll.BDH("RCOM IN Equity","ARDR_OTHER_TAX","FY 2010","FY 2010","Currency=INR","Period=FY","BEST_FPERIOD_OVERRIDE=FY","FILING_STATUS=MR","EQY_CONSOLIDATED=Y","SCALING_FORMAT=MLN","Sort=A","Dates=H","DateFormat=P","Fill=—","Direction=H","UseDPDF=Y")</f>
        <v>4.5999999999999996</v>
      </c>
      <c r="E77" s="13">
        <f>_xll.BDH("RCOM IN Equity","ARDR_OTHER_TAX","FY 2011","FY 2011","Currency=INR","Period=FY","BEST_FPERIOD_OVERRIDE=FY","FILING_STATUS=MR","EQY_CONSOLIDATED=Y","SCALING_FORMAT=MLN","Sort=A","Dates=H","DateFormat=P","Fill=—","Direction=H","UseDPDF=Y")</f>
        <v>0</v>
      </c>
      <c r="F77" s="13">
        <f>_xll.BDH("RCOM IN Equity","ARDR_OTHER_TAX","FY 2012","FY 2012","Currency=INR","Period=FY","BEST_FPERIOD_OVERRIDE=FY","FILING_STATUS=MR","EQY_CONSOLIDATED=Y","SCALING_FORMAT=MLN","Sort=A","Dates=H","DateFormat=P","Fill=—","Direction=H","UseDPDF=Y")</f>
        <v>10</v>
      </c>
      <c r="G77" s="13">
        <f>_xll.BDH("RCOM IN Equity","ARDR_OTHER_TAX","FY 2013","FY 2013","Currency=INR","Period=FY","BEST_FPERIOD_OVERRIDE=FY","FILING_STATUS=MR","EQY_CONSOLIDATED=Y","SCALING_FORMAT=MLN","Sort=A","Dates=H","DateFormat=P","Fill=—","Direction=H","UseDPDF=Y")</f>
        <v>0</v>
      </c>
      <c r="H77" s="13">
        <f>_xll.BDH("RCOM IN Equity","ARDR_OTHER_TAX","FY 2014","FY 2014","Currency=INR","Period=FY","BEST_FPERIOD_OVERRIDE=FY","FILING_STATUS=MR","EQY_CONSOLIDATED=Y","SCALING_FORMAT=MLN","Sort=A","Dates=H","DateFormat=P","Fill=—","Direction=H","UseDPDF=Y")</f>
        <v>0</v>
      </c>
      <c r="I77" s="13">
        <f>_xll.BDH("RCOM IN Equity","ARDR_OTHER_TAX","FY 2015","FY 2015","Currency=INR","Period=FY","BEST_FPERIOD_OVERRIDE=FY","FILING_STATUS=MR","EQY_CONSOLIDATED=Y","SCALING_FORMAT=MLN","Sort=A","Dates=H","DateFormat=P","Fill=—","Direction=H","UseDPDF=Y")</f>
        <v>0</v>
      </c>
      <c r="J77" s="13" t="str">
        <f>_xll.BDH("RCOM IN Equity","ARDR_OTHER_TAX","FY 2016","FY 2016","Currency=INR","Period=FY","BEST_FPERIOD_OVERRIDE=FY","FILING_STATUS=MR","EQY_CONSOLIDATED=Y","SCALING_FORMAT=MLN","Sort=A","Dates=H","DateFormat=P","Fill=—","Direction=H","UseDPDF=Y")</f>
        <v>—</v>
      </c>
      <c r="K77" s="13" t="str">
        <f>_xll.BDH("RCOM IN Equity","ARDR_OTHER_TAX","FY 2017","FY 2017","Currency=INR","Period=FY","BEST_FPERIOD_OVERRIDE=FY","FILING_STATUS=MR","EQY_CONSOLIDATED=Y","SCALING_FORMAT=MLN","Sort=A","Dates=H","DateFormat=P","Fill=—","Direction=H","UseDPDF=Y")</f>
        <v>—</v>
      </c>
      <c r="L77" s="13" t="str">
        <f>_xll.BDH("RCOM IN Equity","ARDR_OTHER_TAX","FY 2018","FY 2018","Currency=INR","Period=FY","BEST_FPERIOD_OVERRIDE=FY","FILING_STATUS=MR","EQY_CONSOLIDATED=Y","SCALING_FORMAT=MLN","Sort=A","Dates=H","DateFormat=P","Fill=—","Direction=H","UseDPDF=Y")</f>
        <v>—</v>
      </c>
    </row>
    <row r="78" spans="1:12">
      <c r="A78" s="10" t="s">
        <v>510</v>
      </c>
      <c r="B78" s="10" t="s">
        <v>511</v>
      </c>
      <c r="C78" s="14">
        <f>_xll.BDH("RCOM IN Equity","ARDR_DVD_PER_SH","FY 2009","FY 2009","Currency=INR","Period=FY","BEST_FPERIOD_OVERRIDE=FY","FILING_STATUS=MR","EQY_CONSOLIDATED=Y","Sort=A","Dates=H","DateFormat=P","Fill=—","Direction=H","UseDPDF=Y")</f>
        <v>0.8</v>
      </c>
      <c r="D78" s="14">
        <f>_xll.BDH("RCOM IN Equity","ARDR_DVD_PER_SH","FY 2010","FY 2010","Currency=INR","Period=FY","BEST_FPERIOD_OVERRIDE=FY","FILING_STATUS=MR","EQY_CONSOLIDATED=Y","Sort=A","Dates=H","DateFormat=P","Fill=—","Direction=H","UseDPDF=Y")</f>
        <v>0.85</v>
      </c>
      <c r="E78" s="14">
        <f>_xll.BDH("RCOM IN Equity","ARDR_DVD_PER_SH","FY 2011","FY 2011","Currency=INR","Period=FY","BEST_FPERIOD_OVERRIDE=FY","FILING_STATUS=MR","EQY_CONSOLIDATED=Y","Sort=A","Dates=H","DateFormat=P","Fill=—","Direction=H","UseDPDF=Y")</f>
        <v>0.5</v>
      </c>
      <c r="F78" s="14">
        <f>_xll.BDH("RCOM IN Equity","ARDR_DVD_PER_SH","FY 2012","FY 2012","Currency=INR","Period=FY","BEST_FPERIOD_OVERRIDE=FY","FILING_STATUS=MR","EQY_CONSOLIDATED=Y","Sort=A","Dates=H","DateFormat=P","Fill=—","Direction=H","UseDPDF=Y")</f>
        <v>0.25</v>
      </c>
      <c r="G78" s="14">
        <f>_xll.BDH("RCOM IN Equity","ARDR_DVD_PER_SH","FY 2013","FY 2013","Currency=INR","Period=FY","BEST_FPERIOD_OVERRIDE=FY","FILING_STATUS=MR","EQY_CONSOLIDATED=Y","Sort=A","Dates=H","DateFormat=P","Fill=—","Direction=H","UseDPDF=Y")</f>
        <v>0.25</v>
      </c>
      <c r="H78" s="14" t="str">
        <f>_xll.BDH("RCOM IN Equity","ARDR_DVD_PER_SH","FY 2014","FY 2014","Currency=INR","Period=FY","BEST_FPERIOD_OVERRIDE=FY","FILING_STATUS=MR","EQY_CONSOLIDATED=Y","Sort=A","Dates=H","DateFormat=P","Fill=—","Direction=H","UseDPDF=Y")</f>
        <v>—</v>
      </c>
      <c r="I78" s="14" t="str">
        <f>_xll.BDH("RCOM IN Equity","ARDR_DVD_PER_SH","FY 2015","FY 2015","Currency=INR","Period=FY","BEST_FPERIOD_OVERRIDE=FY","FILING_STATUS=MR","EQY_CONSOLIDATED=Y","Sort=A","Dates=H","DateFormat=P","Fill=—","Direction=H","UseDPDF=Y")</f>
        <v>—</v>
      </c>
      <c r="J78" s="14">
        <f>_xll.BDH("RCOM IN Equity","ARDR_DVD_PER_SH","FY 2016","FY 2016","Currency=INR","Period=FY","BEST_FPERIOD_OVERRIDE=FY","FILING_STATUS=MR","EQY_CONSOLIDATED=Y","Sort=A","Dates=H","DateFormat=P","Fill=—","Direction=H","UseDPDF=Y")</f>
        <v>0</v>
      </c>
      <c r="K78" s="14" t="str">
        <f>_xll.BDH("RCOM IN Equity","ARDR_DVD_PER_SH","FY 2017","FY 2017","Currency=INR","Period=FY","BEST_FPERIOD_OVERRIDE=FY","FILING_STATUS=MR","EQY_CONSOLIDATED=Y","Sort=A","Dates=H","DateFormat=P","Fill=—","Direction=H","UseDPDF=Y")</f>
        <v>—</v>
      </c>
      <c r="L78" s="14" t="str">
        <f>_xll.BDH("RCOM IN Equity","ARDR_DVD_PER_SH","FY 2018","FY 2018","Currency=INR","Period=FY","BEST_FPERIOD_OVERRIDE=FY","FILING_STATUS=MR","EQY_CONSOLIDATED=Y","Sort=A","Dates=H","DateFormat=P","Fill=—","Direction=H","UseDPDF=Y")</f>
        <v>—</v>
      </c>
    </row>
    <row r="79" spans="1:12">
      <c r="A79" s="10" t="s">
        <v>449</v>
      </c>
      <c r="B79" s="10" t="s">
        <v>512</v>
      </c>
      <c r="C79" s="14" t="str">
        <f>_xll.BDH("RCOM IN Equity","ARDR_BASIC_EPS_BEF_XO_ITEMS","FY 2009","FY 2009","Currency=INR","Period=FY","BEST_FPERIOD_OVERRIDE=FY","FILING_STATUS=MR","EQY_CONSOLIDATED=Y","Sort=A","Dates=H","DateFormat=P","Fill=—","Direction=H","UseDPDF=Y")</f>
        <v>—</v>
      </c>
      <c r="D79" s="14" t="str">
        <f>_xll.BDH("RCOM IN Equity","ARDR_BASIC_EPS_BEF_XO_ITEMS","FY 2010","FY 2010","Currency=INR","Period=FY","BEST_FPERIOD_OVERRIDE=FY","FILING_STATUS=MR","EQY_CONSOLIDATED=Y","Sort=A","Dates=H","DateFormat=P","Fill=—","Direction=H","UseDPDF=Y")</f>
        <v>—</v>
      </c>
      <c r="E79" s="14" t="str">
        <f>_xll.BDH("RCOM IN Equity","ARDR_BASIC_EPS_BEF_XO_ITEMS","FY 2011","FY 2011","Currency=INR","Period=FY","BEST_FPERIOD_OVERRIDE=FY","FILING_STATUS=MR","EQY_CONSOLIDATED=Y","Sort=A","Dates=H","DateFormat=P","Fill=—","Direction=H","UseDPDF=Y")</f>
        <v>—</v>
      </c>
      <c r="F79" s="14">
        <f>_xll.BDH("RCOM IN Equity","ARDR_BASIC_EPS_BEF_XO_ITEMS","FY 2012","FY 2012","Currency=INR","Period=FY","BEST_FPERIOD_OVERRIDE=FY","FILING_STATUS=MR","EQY_CONSOLIDATED=Y","Sort=A","Dates=H","DateFormat=P","Fill=—","Direction=H","UseDPDF=Y")</f>
        <v>4.5</v>
      </c>
      <c r="G79" s="14">
        <f>_xll.BDH("RCOM IN Equity","ARDR_BASIC_EPS_BEF_XO_ITEMS","FY 2013","FY 2013","Currency=INR","Period=FY","BEST_FPERIOD_OVERRIDE=FY","FILING_STATUS=MR","EQY_CONSOLIDATED=Y","Sort=A","Dates=H","DateFormat=P","Fill=—","Direction=H","UseDPDF=Y")</f>
        <v>3.26</v>
      </c>
      <c r="H79" s="14" t="str">
        <f>_xll.BDH("RCOM IN Equity","ARDR_BASIC_EPS_BEF_XO_ITEMS","FY 2014","FY 2014","Currency=INR","Period=FY","BEST_FPERIOD_OVERRIDE=FY","FILING_STATUS=MR","EQY_CONSOLIDATED=Y","Sort=A","Dates=H","DateFormat=P","Fill=—","Direction=H","UseDPDF=Y")</f>
        <v>—</v>
      </c>
      <c r="I79" s="14" t="str">
        <f>_xll.BDH("RCOM IN Equity","ARDR_BASIC_EPS_BEF_XO_ITEMS","FY 2015","FY 2015","Currency=INR","Period=FY","BEST_FPERIOD_OVERRIDE=FY","FILING_STATUS=MR","EQY_CONSOLIDATED=Y","Sort=A","Dates=H","DateFormat=P","Fill=—","Direction=H","UseDPDF=Y")</f>
        <v>—</v>
      </c>
      <c r="J79" s="14" t="str">
        <f>_xll.BDH("RCOM IN Equity","ARDR_BASIC_EPS_BEF_XO_ITEMS","FY 2016","FY 2016","Currency=INR","Period=FY","BEST_FPERIOD_OVERRIDE=FY","FILING_STATUS=MR","EQY_CONSOLIDATED=Y","Sort=A","Dates=H","DateFormat=P","Fill=—","Direction=H","UseDPDF=Y")</f>
        <v>—</v>
      </c>
      <c r="K79" s="14" t="str">
        <f>_xll.BDH("RCOM IN Equity","ARDR_BASIC_EPS_BEF_XO_ITEMS","FY 2017","FY 2017","Currency=INR","Period=FY","BEST_FPERIOD_OVERRIDE=FY","FILING_STATUS=MR","EQY_CONSOLIDATED=Y","Sort=A","Dates=H","DateFormat=P","Fill=—","Direction=H","UseDPDF=Y")</f>
        <v>—</v>
      </c>
      <c r="L79" s="14" t="str">
        <f>_xll.BDH("RCOM IN Equity","ARDR_BASIC_EPS_BEF_XO_ITEMS","FY 2018","FY 2018","Currency=INR","Period=FY","BEST_FPERIOD_OVERRIDE=FY","FILING_STATUS=MR","EQY_CONSOLIDATED=Y","Sort=A","Dates=H","DateFormat=P","Fill=—","Direction=H","UseDPDF=Y")</f>
        <v>—</v>
      </c>
    </row>
    <row r="80" spans="1:12">
      <c r="A80" s="10" t="s">
        <v>451</v>
      </c>
      <c r="B80" s="10" t="s">
        <v>513</v>
      </c>
      <c r="C80" s="14" t="str">
        <f>_xll.BDH("RCOM IN Equity","ARDR_BASIC_EPS","FY 2009","FY 2009","Currency=INR","Period=FY","BEST_FPERIOD_OVERRIDE=FY","FILING_STATUS=MR","EQY_CONSOLIDATED=Y","Sort=A","Dates=H","DateFormat=P","Fill=—","Direction=H","UseDPDF=Y")</f>
        <v>—</v>
      </c>
      <c r="D80" s="14" t="str">
        <f>_xll.BDH("RCOM IN Equity","ARDR_BASIC_EPS","FY 2010","FY 2010","Currency=INR","Period=FY","BEST_FPERIOD_OVERRIDE=FY","FILING_STATUS=MR","EQY_CONSOLIDATED=Y","Sort=A","Dates=H","DateFormat=P","Fill=—","Direction=H","UseDPDF=Y")</f>
        <v>—</v>
      </c>
      <c r="E80" s="14" t="str">
        <f>_xll.BDH("RCOM IN Equity","ARDR_BASIC_EPS","FY 2011","FY 2011","Currency=INR","Period=FY","BEST_FPERIOD_OVERRIDE=FY","FILING_STATUS=MR","EQY_CONSOLIDATED=Y","Sort=A","Dates=H","DateFormat=P","Fill=—","Direction=H","UseDPDF=Y")</f>
        <v>—</v>
      </c>
      <c r="F80" s="14">
        <f>_xll.BDH("RCOM IN Equity","ARDR_BASIC_EPS","FY 2012","FY 2012","Currency=INR","Period=FY","BEST_FPERIOD_OVERRIDE=FY","FILING_STATUS=MR","EQY_CONSOLIDATED=Y","Sort=A","Dates=H","DateFormat=P","Fill=—","Direction=H","UseDPDF=Y")</f>
        <v>4.5</v>
      </c>
      <c r="G80" s="14">
        <f>_xll.BDH("RCOM IN Equity","ARDR_BASIC_EPS","FY 2013","FY 2013","Currency=INR","Period=FY","BEST_FPERIOD_OVERRIDE=FY","FILING_STATUS=MR","EQY_CONSOLIDATED=Y","Sort=A","Dates=H","DateFormat=P","Fill=—","Direction=H","UseDPDF=Y")</f>
        <v>3.26</v>
      </c>
      <c r="H80" s="14">
        <f>_xll.BDH("RCOM IN Equity","ARDR_BASIC_EPS","FY 2014","FY 2014","Currency=INR","Period=FY","BEST_FPERIOD_OVERRIDE=FY","FILING_STATUS=MR","EQY_CONSOLIDATED=Y","Sort=A","Dates=H","DateFormat=P","Fill=—","Direction=H","UseDPDF=Y")</f>
        <v>5.07</v>
      </c>
      <c r="I80" s="14">
        <f>_xll.BDH("RCOM IN Equity","ARDR_BASIC_EPS","FY 2015","FY 2015","Currency=INR","Period=FY","BEST_FPERIOD_OVERRIDE=FY","FILING_STATUS=MR","EQY_CONSOLIDATED=Y","Sort=A","Dates=H","DateFormat=P","Fill=—","Direction=H","UseDPDF=Y")</f>
        <v>3.05</v>
      </c>
      <c r="J80" s="14">
        <f>_xll.BDH("RCOM IN Equity","ARDR_BASIC_EPS","FY 2016","FY 2016","Currency=INR","Period=FY","BEST_FPERIOD_OVERRIDE=FY","FILING_STATUS=MR","EQY_CONSOLIDATED=Y","Sort=A","Dates=H","DateFormat=P","Fill=—","Direction=H","UseDPDF=Y")</f>
        <v>2.59</v>
      </c>
      <c r="K80" s="14" t="str">
        <f>_xll.BDH("RCOM IN Equity","ARDR_BASIC_EPS","FY 2017","FY 2017","Currency=INR","Period=FY","BEST_FPERIOD_OVERRIDE=FY","FILING_STATUS=MR","EQY_CONSOLIDATED=Y","Sort=A","Dates=H","DateFormat=P","Fill=—","Direction=H","UseDPDF=Y")</f>
        <v>—</v>
      </c>
      <c r="L80" s="14" t="str">
        <f>_xll.BDH("RCOM IN Equity","ARDR_BASIC_EPS","FY 2018","FY 2018","Currency=INR","Period=FY","BEST_FPERIOD_OVERRIDE=FY","FILING_STATUS=MR","EQY_CONSOLIDATED=Y","Sort=A","Dates=H","DateFormat=P","Fill=—","Direction=H","UseDPDF=Y")</f>
        <v>—</v>
      </c>
    </row>
    <row r="81" spans="1:12">
      <c r="A81" s="10" t="s">
        <v>514</v>
      </c>
      <c r="B81" s="10" t="s">
        <v>515</v>
      </c>
      <c r="C81" s="13">
        <f>_xll.BDH("RCOM IN Equity","ARDR_WEIGHTED_AVG_SHARES_BASIC","FY 2009","FY 2009","Currency=INR","Period=FY","BEST_FPERIOD_OVERRIDE=FY","FILING_STATUS=MR","EQY_CONSOLIDATED=Y","Sort=A","Dates=H","DateFormat=P","Fill=—","Direction=H","UseDPDF=Y")</f>
        <v>2064.0268999999998</v>
      </c>
      <c r="D81" s="13">
        <f>_xll.BDH("RCOM IN Equity","ARDR_WEIGHTED_AVG_SHARES_BASIC","FY 2010","FY 2010","Currency=INR","Period=FY","BEST_FPERIOD_OVERRIDE=FY","FILING_STATUS=MR","EQY_CONSOLIDATED=Y","Sort=A","Dates=H","DateFormat=P","Fill=—","Direction=H","UseDPDF=Y")</f>
        <v>2064.0268999999998</v>
      </c>
      <c r="E81" s="13">
        <f>_xll.BDH("RCOM IN Equity","ARDR_WEIGHTED_AVG_SHARES_BASIC","FY 2011","FY 2011","Currency=INR","Period=FY","BEST_FPERIOD_OVERRIDE=FY","FILING_STATUS=MR","EQY_CONSOLIDATED=Y","Sort=A","Dates=H","DateFormat=P","Fill=—","Direction=H","UseDPDF=Y")</f>
        <v>2064.0268999999998</v>
      </c>
      <c r="F81" s="13">
        <f>_xll.BDH("RCOM IN Equity","ARDR_WEIGHTED_AVG_SHARES_BASIC","FY 2012","FY 2012","Currency=INR","Period=FY","BEST_FPERIOD_OVERRIDE=FY","FILING_STATUS=MR","EQY_CONSOLIDATED=Y","Sort=A","Dates=H","DateFormat=P","Fill=—","Direction=H","UseDPDF=Y")</f>
        <v>2064.0268999999998</v>
      </c>
      <c r="G81" s="13">
        <f>_xll.BDH("RCOM IN Equity","ARDR_WEIGHTED_AVG_SHARES_BASIC","FY 2013","FY 2013","Currency=INR","Period=FY","BEST_FPERIOD_OVERRIDE=FY","FILING_STATUS=MR","EQY_CONSOLIDATED=Y","Sort=A","Dates=H","DateFormat=P","Fill=—","Direction=H","UseDPDF=Y")</f>
        <v>2064.0268999999998</v>
      </c>
      <c r="H81" s="13">
        <f>_xll.BDH("RCOM IN Equity","ARDR_WEIGHTED_AVG_SHARES_BASIC","FY 2014","FY 2014","Currency=INR","Period=FY","BEST_FPERIOD_OVERRIDE=FY","FILING_STATUS=MR","EQY_CONSOLIDATED=Y","Sort=A","Dates=H","DateFormat=P","Fill=—","Direction=H","UseDPDF=Y")</f>
        <v>2064.0268999999998</v>
      </c>
      <c r="I81" s="13">
        <f>_xll.BDH("RCOM IN Equity","ARDR_WEIGHTED_AVG_SHARES_BASIC","FY 2015","FY 2015","Currency=INR","Period=FY","BEST_FPERIOD_OVERRIDE=FY","FILING_STATUS=MR","EQY_CONSOLIDATED=Y","Sort=A","Dates=H","DateFormat=P","Fill=—","Direction=H","UseDPDF=Y")</f>
        <v>2333.9049</v>
      </c>
      <c r="J81" s="13">
        <f>_xll.BDH("RCOM IN Equity","ARDR_WEIGHTED_AVG_SHARES_BASIC","FY 2016","FY 2016","Currency=INR","Period=FY","BEST_FPERIOD_OVERRIDE=FY","FILING_STATUS=MR","EQY_CONSOLIDATED=Y","Sort=A","Dates=H","DateFormat=P","Fill=—","Direction=H","UseDPDF=Y")</f>
        <v>2467.7006999999999</v>
      </c>
      <c r="K81" s="13">
        <f>_xll.BDH("RCOM IN Equity","ARDR_WEIGHTED_AVG_SHARES_BASIC","FY 2017","FY 2017","Currency=INR","Period=FY","BEST_FPERIOD_OVERRIDE=FY","FILING_STATUS=MR","EQY_CONSOLIDATED=Y","Sort=A","Dates=H","DateFormat=P","Fill=—","Direction=H","UseDPDF=Y")</f>
        <v>2467.7006999999999</v>
      </c>
      <c r="L81" s="13">
        <f>_xll.BDH("RCOM IN Equity","ARDR_WEIGHTED_AVG_SHARES_BASIC","FY 2018","FY 2018","Currency=INR","Period=FY","BEST_FPERIOD_OVERRIDE=FY","FILING_STATUS=MR","EQY_CONSOLIDATED=Y","Sort=A","Dates=H","DateFormat=P","Fill=—","Direction=H","UseDPDF=Y")</f>
        <v>2582.8681000000001</v>
      </c>
    </row>
    <row r="82" spans="1:12">
      <c r="A82" s="10" t="s">
        <v>453</v>
      </c>
      <c r="B82" s="10" t="s">
        <v>516</v>
      </c>
      <c r="C82" s="14" t="str">
        <f>_xll.BDH("RCOM IN Equity","ARDR_DILUTED_EPS_BEF_XO_ITEMS","FY 2009","FY 2009","Currency=INR","Period=FY","BEST_FPERIOD_OVERRIDE=FY","FILING_STATUS=MR","EQY_CONSOLIDATED=Y","Sort=A","Dates=H","DateFormat=P","Fill=—","Direction=H","UseDPDF=Y")</f>
        <v>—</v>
      </c>
      <c r="D82" s="14" t="str">
        <f>_xll.BDH("RCOM IN Equity","ARDR_DILUTED_EPS_BEF_XO_ITEMS","FY 2010","FY 2010","Currency=INR","Period=FY","BEST_FPERIOD_OVERRIDE=FY","FILING_STATUS=MR","EQY_CONSOLIDATED=Y","Sort=A","Dates=H","DateFormat=P","Fill=—","Direction=H","UseDPDF=Y")</f>
        <v>—</v>
      </c>
      <c r="E82" s="14" t="str">
        <f>_xll.BDH("RCOM IN Equity","ARDR_DILUTED_EPS_BEF_XO_ITEMS","FY 2011","FY 2011","Currency=INR","Period=FY","BEST_FPERIOD_OVERRIDE=FY","FILING_STATUS=MR","EQY_CONSOLIDATED=Y","Sort=A","Dates=H","DateFormat=P","Fill=—","Direction=H","UseDPDF=Y")</f>
        <v>—</v>
      </c>
      <c r="F82" s="14">
        <f>_xll.BDH("RCOM IN Equity","ARDR_DILUTED_EPS_BEF_XO_ITEMS","FY 2012","FY 2012","Currency=INR","Period=FY","BEST_FPERIOD_OVERRIDE=FY","FILING_STATUS=MR","EQY_CONSOLIDATED=Y","Sort=A","Dates=H","DateFormat=P","Fill=—","Direction=H","UseDPDF=Y")</f>
        <v>4.41</v>
      </c>
      <c r="G82" s="14" t="str">
        <f>_xll.BDH("RCOM IN Equity","ARDR_DILUTED_EPS_BEF_XO_ITEMS","FY 2013","FY 2013","Currency=INR","Period=FY","BEST_FPERIOD_OVERRIDE=FY","FILING_STATUS=MR","EQY_CONSOLIDATED=Y","Sort=A","Dates=H","DateFormat=P","Fill=—","Direction=H","UseDPDF=Y")</f>
        <v>—</v>
      </c>
      <c r="H82" s="14" t="str">
        <f>_xll.BDH("RCOM IN Equity","ARDR_DILUTED_EPS_BEF_XO_ITEMS","FY 2014","FY 2014","Currency=INR","Period=FY","BEST_FPERIOD_OVERRIDE=FY","FILING_STATUS=MR","EQY_CONSOLIDATED=Y","Sort=A","Dates=H","DateFormat=P","Fill=—","Direction=H","UseDPDF=Y")</f>
        <v>—</v>
      </c>
      <c r="I82" s="14" t="str">
        <f>_xll.BDH("RCOM IN Equity","ARDR_DILUTED_EPS_BEF_XO_ITEMS","FY 2015","FY 2015","Currency=INR","Period=FY","BEST_FPERIOD_OVERRIDE=FY","FILING_STATUS=MR","EQY_CONSOLIDATED=Y","Sort=A","Dates=H","DateFormat=P","Fill=—","Direction=H","UseDPDF=Y")</f>
        <v>—</v>
      </c>
      <c r="J82" s="14" t="str">
        <f>_xll.BDH("RCOM IN Equity","ARDR_DILUTED_EPS_BEF_XO_ITEMS","FY 2016","FY 2016","Currency=INR","Period=FY","BEST_FPERIOD_OVERRIDE=FY","FILING_STATUS=MR","EQY_CONSOLIDATED=Y","Sort=A","Dates=H","DateFormat=P","Fill=—","Direction=H","UseDPDF=Y")</f>
        <v>—</v>
      </c>
      <c r="K82" s="14" t="str">
        <f>_xll.BDH("RCOM IN Equity","ARDR_DILUTED_EPS_BEF_XO_ITEMS","FY 2017","FY 2017","Currency=INR","Period=FY","BEST_FPERIOD_OVERRIDE=FY","FILING_STATUS=MR","EQY_CONSOLIDATED=Y","Sort=A","Dates=H","DateFormat=P","Fill=—","Direction=H","UseDPDF=Y")</f>
        <v>—</v>
      </c>
      <c r="L82" s="14" t="str">
        <f>_xll.BDH("RCOM IN Equity","ARDR_DILUTED_EPS_BEF_XO_ITEMS","FY 2018","FY 2018","Currency=INR","Period=FY","BEST_FPERIOD_OVERRIDE=FY","FILING_STATUS=MR","EQY_CONSOLIDATED=Y","Sort=A","Dates=H","DateFormat=P","Fill=—","Direction=H","UseDPDF=Y")</f>
        <v>—</v>
      </c>
    </row>
    <row r="83" spans="1:12">
      <c r="A83" s="10" t="s">
        <v>455</v>
      </c>
      <c r="B83" s="10" t="s">
        <v>517</v>
      </c>
      <c r="C83" s="14" t="str">
        <f>_xll.BDH("RCOM IN Equity","ARDR_DILUTED_EPS","FY 2009","FY 2009","Currency=INR","Period=FY","BEST_FPERIOD_OVERRIDE=FY","FILING_STATUS=MR","EQY_CONSOLIDATED=Y","Sort=A","Dates=H","DateFormat=P","Fill=—","Direction=H","UseDPDF=Y")</f>
        <v>—</v>
      </c>
      <c r="D83" s="14" t="str">
        <f>_xll.BDH("RCOM IN Equity","ARDR_DILUTED_EPS","FY 2010","FY 2010","Currency=INR","Period=FY","BEST_FPERIOD_OVERRIDE=FY","FILING_STATUS=MR","EQY_CONSOLIDATED=Y","Sort=A","Dates=H","DateFormat=P","Fill=—","Direction=H","UseDPDF=Y")</f>
        <v>—</v>
      </c>
      <c r="E83" s="14" t="str">
        <f>_xll.BDH("RCOM IN Equity","ARDR_DILUTED_EPS","FY 2011","FY 2011","Currency=INR","Period=FY","BEST_FPERIOD_OVERRIDE=FY","FILING_STATUS=MR","EQY_CONSOLIDATED=Y","Sort=A","Dates=H","DateFormat=P","Fill=—","Direction=H","UseDPDF=Y")</f>
        <v>—</v>
      </c>
      <c r="F83" s="14">
        <f>_xll.BDH("RCOM IN Equity","ARDR_DILUTED_EPS","FY 2012","FY 2012","Currency=INR","Period=FY","BEST_FPERIOD_OVERRIDE=FY","FILING_STATUS=MR","EQY_CONSOLIDATED=Y","Sort=A","Dates=H","DateFormat=P","Fill=—","Direction=H","UseDPDF=Y")</f>
        <v>4.41</v>
      </c>
      <c r="G83" s="14">
        <f>_xll.BDH("RCOM IN Equity","ARDR_DILUTED_EPS","FY 2013","FY 2013","Currency=INR","Period=FY","BEST_FPERIOD_OVERRIDE=FY","FILING_STATUS=MR","EQY_CONSOLIDATED=Y","Sort=A","Dates=H","DateFormat=P","Fill=—","Direction=H","UseDPDF=Y")</f>
        <v>3.26</v>
      </c>
      <c r="H83" s="14">
        <f>_xll.BDH("RCOM IN Equity","ARDR_DILUTED_EPS","FY 2014","FY 2014","Currency=INR","Period=FY","BEST_FPERIOD_OVERRIDE=FY","FILING_STATUS=MR","EQY_CONSOLIDATED=Y","Sort=A","Dates=H","DateFormat=P","Fill=—","Direction=H","UseDPDF=Y")</f>
        <v>5.07</v>
      </c>
      <c r="I83" s="14">
        <f>_xll.BDH("RCOM IN Equity","ARDR_DILUTED_EPS","FY 2015","FY 2015","Currency=INR","Period=FY","BEST_FPERIOD_OVERRIDE=FY","FILING_STATUS=MR","EQY_CONSOLIDATED=Y","Sort=A","Dates=H","DateFormat=P","Fill=—","Direction=H","UseDPDF=Y")</f>
        <v>3.05</v>
      </c>
      <c r="J83" s="14">
        <f>_xll.BDH("RCOM IN Equity","ARDR_DILUTED_EPS","FY 2016","FY 2016","Currency=INR","Period=FY","BEST_FPERIOD_OVERRIDE=FY","FILING_STATUS=MR","EQY_CONSOLIDATED=Y","Sort=A","Dates=H","DateFormat=P","Fill=—","Direction=H","UseDPDF=Y")</f>
        <v>2.59</v>
      </c>
      <c r="K83" s="14" t="str">
        <f>_xll.BDH("RCOM IN Equity","ARDR_DILUTED_EPS","FY 2017","FY 2017","Currency=INR","Period=FY","BEST_FPERIOD_OVERRIDE=FY","FILING_STATUS=MR","EQY_CONSOLIDATED=Y","Sort=A","Dates=H","DateFormat=P","Fill=—","Direction=H","UseDPDF=Y")</f>
        <v>—</v>
      </c>
      <c r="L83" s="14" t="str">
        <f>_xll.BDH("RCOM IN Equity","ARDR_DILUTED_EPS","FY 2018","FY 2018","Currency=INR","Period=FY","BEST_FPERIOD_OVERRIDE=FY","FILING_STATUS=MR","EQY_CONSOLIDATED=Y","Sort=A","Dates=H","DateFormat=P","Fill=—","Direction=H","UseDPDF=Y")</f>
        <v>—</v>
      </c>
    </row>
    <row r="84" spans="1:12">
      <c r="A84" s="10" t="s">
        <v>518</v>
      </c>
      <c r="B84" s="10" t="s">
        <v>519</v>
      </c>
      <c r="C84" s="13">
        <f>_xll.BDH("RCOM IN Equity","ARDR_WEIGHTED_AVG_SHARE_DILUTED","FY 2009","FY 2009","Currency=INR","Period=FY","BEST_FPERIOD_OVERRIDE=FY","FILING_STATUS=MR","EQY_CONSOLIDATED=Y","Sort=A","Dates=H","DateFormat=P","Fill=—","Direction=H","UseDPDF=Y")</f>
        <v>2155.1471000000001</v>
      </c>
      <c r="D84" s="13">
        <f>_xll.BDH("RCOM IN Equity","ARDR_WEIGHTED_AVG_SHARE_DILUTED","FY 2010","FY 2010","Currency=INR","Period=FY","BEST_FPERIOD_OVERRIDE=FY","FILING_STATUS=MR","EQY_CONSOLIDATED=Y","Sort=A","Dates=H","DateFormat=P","Fill=—","Direction=H","UseDPDF=Y")</f>
        <v>2153.1658000000002</v>
      </c>
      <c r="E84" s="13">
        <f>_xll.BDH("RCOM IN Equity","ARDR_WEIGHTED_AVG_SHARE_DILUTED","FY 2011","FY 2011","Currency=INR","Period=FY","BEST_FPERIOD_OVERRIDE=FY","FILING_STATUS=MR","EQY_CONSOLIDATED=Y","Sort=A","Dates=H","DateFormat=P","Fill=—","Direction=H","UseDPDF=Y")</f>
        <v>2153.1658000000002</v>
      </c>
      <c r="F84" s="13">
        <f>_xll.BDH("RCOM IN Equity","ARDR_WEIGHTED_AVG_SHARE_DILUTED","FY 2012","FY 2012","Currency=INR","Period=FY","BEST_FPERIOD_OVERRIDE=FY","FILING_STATUS=MR","EQY_CONSOLIDATED=Y","Sort=A","Dates=H","DateFormat=P","Fill=—","Direction=H","UseDPDF=Y")</f>
        <v>2104.0468999999998</v>
      </c>
      <c r="G84" s="13">
        <f>_xll.BDH("RCOM IN Equity","ARDR_WEIGHTED_AVG_SHARE_DILUTED","FY 2013","FY 2013","Currency=INR","Period=FY","BEST_FPERIOD_OVERRIDE=FY","FILING_STATUS=MR","EQY_CONSOLIDATED=Y","Sort=A","Dates=H","DateFormat=P","Fill=—","Direction=H","UseDPDF=Y")</f>
        <v>2064.0268999999998</v>
      </c>
      <c r="H84" s="13">
        <f>_xll.BDH("RCOM IN Equity","ARDR_WEIGHTED_AVG_SHARE_DILUTED","FY 2014","FY 2014","Currency=INR","Period=FY","BEST_FPERIOD_OVERRIDE=FY","FILING_STATUS=MR","EQY_CONSOLIDATED=Y","Sort=A","Dates=H","DateFormat=P","Fill=—","Direction=H","UseDPDF=Y")</f>
        <v>2064.0268999999998</v>
      </c>
      <c r="I84" s="13">
        <f>_xll.BDH("RCOM IN Equity","ARDR_WEIGHTED_AVG_SHARE_DILUTED","FY 2015","FY 2015","Currency=INR","Period=FY","BEST_FPERIOD_OVERRIDE=FY","FILING_STATUS=MR","EQY_CONSOLIDATED=Y","Sort=A","Dates=H","DateFormat=P","Fill=—","Direction=H","UseDPDF=Y")</f>
        <v>2333.9049</v>
      </c>
      <c r="J84" s="13">
        <f>_xll.BDH("RCOM IN Equity","ARDR_WEIGHTED_AVG_SHARE_DILUTED","FY 2016","FY 2016","Currency=INR","Period=FY","BEST_FPERIOD_OVERRIDE=FY","FILING_STATUS=MR","EQY_CONSOLIDATED=Y","Sort=A","Dates=H","DateFormat=P","Fill=—","Direction=H","UseDPDF=Y")</f>
        <v>2467.7006999999999</v>
      </c>
      <c r="K84" s="13">
        <f>_xll.BDH("RCOM IN Equity","ARDR_WEIGHTED_AVG_SHARE_DILUTED","FY 2017","FY 2017","Currency=INR","Period=FY","BEST_FPERIOD_OVERRIDE=FY","FILING_STATUS=MR","EQY_CONSOLIDATED=Y","Sort=A","Dates=H","DateFormat=P","Fill=—","Direction=H","UseDPDF=Y")</f>
        <v>2467.7006999999999</v>
      </c>
      <c r="L84" s="13">
        <f>_xll.BDH("RCOM IN Equity","ARDR_WEIGHTED_AVG_SHARE_DILUTED","FY 2018","FY 2018","Currency=INR","Period=FY","BEST_FPERIOD_OVERRIDE=FY","FILING_STATUS=MR","EQY_CONSOLIDATED=Y","Sort=A","Dates=H","DateFormat=P","Fill=—","Direction=H","UseDPDF=Y")</f>
        <v>2582.8681000000001</v>
      </c>
    </row>
    <row r="85" spans="1:12">
      <c r="A85" s="10" t="s">
        <v>520</v>
      </c>
      <c r="B85" s="10" t="s">
        <v>521</v>
      </c>
      <c r="C85" s="14">
        <f>_xll.BDH("RCOM IN Equity","ARDR_EXP_RET_PLAN_ASSET_HEALTH","FY 2009","FY 2009","Currency=INR","Period=FY","BEST_FPERIOD_OVERRIDE=FY","FILING_STATUS=MR","EQY_CONSOLIDATED=Y","Sort=A","Dates=H","DateFormat=P","Fill=—","Direction=H","UseDPDF=Y")</f>
        <v>7</v>
      </c>
      <c r="D85" s="14">
        <f>_xll.BDH("RCOM IN Equity","ARDR_EXP_RET_PLAN_ASSET_HEALTH","FY 2010","FY 2010","Currency=INR","Period=FY","BEST_FPERIOD_OVERRIDE=FY","FILING_STATUS=MR","EQY_CONSOLIDATED=Y","Sort=A","Dates=H","DateFormat=P","Fill=—","Direction=H","UseDPDF=Y")</f>
        <v>7.5</v>
      </c>
      <c r="E85" s="14">
        <f>_xll.BDH("RCOM IN Equity","ARDR_EXP_RET_PLAN_ASSET_HEALTH","FY 2011","FY 2011","Currency=INR","Period=FY","BEST_FPERIOD_OVERRIDE=FY","FILING_STATUS=MR","EQY_CONSOLIDATED=Y","Sort=A","Dates=H","DateFormat=P","Fill=—","Direction=H","UseDPDF=Y")</f>
        <v>8.1999999999999993</v>
      </c>
      <c r="F85" s="14">
        <f>_xll.BDH("RCOM IN Equity","ARDR_EXP_RET_PLAN_ASSET_HEALTH","FY 2012","FY 2012","Currency=INR","Period=FY","BEST_FPERIOD_OVERRIDE=FY","FILING_STATUS=MR","EQY_CONSOLIDATED=Y","Sort=A","Dates=H","DateFormat=P","Fill=—","Direction=H","UseDPDF=Y")</f>
        <v>8.5</v>
      </c>
      <c r="G85" s="14">
        <f>_xll.BDH("RCOM IN Equity","ARDR_EXP_RET_PLAN_ASSET_HEALTH","FY 2013","FY 2013","Currency=INR","Period=FY","BEST_FPERIOD_OVERRIDE=FY","FILING_STATUS=MR","EQY_CONSOLIDATED=Y","Sort=A","Dates=H","DateFormat=P","Fill=—","Direction=H","UseDPDF=Y")</f>
        <v>8.6999999999999993</v>
      </c>
      <c r="H85" s="14">
        <f>_xll.BDH("RCOM IN Equity","ARDR_EXP_RET_PLAN_ASSET_HEALTH","FY 2014","FY 2014","Currency=INR","Period=FY","BEST_FPERIOD_OVERRIDE=FY","FILING_STATUS=MR","EQY_CONSOLIDATED=Y","Sort=A","Dates=H","DateFormat=P","Fill=—","Direction=H","UseDPDF=Y")</f>
        <v>9.3000000000000007</v>
      </c>
      <c r="I85" s="14">
        <f>_xll.BDH("RCOM IN Equity","ARDR_EXP_RET_PLAN_ASSET_HEALTH","FY 2015","FY 2015","Currency=INR","Period=FY","BEST_FPERIOD_OVERRIDE=FY","FILING_STATUS=MR","EQY_CONSOLIDATED=Y","Sort=A","Dates=H","DateFormat=P","Fill=—","Direction=H","UseDPDF=Y")</f>
        <v>7.98</v>
      </c>
      <c r="J85" s="14">
        <f>_xll.BDH("RCOM IN Equity","ARDR_EXP_RET_PLAN_ASSET_HEALTH","FY 2016","FY 2016","Currency=INR","Period=FY","BEST_FPERIOD_OVERRIDE=FY","FILING_STATUS=MR","EQY_CONSOLIDATED=Y","Sort=A","Dates=H","DateFormat=P","Fill=—","Direction=H","UseDPDF=Y")</f>
        <v>7.79</v>
      </c>
      <c r="K85" s="14">
        <f>_xll.BDH("RCOM IN Equity","ARDR_EXP_RET_PLAN_ASSET_HEALTH","FY 2017","FY 2017","Currency=INR","Period=FY","BEST_FPERIOD_OVERRIDE=FY","FILING_STATUS=MR","EQY_CONSOLIDATED=Y","Sort=A","Dates=H","DateFormat=P","Fill=—","Direction=H","UseDPDF=Y")</f>
        <v>6.82</v>
      </c>
      <c r="L85" s="14">
        <f>_xll.BDH("RCOM IN Equity","ARDR_EXP_RET_PLAN_ASSET_HEALTH","FY 2018","FY 2018","Currency=INR","Period=FY","BEST_FPERIOD_OVERRIDE=FY","FILING_STATUS=MR","EQY_CONSOLIDATED=Y","Sort=A","Dates=H","DateFormat=P","Fill=—","Direction=H","UseDPDF=Y")</f>
        <v>7.65</v>
      </c>
    </row>
    <row r="86" spans="1:12">
      <c r="A86" s="10" t="s">
        <v>522</v>
      </c>
      <c r="B86" s="10" t="s">
        <v>523</v>
      </c>
      <c r="C86" s="13">
        <f>_xll.BDH("RCOM IN Equity","ARDR_STK_BASED_COMPENSATION_EXP","FY 2009","FY 2009","Currency=INR","Period=FY","BEST_FPERIOD_OVERRIDE=FY","FILING_STATUS=MR","EQY_CONSOLIDATED=Y","SCALING_FORMAT=MLN","Sort=A","Dates=H","DateFormat=P","Fill=—","Direction=H","UseDPDF=Y")</f>
        <v>74.7</v>
      </c>
      <c r="D86" s="13">
        <f>_xll.BDH("RCOM IN Equity","ARDR_STK_BASED_COMPENSATION_EXP","FY 2010","FY 2010","Currency=INR","Period=FY","BEST_FPERIOD_OVERRIDE=FY","FILING_STATUS=MR","EQY_CONSOLIDATED=Y","SCALING_FORMAT=MLN","Sort=A","Dates=H","DateFormat=P","Fill=—","Direction=H","UseDPDF=Y")</f>
        <v>-66.5</v>
      </c>
      <c r="E86" s="13">
        <f>_xll.BDH("RCOM IN Equity","ARDR_STK_BASED_COMPENSATION_EXP","FY 2011","FY 2011","Currency=INR","Period=FY","BEST_FPERIOD_OVERRIDE=FY","FILING_STATUS=MR","EQY_CONSOLIDATED=Y","SCALING_FORMAT=MLN","Sort=A","Dates=H","DateFormat=P","Fill=—","Direction=H","UseDPDF=Y")</f>
        <v>-70</v>
      </c>
      <c r="F86" s="13">
        <f>_xll.BDH("RCOM IN Equity","ARDR_STK_BASED_COMPENSATION_EXP","FY 2012","FY 2012","Currency=INR","Period=FY","BEST_FPERIOD_OVERRIDE=FY","FILING_STATUS=MR","EQY_CONSOLIDATED=Y","SCALING_FORMAT=MLN","Sort=A","Dates=H","DateFormat=P","Fill=—","Direction=H","UseDPDF=Y")</f>
        <v>-50</v>
      </c>
      <c r="G86" s="13" t="str">
        <f>_xll.BDH("RCOM IN Equity","ARDR_STK_BASED_COMPENSATION_EXP","FY 2013","FY 2013","Currency=INR","Period=FY","BEST_FPERIOD_OVERRIDE=FY","FILING_STATUS=MR","EQY_CONSOLIDATED=Y","SCALING_FORMAT=MLN","Sort=A","Dates=H","DateFormat=P","Fill=—","Direction=H","UseDPDF=Y")</f>
        <v>—</v>
      </c>
      <c r="H86" s="13">
        <f>_xll.BDH("RCOM IN Equity","ARDR_STK_BASED_COMPENSATION_EXP","FY 2014","FY 2014","Currency=INR","Period=FY","BEST_FPERIOD_OVERRIDE=FY","FILING_STATUS=MR","EQY_CONSOLIDATED=Y","SCALING_FORMAT=MLN","Sort=A","Dates=H","DateFormat=P","Fill=—","Direction=H","UseDPDF=Y")</f>
        <v>-10</v>
      </c>
      <c r="I86" s="13">
        <f>_xll.BDH("RCOM IN Equity","ARDR_STK_BASED_COMPENSATION_EXP","FY 2015","FY 2015","Currency=INR","Period=FY","BEST_FPERIOD_OVERRIDE=FY","FILING_STATUS=MR","EQY_CONSOLIDATED=Y","SCALING_FORMAT=MLN","Sort=A","Dates=H","DateFormat=P","Fill=—","Direction=H","UseDPDF=Y")</f>
        <v>-20</v>
      </c>
      <c r="J86" s="13">
        <f>_xll.BDH("RCOM IN Equity","ARDR_STK_BASED_COMPENSATION_EXP","FY 2016","FY 2016","Currency=INR","Period=FY","BEST_FPERIOD_OVERRIDE=FY","FILING_STATUS=MR","EQY_CONSOLIDATED=Y","SCALING_FORMAT=MLN","Sort=A","Dates=H","DateFormat=P","Fill=—","Direction=H","UseDPDF=Y")</f>
        <v>0</v>
      </c>
      <c r="K86" s="13">
        <f>_xll.BDH("RCOM IN Equity","ARDR_STK_BASED_COMPENSATION_EXP","FY 2017","FY 2017","Currency=INR","Period=FY","BEST_FPERIOD_OVERRIDE=FY","FILING_STATUS=MR","EQY_CONSOLIDATED=Y","SCALING_FORMAT=MLN","Sort=A","Dates=H","DateFormat=P","Fill=—","Direction=H","UseDPDF=Y")</f>
        <v>0</v>
      </c>
      <c r="L86" s="13">
        <f>_xll.BDH("RCOM IN Equity","ARDR_STK_BASED_COMPENSATION_EXP","FY 2018","FY 2018","Currency=INR","Period=FY","BEST_FPERIOD_OVERRIDE=FY","FILING_STATUS=MR","EQY_CONSOLIDATED=Y","SCALING_FORMAT=MLN","Sort=A","Dates=H","DateFormat=P","Fill=—","Direction=H","UseDPDF=Y")</f>
        <v>10</v>
      </c>
    </row>
    <row r="87" spans="1:12">
      <c r="A87" s="10" t="s">
        <v>524</v>
      </c>
      <c r="B87" s="10" t="s">
        <v>525</v>
      </c>
      <c r="C87" s="13">
        <f>_xll.BDH("RCOM IN Equity","ARDR_FAIR_VAL_POST_RETIRE_ASSETS","FY 2009","FY 2009","Currency=INR","Period=FY","BEST_FPERIOD_OVERRIDE=FY","FILING_STATUS=MR","EQY_CONSOLIDATED=Y","SCALING_FORMAT=MLN","Sort=A","Dates=H","DateFormat=P","Fill=—","Direction=H","UseDPDF=Y")</f>
        <v>254.7</v>
      </c>
      <c r="D87" s="13">
        <f>_xll.BDH("RCOM IN Equity","ARDR_FAIR_VAL_POST_RETIRE_ASSETS","FY 2010","FY 2010","Currency=INR","Period=FY","BEST_FPERIOD_OVERRIDE=FY","FILING_STATUS=MR","EQY_CONSOLIDATED=Y","SCALING_FORMAT=MLN","Sort=A","Dates=H","DateFormat=P","Fill=—","Direction=H","UseDPDF=Y")</f>
        <v>362.9</v>
      </c>
      <c r="E87" s="13">
        <f>_xll.BDH("RCOM IN Equity","ARDR_FAIR_VAL_POST_RETIRE_ASSETS","FY 2011","FY 2011","Currency=INR","Period=FY","BEST_FPERIOD_OVERRIDE=FY","FILING_STATUS=MR","EQY_CONSOLIDATED=Y","SCALING_FORMAT=MLN","Sort=A","Dates=H","DateFormat=P","Fill=—","Direction=H","UseDPDF=Y")</f>
        <v>320</v>
      </c>
      <c r="F87" s="13">
        <f>_xll.BDH("RCOM IN Equity","ARDR_FAIR_VAL_POST_RETIRE_ASSETS","FY 2012","FY 2012","Currency=INR","Period=FY","BEST_FPERIOD_OVERRIDE=FY","FILING_STATUS=MR","EQY_CONSOLIDATED=Y","SCALING_FORMAT=MLN","Sort=A","Dates=H","DateFormat=P","Fill=—","Direction=H","UseDPDF=Y")</f>
        <v>310</v>
      </c>
      <c r="G87" s="13">
        <f>_xll.BDH("RCOM IN Equity","ARDR_FAIR_VAL_POST_RETIRE_ASSETS","FY 2013","FY 2013","Currency=INR","Period=FY","BEST_FPERIOD_OVERRIDE=FY","FILING_STATUS=MR","EQY_CONSOLIDATED=Y","SCALING_FORMAT=MLN","Sort=A","Dates=H","DateFormat=P","Fill=—","Direction=H","UseDPDF=Y")</f>
        <v>290</v>
      </c>
      <c r="H87" s="13">
        <f>_xll.BDH("RCOM IN Equity","ARDR_FAIR_VAL_POST_RETIRE_ASSETS","FY 2014","FY 2014","Currency=INR","Period=FY","BEST_FPERIOD_OVERRIDE=FY","FILING_STATUS=MR","EQY_CONSOLIDATED=Y","SCALING_FORMAT=MLN","Sort=A","Dates=H","DateFormat=P","Fill=—","Direction=H","UseDPDF=Y")</f>
        <v>160</v>
      </c>
      <c r="I87" s="13">
        <f>_xll.BDH("RCOM IN Equity","ARDR_FAIR_VAL_POST_RETIRE_ASSETS","FY 2015","FY 2015","Currency=INR","Period=FY","BEST_FPERIOD_OVERRIDE=FY","FILING_STATUS=MR","EQY_CONSOLIDATED=Y","SCALING_FORMAT=MLN","Sort=A","Dates=H","DateFormat=P","Fill=—","Direction=H","UseDPDF=Y")</f>
        <v>100</v>
      </c>
      <c r="J87" s="13">
        <f>_xll.BDH("RCOM IN Equity","ARDR_FAIR_VAL_POST_RETIRE_ASSETS","FY 2016","FY 2016","Currency=INR","Period=FY","BEST_FPERIOD_OVERRIDE=FY","FILING_STATUS=MR","EQY_CONSOLIDATED=Y","SCALING_FORMAT=MLN","Sort=A","Dates=H","DateFormat=P","Fill=—","Direction=H","UseDPDF=Y")</f>
        <v>90</v>
      </c>
      <c r="K87" s="13">
        <f>_xll.BDH("RCOM IN Equity","ARDR_FAIR_VAL_POST_RETIRE_ASSETS","FY 2017","FY 2017","Currency=INR","Period=FY","BEST_FPERIOD_OVERRIDE=FY","FILING_STATUS=MR","EQY_CONSOLIDATED=Y","SCALING_FORMAT=MLN","Sort=A","Dates=H","DateFormat=P","Fill=—","Direction=H","UseDPDF=Y")</f>
        <v>100</v>
      </c>
      <c r="L87" s="13">
        <f>_xll.BDH("RCOM IN Equity","ARDR_FAIR_VAL_POST_RETIRE_ASSETS","FY 2018","FY 2018","Currency=INR","Period=FY","BEST_FPERIOD_OVERRIDE=FY","FILING_STATUS=MR","EQY_CONSOLIDATED=Y","SCALING_FORMAT=MLN","Sort=A","Dates=H","DateFormat=P","Fill=—","Direction=H","UseDPDF=Y")</f>
        <v>80</v>
      </c>
    </row>
    <row r="88" spans="1:12">
      <c r="A88" s="10" t="s">
        <v>526</v>
      </c>
      <c r="B88" s="10" t="s">
        <v>527</v>
      </c>
      <c r="C88" s="13">
        <f>_xll.BDH("RCOM IN Equity","ARDR_PROJ_POST_RETIRE_BEN_OBLIG","FY 2009","FY 2009","Currency=INR","Period=FY","BEST_FPERIOD_OVERRIDE=FY","FILING_STATUS=MR","EQY_CONSOLIDATED=Y","SCALING_FORMAT=MLN","Sort=A","Dates=H","DateFormat=P","Fill=—","Direction=H","UseDPDF=Y")</f>
        <v>357.9</v>
      </c>
      <c r="D88" s="13">
        <f>_xll.BDH("RCOM IN Equity","ARDR_PROJ_POST_RETIRE_BEN_OBLIG","FY 2010","FY 2010","Currency=INR","Period=FY","BEST_FPERIOD_OVERRIDE=FY","FILING_STATUS=MR","EQY_CONSOLIDATED=Y","SCALING_FORMAT=MLN","Sort=A","Dates=H","DateFormat=P","Fill=—","Direction=H","UseDPDF=Y")</f>
        <v>350.7</v>
      </c>
      <c r="E88" s="13">
        <f>_xll.BDH("RCOM IN Equity","ARDR_PROJ_POST_RETIRE_BEN_OBLIG","FY 2011","FY 2011","Currency=INR","Period=FY","BEST_FPERIOD_OVERRIDE=FY","FILING_STATUS=MR","EQY_CONSOLIDATED=Y","SCALING_FORMAT=MLN","Sort=A","Dates=H","DateFormat=P","Fill=—","Direction=H","UseDPDF=Y")</f>
        <v>380</v>
      </c>
      <c r="F88" s="13">
        <f>_xll.BDH("RCOM IN Equity","ARDR_PROJ_POST_RETIRE_BEN_OBLIG","FY 2012","FY 2012","Currency=INR","Period=FY","BEST_FPERIOD_OVERRIDE=FY","FILING_STATUS=MR","EQY_CONSOLIDATED=Y","SCALING_FORMAT=MLN","Sort=A","Dates=H","DateFormat=P","Fill=—","Direction=H","UseDPDF=Y")</f>
        <v>340</v>
      </c>
      <c r="G88" s="13">
        <f>_xll.BDH("RCOM IN Equity","ARDR_PROJ_POST_RETIRE_BEN_OBLIG","FY 2013","FY 2013","Currency=INR","Period=FY","BEST_FPERIOD_OVERRIDE=FY","FILING_STATUS=MR","EQY_CONSOLIDATED=Y","SCALING_FORMAT=MLN","Sort=A","Dates=H","DateFormat=P","Fill=—","Direction=H","UseDPDF=Y")</f>
        <v>390</v>
      </c>
      <c r="H88" s="13">
        <f>_xll.BDH("RCOM IN Equity","ARDR_PROJ_POST_RETIRE_BEN_OBLIG","FY 2014","FY 2014","Currency=INR","Period=FY","BEST_FPERIOD_OVERRIDE=FY","FILING_STATUS=MR","EQY_CONSOLIDATED=Y","SCALING_FORMAT=MLN","Sort=A","Dates=H","DateFormat=P","Fill=—","Direction=H","UseDPDF=Y")</f>
        <v>410</v>
      </c>
      <c r="I88" s="13">
        <f>_xll.BDH("RCOM IN Equity","ARDR_PROJ_POST_RETIRE_BEN_OBLIG","FY 2015","FY 2015","Currency=INR","Period=FY","BEST_FPERIOD_OVERRIDE=FY","FILING_STATUS=MR","EQY_CONSOLIDATED=Y","SCALING_FORMAT=MLN","Sort=A","Dates=H","DateFormat=P","Fill=—","Direction=H","UseDPDF=Y")</f>
        <v>410</v>
      </c>
      <c r="J88" s="13">
        <f>_xll.BDH("RCOM IN Equity","ARDR_PROJ_POST_RETIRE_BEN_OBLIG","FY 2016","FY 2016","Currency=INR","Period=FY","BEST_FPERIOD_OVERRIDE=FY","FILING_STATUS=MR","EQY_CONSOLIDATED=Y","SCALING_FORMAT=MLN","Sort=A","Dates=H","DateFormat=P","Fill=—","Direction=H","UseDPDF=Y")</f>
        <v>480</v>
      </c>
      <c r="K88" s="13">
        <f>_xll.BDH("RCOM IN Equity","ARDR_PROJ_POST_RETIRE_BEN_OBLIG","FY 2017","FY 2017","Currency=INR","Period=FY","BEST_FPERIOD_OVERRIDE=FY","FILING_STATUS=MR","EQY_CONSOLIDATED=Y","SCALING_FORMAT=MLN","Sort=A","Dates=H","DateFormat=P","Fill=—","Direction=H","UseDPDF=Y")</f>
        <v>570</v>
      </c>
      <c r="L88" s="13">
        <f>_xll.BDH("RCOM IN Equity","ARDR_PROJ_POST_RETIRE_BEN_OBLIG","FY 2018","FY 2018","Currency=INR","Period=FY","BEST_FPERIOD_OVERRIDE=FY","FILING_STATUS=MR","EQY_CONSOLIDATED=Y","SCALING_FORMAT=MLN","Sort=A","Dates=H","DateFormat=P","Fill=—","Direction=H","UseDPDF=Y")</f>
        <v>410</v>
      </c>
    </row>
    <row r="89" spans="1:12">
      <c r="A89" s="10" t="s">
        <v>528</v>
      </c>
      <c r="B89" s="10" t="s">
        <v>529</v>
      </c>
      <c r="C89" s="13">
        <f>_xll.BDH("RCOM IN Equity","ARDR_FOREIGN_EXCH_GL","FY 2009","FY 2009","Currency=INR","Period=FY","BEST_FPERIOD_OVERRIDE=FY","FILING_STATUS=MR","EQY_CONSOLIDATED=Y","SCALING_FORMAT=MLN","Sort=A","Dates=H","DateFormat=P","Fill=—","Direction=H","UseDPDF=Y")</f>
        <v>1236.5999999999999</v>
      </c>
      <c r="D89" s="13">
        <f>_xll.BDH("RCOM IN Equity","ARDR_FOREIGN_EXCH_GL","FY 2010","FY 2010","Currency=INR","Period=FY","BEST_FPERIOD_OVERRIDE=FY","FILING_STATUS=MR","EQY_CONSOLIDATED=Y","SCALING_FORMAT=MLN","Sort=A","Dates=H","DateFormat=P","Fill=—","Direction=H","UseDPDF=Y")</f>
        <v>-1955.4</v>
      </c>
      <c r="E89" s="13">
        <f>_xll.BDH("RCOM IN Equity","ARDR_FOREIGN_EXCH_GL","FY 2011","FY 2011","Currency=INR","Period=FY","BEST_FPERIOD_OVERRIDE=FY","FILING_STATUS=MR","EQY_CONSOLIDATED=Y","SCALING_FORMAT=MLN","Sort=A","Dates=H","DateFormat=P","Fill=—","Direction=H","UseDPDF=Y")</f>
        <v>-350</v>
      </c>
      <c r="F89" s="13">
        <f>_xll.BDH("RCOM IN Equity","ARDR_FOREIGN_EXCH_GL","FY 2012","FY 2012","Currency=INR","Period=FY","BEST_FPERIOD_OVERRIDE=FY","FILING_STATUS=MR","EQY_CONSOLIDATED=Y","SCALING_FORMAT=MLN","Sort=A","Dates=H","DateFormat=P","Fill=—","Direction=H","UseDPDF=Y")</f>
        <v>100</v>
      </c>
      <c r="G89" s="13">
        <f>_xll.BDH("RCOM IN Equity","ARDR_FOREIGN_EXCH_GL","FY 2013","FY 2013","Currency=INR","Period=FY","BEST_FPERIOD_OVERRIDE=FY","FILING_STATUS=MR","EQY_CONSOLIDATED=Y","SCALING_FORMAT=MLN","Sort=A","Dates=H","DateFormat=P","Fill=—","Direction=H","UseDPDF=Y")</f>
        <v>-10</v>
      </c>
      <c r="H89" s="13">
        <f>_xll.BDH("RCOM IN Equity","ARDR_FOREIGN_EXCH_GL","FY 2014","FY 2014","Currency=INR","Period=FY","BEST_FPERIOD_OVERRIDE=FY","FILING_STATUS=MR","EQY_CONSOLIDATED=Y","SCALING_FORMAT=MLN","Sort=A","Dates=H","DateFormat=P","Fill=—","Direction=H","UseDPDF=Y")</f>
        <v>630</v>
      </c>
      <c r="I89" s="13">
        <f>_xll.BDH("RCOM IN Equity","ARDR_FOREIGN_EXCH_GL","FY 2015","FY 2015","Currency=INR","Period=FY","BEST_FPERIOD_OVERRIDE=FY","FILING_STATUS=MR","EQY_CONSOLIDATED=Y","SCALING_FORMAT=MLN","Sort=A","Dates=H","DateFormat=P","Fill=—","Direction=H","UseDPDF=Y")</f>
        <v>160</v>
      </c>
      <c r="J89" s="13">
        <f>_xll.BDH("RCOM IN Equity","ARDR_FOREIGN_EXCH_GL","FY 2016","FY 2016","Currency=INR","Period=FY","BEST_FPERIOD_OVERRIDE=FY","FILING_STATUS=MR","EQY_CONSOLIDATED=Y","SCALING_FORMAT=MLN","Sort=A","Dates=H","DateFormat=P","Fill=—","Direction=H","UseDPDF=Y")</f>
        <v>240</v>
      </c>
      <c r="K89" s="13">
        <f>_xll.BDH("RCOM IN Equity","ARDR_FOREIGN_EXCH_GL","FY 2017","FY 2017","Currency=INR","Period=FY","BEST_FPERIOD_OVERRIDE=FY","FILING_STATUS=MR","EQY_CONSOLIDATED=Y","SCALING_FORMAT=MLN","Sort=A","Dates=H","DateFormat=P","Fill=—","Direction=H","UseDPDF=Y")</f>
        <v>-20</v>
      </c>
      <c r="L89" s="13">
        <f>_xll.BDH("RCOM IN Equity","ARDR_FOREIGN_EXCH_GL","FY 2018","FY 2018","Currency=INR","Period=FY","BEST_FPERIOD_OVERRIDE=FY","FILING_STATUS=MR","EQY_CONSOLIDATED=Y","SCALING_FORMAT=MLN","Sort=A","Dates=H","DateFormat=P","Fill=—","Direction=H","UseDPDF=Y")</f>
        <v>-20</v>
      </c>
    </row>
    <row r="90" spans="1:12">
      <c r="A90" s="10" t="s">
        <v>530</v>
      </c>
      <c r="B90" s="10" t="s">
        <v>531</v>
      </c>
      <c r="C90" s="13">
        <f>_xll.BDH("RCOM IN Equity","ARDR_DIVIDEND_INCOME","FY 2009","FY 2009","Currency=INR","Period=FY","BEST_FPERIOD_OVERRIDE=FY","FILING_STATUS=MR","EQY_CONSOLIDATED=Y","SCALING_FORMAT=MLN","Sort=A","Dates=H","DateFormat=P","Fill=—","Direction=H","UseDPDF=Y")</f>
        <v>-163</v>
      </c>
      <c r="D90" s="13">
        <f>_xll.BDH("RCOM IN Equity","ARDR_DIVIDEND_INCOME","FY 2010","FY 2010","Currency=INR","Period=FY","BEST_FPERIOD_OVERRIDE=FY","FILING_STATUS=MR","EQY_CONSOLIDATED=Y","SCALING_FORMAT=MLN","Sort=A","Dates=H","DateFormat=P","Fill=—","Direction=H","UseDPDF=Y")</f>
        <v>-0.6</v>
      </c>
      <c r="E90" s="13">
        <f>_xll.BDH("RCOM IN Equity","ARDR_DIVIDEND_INCOME","FY 2011","FY 2011","Currency=INR","Period=FY","BEST_FPERIOD_OVERRIDE=FY","FILING_STATUS=MR","EQY_CONSOLIDATED=Y","SCALING_FORMAT=MLN","Sort=A","Dates=H","DateFormat=P","Fill=—","Direction=H","UseDPDF=Y")</f>
        <v>0</v>
      </c>
      <c r="F90" s="13">
        <f>_xll.BDH("RCOM IN Equity","ARDR_DIVIDEND_INCOME","FY 2012","FY 2012","Currency=INR","Period=FY","BEST_FPERIOD_OVERRIDE=FY","FILING_STATUS=MR","EQY_CONSOLIDATED=Y","SCALING_FORMAT=MLN","Sort=A","Dates=H","DateFormat=P","Fill=—","Direction=H","UseDPDF=Y")</f>
        <v>0</v>
      </c>
      <c r="G90" s="13">
        <f>_xll.BDH("RCOM IN Equity","ARDR_DIVIDEND_INCOME","FY 2013","FY 2013","Currency=INR","Period=FY","BEST_FPERIOD_OVERRIDE=FY","FILING_STATUS=MR","EQY_CONSOLIDATED=Y","SCALING_FORMAT=MLN","Sort=A","Dates=H","DateFormat=P","Fill=—","Direction=H","UseDPDF=Y")</f>
        <v>0</v>
      </c>
      <c r="H90" s="13" t="str">
        <f>_xll.BDH("RCOM IN Equity","ARDR_DIVIDEND_INCOME","FY 2014","FY 2014","Currency=INR","Period=FY","BEST_FPERIOD_OVERRIDE=FY","FILING_STATUS=MR","EQY_CONSOLIDATED=Y","SCALING_FORMAT=MLN","Sort=A","Dates=H","DateFormat=P","Fill=—","Direction=H","UseDPDF=Y")</f>
        <v>—</v>
      </c>
      <c r="I90" s="13" t="str">
        <f>_xll.BDH("RCOM IN Equity","ARDR_DIVIDEND_INCOME","FY 2015","FY 2015","Currency=INR","Period=FY","BEST_FPERIOD_OVERRIDE=FY","FILING_STATUS=MR","EQY_CONSOLIDATED=Y","SCALING_FORMAT=MLN","Sort=A","Dates=H","DateFormat=P","Fill=—","Direction=H","UseDPDF=Y")</f>
        <v>—</v>
      </c>
      <c r="J90" s="13" t="str">
        <f>_xll.BDH("RCOM IN Equity","ARDR_DIVIDEND_INCOME","FY 2016","FY 2016","Currency=INR","Period=FY","BEST_FPERIOD_OVERRIDE=FY","FILING_STATUS=MR","EQY_CONSOLIDATED=Y","SCALING_FORMAT=MLN","Sort=A","Dates=H","DateFormat=P","Fill=—","Direction=H","UseDPDF=Y")</f>
        <v>—</v>
      </c>
      <c r="K90" s="13" t="str">
        <f>_xll.BDH("RCOM IN Equity","ARDR_DIVIDEND_INCOME","FY 2017","FY 2017","Currency=INR","Period=FY","BEST_FPERIOD_OVERRIDE=FY","FILING_STATUS=MR","EQY_CONSOLIDATED=Y","SCALING_FORMAT=MLN","Sort=A","Dates=H","DateFormat=P","Fill=—","Direction=H","UseDPDF=Y")</f>
        <v>—</v>
      </c>
      <c r="L90" s="13" t="str">
        <f>_xll.BDH("RCOM IN Equity","ARDR_DIVIDEND_INCOME","FY 2018","FY 2018","Currency=INR","Period=FY","BEST_FPERIOD_OVERRIDE=FY","FILING_STATUS=MR","EQY_CONSOLIDATED=Y","SCALING_FORMAT=MLN","Sort=A","Dates=H","DateFormat=P","Fill=—","Direction=H","UseDPDF=Y")</f>
        <v>—</v>
      </c>
    </row>
    <row r="91" spans="1:12">
      <c r="A91" s="10" t="s">
        <v>532</v>
      </c>
      <c r="B91" s="10" t="s">
        <v>533</v>
      </c>
      <c r="C91" s="13">
        <f>_xll.BDH("RCOM IN Equity","ARDR_INTEREST_EXP_BORROW","FY 2009","FY 2009","Currency=INR","Period=FY","BEST_FPERIOD_OVERRIDE=FY","FILING_STATUS=MR","EQY_CONSOLIDATED=Y","SCALING_FORMAT=MLN","Sort=A","Dates=H","DateFormat=P","Fill=—","Direction=H","UseDPDF=Y")</f>
        <v>12118.4</v>
      </c>
      <c r="D91" s="13">
        <f>_xll.BDH("RCOM IN Equity","ARDR_INTEREST_EXP_BORROW","FY 2010","FY 2010","Currency=INR","Period=FY","BEST_FPERIOD_OVERRIDE=FY","FILING_STATUS=MR","EQY_CONSOLIDATED=Y","SCALING_FORMAT=MLN","Sort=A","Dates=H","DateFormat=P","Fill=—","Direction=H","UseDPDF=Y")</f>
        <v>13422</v>
      </c>
      <c r="E91" s="13">
        <f>_xll.BDH("RCOM IN Equity","ARDR_INTEREST_EXP_BORROW","FY 2011","FY 2011","Currency=INR","Period=FY","BEST_FPERIOD_OVERRIDE=FY","FILING_STATUS=MR","EQY_CONSOLIDATED=Y","SCALING_FORMAT=MLN","Sort=A","Dates=H","DateFormat=P","Fill=—","Direction=H","UseDPDF=Y")</f>
        <v>9020</v>
      </c>
      <c r="F91" s="13">
        <f>_xll.BDH("RCOM IN Equity","ARDR_INTEREST_EXP_BORROW","FY 2012","FY 2012","Currency=INR","Period=FY","BEST_FPERIOD_OVERRIDE=FY","FILING_STATUS=MR","EQY_CONSOLIDATED=Y","SCALING_FORMAT=MLN","Sort=A","Dates=H","DateFormat=P","Fill=—","Direction=H","UseDPDF=Y")</f>
        <v>14770</v>
      </c>
      <c r="G91" s="13">
        <f>_xll.BDH("RCOM IN Equity","ARDR_INTEREST_EXP_BORROW","FY 2013","FY 2013","Currency=INR","Period=FY","BEST_FPERIOD_OVERRIDE=FY","FILING_STATUS=MR","EQY_CONSOLIDATED=Y","SCALING_FORMAT=MLN","Sort=A","Dates=H","DateFormat=P","Fill=—","Direction=H","UseDPDF=Y")</f>
        <v>22650</v>
      </c>
      <c r="H91" s="13">
        <f>_xll.BDH("RCOM IN Equity","ARDR_INTEREST_EXP_BORROW","FY 2014","FY 2014","Currency=INR","Period=FY","BEST_FPERIOD_OVERRIDE=FY","FILING_STATUS=MR","EQY_CONSOLIDATED=Y","SCALING_FORMAT=MLN","Sort=A","Dates=H","DateFormat=P","Fill=—","Direction=H","UseDPDF=Y")</f>
        <v>27900</v>
      </c>
      <c r="I91" s="13">
        <f>_xll.BDH("RCOM IN Equity","ARDR_INTEREST_EXP_BORROW","FY 2015","FY 2015","Currency=INR","Period=FY","BEST_FPERIOD_OVERRIDE=FY","FILING_STATUS=MR","EQY_CONSOLIDATED=Y","SCALING_FORMAT=MLN","Sort=A","Dates=H","DateFormat=P","Fill=—","Direction=H","UseDPDF=Y")</f>
        <v>24620</v>
      </c>
      <c r="J91" s="13">
        <f>_xll.BDH("RCOM IN Equity","ARDR_INTEREST_EXP_BORROW","FY 2016","FY 2016","Currency=INR","Period=FY","BEST_FPERIOD_OVERRIDE=FY","FILING_STATUS=MR","EQY_CONSOLIDATED=Y","SCALING_FORMAT=MLN","Sort=A","Dates=H","DateFormat=P","Fill=—","Direction=H","UseDPDF=Y")</f>
        <v>23160</v>
      </c>
      <c r="K91" s="13">
        <f>_xll.BDH("RCOM IN Equity","ARDR_INTEREST_EXP_BORROW","FY 2017","FY 2017","Currency=INR","Period=FY","BEST_FPERIOD_OVERRIDE=FY","FILING_STATUS=MR","EQY_CONSOLIDATED=Y","SCALING_FORMAT=MLN","Sort=A","Dates=H","DateFormat=P","Fill=—","Direction=H","UseDPDF=Y")</f>
        <v>2240</v>
      </c>
      <c r="L91" s="13">
        <f>_xll.BDH("RCOM IN Equity","ARDR_INTEREST_EXP_BORROW","FY 2018","FY 2018","Currency=INR","Period=FY","BEST_FPERIOD_OVERRIDE=FY","FILING_STATUS=MR","EQY_CONSOLIDATED=Y","SCALING_FORMAT=MLN","Sort=A","Dates=H","DateFormat=P","Fill=—","Direction=H","UseDPDF=Y")</f>
        <v>1680</v>
      </c>
    </row>
    <row r="92" spans="1:12">
      <c r="A92" s="10" t="s">
        <v>534</v>
      </c>
      <c r="B92" s="10" t="s">
        <v>535</v>
      </c>
      <c r="C92" s="13">
        <f>_xll.BDH("RCOM IN Equity","ARDR_AMORT_OF_INTANGIBLE_ASSETS","FY 2009","FY 2009","Currency=INR","Period=FY","BEST_FPERIOD_OVERRIDE=FY","FILING_STATUS=MR","EQY_CONSOLIDATED=Y","SCALING_FORMAT=MLN","Sort=A","Dates=H","DateFormat=P","Fill=—","Direction=H","UseDPDF=Y")</f>
        <v>3340</v>
      </c>
      <c r="D92" s="13">
        <f>_xll.BDH("RCOM IN Equity","ARDR_AMORT_OF_INTANGIBLE_ASSETS","FY 2010","FY 2010","Currency=INR","Period=FY","BEST_FPERIOD_OVERRIDE=FY","FILING_STATUS=MR","EQY_CONSOLIDATED=Y","SCALING_FORMAT=MLN","Sort=A","Dates=H","DateFormat=P","Fill=—","Direction=H","UseDPDF=Y")</f>
        <v>5769.6</v>
      </c>
      <c r="E92" s="13">
        <f>_xll.BDH("RCOM IN Equity","ARDR_AMORT_OF_INTANGIBLE_ASSETS","FY 2011","FY 2011","Currency=INR","Period=FY","BEST_FPERIOD_OVERRIDE=FY","FILING_STATUS=MR","EQY_CONSOLIDATED=Y","SCALING_FORMAT=MLN","Sort=A","Dates=H","DateFormat=P","Fill=—","Direction=H","UseDPDF=Y")</f>
        <v>27600</v>
      </c>
      <c r="F92" s="13">
        <f>_xll.BDH("RCOM IN Equity","ARDR_AMORT_OF_INTANGIBLE_ASSETS","FY 2012","FY 2012","Currency=INR","Period=FY","BEST_FPERIOD_OVERRIDE=FY","FILING_STATUS=MR","EQY_CONSOLIDATED=Y","SCALING_FORMAT=MLN","Sort=A","Dates=H","DateFormat=P","Fill=—","Direction=H","UseDPDF=Y")</f>
        <v>19710</v>
      </c>
      <c r="G92" s="13">
        <f>_xll.BDH("RCOM IN Equity","ARDR_AMORT_OF_INTANGIBLE_ASSETS","FY 2013","FY 2013","Currency=INR","Period=FY","BEST_FPERIOD_OVERRIDE=FY","FILING_STATUS=MR","EQY_CONSOLIDATED=Y","SCALING_FORMAT=MLN","Sort=A","Dates=H","DateFormat=P","Fill=—","Direction=H","UseDPDF=Y")</f>
        <v>19370</v>
      </c>
      <c r="H92" s="13" t="str">
        <f>_xll.BDH("RCOM IN Equity","ARDR_AMORT_OF_INTANGIBLE_ASSETS","FY 2014","FY 2014","Currency=INR","Period=FY","BEST_FPERIOD_OVERRIDE=FY","FILING_STATUS=MR","EQY_CONSOLIDATED=Y","SCALING_FORMAT=MLN","Sort=A","Dates=H","DateFormat=P","Fill=—","Direction=H","UseDPDF=Y")</f>
        <v>—</v>
      </c>
      <c r="I92" s="13" t="str">
        <f>_xll.BDH("RCOM IN Equity","ARDR_AMORT_OF_INTANGIBLE_ASSETS","FY 2015","FY 2015","Currency=INR","Period=FY","BEST_FPERIOD_OVERRIDE=FY","FILING_STATUS=MR","EQY_CONSOLIDATED=Y","SCALING_FORMAT=MLN","Sort=A","Dates=H","DateFormat=P","Fill=—","Direction=H","UseDPDF=Y")</f>
        <v>—</v>
      </c>
      <c r="J92" s="13" t="str">
        <f>_xll.BDH("RCOM IN Equity","ARDR_AMORT_OF_INTANGIBLE_ASSETS","FY 2016","FY 2016","Currency=INR","Period=FY","BEST_FPERIOD_OVERRIDE=FY","FILING_STATUS=MR","EQY_CONSOLIDATED=Y","SCALING_FORMAT=MLN","Sort=A","Dates=H","DateFormat=P","Fill=—","Direction=H","UseDPDF=Y")</f>
        <v>—</v>
      </c>
      <c r="K92" s="13" t="str">
        <f>_xll.BDH("RCOM IN Equity","ARDR_AMORT_OF_INTANGIBLE_ASSETS","FY 2017","FY 2017","Currency=INR","Period=FY","BEST_FPERIOD_OVERRIDE=FY","FILING_STATUS=MR","EQY_CONSOLIDATED=Y","SCALING_FORMAT=MLN","Sort=A","Dates=H","DateFormat=P","Fill=—","Direction=H","UseDPDF=Y")</f>
        <v>—</v>
      </c>
      <c r="L92" s="13" t="str">
        <f>_xll.BDH("RCOM IN Equity","ARDR_AMORT_OF_INTANGIBLE_ASSETS","FY 2018","FY 2018","Currency=INR","Period=FY","BEST_FPERIOD_OVERRIDE=FY","FILING_STATUS=MR","EQY_CONSOLIDATED=Y","SCALING_FORMAT=MLN","Sort=A","Dates=H","DateFormat=P","Fill=—","Direction=H","UseDPDF=Y")</f>
        <v>—</v>
      </c>
    </row>
    <row r="93" spans="1:12">
      <c r="A93" s="10" t="s">
        <v>536</v>
      </c>
      <c r="B93" s="10" t="s">
        <v>537</v>
      </c>
      <c r="C93" s="13" t="str">
        <f>_xll.BDH("RCOM IN Equity","ARDR_PURCHASED_POWER_COSTS","FY 2009","FY 2009","Currency=INR","Period=FY","BEST_FPERIOD_OVERRIDE=FY","FILING_STATUS=MR","EQY_CONSOLIDATED=Y","SCALING_FORMAT=MLN","Sort=A","Dates=H","DateFormat=P","Fill=—","Direction=H","UseDPDF=Y")</f>
        <v>—</v>
      </c>
      <c r="D93" s="13" t="str">
        <f>_xll.BDH("RCOM IN Equity","ARDR_PURCHASED_POWER_COSTS","FY 2010","FY 2010","Currency=INR","Period=FY","BEST_FPERIOD_OVERRIDE=FY","FILING_STATUS=MR","EQY_CONSOLIDATED=Y","SCALING_FORMAT=MLN","Sort=A","Dates=H","DateFormat=P","Fill=—","Direction=H","UseDPDF=Y")</f>
        <v>—</v>
      </c>
      <c r="E93" s="13" t="str">
        <f>_xll.BDH("RCOM IN Equity","ARDR_PURCHASED_POWER_COSTS","FY 2011","FY 2011","Currency=INR","Period=FY","BEST_FPERIOD_OVERRIDE=FY","FILING_STATUS=MR","EQY_CONSOLIDATED=Y","SCALING_FORMAT=MLN","Sort=A","Dates=H","DateFormat=P","Fill=—","Direction=H","UseDPDF=Y")</f>
        <v>—</v>
      </c>
      <c r="F93" s="13" t="str">
        <f>_xll.BDH("RCOM IN Equity","ARDR_PURCHASED_POWER_COSTS","FY 2012","FY 2012","Currency=INR","Period=FY","BEST_FPERIOD_OVERRIDE=FY","FILING_STATUS=MR","EQY_CONSOLIDATED=Y","SCALING_FORMAT=MLN","Sort=A","Dates=H","DateFormat=P","Fill=—","Direction=H","UseDPDF=Y")</f>
        <v>—</v>
      </c>
      <c r="G93" s="13" t="str">
        <f>_xll.BDH("RCOM IN Equity","ARDR_PURCHASED_POWER_COSTS","FY 2013","FY 2013","Currency=INR","Period=FY","BEST_FPERIOD_OVERRIDE=FY","FILING_STATUS=MR","EQY_CONSOLIDATED=Y","SCALING_FORMAT=MLN","Sort=A","Dates=H","DateFormat=P","Fill=—","Direction=H","UseDPDF=Y")</f>
        <v>—</v>
      </c>
      <c r="H93" s="13" t="str">
        <f>_xll.BDH("RCOM IN Equity","ARDR_PURCHASED_POWER_COSTS","FY 2014","FY 2014","Currency=INR","Period=FY","BEST_FPERIOD_OVERRIDE=FY","FILING_STATUS=MR","EQY_CONSOLIDATED=Y","SCALING_FORMAT=MLN","Sort=A","Dates=H","DateFormat=P","Fill=—","Direction=H","UseDPDF=Y")</f>
        <v>—</v>
      </c>
      <c r="I93" s="13" t="str">
        <f>_xll.BDH("RCOM IN Equity","ARDR_PURCHASED_POWER_COSTS","FY 2015","FY 2015","Currency=INR","Period=FY","BEST_FPERIOD_OVERRIDE=FY","FILING_STATUS=MR","EQY_CONSOLIDATED=Y","SCALING_FORMAT=MLN","Sort=A","Dates=H","DateFormat=P","Fill=—","Direction=H","UseDPDF=Y")</f>
        <v>—</v>
      </c>
      <c r="J93" s="13">
        <f>_xll.BDH("RCOM IN Equity","ARDR_PURCHASED_POWER_COSTS","FY 2016","FY 2016","Currency=INR","Period=FY","BEST_FPERIOD_OVERRIDE=FY","FILING_STATUS=MR","EQY_CONSOLIDATED=Y","SCALING_FORMAT=MLN","Sort=A","Dates=H","DateFormat=P","Fill=—","Direction=H","UseDPDF=Y")</f>
        <v>18060</v>
      </c>
      <c r="K93" s="13">
        <f>_xll.BDH("RCOM IN Equity","ARDR_PURCHASED_POWER_COSTS","FY 2017","FY 2017","Currency=INR","Period=FY","BEST_FPERIOD_OVERRIDE=FY","FILING_STATUS=MR","EQY_CONSOLIDATED=Y","SCALING_FORMAT=MLN","Sort=A","Dates=H","DateFormat=P","Fill=—","Direction=H","UseDPDF=Y")</f>
        <v>2810</v>
      </c>
      <c r="L93" s="13">
        <f>_xll.BDH("RCOM IN Equity","ARDR_PURCHASED_POWER_COSTS","FY 2018","FY 2018","Currency=INR","Period=FY","BEST_FPERIOD_OVERRIDE=FY","FILING_STATUS=MR","EQY_CONSOLIDATED=Y","SCALING_FORMAT=MLN","Sort=A","Dates=H","DateFormat=P","Fill=—","Direction=H","UseDPDF=Y")</f>
        <v>2140</v>
      </c>
    </row>
    <row r="94" spans="1:12">
      <c r="A94" s="10" t="s">
        <v>387</v>
      </c>
      <c r="B94" s="10" t="s">
        <v>538</v>
      </c>
      <c r="C94" s="13">
        <f>_xll.BDH("RCOM IN Equity","ARDR_SERVICE_REVENUE","FY 2009","FY 2009","Currency=INR","Period=FY","BEST_FPERIOD_OVERRIDE=FY","FILING_STATUS=MR","EQY_CONSOLIDATED=Y","SCALING_FORMAT=MLN","Sort=A","Dates=H","DateFormat=P","Fill=—","Direction=H","UseDPDF=Y")</f>
        <v>207429.1</v>
      </c>
      <c r="D94" s="13">
        <f>_xll.BDH("RCOM IN Equity","ARDR_SERVICE_REVENUE","FY 2010","FY 2010","Currency=INR","Period=FY","BEST_FPERIOD_OVERRIDE=FY","FILING_STATUS=MR","EQY_CONSOLIDATED=Y","SCALING_FORMAT=MLN","Sort=A","Dates=H","DateFormat=P","Fill=—","Direction=H","UseDPDF=Y")</f>
        <v>206850.5</v>
      </c>
      <c r="E94" s="13">
        <f>_xll.BDH("RCOM IN Equity","ARDR_SERVICE_REVENUE","FY 2011","FY 2011","Currency=INR","Period=FY","BEST_FPERIOD_OVERRIDE=FY","FILING_STATUS=MR","EQY_CONSOLIDATED=Y","SCALING_FORMAT=MLN","Sort=A","Dates=H","DateFormat=P","Fill=—","Direction=H","UseDPDF=Y")</f>
        <v>220890</v>
      </c>
      <c r="F94" s="13">
        <f>_xll.BDH("RCOM IN Equity","ARDR_SERVICE_REVENUE","FY 2012","FY 2012","Currency=INR","Period=FY","BEST_FPERIOD_OVERRIDE=FY","FILING_STATUS=MR","EQY_CONSOLIDATED=Y","SCALING_FORMAT=MLN","Sort=A","Dates=H","DateFormat=P","Fill=—","Direction=H","UseDPDF=Y")</f>
        <v>187160</v>
      </c>
      <c r="G94" s="13">
        <f>_xll.BDH("RCOM IN Equity","ARDR_SERVICE_REVENUE","FY 2013","FY 2013","Currency=INR","Period=FY","BEST_FPERIOD_OVERRIDE=FY","FILING_STATUS=MR","EQY_CONSOLIDATED=Y","SCALING_FORMAT=MLN","Sort=A","Dates=H","DateFormat=P","Fill=—","Direction=H","UseDPDF=Y")</f>
        <v>192940</v>
      </c>
      <c r="H94" s="13">
        <f>_xll.BDH("RCOM IN Equity","ARDR_SERVICE_REVENUE","FY 2014","FY 2014","Currency=INR","Period=FY","BEST_FPERIOD_OVERRIDE=FY","FILING_STATUS=MR","EQY_CONSOLIDATED=Y","SCALING_FORMAT=MLN","Sort=A","Dates=H","DateFormat=P","Fill=—","Direction=H","UseDPDF=Y")</f>
        <v>209400</v>
      </c>
      <c r="I94" s="13">
        <f>_xll.BDH("RCOM IN Equity","ARDR_SERVICE_REVENUE","FY 2015","FY 2015","Currency=INR","Period=FY","BEST_FPERIOD_OVERRIDE=FY","FILING_STATUS=MR","EQY_CONSOLIDATED=Y","SCALING_FORMAT=MLN","Sort=A","Dates=H","DateFormat=P","Fill=—","Direction=H","UseDPDF=Y")</f>
        <v>214230</v>
      </c>
      <c r="J94" s="13">
        <f>_xll.BDH("RCOM IN Equity","ARDR_SERVICE_REVENUE","FY 2016","FY 2016","Currency=INR","Period=FY","BEST_FPERIOD_OVERRIDE=FY","FILING_STATUS=MR","EQY_CONSOLIDATED=Y","SCALING_FORMAT=MLN","Sort=A","Dates=H","DateFormat=P","Fill=—","Direction=H","UseDPDF=Y")</f>
        <v>217430</v>
      </c>
      <c r="K94" s="13">
        <f>_xll.BDH("RCOM IN Equity","ARDR_SERVICE_REVENUE","FY 2017","FY 2017","Currency=INR","Period=FY","BEST_FPERIOD_OVERRIDE=FY","FILING_STATUS=MR","EQY_CONSOLIDATED=Y","SCALING_FORMAT=MLN","Sort=A","Dates=H","DateFormat=P","Fill=—","Direction=H","UseDPDF=Y")</f>
        <v>65540</v>
      </c>
      <c r="L94" s="13">
        <f>_xll.BDH("RCOM IN Equity","ARDR_SERVICE_REVENUE","FY 2018","FY 2018","Currency=INR","Period=FY","BEST_FPERIOD_OVERRIDE=FY","FILING_STATUS=MR","EQY_CONSOLIDATED=Y","SCALING_FORMAT=MLN","Sort=A","Dates=H","DateFormat=P","Fill=—","Direction=H","UseDPDF=Y")</f>
        <v>45930</v>
      </c>
    </row>
    <row r="95" spans="1:12">
      <c r="A95" s="10" t="s">
        <v>539</v>
      </c>
      <c r="B95" s="10" t="s">
        <v>540</v>
      </c>
      <c r="C95" s="13">
        <f>_xll.BDH("RCOM IN Equity","ARDR_PENSION_POSTRETIRE_BEN_EXP","FY 2009","FY 2009","Currency=INR","Period=FY","BEST_FPERIOD_OVERRIDE=FY","FILING_STATUS=MR","EQY_CONSOLIDATED=Y","SCALING_FORMAT=MLN","Sort=A","Dates=H","DateFormat=P","Fill=—","Direction=H","UseDPDF=Y")</f>
        <v>944.1</v>
      </c>
      <c r="D95" s="13">
        <f>_xll.BDH("RCOM IN Equity","ARDR_PENSION_POSTRETIRE_BEN_EXP","FY 2010","FY 2010","Currency=INR","Period=FY","BEST_FPERIOD_OVERRIDE=FY","FILING_STATUS=MR","EQY_CONSOLIDATED=Y","SCALING_FORMAT=MLN","Sort=A","Dates=H","DateFormat=P","Fill=—","Direction=H","UseDPDF=Y")</f>
        <v>565.6</v>
      </c>
      <c r="E95" s="13">
        <f>_xll.BDH("RCOM IN Equity","ARDR_PENSION_POSTRETIRE_BEN_EXP","FY 2011","FY 2011","Currency=INR","Period=FY","BEST_FPERIOD_OVERRIDE=FY","FILING_STATUS=MR","EQY_CONSOLIDATED=Y","SCALING_FORMAT=MLN","Sort=A","Dates=H","DateFormat=P","Fill=—","Direction=H","UseDPDF=Y")</f>
        <v>610</v>
      </c>
      <c r="F95" s="13">
        <f>_xll.BDH("RCOM IN Equity","ARDR_PENSION_POSTRETIRE_BEN_EXP","FY 2012","FY 2012","Currency=INR","Period=FY","BEST_FPERIOD_OVERRIDE=FY","FILING_STATUS=MR","EQY_CONSOLIDATED=Y","SCALING_FORMAT=MLN","Sort=A","Dates=H","DateFormat=P","Fill=—","Direction=H","UseDPDF=Y")</f>
        <v>530</v>
      </c>
      <c r="G95" s="13">
        <f>_xll.BDH("RCOM IN Equity","ARDR_PENSION_POSTRETIRE_BEN_EXP","FY 2013","FY 2013","Currency=INR","Period=FY","BEST_FPERIOD_OVERRIDE=FY","FILING_STATUS=MR","EQY_CONSOLIDATED=Y","SCALING_FORMAT=MLN","Sort=A","Dates=H","DateFormat=P","Fill=—","Direction=H","UseDPDF=Y")</f>
        <v>530</v>
      </c>
      <c r="H95" s="13">
        <f>_xll.BDH("RCOM IN Equity","ARDR_PENSION_POSTRETIRE_BEN_EXP","FY 2014","FY 2014","Currency=INR","Period=FY","BEST_FPERIOD_OVERRIDE=FY","FILING_STATUS=MR","EQY_CONSOLIDATED=Y","SCALING_FORMAT=MLN","Sort=A","Dates=H","DateFormat=P","Fill=—","Direction=H","UseDPDF=Y")</f>
        <v>560</v>
      </c>
      <c r="I95" s="13">
        <f>_xll.BDH("RCOM IN Equity","ARDR_PENSION_POSTRETIRE_BEN_EXP","FY 2015","FY 2015","Currency=INR","Period=FY","BEST_FPERIOD_OVERRIDE=FY","FILING_STATUS=MR","EQY_CONSOLIDATED=Y","SCALING_FORMAT=MLN","Sort=A","Dates=H","DateFormat=P","Fill=—","Direction=H","UseDPDF=Y")</f>
        <v>510</v>
      </c>
      <c r="J95" s="13">
        <f>_xll.BDH("RCOM IN Equity","ARDR_PENSION_POSTRETIRE_BEN_EXP","FY 2016","FY 2016","Currency=INR","Period=FY","BEST_FPERIOD_OVERRIDE=FY","FILING_STATUS=MR","EQY_CONSOLIDATED=Y","SCALING_FORMAT=MLN","Sort=A","Dates=H","DateFormat=P","Fill=—","Direction=H","UseDPDF=Y")</f>
        <v>450</v>
      </c>
      <c r="K95" s="13">
        <f>_xll.BDH("RCOM IN Equity","ARDR_PENSION_POSTRETIRE_BEN_EXP","FY 2017","FY 2017","Currency=INR","Period=FY","BEST_FPERIOD_OVERRIDE=FY","FILING_STATUS=MR","EQY_CONSOLIDATED=Y","SCALING_FORMAT=MLN","Sort=A","Dates=H","DateFormat=P","Fill=—","Direction=H","UseDPDF=Y")</f>
        <v>280</v>
      </c>
      <c r="L95" s="13">
        <f>_xll.BDH("RCOM IN Equity","ARDR_PENSION_POSTRETIRE_BEN_EXP","FY 2018","FY 2018","Currency=INR","Period=FY","BEST_FPERIOD_OVERRIDE=FY","FILING_STATUS=MR","EQY_CONSOLIDATED=Y","SCALING_FORMAT=MLN","Sort=A","Dates=H","DateFormat=P","Fill=—","Direction=H","UseDPDF=Y")</f>
        <v>130</v>
      </c>
    </row>
    <row r="96" spans="1:12">
      <c r="A96" s="10" t="s">
        <v>541</v>
      </c>
      <c r="B96" s="10" t="s">
        <v>542</v>
      </c>
      <c r="C96" s="13">
        <f>_xll.BDH("RCOM IN Equity","ARDR_GL_ON_SALE_OF_INVESTMENTS","FY 2009","FY 2009","Currency=INR","Period=FY","BEST_FPERIOD_OVERRIDE=FY","FILING_STATUS=MR","EQY_CONSOLIDATED=Y","SCALING_FORMAT=MLN","Sort=A","Dates=H","DateFormat=P","Fill=—","Direction=H","UseDPDF=Y")</f>
        <v>-3278.2</v>
      </c>
      <c r="D96" s="13">
        <f>_xll.BDH("RCOM IN Equity","ARDR_GL_ON_SALE_OF_INVESTMENTS","FY 2010","FY 2010","Currency=INR","Period=FY","BEST_FPERIOD_OVERRIDE=FY","FILING_STATUS=MR","EQY_CONSOLIDATED=Y","SCALING_FORMAT=MLN","Sort=A","Dates=H","DateFormat=P","Fill=—","Direction=H","UseDPDF=Y")</f>
        <v>-2094.9</v>
      </c>
      <c r="E96" s="13">
        <f>_xll.BDH("RCOM IN Equity","ARDR_GL_ON_SALE_OF_INVESTMENTS","FY 2011","FY 2011","Currency=INR","Period=FY","BEST_FPERIOD_OVERRIDE=FY","FILING_STATUS=MR","EQY_CONSOLIDATED=Y","SCALING_FORMAT=MLN","Sort=A","Dates=H","DateFormat=P","Fill=—","Direction=H","UseDPDF=Y")</f>
        <v>-570</v>
      </c>
      <c r="F96" s="13">
        <f>_xll.BDH("RCOM IN Equity","ARDR_GL_ON_SALE_OF_INVESTMENTS","FY 2012","FY 2012","Currency=INR","Period=FY","BEST_FPERIOD_OVERRIDE=FY","FILING_STATUS=MR","EQY_CONSOLIDATED=Y","SCALING_FORMAT=MLN","Sort=A","Dates=H","DateFormat=P","Fill=—","Direction=H","UseDPDF=Y")</f>
        <v>-230</v>
      </c>
      <c r="G96" s="13">
        <f>_xll.BDH("RCOM IN Equity","ARDR_GL_ON_SALE_OF_INVESTMENTS","FY 2013","FY 2013","Currency=INR","Period=FY","BEST_FPERIOD_OVERRIDE=FY","FILING_STATUS=MR","EQY_CONSOLIDATED=Y","SCALING_FORMAT=MLN","Sort=A","Dates=H","DateFormat=P","Fill=—","Direction=H","UseDPDF=Y")</f>
        <v>-350</v>
      </c>
      <c r="H96" s="13">
        <f>_xll.BDH("RCOM IN Equity","ARDR_GL_ON_SALE_OF_INVESTMENTS","FY 2014","FY 2014","Currency=INR","Period=FY","BEST_FPERIOD_OVERRIDE=FY","FILING_STATUS=MR","EQY_CONSOLIDATED=Y","SCALING_FORMAT=MLN","Sort=A","Dates=H","DateFormat=P","Fill=—","Direction=H","UseDPDF=Y")</f>
        <v>-90</v>
      </c>
      <c r="I96" s="13">
        <f>_xll.BDH("RCOM IN Equity","ARDR_GL_ON_SALE_OF_INVESTMENTS","FY 2015","FY 2015","Currency=INR","Period=FY","BEST_FPERIOD_OVERRIDE=FY","FILING_STATUS=MR","EQY_CONSOLIDATED=Y","SCALING_FORMAT=MLN","Sort=A","Dates=H","DateFormat=P","Fill=—","Direction=H","UseDPDF=Y")</f>
        <v>-300</v>
      </c>
      <c r="J96" s="13">
        <f>_xll.BDH("RCOM IN Equity","ARDR_GL_ON_SALE_OF_INVESTMENTS","FY 2016","FY 2016","Currency=INR","Period=FY","BEST_FPERIOD_OVERRIDE=FY","FILING_STATUS=MR","EQY_CONSOLIDATED=Y","SCALING_FORMAT=MLN","Sort=A","Dates=H","DateFormat=P","Fill=—","Direction=H","UseDPDF=Y")</f>
        <v>-30</v>
      </c>
      <c r="K96" s="13" t="str">
        <f>_xll.BDH("RCOM IN Equity","ARDR_GL_ON_SALE_OF_INVESTMENTS","FY 2017","FY 2017","Currency=INR","Period=FY","BEST_FPERIOD_OVERRIDE=FY","FILING_STATUS=MR","EQY_CONSOLIDATED=Y","SCALING_FORMAT=MLN","Sort=A","Dates=H","DateFormat=P","Fill=—","Direction=H","UseDPDF=Y")</f>
        <v>—</v>
      </c>
      <c r="L96" s="13" t="str">
        <f>_xll.BDH("RCOM IN Equity","ARDR_GL_ON_SALE_OF_INVESTMENTS","FY 2018","FY 2018","Currency=INR","Period=FY","BEST_FPERIOD_OVERRIDE=FY","FILING_STATUS=MR","EQY_CONSOLIDATED=Y","SCALING_FORMAT=MLN","Sort=A","Dates=H","DateFormat=P","Fill=—","Direction=H","UseDPDF=Y")</f>
        <v>—</v>
      </c>
    </row>
    <row r="97" spans="1:12">
      <c r="A97" s="10" t="s">
        <v>426</v>
      </c>
      <c r="B97" s="10" t="s">
        <v>543</v>
      </c>
      <c r="C97" s="13" t="str">
        <f>_xll.BDH("RCOM IN Equity","ARDR_OTH_NON_OPER_INC_EXP_NET","FY 2009","FY 2009","Currency=INR","Period=FY","BEST_FPERIOD_OVERRIDE=FY","FILING_STATUS=MR","EQY_CONSOLIDATED=Y","SCALING_FORMAT=MLN","Sort=A","Dates=H","DateFormat=P","Fill=—","Direction=H","UseDPDF=Y")</f>
        <v>—</v>
      </c>
      <c r="D97" s="13" t="str">
        <f>_xll.BDH("RCOM IN Equity","ARDR_OTH_NON_OPER_INC_EXP_NET","FY 2010","FY 2010","Currency=INR","Period=FY","BEST_FPERIOD_OVERRIDE=FY","FILING_STATUS=MR","EQY_CONSOLIDATED=Y","SCALING_FORMAT=MLN","Sort=A","Dates=H","DateFormat=P","Fill=—","Direction=H","UseDPDF=Y")</f>
        <v>—</v>
      </c>
      <c r="E97" s="13" t="str">
        <f>_xll.BDH("RCOM IN Equity","ARDR_OTH_NON_OPER_INC_EXP_NET","FY 2011","FY 2011","Currency=INR","Period=FY","BEST_FPERIOD_OVERRIDE=FY","FILING_STATUS=MR","EQY_CONSOLIDATED=Y","SCALING_FORMAT=MLN","Sort=A","Dates=H","DateFormat=P","Fill=—","Direction=H","UseDPDF=Y")</f>
        <v>—</v>
      </c>
      <c r="F97" s="13">
        <f>_xll.BDH("RCOM IN Equity","ARDR_OTH_NON_OPER_INC_EXP_NET","FY 2012","FY 2012","Currency=INR","Period=FY","BEST_FPERIOD_OVERRIDE=FY","FILING_STATUS=MR","EQY_CONSOLIDATED=Y","SCALING_FORMAT=MLN","Sort=A","Dates=H","DateFormat=P","Fill=—","Direction=H","UseDPDF=Y")</f>
        <v>12680</v>
      </c>
      <c r="G97" s="13" t="str">
        <f>_xll.BDH("RCOM IN Equity","ARDR_OTH_NON_OPER_INC_EXP_NET","FY 2013","FY 2013","Currency=INR","Period=FY","BEST_FPERIOD_OVERRIDE=FY","FILING_STATUS=MR","EQY_CONSOLIDATED=Y","SCALING_FORMAT=MLN","Sort=A","Dates=H","DateFormat=P","Fill=—","Direction=H","UseDPDF=Y")</f>
        <v>—</v>
      </c>
      <c r="H97" s="13" t="str">
        <f>_xll.BDH("RCOM IN Equity","ARDR_OTH_NON_OPER_INC_EXP_NET","FY 2014","FY 2014","Currency=INR","Period=FY","BEST_FPERIOD_OVERRIDE=FY","FILING_STATUS=MR","EQY_CONSOLIDATED=Y","SCALING_FORMAT=MLN","Sort=A","Dates=H","DateFormat=P","Fill=—","Direction=H","UseDPDF=Y")</f>
        <v>—</v>
      </c>
      <c r="I97" s="13" t="str">
        <f>_xll.BDH("RCOM IN Equity","ARDR_OTH_NON_OPER_INC_EXP_NET","FY 2015","FY 2015","Currency=INR","Period=FY","BEST_FPERIOD_OVERRIDE=FY","FILING_STATUS=MR","EQY_CONSOLIDATED=Y","SCALING_FORMAT=MLN","Sort=A","Dates=H","DateFormat=P","Fill=—","Direction=H","UseDPDF=Y")</f>
        <v>—</v>
      </c>
      <c r="J97" s="13" t="str">
        <f>_xll.BDH("RCOM IN Equity","ARDR_OTH_NON_OPER_INC_EXP_NET","FY 2016","FY 2016","Currency=INR","Period=FY","BEST_FPERIOD_OVERRIDE=FY","FILING_STATUS=MR","EQY_CONSOLIDATED=Y","SCALING_FORMAT=MLN","Sort=A","Dates=H","DateFormat=P","Fill=—","Direction=H","UseDPDF=Y")</f>
        <v>—</v>
      </c>
      <c r="K97" s="13" t="str">
        <f>_xll.BDH("RCOM IN Equity","ARDR_OTH_NON_OPER_INC_EXP_NET","FY 2017","FY 2017","Currency=INR","Period=FY","BEST_FPERIOD_OVERRIDE=FY","FILING_STATUS=MR","EQY_CONSOLIDATED=Y","SCALING_FORMAT=MLN","Sort=A","Dates=H","DateFormat=P","Fill=—","Direction=H","UseDPDF=Y")</f>
        <v>—</v>
      </c>
      <c r="L97" s="13" t="str">
        <f>_xll.BDH("RCOM IN Equity","ARDR_OTH_NON_OPER_INC_EXP_NET","FY 2018","FY 2018","Currency=INR","Period=FY","BEST_FPERIOD_OVERRIDE=FY","FILING_STATUS=MR","EQY_CONSOLIDATED=Y","SCALING_FORMAT=MLN","Sort=A","Dates=H","DateFormat=P","Fill=—","Direction=H","UseDPDF=Y")</f>
        <v>—</v>
      </c>
    </row>
    <row r="98" spans="1:12">
      <c r="A98" s="10" t="s">
        <v>544</v>
      </c>
      <c r="B98" s="10" t="s">
        <v>545</v>
      </c>
      <c r="C98" s="13" t="str">
        <f>_xll.BDH("RCOM IN Equity","ARDR_EMPLOYER_CONTRIB_POST_RETIR","FY 2009","FY 2009","Currency=INR","Period=FY","BEST_FPERIOD_OVERRIDE=FY","FILING_STATUS=MR","EQY_CONSOLIDATED=Y","SCALING_FORMAT=MLN","Sort=A","Dates=H","DateFormat=P","Fill=—","Direction=H","UseDPDF=Y")</f>
        <v>—</v>
      </c>
      <c r="D98" s="13" t="str">
        <f>_xll.BDH("RCOM IN Equity","ARDR_EMPLOYER_CONTRIB_POST_RETIR","FY 2010","FY 2010","Currency=INR","Period=FY","BEST_FPERIOD_OVERRIDE=FY","FILING_STATUS=MR","EQY_CONSOLIDATED=Y","SCALING_FORMAT=MLN","Sort=A","Dates=H","DateFormat=P","Fill=—","Direction=H","UseDPDF=Y")</f>
        <v>—</v>
      </c>
      <c r="E98" s="13" t="str">
        <f>_xll.BDH("RCOM IN Equity","ARDR_EMPLOYER_CONTRIB_POST_RETIR","FY 2011","FY 2011","Currency=INR","Period=FY","BEST_FPERIOD_OVERRIDE=FY","FILING_STATUS=MR","EQY_CONSOLIDATED=Y","SCALING_FORMAT=MLN","Sort=A","Dates=H","DateFormat=P","Fill=—","Direction=H","UseDPDF=Y")</f>
        <v>—</v>
      </c>
      <c r="F98" s="13" t="str">
        <f>_xll.BDH("RCOM IN Equity","ARDR_EMPLOYER_CONTRIB_POST_RETIR","FY 2012","FY 2012","Currency=INR","Period=FY","BEST_FPERIOD_OVERRIDE=FY","FILING_STATUS=MR","EQY_CONSOLIDATED=Y","SCALING_FORMAT=MLN","Sort=A","Dates=H","DateFormat=P","Fill=—","Direction=H","UseDPDF=Y")</f>
        <v>—</v>
      </c>
      <c r="G98" s="13" t="str">
        <f>_xll.BDH("RCOM IN Equity","ARDR_EMPLOYER_CONTRIB_POST_RETIR","FY 2013","FY 2013","Currency=INR","Period=FY","BEST_FPERIOD_OVERRIDE=FY","FILING_STATUS=MR","EQY_CONSOLIDATED=Y","SCALING_FORMAT=MLN","Sort=A","Dates=H","DateFormat=P","Fill=—","Direction=H","UseDPDF=Y")</f>
        <v>—</v>
      </c>
      <c r="H98" s="13">
        <f>_xll.BDH("RCOM IN Equity","ARDR_EMPLOYER_CONTRIB_POST_RETIR","FY 2014","FY 2014","Currency=INR","Period=FY","BEST_FPERIOD_OVERRIDE=FY","FILING_STATUS=MR","EQY_CONSOLIDATED=Y","SCALING_FORMAT=MLN","Sort=A","Dates=H","DateFormat=P","Fill=—","Direction=H","UseDPDF=Y")</f>
        <v>0</v>
      </c>
      <c r="I98" s="13">
        <f>_xll.BDH("RCOM IN Equity","ARDR_EMPLOYER_CONTRIB_POST_RETIR","FY 2015","FY 2015","Currency=INR","Period=FY","BEST_FPERIOD_OVERRIDE=FY","FILING_STATUS=MR","EQY_CONSOLIDATED=Y","SCALING_FORMAT=MLN","Sort=A","Dates=H","DateFormat=P","Fill=—","Direction=H","UseDPDF=Y")</f>
        <v>50</v>
      </c>
      <c r="J98" s="13">
        <f>_xll.BDH("RCOM IN Equity","ARDR_EMPLOYER_CONTRIB_POST_RETIR","FY 2016","FY 2016","Currency=INR","Period=FY","BEST_FPERIOD_OVERRIDE=FY","FILING_STATUS=MR","EQY_CONSOLIDATED=Y","SCALING_FORMAT=MLN","Sort=A","Dates=H","DateFormat=P","Fill=—","Direction=H","UseDPDF=Y")</f>
        <v>50</v>
      </c>
      <c r="K98" s="13">
        <f>_xll.BDH("RCOM IN Equity","ARDR_EMPLOYER_CONTRIB_POST_RETIR","FY 2017","FY 2017","Currency=INR","Period=FY","BEST_FPERIOD_OVERRIDE=FY","FILING_STATUS=MR","EQY_CONSOLIDATED=Y","SCALING_FORMAT=MLN","Sort=A","Dates=H","DateFormat=P","Fill=—","Direction=H","UseDPDF=Y")</f>
        <v>0</v>
      </c>
      <c r="L98" s="13">
        <f>_xll.BDH("RCOM IN Equity","ARDR_EMPLOYER_CONTRIB_POST_RETIR","FY 2018","FY 2018","Currency=INR","Period=FY","BEST_FPERIOD_OVERRIDE=FY","FILING_STATUS=MR","EQY_CONSOLIDATED=Y","SCALING_FORMAT=MLN","Sort=A","Dates=H","DateFormat=P","Fill=—","Direction=H","UseDPDF=Y")</f>
        <v>30</v>
      </c>
    </row>
    <row r="99" spans="1:12">
      <c r="A99" s="10" t="s">
        <v>546</v>
      </c>
      <c r="B99" s="10" t="s">
        <v>547</v>
      </c>
      <c r="C99" s="13">
        <f>_xll.BDH("RCOM IN Equity","ARDR_BENEFITS_PAID_POST_RETIR","FY 2009","FY 2009","Currency=INR","Period=FY","BEST_FPERIOD_OVERRIDE=FY","FILING_STATUS=MR","EQY_CONSOLIDATED=Y","SCALING_FORMAT=MLN","Sort=A","Dates=H","DateFormat=P","Fill=—","Direction=H","UseDPDF=Y")</f>
        <v>-28.7</v>
      </c>
      <c r="D99" s="13">
        <f>_xll.BDH("RCOM IN Equity","ARDR_BENEFITS_PAID_POST_RETIR","FY 2010","FY 2010","Currency=INR","Period=FY","BEST_FPERIOD_OVERRIDE=FY","FILING_STATUS=MR","EQY_CONSOLIDATED=Y","SCALING_FORMAT=MLN","Sort=A","Dates=H","DateFormat=P","Fill=—","Direction=H","UseDPDF=Y")</f>
        <v>-50.6</v>
      </c>
      <c r="E99" s="13">
        <f>_xll.BDH("RCOM IN Equity","ARDR_BENEFITS_PAID_POST_RETIR","FY 2011","FY 2011","Currency=INR","Period=FY","BEST_FPERIOD_OVERRIDE=FY","FILING_STATUS=MR","EQY_CONSOLIDATED=Y","SCALING_FORMAT=MLN","Sort=A","Dates=H","DateFormat=P","Fill=—","Direction=H","UseDPDF=Y")</f>
        <v>-80</v>
      </c>
      <c r="F99" s="13">
        <f>_xll.BDH("RCOM IN Equity","ARDR_BENEFITS_PAID_POST_RETIR","FY 2012","FY 2012","Currency=INR","Period=FY","BEST_FPERIOD_OVERRIDE=FY","FILING_STATUS=MR","EQY_CONSOLIDATED=Y","SCALING_FORMAT=MLN","Sort=A","Dates=H","DateFormat=P","Fill=—","Direction=H","UseDPDF=Y")</f>
        <v>-100</v>
      </c>
      <c r="G99" s="13">
        <f>_xll.BDH("RCOM IN Equity","ARDR_BENEFITS_PAID_POST_RETIR","FY 2013","FY 2013","Currency=INR","Period=FY","BEST_FPERIOD_OVERRIDE=FY","FILING_STATUS=MR","EQY_CONSOLIDATED=Y","SCALING_FORMAT=MLN","Sort=A","Dates=H","DateFormat=P","Fill=—","Direction=H","UseDPDF=Y")</f>
        <v>-80</v>
      </c>
      <c r="H99" s="13">
        <f>_xll.BDH("RCOM IN Equity","ARDR_BENEFITS_PAID_POST_RETIR","FY 2014","FY 2014","Currency=INR","Period=FY","BEST_FPERIOD_OVERRIDE=FY","FILING_STATUS=MR","EQY_CONSOLIDATED=Y","SCALING_FORMAT=MLN","Sort=A","Dates=H","DateFormat=P","Fill=—","Direction=H","UseDPDF=Y")</f>
        <v>-70</v>
      </c>
      <c r="I99" s="13">
        <f>_xll.BDH("RCOM IN Equity","ARDR_BENEFITS_PAID_POST_RETIR","FY 2015","FY 2015","Currency=INR","Period=FY","BEST_FPERIOD_OVERRIDE=FY","FILING_STATUS=MR","EQY_CONSOLIDATED=Y","SCALING_FORMAT=MLN","Sort=A","Dates=H","DateFormat=P","Fill=—","Direction=H","UseDPDF=Y")</f>
        <v>-120</v>
      </c>
      <c r="J99" s="13">
        <f>_xll.BDH("RCOM IN Equity","ARDR_BENEFITS_PAID_POST_RETIR","FY 2016","FY 2016","Currency=INR","Period=FY","BEST_FPERIOD_OVERRIDE=FY","FILING_STATUS=MR","EQY_CONSOLIDATED=Y","SCALING_FORMAT=MLN","Sort=A","Dates=H","DateFormat=P","Fill=—","Direction=H","UseDPDF=Y")</f>
        <v>-70</v>
      </c>
      <c r="K99" s="13">
        <f>_xll.BDH("RCOM IN Equity","ARDR_BENEFITS_PAID_POST_RETIR","FY 2017","FY 2017","Currency=INR","Period=FY","BEST_FPERIOD_OVERRIDE=FY","FILING_STATUS=MR","EQY_CONSOLIDATED=Y","SCALING_FORMAT=MLN","Sort=A","Dates=H","DateFormat=P","Fill=—","Direction=H","UseDPDF=Y")</f>
        <v>-50</v>
      </c>
      <c r="L99" s="13">
        <f>_xll.BDH("RCOM IN Equity","ARDR_BENEFITS_PAID_POST_RETIR","FY 2018","FY 2018","Currency=INR","Period=FY","BEST_FPERIOD_OVERRIDE=FY","FILING_STATUS=MR","EQY_CONSOLIDATED=Y","SCALING_FORMAT=MLN","Sort=A","Dates=H","DateFormat=P","Fill=—","Direction=H","UseDPDF=Y")</f>
        <v>-170</v>
      </c>
    </row>
    <row r="100" spans="1:12">
      <c r="A100" s="10" t="s">
        <v>548</v>
      </c>
      <c r="B100" s="10" t="s">
        <v>549</v>
      </c>
      <c r="C100" s="13">
        <f>_xll.BDH("RCOM IN Equity","ARDR_AUDITOR_REMEN_AUDIT","FY 2009","FY 2009","Currency=INR","Period=FY","BEST_FPERIOD_OVERRIDE=FY","FILING_STATUS=MR","EQY_CONSOLIDATED=Y","SCALING_FORMAT=MLN","Sort=A","Dates=H","DateFormat=P","Fill=—","Direction=H","UseDPDF=Y")</f>
        <v>96.6</v>
      </c>
      <c r="D100" s="13">
        <f>_xll.BDH("RCOM IN Equity","ARDR_AUDITOR_REMEN_AUDIT","FY 2010","FY 2010","Currency=INR","Period=FY","BEST_FPERIOD_OVERRIDE=FY","FILING_STATUS=MR","EQY_CONSOLIDATED=Y","SCALING_FORMAT=MLN","Sort=A","Dates=H","DateFormat=P","Fill=—","Direction=H","UseDPDF=Y")</f>
        <v>114.7</v>
      </c>
      <c r="E100" s="13">
        <f>_xll.BDH("RCOM IN Equity","ARDR_AUDITOR_REMEN_AUDIT","FY 2011","FY 2011","Currency=INR","Period=FY","BEST_FPERIOD_OVERRIDE=FY","FILING_STATUS=MR","EQY_CONSOLIDATED=Y","SCALING_FORMAT=MLN","Sort=A","Dates=H","DateFormat=P","Fill=—","Direction=H","UseDPDF=Y")</f>
        <v>90</v>
      </c>
      <c r="F100" s="13">
        <f>_xll.BDH("RCOM IN Equity","ARDR_AUDITOR_REMEN_AUDIT","FY 2012","FY 2012","Currency=INR","Period=FY","BEST_FPERIOD_OVERRIDE=FY","FILING_STATUS=MR","EQY_CONSOLIDATED=Y","SCALING_FORMAT=MLN","Sort=A","Dates=H","DateFormat=P","Fill=—","Direction=H","UseDPDF=Y")</f>
        <v>90</v>
      </c>
      <c r="G100" s="13">
        <f>_xll.BDH("RCOM IN Equity","ARDR_AUDITOR_REMEN_AUDIT","FY 2013","FY 2013","Currency=INR","Period=FY","BEST_FPERIOD_OVERRIDE=FY","FILING_STATUS=MR","EQY_CONSOLIDATED=Y","SCALING_FORMAT=MLN","Sort=A","Dates=H","DateFormat=P","Fill=—","Direction=H","UseDPDF=Y")</f>
        <v>90</v>
      </c>
      <c r="H100" s="13">
        <f>_xll.BDH("RCOM IN Equity","ARDR_AUDITOR_REMEN_AUDIT","FY 2014","FY 2014","Currency=INR","Period=FY","BEST_FPERIOD_OVERRIDE=FY","FILING_STATUS=MR","EQY_CONSOLIDATED=Y","SCALING_FORMAT=MLN","Sort=A","Dates=H","DateFormat=P","Fill=—","Direction=H","UseDPDF=Y")</f>
        <v>90</v>
      </c>
      <c r="I100" s="13">
        <f>_xll.BDH("RCOM IN Equity","ARDR_AUDITOR_REMEN_AUDIT","FY 2015","FY 2015","Currency=INR","Period=FY","BEST_FPERIOD_OVERRIDE=FY","FILING_STATUS=MR","EQY_CONSOLIDATED=Y","SCALING_FORMAT=MLN","Sort=A","Dates=H","DateFormat=P","Fill=—","Direction=H","UseDPDF=Y")</f>
        <v>90</v>
      </c>
      <c r="J100" s="13">
        <f>_xll.BDH("RCOM IN Equity","ARDR_AUDITOR_REMEN_AUDIT","FY 2016","FY 2016","Currency=INR","Period=FY","BEST_FPERIOD_OVERRIDE=FY","FILING_STATUS=MR","EQY_CONSOLIDATED=Y","SCALING_FORMAT=MLN","Sort=A","Dates=H","DateFormat=P","Fill=—","Direction=H","UseDPDF=Y")</f>
        <v>90</v>
      </c>
      <c r="K100" s="13">
        <f>_xll.BDH("RCOM IN Equity","ARDR_AUDITOR_REMEN_AUDIT","FY 2017","FY 2017","Currency=INR","Period=FY","BEST_FPERIOD_OVERRIDE=FY","FILING_STATUS=MR","EQY_CONSOLIDATED=Y","SCALING_FORMAT=MLN","Sort=A","Dates=H","DateFormat=P","Fill=—","Direction=H","UseDPDF=Y")</f>
        <v>80</v>
      </c>
      <c r="L100" s="13">
        <f>_xll.BDH("RCOM IN Equity","ARDR_AUDITOR_REMEN_AUDIT","FY 2018","FY 2018","Currency=INR","Period=FY","BEST_FPERIOD_OVERRIDE=FY","FILING_STATUS=MR","EQY_CONSOLIDATED=Y","SCALING_FORMAT=MLN","Sort=A","Dates=H","DateFormat=P","Fill=—","Direction=H","UseDPDF=Y")</f>
        <v>50</v>
      </c>
    </row>
    <row r="101" spans="1:12">
      <c r="A101" s="10" t="s">
        <v>550</v>
      </c>
      <c r="B101" s="10" t="s">
        <v>551</v>
      </c>
      <c r="C101" s="13" t="str">
        <f>_xll.BDH("RCOM IN Equity","ARDR_NON_OP_PROF_LOSS_DISP_FIXED","FY 2009","FY 2009","Currency=INR","Period=FY","BEST_FPERIOD_OVERRIDE=FY","FILING_STATUS=MR","EQY_CONSOLIDATED=Y","SCALING_FORMAT=MLN","Sort=A","Dates=H","DateFormat=P","Fill=—","Direction=H","UseDPDF=Y")</f>
        <v>—</v>
      </c>
      <c r="D101" s="13" t="str">
        <f>_xll.BDH("RCOM IN Equity","ARDR_NON_OP_PROF_LOSS_DISP_FIXED","FY 2010","FY 2010","Currency=INR","Period=FY","BEST_FPERIOD_OVERRIDE=FY","FILING_STATUS=MR","EQY_CONSOLIDATED=Y","SCALING_FORMAT=MLN","Sort=A","Dates=H","DateFormat=P","Fill=—","Direction=H","UseDPDF=Y")</f>
        <v>—</v>
      </c>
      <c r="E101" s="13" t="str">
        <f>_xll.BDH("RCOM IN Equity","ARDR_NON_OP_PROF_LOSS_DISP_FIXED","FY 2011","FY 2011","Currency=INR","Period=FY","BEST_FPERIOD_OVERRIDE=FY","FILING_STATUS=MR","EQY_CONSOLIDATED=Y","SCALING_FORMAT=MLN","Sort=A","Dates=H","DateFormat=P","Fill=—","Direction=H","UseDPDF=Y")</f>
        <v>—</v>
      </c>
      <c r="F101" s="13">
        <f>_xll.BDH("RCOM IN Equity","ARDR_NON_OP_PROF_LOSS_DISP_FIXED","FY 2012","FY 2012","Currency=INR","Period=FY","BEST_FPERIOD_OVERRIDE=FY","FILING_STATUS=MR","EQY_CONSOLIDATED=Y","SCALING_FORMAT=MLN","Sort=A","Dates=H","DateFormat=P","Fill=—","Direction=H","UseDPDF=Y")</f>
        <v>-70</v>
      </c>
      <c r="G101" s="13" t="str">
        <f>_xll.BDH("RCOM IN Equity","ARDR_NON_OP_PROF_LOSS_DISP_FIXED","FY 2013","FY 2013","Currency=INR","Period=FY","BEST_FPERIOD_OVERRIDE=FY","FILING_STATUS=MR","EQY_CONSOLIDATED=Y","SCALING_FORMAT=MLN","Sort=A","Dates=H","DateFormat=P","Fill=—","Direction=H","UseDPDF=Y")</f>
        <v>—</v>
      </c>
      <c r="H101" s="13" t="str">
        <f>_xll.BDH("RCOM IN Equity","ARDR_NON_OP_PROF_LOSS_DISP_FIXED","FY 2014","FY 2014","Currency=INR","Period=FY","BEST_FPERIOD_OVERRIDE=FY","FILING_STATUS=MR","EQY_CONSOLIDATED=Y","SCALING_FORMAT=MLN","Sort=A","Dates=H","DateFormat=P","Fill=—","Direction=H","UseDPDF=Y")</f>
        <v>—</v>
      </c>
      <c r="I101" s="13" t="str">
        <f>_xll.BDH("RCOM IN Equity","ARDR_NON_OP_PROF_LOSS_DISP_FIXED","FY 2015","FY 2015","Currency=INR","Period=FY","BEST_FPERIOD_OVERRIDE=FY","FILING_STATUS=MR","EQY_CONSOLIDATED=Y","SCALING_FORMAT=MLN","Sort=A","Dates=H","DateFormat=P","Fill=—","Direction=H","UseDPDF=Y")</f>
        <v>—</v>
      </c>
      <c r="J101" s="13" t="str">
        <f>_xll.BDH("RCOM IN Equity","ARDR_NON_OP_PROF_LOSS_DISP_FIXED","FY 2016","FY 2016","Currency=INR","Period=FY","BEST_FPERIOD_OVERRIDE=FY","FILING_STATUS=MR","EQY_CONSOLIDATED=Y","SCALING_FORMAT=MLN","Sort=A","Dates=H","DateFormat=P","Fill=—","Direction=H","UseDPDF=Y")</f>
        <v>—</v>
      </c>
      <c r="K101" s="13" t="str">
        <f>_xll.BDH("RCOM IN Equity","ARDR_NON_OP_PROF_LOSS_DISP_FIXED","FY 2017","FY 2017","Currency=INR","Period=FY","BEST_FPERIOD_OVERRIDE=FY","FILING_STATUS=MR","EQY_CONSOLIDATED=Y","SCALING_FORMAT=MLN","Sort=A","Dates=H","DateFormat=P","Fill=—","Direction=H","UseDPDF=Y")</f>
        <v>—</v>
      </c>
      <c r="L101" s="13" t="str">
        <f>_xll.BDH("RCOM IN Equity","ARDR_NON_OP_PROF_LOSS_DISP_FIXED","FY 2018","FY 2018","Currency=INR","Period=FY","BEST_FPERIOD_OVERRIDE=FY","FILING_STATUS=MR","EQY_CONSOLIDATED=Y","SCALING_FORMAT=MLN","Sort=A","Dates=H","DateFormat=P","Fill=—","Direction=H","UseDPDF=Y")</f>
        <v>—</v>
      </c>
    </row>
    <row r="102" spans="1:12">
      <c r="A102" s="10" t="s">
        <v>552</v>
      </c>
      <c r="B102" s="10" t="s">
        <v>553</v>
      </c>
      <c r="C102" s="13" t="str">
        <f>_xll.BDH("RCOM IN Equity","ARDR_OTH_OPER_INC_INT_INC_NON_OP","FY 2009","FY 2009","Currency=INR","Period=FY","BEST_FPERIOD_OVERRIDE=FY","FILING_STATUS=MR","EQY_CONSOLIDATED=Y","SCALING_FORMAT=MLN","Sort=A","Dates=H","DateFormat=P","Fill=—","Direction=H","UseDPDF=Y")</f>
        <v>—</v>
      </c>
      <c r="D102" s="13" t="str">
        <f>_xll.BDH("RCOM IN Equity","ARDR_OTH_OPER_INC_INT_INC_NON_OP","FY 2010","FY 2010","Currency=INR","Period=FY","BEST_FPERIOD_OVERRIDE=FY","FILING_STATUS=MR","EQY_CONSOLIDATED=Y","SCALING_FORMAT=MLN","Sort=A","Dates=H","DateFormat=P","Fill=—","Direction=H","UseDPDF=Y")</f>
        <v>—</v>
      </c>
      <c r="E102" s="13" t="str">
        <f>_xll.BDH("RCOM IN Equity","ARDR_OTH_OPER_INC_INT_INC_NON_OP","FY 2011","FY 2011","Currency=INR","Period=FY","BEST_FPERIOD_OVERRIDE=FY","FILING_STATUS=MR","EQY_CONSOLIDATED=Y","SCALING_FORMAT=MLN","Sort=A","Dates=H","DateFormat=P","Fill=—","Direction=H","UseDPDF=Y")</f>
        <v>—</v>
      </c>
      <c r="F102" s="13">
        <f>_xll.BDH("RCOM IN Equity","ARDR_OTH_OPER_INC_INT_INC_NON_OP","FY 2012","FY 2012","Currency=INR","Period=FY","BEST_FPERIOD_OVERRIDE=FY","FILING_STATUS=MR","EQY_CONSOLIDATED=Y","SCALING_FORMAT=MLN","Sort=A","Dates=H","DateFormat=P","Fill=—","Direction=H","UseDPDF=Y")</f>
        <v>-400</v>
      </c>
      <c r="G102" s="13" t="str">
        <f>_xll.BDH("RCOM IN Equity","ARDR_OTH_OPER_INC_INT_INC_NON_OP","FY 2013","FY 2013","Currency=INR","Period=FY","BEST_FPERIOD_OVERRIDE=FY","FILING_STATUS=MR","EQY_CONSOLIDATED=Y","SCALING_FORMAT=MLN","Sort=A","Dates=H","DateFormat=P","Fill=—","Direction=H","UseDPDF=Y")</f>
        <v>—</v>
      </c>
      <c r="H102" s="13" t="str">
        <f>_xll.BDH("RCOM IN Equity","ARDR_OTH_OPER_INC_INT_INC_NON_OP","FY 2014","FY 2014","Currency=INR","Period=FY","BEST_FPERIOD_OVERRIDE=FY","FILING_STATUS=MR","EQY_CONSOLIDATED=Y","SCALING_FORMAT=MLN","Sort=A","Dates=H","DateFormat=P","Fill=—","Direction=H","UseDPDF=Y")</f>
        <v>—</v>
      </c>
      <c r="I102" s="13" t="str">
        <f>_xll.BDH("RCOM IN Equity","ARDR_OTH_OPER_INC_INT_INC_NON_OP","FY 2015","FY 2015","Currency=INR","Period=FY","BEST_FPERIOD_OVERRIDE=FY","FILING_STATUS=MR","EQY_CONSOLIDATED=Y","SCALING_FORMAT=MLN","Sort=A","Dates=H","DateFormat=P","Fill=—","Direction=H","UseDPDF=Y")</f>
        <v>—</v>
      </c>
      <c r="J102" s="13" t="str">
        <f>_xll.BDH("RCOM IN Equity","ARDR_OTH_OPER_INC_INT_INC_NON_OP","FY 2016","FY 2016","Currency=INR","Period=FY","BEST_FPERIOD_OVERRIDE=FY","FILING_STATUS=MR","EQY_CONSOLIDATED=Y","SCALING_FORMAT=MLN","Sort=A","Dates=H","DateFormat=P","Fill=—","Direction=H","UseDPDF=Y")</f>
        <v>—</v>
      </c>
      <c r="K102" s="13">
        <f>_xll.BDH("RCOM IN Equity","ARDR_OTH_OPER_INC_INT_INC_NON_OP","FY 2017","FY 2017","Currency=INR","Period=FY","BEST_FPERIOD_OVERRIDE=FY","FILING_STATUS=MR","EQY_CONSOLIDATED=Y","SCALING_FORMAT=MLN","Sort=A","Dates=H","DateFormat=P","Fill=—","Direction=H","UseDPDF=Y")</f>
        <v>-240</v>
      </c>
      <c r="L102" s="13">
        <f>_xll.BDH("RCOM IN Equity","ARDR_OTH_OPER_INC_INT_INC_NON_OP","FY 2018","FY 2018","Currency=INR","Period=FY","BEST_FPERIOD_OVERRIDE=FY","FILING_STATUS=MR","EQY_CONSOLIDATED=Y","SCALING_FORMAT=MLN","Sort=A","Dates=H","DateFormat=P","Fill=—","Direction=H","UseDPDF=Y")</f>
        <v>-120</v>
      </c>
    </row>
    <row r="103" spans="1:12">
      <c r="A103" s="10" t="s">
        <v>554</v>
      </c>
      <c r="B103" s="10" t="s">
        <v>555</v>
      </c>
      <c r="C103" s="13" t="str">
        <f>_xll.BDH("RCOM IN Equity","ARDR_OTH_OPER_INC_DIV_INC_NON_OP","FY 2009","FY 2009","Currency=INR","Period=FY","BEST_FPERIOD_OVERRIDE=FY","FILING_STATUS=MR","EQY_CONSOLIDATED=Y","SCALING_FORMAT=MLN","Sort=A","Dates=H","DateFormat=P","Fill=—","Direction=H","UseDPDF=Y")</f>
        <v>—</v>
      </c>
      <c r="D103" s="13" t="str">
        <f>_xll.BDH("RCOM IN Equity","ARDR_OTH_OPER_INC_DIV_INC_NON_OP","FY 2010","FY 2010","Currency=INR","Period=FY","BEST_FPERIOD_OVERRIDE=FY","FILING_STATUS=MR","EQY_CONSOLIDATED=Y","SCALING_FORMAT=MLN","Sort=A","Dates=H","DateFormat=P","Fill=—","Direction=H","UseDPDF=Y")</f>
        <v>—</v>
      </c>
      <c r="E103" s="13" t="str">
        <f>_xll.BDH("RCOM IN Equity","ARDR_OTH_OPER_INC_DIV_INC_NON_OP","FY 2011","FY 2011","Currency=INR","Period=FY","BEST_FPERIOD_OVERRIDE=FY","FILING_STATUS=MR","EQY_CONSOLIDATED=Y","SCALING_FORMAT=MLN","Sort=A","Dates=H","DateFormat=P","Fill=—","Direction=H","UseDPDF=Y")</f>
        <v>—</v>
      </c>
      <c r="F103" s="13">
        <f>_xll.BDH("RCOM IN Equity","ARDR_OTH_OPER_INC_DIV_INC_NON_OP","FY 2012","FY 2012","Currency=INR","Period=FY","BEST_FPERIOD_OVERRIDE=FY","FILING_STATUS=MR","EQY_CONSOLIDATED=Y","SCALING_FORMAT=MLN","Sort=A","Dates=H","DateFormat=P","Fill=—","Direction=H","UseDPDF=Y")</f>
        <v>0</v>
      </c>
      <c r="G103" s="13" t="str">
        <f>_xll.BDH("RCOM IN Equity","ARDR_OTH_OPER_INC_DIV_INC_NON_OP","FY 2013","FY 2013","Currency=INR","Period=FY","BEST_FPERIOD_OVERRIDE=FY","FILING_STATUS=MR","EQY_CONSOLIDATED=Y","SCALING_FORMAT=MLN","Sort=A","Dates=H","DateFormat=P","Fill=—","Direction=H","UseDPDF=Y")</f>
        <v>—</v>
      </c>
      <c r="H103" s="13" t="str">
        <f>_xll.BDH("RCOM IN Equity","ARDR_OTH_OPER_INC_DIV_INC_NON_OP","FY 2014","FY 2014","Currency=INR","Period=FY","BEST_FPERIOD_OVERRIDE=FY","FILING_STATUS=MR","EQY_CONSOLIDATED=Y","SCALING_FORMAT=MLN","Sort=A","Dates=H","DateFormat=P","Fill=—","Direction=H","UseDPDF=Y")</f>
        <v>—</v>
      </c>
      <c r="I103" s="13" t="str">
        <f>_xll.BDH("RCOM IN Equity","ARDR_OTH_OPER_INC_DIV_INC_NON_OP","FY 2015","FY 2015","Currency=INR","Period=FY","BEST_FPERIOD_OVERRIDE=FY","FILING_STATUS=MR","EQY_CONSOLIDATED=Y","SCALING_FORMAT=MLN","Sort=A","Dates=H","DateFormat=P","Fill=—","Direction=H","UseDPDF=Y")</f>
        <v>—</v>
      </c>
      <c r="J103" s="13" t="str">
        <f>_xll.BDH("RCOM IN Equity","ARDR_OTH_OPER_INC_DIV_INC_NON_OP","FY 2016","FY 2016","Currency=INR","Period=FY","BEST_FPERIOD_OVERRIDE=FY","FILING_STATUS=MR","EQY_CONSOLIDATED=Y","SCALING_FORMAT=MLN","Sort=A","Dates=H","DateFormat=P","Fill=—","Direction=H","UseDPDF=Y")</f>
        <v>—</v>
      </c>
      <c r="K103" s="13" t="str">
        <f>_xll.BDH("RCOM IN Equity","ARDR_OTH_OPER_INC_DIV_INC_NON_OP","FY 2017","FY 2017","Currency=INR","Period=FY","BEST_FPERIOD_OVERRIDE=FY","FILING_STATUS=MR","EQY_CONSOLIDATED=Y","SCALING_FORMAT=MLN","Sort=A","Dates=H","DateFormat=P","Fill=—","Direction=H","UseDPDF=Y")</f>
        <v>—</v>
      </c>
      <c r="L103" s="13" t="str">
        <f>_xll.BDH("RCOM IN Equity","ARDR_OTH_OPER_INC_DIV_INC_NON_OP","FY 2018","FY 2018","Currency=INR","Period=FY","BEST_FPERIOD_OVERRIDE=FY","FILING_STATUS=MR","EQY_CONSOLIDATED=Y","SCALING_FORMAT=MLN","Sort=A","Dates=H","DateFormat=P","Fill=—","Direction=H","UseDPDF=Y")</f>
        <v>—</v>
      </c>
    </row>
    <row r="104" spans="1:12">
      <c r="A104" s="10" t="s">
        <v>556</v>
      </c>
      <c r="B104" s="10" t="s">
        <v>557</v>
      </c>
      <c r="C104" s="14" t="str">
        <f>_xll.BDH("RCOM IN Equity","ARDR_FINAL_DIVIDEND_PER_SHARE","FY 2009","FY 2009","Currency=INR","Period=FY","BEST_FPERIOD_OVERRIDE=FY","FILING_STATUS=MR","EQY_CONSOLIDATED=Y","Sort=A","Dates=H","DateFormat=P","Fill=—","Direction=H","UseDPDF=Y")</f>
        <v>—</v>
      </c>
      <c r="D104" s="14" t="str">
        <f>_xll.BDH("RCOM IN Equity","ARDR_FINAL_DIVIDEND_PER_SHARE","FY 2010","FY 2010","Currency=INR","Period=FY","BEST_FPERIOD_OVERRIDE=FY","FILING_STATUS=MR","EQY_CONSOLIDATED=Y","Sort=A","Dates=H","DateFormat=P","Fill=—","Direction=H","UseDPDF=Y")</f>
        <v>—</v>
      </c>
      <c r="E104" s="14" t="str">
        <f>_xll.BDH("RCOM IN Equity","ARDR_FINAL_DIVIDEND_PER_SHARE","FY 2011","FY 2011","Currency=INR","Period=FY","BEST_FPERIOD_OVERRIDE=FY","FILING_STATUS=MR","EQY_CONSOLIDATED=Y","Sort=A","Dates=H","DateFormat=P","Fill=—","Direction=H","UseDPDF=Y")</f>
        <v>—</v>
      </c>
      <c r="F104" s="14" t="str">
        <f>_xll.BDH("RCOM IN Equity","ARDR_FINAL_DIVIDEND_PER_SHARE","FY 2012","FY 2012","Currency=INR","Period=FY","BEST_FPERIOD_OVERRIDE=FY","FILING_STATUS=MR","EQY_CONSOLIDATED=Y","Sort=A","Dates=H","DateFormat=P","Fill=—","Direction=H","UseDPDF=Y")</f>
        <v>—</v>
      </c>
      <c r="G104" s="14" t="str">
        <f>_xll.BDH("RCOM IN Equity","ARDR_FINAL_DIVIDEND_PER_SHARE","FY 2013","FY 2013","Currency=INR","Period=FY","BEST_FPERIOD_OVERRIDE=FY","FILING_STATUS=MR","EQY_CONSOLIDATED=Y","Sort=A","Dates=H","DateFormat=P","Fill=—","Direction=H","UseDPDF=Y")</f>
        <v>—</v>
      </c>
      <c r="H104" s="14" t="str">
        <f>_xll.BDH("RCOM IN Equity","ARDR_FINAL_DIVIDEND_PER_SHARE","FY 2014","FY 2014","Currency=INR","Period=FY","BEST_FPERIOD_OVERRIDE=FY","FILING_STATUS=MR","EQY_CONSOLIDATED=Y","Sort=A","Dates=H","DateFormat=P","Fill=—","Direction=H","UseDPDF=Y")</f>
        <v>—</v>
      </c>
      <c r="I104" s="14" t="str">
        <f>_xll.BDH("RCOM IN Equity","ARDR_FINAL_DIVIDEND_PER_SHARE","FY 2015","FY 2015","Currency=INR","Period=FY","BEST_FPERIOD_OVERRIDE=FY","FILING_STATUS=MR","EQY_CONSOLIDATED=Y","Sort=A","Dates=H","DateFormat=P","Fill=—","Direction=H","UseDPDF=Y")</f>
        <v>—</v>
      </c>
      <c r="J104" s="14" t="str">
        <f>_xll.BDH("RCOM IN Equity","ARDR_FINAL_DIVIDEND_PER_SHARE","FY 2016","FY 2016","Currency=INR","Period=FY","BEST_FPERIOD_OVERRIDE=FY","FILING_STATUS=MR","EQY_CONSOLIDATED=Y","Sort=A","Dates=H","DateFormat=P","Fill=—","Direction=H","UseDPDF=Y")</f>
        <v>—</v>
      </c>
      <c r="K104" s="14" t="str">
        <f>_xll.BDH("RCOM IN Equity","ARDR_FINAL_DIVIDEND_PER_SHARE","FY 2017","FY 2017","Currency=INR","Period=FY","BEST_FPERIOD_OVERRIDE=FY","FILING_STATUS=MR","EQY_CONSOLIDATED=Y","Sort=A","Dates=H","DateFormat=P","Fill=—","Direction=H","UseDPDF=Y")</f>
        <v>—</v>
      </c>
      <c r="L104" s="14" t="str">
        <f>_xll.BDH("RCOM IN Equity","ARDR_FINAL_DIVIDEND_PER_SHARE","FY 2018","FY 2018","Currency=INR","Period=FY","BEST_FPERIOD_OVERRIDE=FY","FILING_STATUS=MR","EQY_CONSOLIDATED=Y","Sort=A","Dates=H","DateFormat=P","Fill=—","Direction=H","UseDPDF=Y")</f>
        <v>—</v>
      </c>
    </row>
    <row r="105" spans="1:12">
      <c r="A105" s="10" t="s">
        <v>430</v>
      </c>
      <c r="B105" s="10" t="s">
        <v>558</v>
      </c>
      <c r="C105" s="13">
        <f>_xll.BDH("RCOM IN Equity","ARDR_TOTAL_FINL_LOSSES_GAINS","FY 2009","FY 2009","Currency=INR","Period=FY","BEST_FPERIOD_OVERRIDE=FY","FILING_STATUS=MR","EQY_CONSOLIDATED=Y","SCALING_FORMAT=MLN","Sort=A","Dates=H","DateFormat=P","Fill=—","Direction=H","UseDPDF=Y")</f>
        <v>10711.1</v>
      </c>
      <c r="D105" s="13">
        <f>_xll.BDH("RCOM IN Equity","ARDR_TOTAL_FINL_LOSSES_GAINS","FY 2010","FY 2010","Currency=INR","Period=FY","BEST_FPERIOD_OVERRIDE=FY","FILING_STATUS=MR","EQY_CONSOLIDATED=Y","SCALING_FORMAT=MLN","Sort=A","Dates=H","DateFormat=P","Fill=—","Direction=H","UseDPDF=Y")</f>
        <v>-10931.8</v>
      </c>
      <c r="E105" s="13" t="str">
        <f>_xll.BDH("RCOM IN Equity","ARDR_TOTAL_FINL_LOSSES_GAINS","FY 2011","FY 2011","Currency=INR","Period=FY","BEST_FPERIOD_OVERRIDE=FY","FILING_STATUS=MR","EQY_CONSOLIDATED=Y","SCALING_FORMAT=MLN","Sort=A","Dates=H","DateFormat=P","Fill=—","Direction=H","UseDPDF=Y")</f>
        <v>—</v>
      </c>
      <c r="F105" s="13" t="str">
        <f>_xll.BDH("RCOM IN Equity","ARDR_TOTAL_FINL_LOSSES_GAINS","FY 2012","FY 2012","Currency=INR","Period=FY","BEST_FPERIOD_OVERRIDE=FY","FILING_STATUS=MR","EQY_CONSOLIDATED=Y","SCALING_FORMAT=MLN","Sort=A","Dates=H","DateFormat=P","Fill=—","Direction=H","UseDPDF=Y")</f>
        <v>—</v>
      </c>
      <c r="G105" s="13" t="str">
        <f>_xll.BDH("RCOM IN Equity","ARDR_TOTAL_FINL_LOSSES_GAINS","FY 2013","FY 2013","Currency=INR","Period=FY","BEST_FPERIOD_OVERRIDE=FY","FILING_STATUS=MR","EQY_CONSOLIDATED=Y","SCALING_FORMAT=MLN","Sort=A","Dates=H","DateFormat=P","Fill=—","Direction=H","UseDPDF=Y")</f>
        <v>—</v>
      </c>
      <c r="H105" s="13" t="str">
        <f>_xll.BDH("RCOM IN Equity","ARDR_TOTAL_FINL_LOSSES_GAINS","FY 2014","FY 2014","Currency=INR","Period=FY","BEST_FPERIOD_OVERRIDE=FY","FILING_STATUS=MR","EQY_CONSOLIDATED=Y","SCALING_FORMAT=MLN","Sort=A","Dates=H","DateFormat=P","Fill=—","Direction=H","UseDPDF=Y")</f>
        <v>—</v>
      </c>
      <c r="I105" s="13" t="str">
        <f>_xll.BDH("RCOM IN Equity","ARDR_TOTAL_FINL_LOSSES_GAINS","FY 2015","FY 2015","Currency=INR","Period=FY","BEST_FPERIOD_OVERRIDE=FY","FILING_STATUS=MR","EQY_CONSOLIDATED=Y","SCALING_FORMAT=MLN","Sort=A","Dates=H","DateFormat=P","Fill=—","Direction=H","UseDPDF=Y")</f>
        <v>—</v>
      </c>
      <c r="J105" s="13" t="str">
        <f>_xll.BDH("RCOM IN Equity","ARDR_TOTAL_FINL_LOSSES_GAINS","FY 2016","FY 2016","Currency=INR","Period=FY","BEST_FPERIOD_OVERRIDE=FY","FILING_STATUS=MR","EQY_CONSOLIDATED=Y","SCALING_FORMAT=MLN","Sort=A","Dates=H","DateFormat=P","Fill=—","Direction=H","UseDPDF=Y")</f>
        <v>—</v>
      </c>
      <c r="K105" s="13" t="str">
        <f>_xll.BDH("RCOM IN Equity","ARDR_TOTAL_FINL_LOSSES_GAINS","FY 2017","FY 2017","Currency=INR","Period=FY","BEST_FPERIOD_OVERRIDE=FY","FILING_STATUS=MR","EQY_CONSOLIDATED=Y","SCALING_FORMAT=MLN","Sort=A","Dates=H","DateFormat=P","Fill=—","Direction=H","UseDPDF=Y")</f>
        <v>—</v>
      </c>
      <c r="L105" s="13" t="str">
        <f>_xll.BDH("RCOM IN Equity","ARDR_TOTAL_FINL_LOSSES_GAINS","FY 2018","FY 2018","Currency=INR","Period=FY","BEST_FPERIOD_OVERRIDE=FY","FILING_STATUS=MR","EQY_CONSOLIDATED=Y","SCALING_FORMAT=MLN","Sort=A","Dates=H","DateFormat=P","Fill=—","Direction=H","UseDPDF=Y")</f>
        <v>—</v>
      </c>
    </row>
    <row r="106" spans="1:12">
      <c r="A106" s="10" t="s">
        <v>432</v>
      </c>
      <c r="B106" s="10" t="s">
        <v>559</v>
      </c>
      <c r="C106" s="13" t="str">
        <f>_xll.BDH("RCOM IN Equity","ARDR_TOTAL_FINANCIAL_LOSSES","FY 2009","FY 2009","Currency=INR","Period=FY","BEST_FPERIOD_OVERRIDE=FY","FILING_STATUS=MR","EQY_CONSOLIDATED=Y","SCALING_FORMAT=MLN","Sort=A","Dates=H","DateFormat=P","Fill=—","Direction=H","UseDPDF=Y")</f>
        <v>—</v>
      </c>
      <c r="D106" s="13" t="str">
        <f>_xll.BDH("RCOM IN Equity","ARDR_TOTAL_FINANCIAL_LOSSES","FY 2010","FY 2010","Currency=INR","Period=FY","BEST_FPERIOD_OVERRIDE=FY","FILING_STATUS=MR","EQY_CONSOLIDATED=Y","SCALING_FORMAT=MLN","Sort=A","Dates=H","DateFormat=P","Fill=—","Direction=H","UseDPDF=Y")</f>
        <v>—</v>
      </c>
      <c r="E106" s="13">
        <f>_xll.BDH("RCOM IN Equity","ARDR_TOTAL_FINANCIAL_LOSSES","FY 2011","FY 2011","Currency=INR","Period=FY","BEST_FPERIOD_OVERRIDE=FY","FILING_STATUS=MR","EQY_CONSOLIDATED=Y","SCALING_FORMAT=MLN","Sort=A","Dates=H","DateFormat=P","Fill=—","Direction=H","UseDPDF=Y")</f>
        <v>11330</v>
      </c>
      <c r="F106" s="13">
        <f>_xll.BDH("RCOM IN Equity","ARDR_TOTAL_FINANCIAL_LOSSES","FY 2012","FY 2012","Currency=INR","Period=FY","BEST_FPERIOD_OVERRIDE=FY","FILING_STATUS=MR","EQY_CONSOLIDATED=Y","SCALING_FORMAT=MLN","Sort=A","Dates=H","DateFormat=P","Fill=—","Direction=H","UseDPDF=Y")</f>
        <v>16300</v>
      </c>
      <c r="G106" s="13">
        <f>_xll.BDH("RCOM IN Equity","ARDR_TOTAL_FINANCIAL_LOSSES","FY 2013","FY 2013","Currency=INR","Period=FY","BEST_FPERIOD_OVERRIDE=FY","FILING_STATUS=MR","EQY_CONSOLIDATED=Y","SCALING_FORMAT=MLN","Sort=A","Dates=H","DateFormat=P","Fill=—","Direction=H","UseDPDF=Y")</f>
        <v>24990</v>
      </c>
      <c r="H106" s="13">
        <f>_xll.BDH("RCOM IN Equity","ARDR_TOTAL_FINANCIAL_LOSSES","FY 2014","FY 2014","Currency=INR","Period=FY","BEST_FPERIOD_OVERRIDE=FY","FILING_STATUS=MR","EQY_CONSOLIDATED=Y","SCALING_FORMAT=MLN","Sort=A","Dates=H","DateFormat=P","Fill=—","Direction=H","UseDPDF=Y")</f>
        <v>30190</v>
      </c>
      <c r="I106" s="13">
        <f>_xll.BDH("RCOM IN Equity","ARDR_TOTAL_FINANCIAL_LOSSES","FY 2015","FY 2015","Currency=INR","Period=FY","BEST_FPERIOD_OVERRIDE=FY","FILING_STATUS=MR","EQY_CONSOLIDATED=Y","SCALING_FORMAT=MLN","Sort=A","Dates=H","DateFormat=P","Fill=—","Direction=H","UseDPDF=Y")</f>
        <v>27550</v>
      </c>
      <c r="J106" s="13">
        <f>_xll.BDH("RCOM IN Equity","ARDR_TOTAL_FINANCIAL_LOSSES","FY 2016","FY 2016","Currency=INR","Period=FY","BEST_FPERIOD_OVERRIDE=FY","FILING_STATUS=MR","EQY_CONSOLIDATED=Y","SCALING_FORMAT=MLN","Sort=A","Dates=H","DateFormat=P","Fill=—","Direction=H","UseDPDF=Y")</f>
        <v>29240</v>
      </c>
      <c r="K106" s="13">
        <f>_xll.BDH("RCOM IN Equity","ARDR_TOTAL_FINANCIAL_LOSSES","FY 2017","FY 2017","Currency=INR","Period=FY","BEST_FPERIOD_OVERRIDE=FY","FILING_STATUS=MR","EQY_CONSOLIDATED=Y","SCALING_FORMAT=MLN","Sort=A","Dates=H","DateFormat=P","Fill=—","Direction=H","UseDPDF=Y")</f>
        <v>2550</v>
      </c>
      <c r="L106" s="13">
        <f>_xll.BDH("RCOM IN Equity","ARDR_TOTAL_FINANCIAL_LOSSES","FY 2018","FY 2018","Currency=INR","Period=FY","BEST_FPERIOD_OVERRIDE=FY","FILING_STATUS=MR","EQY_CONSOLIDATED=Y","SCALING_FORMAT=MLN","Sort=A","Dates=H","DateFormat=P","Fill=—","Direction=H","UseDPDF=Y")</f>
        <v>1860</v>
      </c>
    </row>
    <row r="107" spans="1:12">
      <c r="A107" s="10" t="s">
        <v>560</v>
      </c>
      <c r="B107" s="10" t="s">
        <v>561</v>
      </c>
      <c r="C107" s="13">
        <f>_xll.BDH("RCOM IN Equity","ARDR_WAGES_AND_SALARIES","FY 2009","FY 2009","Currency=INR","Period=FY","BEST_FPERIOD_OVERRIDE=FY","FILING_STATUS=MR","EQY_CONSOLIDATED=Y","SCALING_FORMAT=MLN","Sort=A","Dates=H","DateFormat=P","Fill=—","Direction=H","UseDPDF=Y")</f>
        <v>14441.3</v>
      </c>
      <c r="D107" s="13">
        <f>_xll.BDH("RCOM IN Equity","ARDR_WAGES_AND_SALARIES","FY 2010","FY 2010","Currency=INR","Period=FY","BEST_FPERIOD_OVERRIDE=FY","FILING_STATUS=MR","EQY_CONSOLIDATED=Y","SCALING_FORMAT=MLN","Sort=A","Dates=H","DateFormat=P","Fill=—","Direction=H","UseDPDF=Y")</f>
        <v>13458.2</v>
      </c>
      <c r="E107" s="13">
        <f>_xll.BDH("RCOM IN Equity","ARDR_WAGES_AND_SALARIES","FY 2011","FY 2011","Currency=INR","Period=FY","BEST_FPERIOD_OVERRIDE=FY","FILING_STATUS=MR","EQY_CONSOLIDATED=Y","SCALING_FORMAT=MLN","Sort=A","Dates=H","DateFormat=P","Fill=—","Direction=H","UseDPDF=Y")</f>
        <v>13250</v>
      </c>
      <c r="F107" s="13">
        <f>_xll.BDH("RCOM IN Equity","ARDR_WAGES_AND_SALARIES","FY 2012","FY 2012","Currency=INR","Period=FY","BEST_FPERIOD_OVERRIDE=FY","FILING_STATUS=MR","EQY_CONSOLIDATED=Y","SCALING_FORMAT=MLN","Sort=A","Dates=H","DateFormat=P","Fill=—","Direction=H","UseDPDF=Y")</f>
        <v>11480</v>
      </c>
      <c r="G107" s="13">
        <f>_xll.BDH("RCOM IN Equity","ARDR_WAGES_AND_SALARIES","FY 2013","FY 2013","Currency=INR","Period=FY","BEST_FPERIOD_OVERRIDE=FY","FILING_STATUS=MR","EQY_CONSOLIDATED=Y","SCALING_FORMAT=MLN","Sort=A","Dates=H","DateFormat=P","Fill=—","Direction=H","UseDPDF=Y")</f>
        <v>10570</v>
      </c>
      <c r="H107" s="13">
        <f>_xll.BDH("RCOM IN Equity","ARDR_WAGES_AND_SALARIES","FY 2014","FY 2014","Currency=INR","Period=FY","BEST_FPERIOD_OVERRIDE=FY","FILING_STATUS=MR","EQY_CONSOLIDATED=Y","SCALING_FORMAT=MLN","Sort=A","Dates=H","DateFormat=P","Fill=—","Direction=H","UseDPDF=Y")</f>
        <v>8750</v>
      </c>
      <c r="I107" s="13">
        <f>_xll.BDH("RCOM IN Equity","ARDR_WAGES_AND_SALARIES","FY 2015","FY 2015","Currency=INR","Period=FY","BEST_FPERIOD_OVERRIDE=FY","FILING_STATUS=MR","EQY_CONSOLIDATED=Y","SCALING_FORMAT=MLN","Sort=A","Dates=H","DateFormat=P","Fill=—","Direction=H","UseDPDF=Y")</f>
        <v>8560</v>
      </c>
      <c r="J107" s="13">
        <f>_xll.BDH("RCOM IN Equity","ARDR_WAGES_AND_SALARIES","FY 2016","FY 2016","Currency=INR","Period=FY","BEST_FPERIOD_OVERRIDE=FY","FILING_STATUS=MR","EQY_CONSOLIDATED=Y","SCALING_FORMAT=MLN","Sort=A","Dates=H","DateFormat=P","Fill=—","Direction=H","UseDPDF=Y")</f>
        <v>9720</v>
      </c>
      <c r="K107" s="13">
        <f>_xll.BDH("RCOM IN Equity","ARDR_WAGES_AND_SALARIES","FY 2017","FY 2017","Currency=INR","Period=FY","BEST_FPERIOD_OVERRIDE=FY","FILING_STATUS=MR","EQY_CONSOLIDATED=Y","SCALING_FORMAT=MLN","Sort=A","Dates=H","DateFormat=P","Fill=—","Direction=H","UseDPDF=Y")</f>
        <v>3760</v>
      </c>
      <c r="L107" s="13">
        <f>_xll.BDH("RCOM IN Equity","ARDR_WAGES_AND_SALARIES","FY 2018","FY 2018","Currency=INR","Period=FY","BEST_FPERIOD_OVERRIDE=FY","FILING_STATUS=MR","EQY_CONSOLIDATED=Y","SCALING_FORMAT=MLN","Sort=A","Dates=H","DateFormat=P","Fill=—","Direction=H","UseDPDF=Y")</f>
        <v>3900</v>
      </c>
    </row>
    <row r="108" spans="1:12">
      <c r="A108" s="10" t="s">
        <v>562</v>
      </c>
      <c r="B108" s="10" t="s">
        <v>563</v>
      </c>
      <c r="C108" s="13" t="str">
        <f>_xll.BDH("RCOM IN Equity","ARDR_LOSS_GAIN_DISPOS_LT_INVEST","FY 2009","FY 2009","Currency=INR","Period=FY","BEST_FPERIOD_OVERRIDE=FY","FILING_STATUS=MR","EQY_CONSOLIDATED=Y","SCALING_FORMAT=MLN","Sort=A","Dates=H","DateFormat=P","Fill=—","Direction=H","UseDPDF=Y")</f>
        <v>—</v>
      </c>
      <c r="D108" s="13" t="str">
        <f>_xll.BDH("RCOM IN Equity","ARDR_LOSS_GAIN_DISPOS_LT_INVEST","FY 2010","FY 2010","Currency=INR","Period=FY","BEST_FPERIOD_OVERRIDE=FY","FILING_STATUS=MR","EQY_CONSOLIDATED=Y","SCALING_FORMAT=MLN","Sort=A","Dates=H","DateFormat=P","Fill=—","Direction=H","UseDPDF=Y")</f>
        <v>—</v>
      </c>
      <c r="E108" s="13" t="str">
        <f>_xll.BDH("RCOM IN Equity","ARDR_LOSS_GAIN_DISPOS_LT_INVEST","FY 2011","FY 2011","Currency=INR","Period=FY","BEST_FPERIOD_OVERRIDE=FY","FILING_STATUS=MR","EQY_CONSOLIDATED=Y","SCALING_FORMAT=MLN","Sort=A","Dates=H","DateFormat=P","Fill=—","Direction=H","UseDPDF=Y")</f>
        <v>—</v>
      </c>
      <c r="F108" s="13">
        <f>_xll.BDH("RCOM IN Equity","ARDR_LOSS_GAIN_DISPOS_LT_INVEST","FY 2012","FY 2012","Currency=INR","Period=FY","BEST_FPERIOD_OVERRIDE=FY","FILING_STATUS=MR","EQY_CONSOLIDATED=Y","SCALING_FORMAT=MLN","Sort=A","Dates=H","DateFormat=P","Fill=—","Direction=H","UseDPDF=Y")</f>
        <v>-230</v>
      </c>
      <c r="G108" s="13" t="str">
        <f>_xll.BDH("RCOM IN Equity","ARDR_LOSS_GAIN_DISPOS_LT_INVEST","FY 2013","FY 2013","Currency=INR","Period=FY","BEST_FPERIOD_OVERRIDE=FY","FILING_STATUS=MR","EQY_CONSOLIDATED=Y","SCALING_FORMAT=MLN","Sort=A","Dates=H","DateFormat=P","Fill=—","Direction=H","UseDPDF=Y")</f>
        <v>—</v>
      </c>
      <c r="H108" s="13" t="str">
        <f>_xll.BDH("RCOM IN Equity","ARDR_LOSS_GAIN_DISPOS_LT_INVEST","FY 2014","FY 2014","Currency=INR","Period=FY","BEST_FPERIOD_OVERRIDE=FY","FILING_STATUS=MR","EQY_CONSOLIDATED=Y","SCALING_FORMAT=MLN","Sort=A","Dates=H","DateFormat=P","Fill=—","Direction=H","UseDPDF=Y")</f>
        <v>—</v>
      </c>
      <c r="I108" s="13" t="str">
        <f>_xll.BDH("RCOM IN Equity","ARDR_LOSS_GAIN_DISPOS_LT_INVEST","FY 2015","FY 2015","Currency=INR","Period=FY","BEST_FPERIOD_OVERRIDE=FY","FILING_STATUS=MR","EQY_CONSOLIDATED=Y","SCALING_FORMAT=MLN","Sort=A","Dates=H","DateFormat=P","Fill=—","Direction=H","UseDPDF=Y")</f>
        <v>—</v>
      </c>
      <c r="J108" s="13" t="str">
        <f>_xll.BDH("RCOM IN Equity","ARDR_LOSS_GAIN_DISPOS_LT_INVEST","FY 2016","FY 2016","Currency=INR","Period=FY","BEST_FPERIOD_OVERRIDE=FY","FILING_STATUS=MR","EQY_CONSOLIDATED=Y","SCALING_FORMAT=MLN","Sort=A","Dates=H","DateFormat=P","Fill=—","Direction=H","UseDPDF=Y")</f>
        <v>—</v>
      </c>
      <c r="K108" s="13" t="str">
        <f>_xll.BDH("RCOM IN Equity","ARDR_LOSS_GAIN_DISPOS_LT_INVEST","FY 2017","FY 2017","Currency=INR","Period=FY","BEST_FPERIOD_OVERRIDE=FY","FILING_STATUS=MR","EQY_CONSOLIDATED=Y","SCALING_FORMAT=MLN","Sort=A","Dates=H","DateFormat=P","Fill=—","Direction=H","UseDPDF=Y")</f>
        <v>—</v>
      </c>
      <c r="L108" s="13" t="str">
        <f>_xll.BDH("RCOM IN Equity","ARDR_LOSS_GAIN_DISPOS_LT_INVEST","FY 2018","FY 2018","Currency=INR","Period=FY","BEST_FPERIOD_OVERRIDE=FY","FILING_STATUS=MR","EQY_CONSOLIDATED=Y","SCALING_FORMAT=MLN","Sort=A","Dates=H","DateFormat=P","Fill=—","Direction=H","UseDPDF=Y")</f>
        <v>—</v>
      </c>
    </row>
    <row r="109" spans="1:12">
      <c r="A109" s="10" t="s">
        <v>564</v>
      </c>
      <c r="B109" s="10" t="s">
        <v>565</v>
      </c>
      <c r="C109" s="13" t="str">
        <f>_xll.BDH("RCOM IN Equity","ARDR_SHARE_BASED_COMPENSATION","FY 2009","FY 2009","Currency=INR","Period=FY","BEST_FPERIOD_OVERRIDE=FY","FILING_STATUS=MR","EQY_CONSOLIDATED=Y","SCALING_FORMAT=MLN","Sort=A","Dates=H","DateFormat=P","Fill=—","Direction=H","UseDPDF=Y")</f>
        <v>—</v>
      </c>
      <c r="D109" s="13" t="str">
        <f>_xll.BDH("RCOM IN Equity","ARDR_SHARE_BASED_COMPENSATION","FY 2010","FY 2010","Currency=INR","Period=FY","BEST_FPERIOD_OVERRIDE=FY","FILING_STATUS=MR","EQY_CONSOLIDATED=Y","SCALING_FORMAT=MLN","Sort=A","Dates=H","DateFormat=P","Fill=—","Direction=H","UseDPDF=Y")</f>
        <v>—</v>
      </c>
      <c r="E109" s="13">
        <f>_xll.BDH("RCOM IN Equity","ARDR_SHARE_BASED_COMPENSATION","FY 2011","FY 2011","Currency=INR","Period=FY","BEST_FPERIOD_OVERRIDE=FY","FILING_STATUS=MR","EQY_CONSOLIDATED=Y","SCALING_FORMAT=MLN","Sort=A","Dates=H","DateFormat=P","Fill=—","Direction=H","UseDPDF=Y")</f>
        <v>-70</v>
      </c>
      <c r="F109" s="13">
        <f>_xll.BDH("RCOM IN Equity","ARDR_SHARE_BASED_COMPENSATION","FY 2012","FY 2012","Currency=INR","Period=FY","BEST_FPERIOD_OVERRIDE=FY","FILING_STATUS=MR","EQY_CONSOLIDATED=Y","SCALING_FORMAT=MLN","Sort=A","Dates=H","DateFormat=P","Fill=—","Direction=H","UseDPDF=Y")</f>
        <v>-50</v>
      </c>
      <c r="G109" s="13">
        <f>_xll.BDH("RCOM IN Equity","ARDR_SHARE_BASED_COMPENSATION","FY 2013","FY 2013","Currency=INR","Period=FY","BEST_FPERIOD_OVERRIDE=FY","FILING_STATUS=MR","EQY_CONSOLIDATED=Y","SCALING_FORMAT=MLN","Sort=A","Dates=H","DateFormat=P","Fill=—","Direction=H","UseDPDF=Y")</f>
        <v>-20</v>
      </c>
      <c r="H109" s="13">
        <f>_xll.BDH("RCOM IN Equity","ARDR_SHARE_BASED_COMPENSATION","FY 2014","FY 2014","Currency=INR","Period=FY","BEST_FPERIOD_OVERRIDE=FY","FILING_STATUS=MR","EQY_CONSOLIDATED=Y","SCALING_FORMAT=MLN","Sort=A","Dates=H","DateFormat=P","Fill=—","Direction=H","UseDPDF=Y")</f>
        <v>-10</v>
      </c>
      <c r="I109" s="13">
        <f>_xll.BDH("RCOM IN Equity","ARDR_SHARE_BASED_COMPENSATION","FY 2015","FY 2015","Currency=INR","Period=FY","BEST_FPERIOD_OVERRIDE=FY","FILING_STATUS=MR","EQY_CONSOLIDATED=Y","SCALING_FORMAT=MLN","Sort=A","Dates=H","DateFormat=P","Fill=—","Direction=H","UseDPDF=Y")</f>
        <v>-20</v>
      </c>
      <c r="J109" s="13">
        <f>_xll.BDH("RCOM IN Equity","ARDR_SHARE_BASED_COMPENSATION","FY 2016","FY 2016","Currency=INR","Period=FY","BEST_FPERIOD_OVERRIDE=FY","FILING_STATUS=MR","EQY_CONSOLIDATED=Y","SCALING_FORMAT=MLN","Sort=A","Dates=H","DateFormat=P","Fill=—","Direction=H","UseDPDF=Y")</f>
        <v>0</v>
      </c>
      <c r="K109" s="13" t="str">
        <f>_xll.BDH("RCOM IN Equity","ARDR_SHARE_BASED_COMPENSATION","FY 2017","FY 2017","Currency=INR","Period=FY","BEST_FPERIOD_OVERRIDE=FY","FILING_STATUS=MR","EQY_CONSOLIDATED=Y","SCALING_FORMAT=MLN","Sort=A","Dates=H","DateFormat=P","Fill=—","Direction=H","UseDPDF=Y")</f>
        <v>—</v>
      </c>
      <c r="L109" s="13" t="str">
        <f>_xll.BDH("RCOM IN Equity","ARDR_SHARE_BASED_COMPENSATION","FY 2018","FY 2018","Currency=INR","Period=FY","BEST_FPERIOD_OVERRIDE=FY","FILING_STATUS=MR","EQY_CONSOLIDATED=Y","SCALING_FORMAT=MLN","Sort=A","Dates=H","DateFormat=P","Fill=—","Direction=H","UseDPDF=Y")</f>
        <v>—</v>
      </c>
    </row>
    <row r="110" spans="1:12">
      <c r="A110" s="10" t="s">
        <v>566</v>
      </c>
      <c r="B110" s="10" t="s">
        <v>567</v>
      </c>
      <c r="C110" s="13" t="str">
        <f>_xll.BDH("RCOM IN Equity","ARDR_TOT_FEES_PAID_AUDIT_FIRMS","FY 2009","FY 2009","Currency=INR","Period=FY","BEST_FPERIOD_OVERRIDE=FY","FILING_STATUS=MR","EQY_CONSOLIDATED=Y","SCALING_FORMAT=MLN","Sort=A","Dates=H","DateFormat=P","Fill=—","Direction=H","UseDPDF=Y")</f>
        <v>—</v>
      </c>
      <c r="D110" s="13" t="str">
        <f>_xll.BDH("RCOM IN Equity","ARDR_TOT_FEES_PAID_AUDIT_FIRMS","FY 2010","FY 2010","Currency=INR","Period=FY","BEST_FPERIOD_OVERRIDE=FY","FILING_STATUS=MR","EQY_CONSOLIDATED=Y","SCALING_FORMAT=MLN","Sort=A","Dates=H","DateFormat=P","Fill=—","Direction=H","UseDPDF=Y")</f>
        <v>—</v>
      </c>
      <c r="E110" s="13" t="str">
        <f>_xll.BDH("RCOM IN Equity","ARDR_TOT_FEES_PAID_AUDIT_FIRMS","FY 2011","FY 2011","Currency=INR","Period=FY","BEST_FPERIOD_OVERRIDE=FY","FILING_STATUS=MR","EQY_CONSOLIDATED=Y","SCALING_FORMAT=MLN","Sort=A","Dates=H","DateFormat=P","Fill=—","Direction=H","UseDPDF=Y")</f>
        <v>—</v>
      </c>
      <c r="F110" s="13" t="str">
        <f>_xll.BDH("RCOM IN Equity","ARDR_TOT_FEES_PAID_AUDIT_FIRMS","FY 2012","FY 2012","Currency=INR","Period=FY","BEST_FPERIOD_OVERRIDE=FY","FILING_STATUS=MR","EQY_CONSOLIDATED=Y","SCALING_FORMAT=MLN","Sort=A","Dates=H","DateFormat=P","Fill=—","Direction=H","UseDPDF=Y")</f>
        <v>—</v>
      </c>
      <c r="G110" s="13" t="str">
        <f>_xll.BDH("RCOM IN Equity","ARDR_TOT_FEES_PAID_AUDIT_FIRMS","FY 2013","FY 2013","Currency=INR","Period=FY","BEST_FPERIOD_OVERRIDE=FY","FILING_STATUS=MR","EQY_CONSOLIDATED=Y","SCALING_FORMAT=MLN","Sort=A","Dates=H","DateFormat=P","Fill=—","Direction=H","UseDPDF=Y")</f>
        <v>—</v>
      </c>
      <c r="H110" s="13" t="str">
        <f>_xll.BDH("RCOM IN Equity","ARDR_TOT_FEES_PAID_AUDIT_FIRMS","FY 2014","FY 2014","Currency=INR","Period=FY","BEST_FPERIOD_OVERRIDE=FY","FILING_STATUS=MR","EQY_CONSOLIDATED=Y","SCALING_FORMAT=MLN","Sort=A","Dates=H","DateFormat=P","Fill=—","Direction=H","UseDPDF=Y")</f>
        <v>—</v>
      </c>
      <c r="I110" s="13" t="str">
        <f>_xll.BDH("RCOM IN Equity","ARDR_TOT_FEES_PAID_AUDIT_FIRMS","FY 2015","FY 2015","Currency=INR","Period=FY","BEST_FPERIOD_OVERRIDE=FY","FILING_STATUS=MR","EQY_CONSOLIDATED=Y","SCALING_FORMAT=MLN","Sort=A","Dates=H","DateFormat=P","Fill=—","Direction=H","UseDPDF=Y")</f>
        <v>—</v>
      </c>
      <c r="J110" s="13">
        <f>_xll.BDH("RCOM IN Equity","ARDR_TOT_FEES_PAID_AUDIT_FIRMS","FY 2016","FY 2016","Currency=INR","Period=FY","BEST_FPERIOD_OVERRIDE=FY","FILING_STATUS=MR","EQY_CONSOLIDATED=Y","SCALING_FORMAT=MLN","Sort=A","Dates=H","DateFormat=P","Fill=—","Direction=H","UseDPDF=Y")</f>
        <v>90</v>
      </c>
      <c r="K110" s="13">
        <f>_xll.BDH("RCOM IN Equity","ARDR_TOT_FEES_PAID_AUDIT_FIRMS","FY 2017","FY 2017","Currency=INR","Period=FY","BEST_FPERIOD_OVERRIDE=FY","FILING_STATUS=MR","EQY_CONSOLIDATED=Y","SCALING_FORMAT=MLN","Sort=A","Dates=H","DateFormat=P","Fill=—","Direction=H","UseDPDF=Y")</f>
        <v>80</v>
      </c>
      <c r="L110" s="13">
        <f>_xll.BDH("RCOM IN Equity","ARDR_TOT_FEES_PAID_AUDIT_FIRMS","FY 2018","FY 2018","Currency=INR","Period=FY","BEST_FPERIOD_OVERRIDE=FY","FILING_STATUS=MR","EQY_CONSOLIDATED=Y","SCALING_FORMAT=MLN","Sort=A","Dates=H","DateFormat=P","Fill=—","Direction=H","UseDPDF=Y")</f>
        <v>50</v>
      </c>
    </row>
    <row r="111" spans="1:12">
      <c r="A111" s="10" t="s">
        <v>568</v>
      </c>
      <c r="B111" s="10" t="s">
        <v>569</v>
      </c>
      <c r="C111" s="13">
        <f>_xll.BDH("RCOM IN Equity","ARDR_WTD_AVG_NUM_POTEN_DIL_SH","FY 2009","FY 2009","Currency=INR","Period=FY","BEST_FPERIOD_OVERRIDE=FY","FILING_STATUS=MR","EQY_CONSOLIDATED=Y","SCALING_FORMAT=MLN","Sort=A","Dates=H","DateFormat=P","Fill=—","Direction=H","UseDPDF=Y")</f>
        <v>60449.3</v>
      </c>
      <c r="D111" s="13">
        <f>_xll.BDH("RCOM IN Equity","ARDR_WTD_AVG_NUM_POTEN_DIL_SH","FY 2010","FY 2010","Currency=INR","Period=FY","BEST_FPERIOD_OVERRIDE=FY","FILING_STATUS=MR","EQY_CONSOLIDATED=Y","SCALING_FORMAT=MLN","Sort=A","Dates=H","DateFormat=P","Fill=—","Direction=H","UseDPDF=Y")</f>
        <v>46550</v>
      </c>
      <c r="E111" s="13">
        <f>_xll.BDH("RCOM IN Equity","ARDR_WTD_AVG_NUM_POTEN_DIL_SH","FY 2011","FY 2011","Currency=INR","Period=FY","BEST_FPERIOD_OVERRIDE=FY","FILING_STATUS=MR","EQY_CONSOLIDATED=Y","SCALING_FORMAT=MLN","Sort=A","Dates=H","DateFormat=P","Fill=—","Direction=H","UseDPDF=Y")</f>
        <v>13460</v>
      </c>
      <c r="F111" s="13">
        <f>_xll.BDH("RCOM IN Equity","ARDR_WTD_AVG_NUM_POTEN_DIL_SH","FY 2012","FY 2012","Currency=INR","Period=FY","BEST_FPERIOD_OVERRIDE=FY","FILING_STATUS=MR","EQY_CONSOLIDATED=Y","SCALING_FORMAT=MLN","Sort=A","Dates=H","DateFormat=P","Fill=—","Direction=H","UseDPDF=Y")</f>
        <v>9280</v>
      </c>
      <c r="G111" s="13">
        <f>_xll.BDH("RCOM IN Equity","ARDR_WTD_AVG_NUM_POTEN_DIL_SH","FY 2013","FY 2013","Currency=INR","Period=FY","BEST_FPERIOD_OVERRIDE=FY","FILING_STATUS=MR","EQY_CONSOLIDATED=Y","SCALING_FORMAT=MLN","Sort=A","Dates=H","DateFormat=P","Fill=—","Direction=H","UseDPDF=Y")</f>
        <v>6720</v>
      </c>
      <c r="H111" s="13">
        <f>_xll.BDH("RCOM IN Equity","ARDR_WTD_AVG_NUM_POTEN_DIL_SH","FY 2014","FY 2014","Currency=INR","Period=FY","BEST_FPERIOD_OVERRIDE=FY","FILING_STATUS=MR","EQY_CONSOLIDATED=Y","SCALING_FORMAT=MLN","Sort=A","Dates=H","DateFormat=P","Fill=—","Direction=H","UseDPDF=Y")</f>
        <v>10470</v>
      </c>
      <c r="I111" s="13">
        <f>_xll.BDH("RCOM IN Equity","ARDR_WTD_AVG_NUM_POTEN_DIL_SH","FY 2015","FY 2015","Currency=INR","Period=FY","BEST_FPERIOD_OVERRIDE=FY","FILING_STATUS=MR","EQY_CONSOLIDATED=Y","SCALING_FORMAT=MLN","Sort=A","Dates=H","DateFormat=P","Fill=—","Direction=H","UseDPDF=Y")</f>
        <v>7140</v>
      </c>
      <c r="J111" s="13" t="str">
        <f>_xll.BDH("RCOM IN Equity","ARDR_WTD_AVG_NUM_POTEN_DIL_SH","FY 2016","FY 2016","Currency=INR","Period=FY","BEST_FPERIOD_OVERRIDE=FY","FILING_STATUS=MR","EQY_CONSOLIDATED=Y","SCALING_FORMAT=MLN","Sort=A","Dates=H","DateFormat=P","Fill=—","Direction=H","UseDPDF=Y")</f>
        <v>—</v>
      </c>
      <c r="K111" s="13" t="str">
        <f>_xll.BDH("RCOM IN Equity","ARDR_WTD_AVG_NUM_POTEN_DIL_SH","FY 2017","FY 2017","Currency=INR","Period=FY","BEST_FPERIOD_OVERRIDE=FY","FILING_STATUS=MR","EQY_CONSOLIDATED=Y","SCALING_FORMAT=MLN","Sort=A","Dates=H","DateFormat=P","Fill=—","Direction=H","UseDPDF=Y")</f>
        <v>—</v>
      </c>
      <c r="L111" s="13" t="str">
        <f>_xll.BDH("RCOM IN Equity","ARDR_WTD_AVG_NUM_POTEN_DIL_SH","FY 2018","FY 2018","Currency=INR","Period=FY","BEST_FPERIOD_OVERRIDE=FY","FILING_STATUS=MR","EQY_CONSOLIDATED=Y","SCALING_FORMAT=MLN","Sort=A","Dates=H","DateFormat=P","Fill=—","Direction=H","UseDPDF=Y")</f>
        <v>—</v>
      </c>
    </row>
    <row r="112" spans="1:12">
      <c r="A112" s="10" t="s">
        <v>434</v>
      </c>
      <c r="B112" s="10" t="s">
        <v>570</v>
      </c>
      <c r="C112" s="13">
        <f>_xll.BDH("RCOM IN Equity","ARDR_FINANCIAL_INCOME","FY 2009","FY 2009","Currency=INR","Period=FY","BEST_FPERIOD_OVERRIDE=FY","FILING_STATUS=MR","EQY_CONSOLIDATED=Y","SCALING_FORMAT=MLN","Sort=A","Dates=H","DateFormat=P","Fill=—","Direction=H","UseDPDF=Y")</f>
        <v>-15780.6</v>
      </c>
      <c r="D112" s="13">
        <f>_xll.BDH("RCOM IN Equity","ARDR_FINANCIAL_INCOME","FY 2010","FY 2010","Currency=INR","Period=FY","BEST_FPERIOD_OVERRIDE=FY","FILING_STATUS=MR","EQY_CONSOLIDATED=Y","SCALING_FORMAT=MLN","Sort=A","Dates=H","DateFormat=P","Fill=—","Direction=H","UseDPDF=Y")</f>
        <v>-931.5</v>
      </c>
      <c r="E112" s="13" t="str">
        <f>_xll.BDH("RCOM IN Equity","ARDR_FINANCIAL_INCOME","FY 2011","FY 2011","Currency=INR","Period=FY","BEST_FPERIOD_OVERRIDE=FY","FILING_STATUS=MR","EQY_CONSOLIDATED=Y","SCALING_FORMAT=MLN","Sort=A","Dates=H","DateFormat=P","Fill=—","Direction=H","UseDPDF=Y")</f>
        <v>—</v>
      </c>
      <c r="F112" s="13" t="str">
        <f>_xll.BDH("RCOM IN Equity","ARDR_FINANCIAL_INCOME","FY 2012","FY 2012","Currency=INR","Period=FY","BEST_FPERIOD_OVERRIDE=FY","FILING_STATUS=MR","EQY_CONSOLIDATED=Y","SCALING_FORMAT=MLN","Sort=A","Dates=H","DateFormat=P","Fill=—","Direction=H","UseDPDF=Y")</f>
        <v>—</v>
      </c>
      <c r="G112" s="13" t="str">
        <f>_xll.BDH("RCOM IN Equity","ARDR_FINANCIAL_INCOME","FY 2013","FY 2013","Currency=INR","Period=FY","BEST_FPERIOD_OVERRIDE=FY","FILING_STATUS=MR","EQY_CONSOLIDATED=Y","SCALING_FORMAT=MLN","Sort=A","Dates=H","DateFormat=P","Fill=—","Direction=H","UseDPDF=Y")</f>
        <v>—</v>
      </c>
      <c r="H112" s="13" t="str">
        <f>_xll.BDH("RCOM IN Equity","ARDR_FINANCIAL_INCOME","FY 2014","FY 2014","Currency=INR","Period=FY","BEST_FPERIOD_OVERRIDE=FY","FILING_STATUS=MR","EQY_CONSOLIDATED=Y","SCALING_FORMAT=MLN","Sort=A","Dates=H","DateFormat=P","Fill=—","Direction=H","UseDPDF=Y")</f>
        <v>—</v>
      </c>
      <c r="I112" s="13" t="str">
        <f>_xll.BDH("RCOM IN Equity","ARDR_FINANCIAL_INCOME","FY 2015","FY 2015","Currency=INR","Period=FY","BEST_FPERIOD_OVERRIDE=FY","FILING_STATUS=MR","EQY_CONSOLIDATED=Y","SCALING_FORMAT=MLN","Sort=A","Dates=H","DateFormat=P","Fill=—","Direction=H","UseDPDF=Y")</f>
        <v>—</v>
      </c>
      <c r="J112" s="13" t="str">
        <f>_xll.BDH("RCOM IN Equity","ARDR_FINANCIAL_INCOME","FY 2016","FY 2016","Currency=INR","Period=FY","BEST_FPERIOD_OVERRIDE=FY","FILING_STATUS=MR","EQY_CONSOLIDATED=Y","SCALING_FORMAT=MLN","Sort=A","Dates=H","DateFormat=P","Fill=—","Direction=H","UseDPDF=Y")</f>
        <v>—</v>
      </c>
      <c r="K112" s="13" t="str">
        <f>_xll.BDH("RCOM IN Equity","ARDR_FINANCIAL_INCOME","FY 2017","FY 2017","Currency=INR","Period=FY","BEST_FPERIOD_OVERRIDE=FY","FILING_STATUS=MR","EQY_CONSOLIDATED=Y","SCALING_FORMAT=MLN","Sort=A","Dates=H","DateFormat=P","Fill=—","Direction=H","UseDPDF=Y")</f>
        <v>—</v>
      </c>
      <c r="L112" s="13" t="str">
        <f>_xll.BDH("RCOM IN Equity","ARDR_FINANCIAL_INCOME","FY 2018","FY 2018","Currency=INR","Period=FY","BEST_FPERIOD_OVERRIDE=FY","FILING_STATUS=MR","EQY_CONSOLIDATED=Y","SCALING_FORMAT=MLN","Sort=A","Dates=H","DateFormat=P","Fill=—","Direction=H","UseDPDF=Y")</f>
        <v>—</v>
      </c>
    </row>
    <row r="113" spans="1:12">
      <c r="A113" s="10" t="s">
        <v>373</v>
      </c>
      <c r="B113" s="10" t="s">
        <v>571</v>
      </c>
      <c r="C113" s="13" t="str">
        <f>_xll.BDH("RCOM IN Equity","ARDR_RENTAL_EXP","FY 2009","FY 2009","Currency=INR","Period=FY","BEST_FPERIOD_OVERRIDE=FY","FILING_STATUS=MR","EQY_CONSOLIDATED=Y","SCALING_FORMAT=MLN","Sort=A","Dates=H","DateFormat=P","Fill=—","Direction=H","UseDPDF=Y")</f>
        <v>—</v>
      </c>
      <c r="D113" s="13">
        <f>_xll.BDH("RCOM IN Equity","ARDR_RENTAL_EXP","FY 2010","FY 2010","Currency=INR","Period=FY","BEST_FPERIOD_OVERRIDE=FY","FILING_STATUS=MR","EQY_CONSOLIDATED=Y","SCALING_FORMAT=MLN","Sort=A","Dates=H","DateFormat=P","Fill=—","Direction=H","UseDPDF=Y")</f>
        <v>3950.2</v>
      </c>
      <c r="E113" s="13">
        <f>_xll.BDH("RCOM IN Equity","ARDR_RENTAL_EXP","FY 2011","FY 2011","Currency=INR","Period=FY","BEST_FPERIOD_OVERRIDE=FY","FILING_STATUS=MR","EQY_CONSOLIDATED=Y","SCALING_FORMAT=MLN","Sort=A","Dates=H","DateFormat=P","Fill=—","Direction=H","UseDPDF=Y")</f>
        <v>3420</v>
      </c>
      <c r="F113" s="13">
        <f>_xll.BDH("RCOM IN Equity","ARDR_RENTAL_EXP","FY 2012","FY 2012","Currency=INR","Period=FY","BEST_FPERIOD_OVERRIDE=FY","FILING_STATUS=MR","EQY_CONSOLIDATED=Y","SCALING_FORMAT=MLN","Sort=A","Dates=H","DateFormat=P","Fill=—","Direction=H","UseDPDF=Y")</f>
        <v>3040</v>
      </c>
      <c r="G113" s="13">
        <f>_xll.BDH("RCOM IN Equity","ARDR_RENTAL_EXP","FY 2013","FY 2013","Currency=INR","Period=FY","BEST_FPERIOD_OVERRIDE=FY","FILING_STATUS=MR","EQY_CONSOLIDATED=Y","SCALING_FORMAT=MLN","Sort=A","Dates=H","DateFormat=P","Fill=—","Direction=H","UseDPDF=Y")</f>
        <v>3640</v>
      </c>
      <c r="H113" s="13">
        <f>_xll.BDH("RCOM IN Equity","ARDR_RENTAL_EXP","FY 2014","FY 2014","Currency=INR","Period=FY","BEST_FPERIOD_OVERRIDE=FY","FILING_STATUS=MR","EQY_CONSOLIDATED=Y","SCALING_FORMAT=MLN","Sort=A","Dates=H","DateFormat=P","Fill=—","Direction=H","UseDPDF=Y")</f>
        <v>2250</v>
      </c>
      <c r="I113" s="13">
        <f>_xll.BDH("RCOM IN Equity","ARDR_RENTAL_EXP","FY 2015","FY 2015","Currency=INR","Period=FY","BEST_FPERIOD_OVERRIDE=FY","FILING_STATUS=MR","EQY_CONSOLIDATED=Y","SCALING_FORMAT=MLN","Sort=A","Dates=H","DateFormat=P","Fill=—","Direction=H","UseDPDF=Y")</f>
        <v>2110</v>
      </c>
      <c r="J113" s="13">
        <f>_xll.BDH("RCOM IN Equity","ARDR_RENTAL_EXP","FY 2016","FY 2016","Currency=INR","Period=FY","BEST_FPERIOD_OVERRIDE=FY","FILING_STATUS=MR","EQY_CONSOLIDATED=Y","SCALING_FORMAT=MLN","Sort=A","Dates=H","DateFormat=P","Fill=—","Direction=H","UseDPDF=Y")</f>
        <v>800</v>
      </c>
      <c r="K113" s="13">
        <f>_xll.BDH("RCOM IN Equity","ARDR_RENTAL_EXP","FY 2017","FY 2017","Currency=INR","Period=FY","BEST_FPERIOD_OVERRIDE=FY","FILING_STATUS=MR","EQY_CONSOLIDATED=Y","SCALING_FORMAT=MLN","Sort=A","Dates=H","DateFormat=P","Fill=—","Direction=H","UseDPDF=Y")</f>
        <v>250</v>
      </c>
      <c r="L113" s="13">
        <f>_xll.BDH("RCOM IN Equity","ARDR_RENTAL_EXP","FY 2018","FY 2018","Currency=INR","Period=FY","BEST_FPERIOD_OVERRIDE=FY","FILING_STATUS=MR","EQY_CONSOLIDATED=Y","SCALING_FORMAT=MLN","Sort=A","Dates=H","DateFormat=P","Fill=—","Direction=H","UseDPDF=Y")</f>
        <v>790</v>
      </c>
    </row>
    <row r="114" spans="1:12">
      <c r="A114" s="10" t="s">
        <v>572</v>
      </c>
      <c r="B114" s="10" t="s">
        <v>573</v>
      </c>
      <c r="C114" s="13">
        <f>_xll.BDH("RCOM IN Equity","ARDR_OTHER_FINANCIAL_LOSSES","FY 2009","FY 2009","Currency=INR","Period=FY","BEST_FPERIOD_OVERRIDE=FY","FILING_STATUS=MR","EQY_CONSOLIDATED=Y","SCALING_FORMAT=MLN","Sort=A","Dates=H","DateFormat=P","Fill=—","Direction=H","UseDPDF=Y")</f>
        <v>-1407.3</v>
      </c>
      <c r="D114" s="13">
        <f>_xll.BDH("RCOM IN Equity","ARDR_OTHER_FINANCIAL_LOSSES","FY 2010","FY 2010","Currency=INR","Period=FY","BEST_FPERIOD_OVERRIDE=FY","FILING_STATUS=MR","EQY_CONSOLIDATED=Y","SCALING_FORMAT=MLN","Sort=A","Dates=H","DateFormat=P","Fill=—","Direction=H","UseDPDF=Y")</f>
        <v>-24353.8</v>
      </c>
      <c r="E114" s="13">
        <f>_xll.BDH("RCOM IN Equity","ARDR_OTHER_FINANCIAL_LOSSES","FY 2011","FY 2011","Currency=INR","Period=FY","BEST_FPERIOD_OVERRIDE=FY","FILING_STATUS=MR","EQY_CONSOLIDATED=Y","SCALING_FORMAT=MLN","Sort=A","Dates=H","DateFormat=P","Fill=—","Direction=H","UseDPDF=Y")</f>
        <v>2310</v>
      </c>
      <c r="F114" s="13">
        <f>_xll.BDH("RCOM IN Equity","ARDR_OTHER_FINANCIAL_LOSSES","FY 2012","FY 2012","Currency=INR","Period=FY","BEST_FPERIOD_OVERRIDE=FY","FILING_STATUS=MR","EQY_CONSOLIDATED=Y","SCALING_FORMAT=MLN","Sort=A","Dates=H","DateFormat=P","Fill=—","Direction=H","UseDPDF=Y")</f>
        <v>1530</v>
      </c>
      <c r="G114" s="13">
        <f>_xll.BDH("RCOM IN Equity","ARDR_OTHER_FINANCIAL_LOSSES","FY 2013","FY 2013","Currency=INR","Period=FY","BEST_FPERIOD_OVERRIDE=FY","FILING_STATUS=MR","EQY_CONSOLIDATED=Y","SCALING_FORMAT=MLN","Sort=A","Dates=H","DateFormat=P","Fill=—","Direction=H","UseDPDF=Y")</f>
        <v>2340</v>
      </c>
      <c r="H114" s="13">
        <f>_xll.BDH("RCOM IN Equity","ARDR_OTHER_FINANCIAL_LOSSES","FY 2014","FY 2014","Currency=INR","Period=FY","BEST_FPERIOD_OVERRIDE=FY","FILING_STATUS=MR","EQY_CONSOLIDATED=Y","SCALING_FORMAT=MLN","Sort=A","Dates=H","DateFormat=P","Fill=—","Direction=H","UseDPDF=Y")</f>
        <v>2290</v>
      </c>
      <c r="I114" s="13">
        <f>_xll.BDH("RCOM IN Equity","ARDR_OTHER_FINANCIAL_LOSSES","FY 2015","FY 2015","Currency=INR","Period=FY","BEST_FPERIOD_OVERRIDE=FY","FILING_STATUS=MR","EQY_CONSOLIDATED=Y","SCALING_FORMAT=MLN","Sort=A","Dates=H","DateFormat=P","Fill=—","Direction=H","UseDPDF=Y")</f>
        <v>2930</v>
      </c>
      <c r="J114" s="13">
        <f>_xll.BDH("RCOM IN Equity","ARDR_OTHER_FINANCIAL_LOSSES","FY 2016","FY 2016","Currency=INR","Period=FY","BEST_FPERIOD_OVERRIDE=FY","FILING_STATUS=MR","EQY_CONSOLIDATED=Y","SCALING_FORMAT=MLN","Sort=A","Dates=H","DateFormat=P","Fill=—","Direction=H","UseDPDF=Y")</f>
        <v>6080</v>
      </c>
      <c r="K114" s="13">
        <f>_xll.BDH("RCOM IN Equity","ARDR_OTHER_FINANCIAL_LOSSES","FY 2017","FY 2017","Currency=INR","Period=FY","BEST_FPERIOD_OVERRIDE=FY","FILING_STATUS=MR","EQY_CONSOLIDATED=Y","SCALING_FORMAT=MLN","Sort=A","Dates=H","DateFormat=P","Fill=—","Direction=H","UseDPDF=Y")</f>
        <v>300</v>
      </c>
      <c r="L114" s="13">
        <f>_xll.BDH("RCOM IN Equity","ARDR_OTHER_FINANCIAL_LOSSES","FY 2018","FY 2018","Currency=INR","Period=FY","BEST_FPERIOD_OVERRIDE=FY","FILING_STATUS=MR","EQY_CONSOLIDATED=Y","SCALING_FORMAT=MLN","Sort=A","Dates=H","DateFormat=P","Fill=—","Direction=H","UseDPDF=Y")</f>
        <v>180</v>
      </c>
    </row>
    <row r="115" spans="1:12">
      <c r="A115" s="10" t="s">
        <v>461</v>
      </c>
      <c r="B115" s="10" t="s">
        <v>574</v>
      </c>
      <c r="C115" s="13" t="str">
        <f>_xll.BDH("RCOM IN Equity","ARDR_PROPOSED_FINAL_DIVIDEND","FY 2009","FY 2009","Currency=INR","Period=FY","BEST_FPERIOD_OVERRIDE=FY","FILING_STATUS=MR","EQY_CONSOLIDATED=Y","SCALING_FORMAT=MLN","Sort=A","Dates=H","DateFormat=P","Fill=—","Direction=H","UseDPDF=Y")</f>
        <v>—</v>
      </c>
      <c r="D115" s="13" t="str">
        <f>_xll.BDH("RCOM IN Equity","ARDR_PROPOSED_FINAL_DIVIDEND","FY 2010","FY 2010","Currency=INR","Period=FY","BEST_FPERIOD_OVERRIDE=FY","FILING_STATUS=MR","EQY_CONSOLIDATED=Y","SCALING_FORMAT=MLN","Sort=A","Dates=H","DateFormat=P","Fill=—","Direction=H","UseDPDF=Y")</f>
        <v>—</v>
      </c>
      <c r="E115" s="13" t="str">
        <f>_xll.BDH("RCOM IN Equity","ARDR_PROPOSED_FINAL_DIVIDEND","FY 2011","FY 2011","Currency=INR","Period=FY","BEST_FPERIOD_OVERRIDE=FY","FILING_STATUS=MR","EQY_CONSOLIDATED=Y","SCALING_FORMAT=MLN","Sort=A","Dates=H","DateFormat=P","Fill=—","Direction=H","UseDPDF=Y")</f>
        <v>—</v>
      </c>
      <c r="F115" s="13">
        <f>_xll.BDH("RCOM IN Equity","ARDR_PROPOSED_FINAL_DIVIDEND","FY 2012","FY 2012","Currency=INR","Period=FY","BEST_FPERIOD_OVERRIDE=FY","FILING_STATUS=MR","EQY_CONSOLIDATED=Y","SCALING_FORMAT=MLN","Sort=A","Dates=H","DateFormat=P","Fill=—","Direction=H","UseDPDF=Y")</f>
        <v>520</v>
      </c>
      <c r="G115" s="13" t="str">
        <f>_xll.BDH("RCOM IN Equity","ARDR_PROPOSED_FINAL_DIVIDEND","FY 2013","FY 2013","Currency=INR","Period=FY","BEST_FPERIOD_OVERRIDE=FY","FILING_STATUS=MR","EQY_CONSOLIDATED=Y","SCALING_FORMAT=MLN","Sort=A","Dates=H","DateFormat=P","Fill=—","Direction=H","UseDPDF=Y")</f>
        <v>—</v>
      </c>
      <c r="H115" s="13" t="str">
        <f>_xll.BDH("RCOM IN Equity","ARDR_PROPOSED_FINAL_DIVIDEND","FY 2014","FY 2014","Currency=INR","Period=FY","BEST_FPERIOD_OVERRIDE=FY","FILING_STATUS=MR","EQY_CONSOLIDATED=Y","SCALING_FORMAT=MLN","Sort=A","Dates=H","DateFormat=P","Fill=—","Direction=H","UseDPDF=Y")</f>
        <v>—</v>
      </c>
      <c r="I115" s="13" t="str">
        <f>_xll.BDH("RCOM IN Equity","ARDR_PROPOSED_FINAL_DIVIDEND","FY 2015","FY 2015","Currency=INR","Period=FY","BEST_FPERIOD_OVERRIDE=FY","FILING_STATUS=MR","EQY_CONSOLIDATED=Y","SCALING_FORMAT=MLN","Sort=A","Dates=H","DateFormat=P","Fill=—","Direction=H","UseDPDF=Y")</f>
        <v>—</v>
      </c>
      <c r="J115" s="13">
        <f>_xll.BDH("RCOM IN Equity","ARDR_PROPOSED_FINAL_DIVIDEND","FY 2016","FY 2016","Currency=INR","Period=FY","BEST_FPERIOD_OVERRIDE=FY","FILING_STATUS=MR","EQY_CONSOLIDATED=Y","SCALING_FORMAT=MLN","Sort=A","Dates=H","DateFormat=P","Fill=—","Direction=H","UseDPDF=Y")</f>
        <v>0</v>
      </c>
      <c r="K115" s="13" t="str">
        <f>_xll.BDH("RCOM IN Equity","ARDR_PROPOSED_FINAL_DIVIDEND","FY 2017","FY 2017","Currency=INR","Period=FY","BEST_FPERIOD_OVERRIDE=FY","FILING_STATUS=MR","EQY_CONSOLIDATED=Y","SCALING_FORMAT=MLN","Sort=A","Dates=H","DateFormat=P","Fill=—","Direction=H","UseDPDF=Y")</f>
        <v>—</v>
      </c>
      <c r="L115" s="13" t="str">
        <f>_xll.BDH("RCOM IN Equity","ARDR_PROPOSED_FINAL_DIVIDEND","FY 2018","FY 2018","Currency=INR","Period=FY","BEST_FPERIOD_OVERRIDE=FY","FILING_STATUS=MR","EQY_CONSOLIDATED=Y","SCALING_FORMAT=MLN","Sort=A","Dates=H","DateFormat=P","Fill=—","Direction=H","UseDPDF=Y")</f>
        <v>—</v>
      </c>
    </row>
    <row r="116" spans="1:12">
      <c r="A116" s="10" t="s">
        <v>575</v>
      </c>
      <c r="B116" s="10" t="s">
        <v>576</v>
      </c>
      <c r="C116" s="13">
        <f>_xll.BDH("RCOM IN Equity","ARDR_RETIREMENT_PENSION_OTH_BEN","FY 2009","FY 2009","Currency=INR","Period=FY","BEST_FPERIOD_OVERRIDE=FY","FILING_STATUS=MR","EQY_CONSOLIDATED=Y","SCALING_FORMAT=MLN","Sort=A","Dates=H","DateFormat=P","Fill=—","Direction=H","UseDPDF=Y")</f>
        <v>1380.1</v>
      </c>
      <c r="D116" s="13">
        <f>_xll.BDH("RCOM IN Equity","ARDR_RETIREMENT_PENSION_OTH_BEN","FY 2010","FY 2010","Currency=INR","Period=FY","BEST_FPERIOD_OVERRIDE=FY","FILING_STATUS=MR","EQY_CONSOLIDATED=Y","SCALING_FORMAT=MLN","Sort=A","Dates=H","DateFormat=P","Fill=—","Direction=H","UseDPDF=Y")</f>
        <v>976.9</v>
      </c>
      <c r="E116" s="13">
        <f>_xll.BDH("RCOM IN Equity","ARDR_RETIREMENT_PENSION_OTH_BEN","FY 2011","FY 2011","Currency=INR","Period=FY","BEST_FPERIOD_OVERRIDE=FY","FILING_STATUS=MR","EQY_CONSOLIDATED=Y","SCALING_FORMAT=MLN","Sort=A","Dates=H","DateFormat=P","Fill=—","Direction=H","UseDPDF=Y")</f>
        <v>900</v>
      </c>
      <c r="F116" s="13">
        <f>_xll.BDH("RCOM IN Equity","ARDR_RETIREMENT_PENSION_OTH_BEN","FY 2012","FY 2012","Currency=INR","Period=FY","BEST_FPERIOD_OVERRIDE=FY","FILING_STATUS=MR","EQY_CONSOLIDATED=Y","SCALING_FORMAT=MLN","Sort=A","Dates=H","DateFormat=P","Fill=—","Direction=H","UseDPDF=Y")</f>
        <v>870</v>
      </c>
      <c r="G116" s="13">
        <f>_xll.BDH("RCOM IN Equity","ARDR_RETIREMENT_PENSION_OTH_BEN","FY 2013","FY 2013","Currency=INR","Period=FY","BEST_FPERIOD_OVERRIDE=FY","FILING_STATUS=MR","EQY_CONSOLIDATED=Y","SCALING_FORMAT=MLN","Sort=A","Dates=H","DateFormat=P","Fill=—","Direction=H","UseDPDF=Y")</f>
        <v>810</v>
      </c>
      <c r="H116" s="13">
        <f>_xll.BDH("RCOM IN Equity","ARDR_RETIREMENT_PENSION_OTH_BEN","FY 2014","FY 2014","Currency=INR","Period=FY","BEST_FPERIOD_OVERRIDE=FY","FILING_STATUS=MR","EQY_CONSOLIDATED=Y","SCALING_FORMAT=MLN","Sort=A","Dates=H","DateFormat=P","Fill=—","Direction=H","UseDPDF=Y")</f>
        <v>950</v>
      </c>
      <c r="I116" s="13">
        <f>_xll.BDH("RCOM IN Equity","ARDR_RETIREMENT_PENSION_OTH_BEN","FY 2015","FY 2015","Currency=INR","Period=FY","BEST_FPERIOD_OVERRIDE=FY","FILING_STATUS=MR","EQY_CONSOLIDATED=Y","SCALING_FORMAT=MLN","Sort=A","Dates=H","DateFormat=P","Fill=—","Direction=H","UseDPDF=Y")</f>
        <v>930</v>
      </c>
      <c r="J116" s="13">
        <f>_xll.BDH("RCOM IN Equity","ARDR_RETIREMENT_PENSION_OTH_BEN","FY 2016","FY 2016","Currency=INR","Period=FY","BEST_FPERIOD_OVERRIDE=FY","FILING_STATUS=MR","EQY_CONSOLIDATED=Y","SCALING_FORMAT=MLN","Sort=A","Dates=H","DateFormat=P","Fill=—","Direction=H","UseDPDF=Y")</f>
        <v>1030</v>
      </c>
      <c r="K116" s="13">
        <f>_xll.BDH("RCOM IN Equity","ARDR_RETIREMENT_PENSION_OTH_BEN","FY 2017","FY 2017","Currency=INR","Period=FY","BEST_FPERIOD_OVERRIDE=FY","FILING_STATUS=MR","EQY_CONSOLIDATED=Y","SCALING_FORMAT=MLN","Sort=A","Dates=H","DateFormat=P","Fill=—","Direction=H","UseDPDF=Y")</f>
        <v>390</v>
      </c>
      <c r="L116" s="13">
        <f>_xll.BDH("RCOM IN Equity","ARDR_RETIREMENT_PENSION_OTH_BEN","FY 2018","FY 2018","Currency=INR","Period=FY","BEST_FPERIOD_OVERRIDE=FY","FILING_STATUS=MR","EQY_CONSOLIDATED=Y","SCALING_FORMAT=MLN","Sort=A","Dates=H","DateFormat=P","Fill=—","Direction=H","UseDPDF=Y")</f>
        <v>240</v>
      </c>
    </row>
    <row r="117" spans="1:12">
      <c r="A117" s="10" t="s">
        <v>577</v>
      </c>
      <c r="B117" s="10" t="s">
        <v>578</v>
      </c>
      <c r="C117" s="13">
        <f>_xll.BDH("RCOM IN Equity","ARDR_TRAVEL_EXPENSES","FY 2009","FY 2009","Currency=INR","Period=FY","BEST_FPERIOD_OVERRIDE=FY","FILING_STATUS=MR","EQY_CONSOLIDATED=Y","SCALING_FORMAT=MLN","Sort=A","Dates=H","DateFormat=P","Fill=—","Direction=H","UseDPDF=Y")</f>
        <v>1162.5999999999999</v>
      </c>
      <c r="D117" s="13">
        <f>_xll.BDH("RCOM IN Equity","ARDR_TRAVEL_EXPENSES","FY 2010","FY 2010","Currency=INR","Period=FY","BEST_FPERIOD_OVERRIDE=FY","FILING_STATUS=MR","EQY_CONSOLIDATED=Y","SCALING_FORMAT=MLN","Sort=A","Dates=H","DateFormat=P","Fill=—","Direction=H","UseDPDF=Y")</f>
        <v>707.7</v>
      </c>
      <c r="E117" s="13">
        <f>_xll.BDH("RCOM IN Equity","ARDR_TRAVEL_EXPENSES","FY 2011","FY 2011","Currency=INR","Period=FY","BEST_FPERIOD_OVERRIDE=FY","FILING_STATUS=MR","EQY_CONSOLIDATED=Y","SCALING_FORMAT=MLN","Sort=A","Dates=H","DateFormat=P","Fill=—","Direction=H","UseDPDF=Y")</f>
        <v>710</v>
      </c>
      <c r="F117" s="13">
        <f>_xll.BDH("RCOM IN Equity","ARDR_TRAVEL_EXPENSES","FY 2012","FY 2012","Currency=INR","Period=FY","BEST_FPERIOD_OVERRIDE=FY","FILING_STATUS=MR","EQY_CONSOLIDATED=Y","SCALING_FORMAT=MLN","Sort=A","Dates=H","DateFormat=P","Fill=—","Direction=H","UseDPDF=Y")</f>
        <v>580</v>
      </c>
      <c r="G117" s="13">
        <f>_xll.BDH("RCOM IN Equity","ARDR_TRAVEL_EXPENSES","FY 2013","FY 2013","Currency=INR","Period=FY","BEST_FPERIOD_OVERRIDE=FY","FILING_STATUS=MR","EQY_CONSOLIDATED=Y","SCALING_FORMAT=MLN","Sort=A","Dates=H","DateFormat=P","Fill=—","Direction=H","UseDPDF=Y")</f>
        <v>560</v>
      </c>
      <c r="H117" s="13">
        <f>_xll.BDH("RCOM IN Equity","ARDR_TRAVEL_EXPENSES","FY 2014","FY 2014","Currency=INR","Period=FY","BEST_FPERIOD_OVERRIDE=FY","FILING_STATUS=MR","EQY_CONSOLIDATED=Y","SCALING_FORMAT=MLN","Sort=A","Dates=H","DateFormat=P","Fill=—","Direction=H","UseDPDF=Y")</f>
        <v>620</v>
      </c>
      <c r="I117" s="13">
        <f>_xll.BDH("RCOM IN Equity","ARDR_TRAVEL_EXPENSES","FY 2015","FY 2015","Currency=INR","Period=FY","BEST_FPERIOD_OVERRIDE=FY","FILING_STATUS=MR","EQY_CONSOLIDATED=Y","SCALING_FORMAT=MLN","Sort=A","Dates=H","DateFormat=P","Fill=—","Direction=H","UseDPDF=Y")</f>
        <v>750</v>
      </c>
      <c r="J117" s="13">
        <f>_xll.BDH("RCOM IN Equity","ARDR_TRAVEL_EXPENSES","FY 2016","FY 2016","Currency=INR","Period=FY","BEST_FPERIOD_OVERRIDE=FY","FILING_STATUS=MR","EQY_CONSOLIDATED=Y","SCALING_FORMAT=MLN","Sort=A","Dates=H","DateFormat=P","Fill=—","Direction=H","UseDPDF=Y")</f>
        <v>810</v>
      </c>
      <c r="K117" s="13" t="str">
        <f>_xll.BDH("RCOM IN Equity","ARDR_TRAVEL_EXPENSES","FY 2017","FY 2017","Currency=INR","Period=FY","BEST_FPERIOD_OVERRIDE=FY","FILING_STATUS=MR","EQY_CONSOLIDATED=Y","SCALING_FORMAT=MLN","Sort=A","Dates=H","DateFormat=P","Fill=—","Direction=H","UseDPDF=Y")</f>
        <v>—</v>
      </c>
      <c r="L117" s="13" t="str">
        <f>_xll.BDH("RCOM IN Equity","ARDR_TRAVEL_EXPENSES","FY 2018","FY 2018","Currency=INR","Period=FY","BEST_FPERIOD_OVERRIDE=FY","FILING_STATUS=MR","EQY_CONSOLIDATED=Y","SCALING_FORMAT=MLN","Sort=A","Dates=H","DateFormat=P","Fill=—","Direction=H","UseDPDF=Y")</f>
        <v>—</v>
      </c>
    </row>
    <row r="118" spans="1:12">
      <c r="A118" s="10" t="s">
        <v>579</v>
      </c>
      <c r="B118" s="10" t="s">
        <v>580</v>
      </c>
      <c r="C118" s="13">
        <f>_xll.BDH("RCOM IN Equity","ARDR_INSUR_CLAIMS_EXPENSES","FY 2009","FY 2009","Currency=INR","Period=FY","BEST_FPERIOD_OVERRIDE=FY","FILING_STATUS=MR","EQY_CONSOLIDATED=Y","SCALING_FORMAT=MLN","Sort=A","Dates=H","DateFormat=P","Fill=—","Direction=H","UseDPDF=Y")</f>
        <v>353</v>
      </c>
      <c r="D118" s="13">
        <f>_xll.BDH("RCOM IN Equity","ARDR_INSUR_CLAIMS_EXPENSES","FY 2010","FY 2010","Currency=INR","Period=FY","BEST_FPERIOD_OVERRIDE=FY","FILING_STATUS=MR","EQY_CONSOLIDATED=Y","SCALING_FORMAT=MLN","Sort=A","Dates=H","DateFormat=P","Fill=—","Direction=H","UseDPDF=Y")</f>
        <v>304.7</v>
      </c>
      <c r="E118" s="13">
        <f>_xll.BDH("RCOM IN Equity","ARDR_INSUR_CLAIMS_EXPENSES","FY 2011","FY 2011","Currency=INR","Period=FY","BEST_FPERIOD_OVERRIDE=FY","FILING_STATUS=MR","EQY_CONSOLIDATED=Y","SCALING_FORMAT=MLN","Sort=A","Dates=H","DateFormat=P","Fill=—","Direction=H","UseDPDF=Y")</f>
        <v>130</v>
      </c>
      <c r="F118" s="13">
        <f>_xll.BDH("RCOM IN Equity","ARDR_INSUR_CLAIMS_EXPENSES","FY 2012","FY 2012","Currency=INR","Period=FY","BEST_FPERIOD_OVERRIDE=FY","FILING_STATUS=MR","EQY_CONSOLIDATED=Y","SCALING_FORMAT=MLN","Sort=A","Dates=H","DateFormat=P","Fill=—","Direction=H","UseDPDF=Y")</f>
        <v>180</v>
      </c>
      <c r="G118" s="13">
        <f>_xll.BDH("RCOM IN Equity","ARDR_INSUR_CLAIMS_EXPENSES","FY 2013","FY 2013","Currency=INR","Period=FY","BEST_FPERIOD_OVERRIDE=FY","FILING_STATUS=MR","EQY_CONSOLIDATED=Y","SCALING_FORMAT=MLN","Sort=A","Dates=H","DateFormat=P","Fill=—","Direction=H","UseDPDF=Y")</f>
        <v>170</v>
      </c>
      <c r="H118" s="13">
        <f>_xll.BDH("RCOM IN Equity","ARDR_INSUR_CLAIMS_EXPENSES","FY 2014","FY 2014","Currency=INR","Period=FY","BEST_FPERIOD_OVERRIDE=FY","FILING_STATUS=MR","EQY_CONSOLIDATED=Y","SCALING_FORMAT=MLN","Sort=A","Dates=H","DateFormat=P","Fill=—","Direction=H","UseDPDF=Y")</f>
        <v>170</v>
      </c>
      <c r="I118" s="13">
        <f>_xll.BDH("RCOM IN Equity","ARDR_INSUR_CLAIMS_EXPENSES","FY 2015","FY 2015","Currency=INR","Period=FY","BEST_FPERIOD_OVERRIDE=FY","FILING_STATUS=MR","EQY_CONSOLIDATED=Y","SCALING_FORMAT=MLN","Sort=A","Dates=H","DateFormat=P","Fill=—","Direction=H","UseDPDF=Y")</f>
        <v>210</v>
      </c>
      <c r="J118" s="13">
        <f>_xll.BDH("RCOM IN Equity","ARDR_INSUR_CLAIMS_EXPENSES","FY 2016","FY 2016","Currency=INR","Period=FY","BEST_FPERIOD_OVERRIDE=FY","FILING_STATUS=MR","EQY_CONSOLIDATED=Y","SCALING_FORMAT=MLN","Sort=A","Dates=H","DateFormat=P","Fill=—","Direction=H","UseDPDF=Y")</f>
        <v>190</v>
      </c>
      <c r="K118" s="13">
        <f>_xll.BDH("RCOM IN Equity","ARDR_INSUR_CLAIMS_EXPENSES","FY 2017","FY 2017","Currency=INR","Period=FY","BEST_FPERIOD_OVERRIDE=FY","FILING_STATUS=MR","EQY_CONSOLIDATED=Y","SCALING_FORMAT=MLN","Sort=A","Dates=H","DateFormat=P","Fill=—","Direction=H","UseDPDF=Y")</f>
        <v>80</v>
      </c>
      <c r="L118" s="13">
        <f>_xll.BDH("RCOM IN Equity","ARDR_INSUR_CLAIMS_EXPENSES","FY 2018","FY 2018","Currency=INR","Period=FY","BEST_FPERIOD_OVERRIDE=FY","FILING_STATUS=MR","EQY_CONSOLIDATED=Y","SCALING_FORMAT=MLN","Sort=A","Dates=H","DateFormat=P","Fill=—","Direction=H","UseDPDF=Y")</f>
        <v>60</v>
      </c>
    </row>
    <row r="119" spans="1:12">
      <c r="A119" s="10" t="s">
        <v>581</v>
      </c>
      <c r="B119" s="10" t="s">
        <v>582</v>
      </c>
      <c r="C119" s="13" t="str">
        <f>_xll.BDH("RCOM IN Equity","ARDR_OTHER_MISC_NON_OPER_INC","FY 2009","FY 2009","Currency=INR","Period=FY","BEST_FPERIOD_OVERRIDE=FY","FILING_STATUS=MR","EQY_CONSOLIDATED=Y","SCALING_FORMAT=MLN","Sort=A","Dates=H","DateFormat=P","Fill=—","Direction=H","UseDPDF=Y")</f>
        <v>—</v>
      </c>
      <c r="D119" s="13" t="str">
        <f>_xll.BDH("RCOM IN Equity","ARDR_OTHER_MISC_NON_OPER_INC","FY 2010","FY 2010","Currency=INR","Period=FY","BEST_FPERIOD_OVERRIDE=FY","FILING_STATUS=MR","EQY_CONSOLIDATED=Y","SCALING_FORMAT=MLN","Sort=A","Dates=H","DateFormat=P","Fill=—","Direction=H","UseDPDF=Y")</f>
        <v>—</v>
      </c>
      <c r="E119" s="13" t="str">
        <f>_xll.BDH("RCOM IN Equity","ARDR_OTHER_MISC_NON_OPER_INC","FY 2011","FY 2011","Currency=INR","Period=FY","BEST_FPERIOD_OVERRIDE=FY","FILING_STATUS=MR","EQY_CONSOLIDATED=Y","SCALING_FORMAT=MLN","Sort=A","Dates=H","DateFormat=P","Fill=—","Direction=H","UseDPDF=Y")</f>
        <v>—</v>
      </c>
      <c r="F119" s="13" t="str">
        <f>_xll.BDH("RCOM IN Equity","ARDR_OTHER_MISC_NON_OPER_INC","FY 2012","FY 2012","Currency=INR","Period=FY","BEST_FPERIOD_OVERRIDE=FY","FILING_STATUS=MR","EQY_CONSOLIDATED=Y","SCALING_FORMAT=MLN","Sort=A","Dates=H","DateFormat=P","Fill=—","Direction=H","UseDPDF=Y")</f>
        <v>—</v>
      </c>
      <c r="G119" s="13" t="str">
        <f>_xll.BDH("RCOM IN Equity","ARDR_OTHER_MISC_NON_OPER_INC","FY 2013","FY 2013","Currency=INR","Period=FY","BEST_FPERIOD_OVERRIDE=FY","FILING_STATUS=MR","EQY_CONSOLIDATED=Y","SCALING_FORMAT=MLN","Sort=A","Dates=H","DateFormat=P","Fill=—","Direction=H","UseDPDF=Y")</f>
        <v>—</v>
      </c>
      <c r="H119" s="13" t="str">
        <f>_xll.BDH("RCOM IN Equity","ARDR_OTHER_MISC_NON_OPER_INC","FY 2014","FY 2014","Currency=INR","Period=FY","BEST_FPERIOD_OVERRIDE=FY","FILING_STATUS=MR","EQY_CONSOLIDATED=Y","SCALING_FORMAT=MLN","Sort=A","Dates=H","DateFormat=P","Fill=—","Direction=H","UseDPDF=Y")</f>
        <v>—</v>
      </c>
      <c r="I119" s="13" t="str">
        <f>_xll.BDH("RCOM IN Equity","ARDR_OTHER_MISC_NON_OPER_INC","FY 2015","FY 2015","Currency=INR","Period=FY","BEST_FPERIOD_OVERRIDE=FY","FILING_STATUS=MR","EQY_CONSOLIDATED=Y","SCALING_FORMAT=MLN","Sort=A","Dates=H","DateFormat=P","Fill=—","Direction=H","UseDPDF=Y")</f>
        <v>—</v>
      </c>
      <c r="J119" s="13" t="str">
        <f>_xll.BDH("RCOM IN Equity","ARDR_OTHER_MISC_NON_OPER_INC","FY 2016","FY 2016","Currency=INR","Period=FY","BEST_FPERIOD_OVERRIDE=FY","FILING_STATUS=MR","EQY_CONSOLIDATED=Y","SCALING_FORMAT=MLN","Sort=A","Dates=H","DateFormat=P","Fill=—","Direction=H","UseDPDF=Y")</f>
        <v>—</v>
      </c>
      <c r="K119" s="13">
        <f>_xll.BDH("RCOM IN Equity","ARDR_OTHER_MISC_NON_OPER_INC","FY 2017","FY 2017","Currency=INR","Period=FY","BEST_FPERIOD_OVERRIDE=FY","FILING_STATUS=MR","EQY_CONSOLIDATED=Y","SCALING_FORMAT=MLN","Sort=A","Dates=H","DateFormat=P","Fill=—","Direction=H","UseDPDF=Y")</f>
        <v>590</v>
      </c>
      <c r="L119" s="13">
        <f>_xll.BDH("RCOM IN Equity","ARDR_OTHER_MISC_NON_OPER_INC","FY 2018","FY 2018","Currency=INR","Period=FY","BEST_FPERIOD_OVERRIDE=FY","FILING_STATUS=MR","EQY_CONSOLIDATED=Y","SCALING_FORMAT=MLN","Sort=A","Dates=H","DateFormat=P","Fill=—","Direction=H","UseDPDF=Y")</f>
        <v>790</v>
      </c>
    </row>
    <row r="120" spans="1:12">
      <c r="A120" s="10" t="s">
        <v>583</v>
      </c>
      <c r="B120" s="10" t="s">
        <v>584</v>
      </c>
      <c r="C120" s="13">
        <f>_xll.BDH("RCOM IN Equity","ARDR_OTHER_FINANCE_INCOME","FY 2009","FY 2009","Currency=INR","Period=FY","BEST_FPERIOD_OVERRIDE=FY","FILING_STATUS=MR","EQY_CONSOLIDATED=Y","SCALING_FORMAT=MLN","Sort=A","Dates=H","DateFormat=P","Fill=—","Direction=H","UseDPDF=Y")</f>
        <v>-15780.6</v>
      </c>
      <c r="D120" s="13">
        <f>_xll.BDH("RCOM IN Equity","ARDR_OTHER_FINANCE_INCOME","FY 2010","FY 2010","Currency=INR","Period=FY","BEST_FPERIOD_OVERRIDE=FY","FILING_STATUS=MR","EQY_CONSOLIDATED=Y","SCALING_FORMAT=MLN","Sort=A","Dates=H","DateFormat=P","Fill=—","Direction=H","UseDPDF=Y")</f>
        <v>-931.5</v>
      </c>
      <c r="E120" s="13" t="str">
        <f>_xll.BDH("RCOM IN Equity","ARDR_OTHER_FINANCE_INCOME","FY 2011","FY 2011","Currency=INR","Period=FY","BEST_FPERIOD_OVERRIDE=FY","FILING_STATUS=MR","EQY_CONSOLIDATED=Y","SCALING_FORMAT=MLN","Sort=A","Dates=H","DateFormat=P","Fill=—","Direction=H","UseDPDF=Y")</f>
        <v>—</v>
      </c>
      <c r="F120" s="13" t="str">
        <f>_xll.BDH("RCOM IN Equity","ARDR_OTHER_FINANCE_INCOME","FY 2012","FY 2012","Currency=INR","Period=FY","BEST_FPERIOD_OVERRIDE=FY","FILING_STATUS=MR","EQY_CONSOLIDATED=Y","SCALING_FORMAT=MLN","Sort=A","Dates=H","DateFormat=P","Fill=—","Direction=H","UseDPDF=Y")</f>
        <v>—</v>
      </c>
      <c r="G120" s="13" t="str">
        <f>_xll.BDH("RCOM IN Equity","ARDR_OTHER_FINANCE_INCOME","FY 2013","FY 2013","Currency=INR","Period=FY","BEST_FPERIOD_OVERRIDE=FY","FILING_STATUS=MR","EQY_CONSOLIDATED=Y","SCALING_FORMAT=MLN","Sort=A","Dates=H","DateFormat=P","Fill=—","Direction=H","UseDPDF=Y")</f>
        <v>—</v>
      </c>
      <c r="H120" s="13" t="str">
        <f>_xll.BDH("RCOM IN Equity","ARDR_OTHER_FINANCE_INCOME","FY 2014","FY 2014","Currency=INR","Period=FY","BEST_FPERIOD_OVERRIDE=FY","FILING_STATUS=MR","EQY_CONSOLIDATED=Y","SCALING_FORMAT=MLN","Sort=A","Dates=H","DateFormat=P","Fill=—","Direction=H","UseDPDF=Y")</f>
        <v>—</v>
      </c>
      <c r="I120" s="13" t="str">
        <f>_xll.BDH("RCOM IN Equity","ARDR_OTHER_FINANCE_INCOME","FY 2015","FY 2015","Currency=INR","Period=FY","BEST_FPERIOD_OVERRIDE=FY","FILING_STATUS=MR","EQY_CONSOLIDATED=Y","SCALING_FORMAT=MLN","Sort=A","Dates=H","DateFormat=P","Fill=—","Direction=H","UseDPDF=Y")</f>
        <v>—</v>
      </c>
      <c r="J120" s="13" t="str">
        <f>_xll.BDH("RCOM IN Equity","ARDR_OTHER_FINANCE_INCOME","FY 2016","FY 2016","Currency=INR","Period=FY","BEST_FPERIOD_OVERRIDE=FY","FILING_STATUS=MR","EQY_CONSOLIDATED=Y","SCALING_FORMAT=MLN","Sort=A","Dates=H","DateFormat=P","Fill=—","Direction=H","UseDPDF=Y")</f>
        <v>—</v>
      </c>
      <c r="K120" s="13" t="str">
        <f>_xll.BDH("RCOM IN Equity","ARDR_OTHER_FINANCE_INCOME","FY 2017","FY 2017","Currency=INR","Period=FY","BEST_FPERIOD_OVERRIDE=FY","FILING_STATUS=MR","EQY_CONSOLIDATED=Y","SCALING_FORMAT=MLN","Sort=A","Dates=H","DateFormat=P","Fill=—","Direction=H","UseDPDF=Y")</f>
        <v>—</v>
      </c>
      <c r="L120" s="13" t="str">
        <f>_xll.BDH("RCOM IN Equity","ARDR_OTHER_FINANCE_INCOME","FY 2018","FY 2018","Currency=INR","Period=FY","BEST_FPERIOD_OVERRIDE=FY","FILING_STATUS=MR","EQY_CONSOLIDATED=Y","SCALING_FORMAT=MLN","Sort=A","Dates=H","DateFormat=P","Fill=—","Direction=H","UseDPDF=Y")</f>
        <v>—</v>
      </c>
    </row>
    <row r="121" spans="1:12">
      <c r="A121" s="10" t="s">
        <v>585</v>
      </c>
      <c r="B121" s="10" t="s">
        <v>586</v>
      </c>
      <c r="C121" s="13">
        <f>_xll.BDH("RCOM IN Equity","ARDR_OTHER_OPER_INCOME_SAGA","FY 2009","FY 2009","Currency=INR","Period=FY","BEST_FPERIOD_OVERRIDE=FY","FILING_STATUS=MR","EQY_CONSOLIDATED=Y","SCALING_FORMAT=MLN","Sort=A","Dates=H","DateFormat=P","Fill=—","Direction=H","UseDPDF=Y")</f>
        <v>-15076.3</v>
      </c>
      <c r="D121" s="13">
        <f>_xll.BDH("RCOM IN Equity","ARDR_OTHER_OPER_INCOME_SAGA","FY 2010","FY 2010","Currency=INR","Period=FY","BEST_FPERIOD_OVERRIDE=FY","FILING_STATUS=MR","EQY_CONSOLIDATED=Y","SCALING_FORMAT=MLN","Sort=A","Dates=H","DateFormat=P","Fill=—","Direction=H","UseDPDF=Y")</f>
        <v>-8113.3</v>
      </c>
      <c r="E121" s="13">
        <f>_xll.BDH("RCOM IN Equity","ARDR_OTHER_OPER_INCOME_SAGA","FY 2011","FY 2011","Currency=INR","Period=FY","BEST_FPERIOD_OVERRIDE=FY","FILING_STATUS=MR","EQY_CONSOLIDATED=Y","SCALING_FORMAT=MLN","Sort=A","Dates=H","DateFormat=P","Fill=—","Direction=H","UseDPDF=Y")</f>
        <v>-3420</v>
      </c>
      <c r="F121" s="13">
        <f>_xll.BDH("RCOM IN Equity","ARDR_OTHER_OPER_INCOME_SAGA","FY 2012","FY 2012","Currency=INR","Period=FY","BEST_FPERIOD_OVERRIDE=FY","FILING_STATUS=MR","EQY_CONSOLIDATED=Y","SCALING_FORMAT=MLN","Sort=A","Dates=H","DateFormat=P","Fill=—","Direction=H","UseDPDF=Y")</f>
        <v>-9610</v>
      </c>
      <c r="G121" s="13">
        <f>_xll.BDH("RCOM IN Equity","ARDR_OTHER_OPER_INCOME_SAGA","FY 2013","FY 2013","Currency=INR","Period=FY","BEST_FPERIOD_OVERRIDE=FY","FILING_STATUS=MR","EQY_CONSOLIDATED=Y","SCALING_FORMAT=MLN","Sort=A","Dates=H","DateFormat=P","Fill=—","Direction=H","UseDPDF=Y")</f>
        <v>-12670</v>
      </c>
      <c r="H121" s="13">
        <f>_xll.BDH("RCOM IN Equity","ARDR_OTHER_OPER_INCOME_SAGA","FY 2014","FY 2014","Currency=INR","Period=FY","BEST_FPERIOD_OVERRIDE=FY","FILING_STATUS=MR","EQY_CONSOLIDATED=Y","SCALING_FORMAT=MLN","Sort=A","Dates=H","DateFormat=P","Fill=—","Direction=H","UseDPDF=Y")</f>
        <v>-2980</v>
      </c>
      <c r="I121" s="13">
        <f>_xll.BDH("RCOM IN Equity","ARDR_OTHER_OPER_INCOME_SAGA","FY 2015","FY 2015","Currency=INR","Period=FY","BEST_FPERIOD_OVERRIDE=FY","FILING_STATUS=MR","EQY_CONSOLIDATED=Y","SCALING_FORMAT=MLN","Sort=A","Dates=H","DateFormat=P","Fill=—","Direction=H","UseDPDF=Y")</f>
        <v>-3470</v>
      </c>
      <c r="J121" s="13">
        <f>_xll.BDH("RCOM IN Equity","ARDR_OTHER_OPER_INCOME_SAGA","FY 2016","FY 2016","Currency=INR","Period=FY","BEST_FPERIOD_OVERRIDE=FY","FILING_STATUS=MR","EQY_CONSOLIDATED=Y","SCALING_FORMAT=MLN","Sort=A","Dates=H","DateFormat=P","Fill=—","Direction=H","UseDPDF=Y")</f>
        <v>-2110</v>
      </c>
      <c r="K121" s="13" t="str">
        <f>_xll.BDH("RCOM IN Equity","ARDR_OTHER_OPER_INCOME_SAGA","FY 2017","FY 2017","Currency=INR","Period=FY","BEST_FPERIOD_OVERRIDE=FY","FILING_STATUS=MR","EQY_CONSOLIDATED=Y","SCALING_FORMAT=MLN","Sort=A","Dates=H","DateFormat=P","Fill=—","Direction=H","UseDPDF=Y")</f>
        <v>—</v>
      </c>
      <c r="L121" s="13" t="str">
        <f>_xll.BDH("RCOM IN Equity","ARDR_OTHER_OPER_INCOME_SAGA","FY 2018","FY 2018","Currency=INR","Period=FY","BEST_FPERIOD_OVERRIDE=FY","FILING_STATUS=MR","EQY_CONSOLIDATED=Y","SCALING_FORMAT=MLN","Sort=A","Dates=H","DateFormat=P","Fill=—","Direction=H","UseDPDF=Y")</f>
        <v>—</v>
      </c>
    </row>
    <row r="122" spans="1:12">
      <c r="A122" s="10" t="s">
        <v>465</v>
      </c>
      <c r="B122" s="10" t="s">
        <v>587</v>
      </c>
      <c r="C122" s="13" t="str">
        <f>_xll.BDH("RCOM IN Equity","ARDR_CORPORATE_DIVIDEND_TAX","FY 2009","FY 2009","Currency=INR","Period=FY","BEST_FPERIOD_OVERRIDE=FY","FILING_STATUS=MR","EQY_CONSOLIDATED=Y","SCALING_FORMAT=MLN","Sort=A","Dates=H","DateFormat=P","Fill=—","Direction=H","UseDPDF=Y")</f>
        <v>—</v>
      </c>
      <c r="D122" s="13" t="str">
        <f>_xll.BDH("RCOM IN Equity","ARDR_CORPORATE_DIVIDEND_TAX","FY 2010","FY 2010","Currency=INR","Period=FY","BEST_FPERIOD_OVERRIDE=FY","FILING_STATUS=MR","EQY_CONSOLIDATED=Y","SCALING_FORMAT=MLN","Sort=A","Dates=H","DateFormat=P","Fill=—","Direction=H","UseDPDF=Y")</f>
        <v>—</v>
      </c>
      <c r="E122" s="13" t="str">
        <f>_xll.BDH("RCOM IN Equity","ARDR_CORPORATE_DIVIDEND_TAX","FY 2011","FY 2011","Currency=INR","Period=FY","BEST_FPERIOD_OVERRIDE=FY","FILING_STATUS=MR","EQY_CONSOLIDATED=Y","SCALING_FORMAT=MLN","Sort=A","Dates=H","DateFormat=P","Fill=—","Direction=H","UseDPDF=Y")</f>
        <v>—</v>
      </c>
      <c r="F122" s="13">
        <f>_xll.BDH("RCOM IN Equity","ARDR_CORPORATE_DIVIDEND_TAX","FY 2012","FY 2012","Currency=INR","Period=FY","BEST_FPERIOD_OVERRIDE=FY","FILING_STATUS=MR","EQY_CONSOLIDATED=Y","SCALING_FORMAT=MLN","Sort=A","Dates=H","DateFormat=P","Fill=—","Direction=H","UseDPDF=Y")</f>
        <v>80</v>
      </c>
      <c r="G122" s="13" t="str">
        <f>_xll.BDH("RCOM IN Equity","ARDR_CORPORATE_DIVIDEND_TAX","FY 2013","FY 2013","Currency=INR","Period=FY","BEST_FPERIOD_OVERRIDE=FY","FILING_STATUS=MR","EQY_CONSOLIDATED=Y","SCALING_FORMAT=MLN","Sort=A","Dates=H","DateFormat=P","Fill=—","Direction=H","UseDPDF=Y")</f>
        <v>—</v>
      </c>
      <c r="H122" s="13" t="str">
        <f>_xll.BDH("RCOM IN Equity","ARDR_CORPORATE_DIVIDEND_TAX","FY 2014","FY 2014","Currency=INR","Period=FY","BEST_FPERIOD_OVERRIDE=FY","FILING_STATUS=MR","EQY_CONSOLIDATED=Y","SCALING_FORMAT=MLN","Sort=A","Dates=H","DateFormat=P","Fill=—","Direction=H","UseDPDF=Y")</f>
        <v>—</v>
      </c>
      <c r="I122" s="13" t="str">
        <f>_xll.BDH("RCOM IN Equity","ARDR_CORPORATE_DIVIDEND_TAX","FY 2015","FY 2015","Currency=INR","Period=FY","BEST_FPERIOD_OVERRIDE=FY","FILING_STATUS=MR","EQY_CONSOLIDATED=Y","SCALING_FORMAT=MLN","Sort=A","Dates=H","DateFormat=P","Fill=—","Direction=H","UseDPDF=Y")</f>
        <v>—</v>
      </c>
      <c r="J122" s="13" t="str">
        <f>_xll.BDH("RCOM IN Equity","ARDR_CORPORATE_DIVIDEND_TAX","FY 2016","FY 2016","Currency=INR","Period=FY","BEST_FPERIOD_OVERRIDE=FY","FILING_STATUS=MR","EQY_CONSOLIDATED=Y","SCALING_FORMAT=MLN","Sort=A","Dates=H","DateFormat=P","Fill=—","Direction=H","UseDPDF=Y")</f>
        <v>—</v>
      </c>
      <c r="K122" s="13" t="str">
        <f>_xll.BDH("RCOM IN Equity","ARDR_CORPORATE_DIVIDEND_TAX","FY 2017","FY 2017","Currency=INR","Period=FY","BEST_FPERIOD_OVERRIDE=FY","FILING_STATUS=MR","EQY_CONSOLIDATED=Y","SCALING_FORMAT=MLN","Sort=A","Dates=H","DateFormat=P","Fill=—","Direction=H","UseDPDF=Y")</f>
        <v>—</v>
      </c>
      <c r="L122" s="13" t="str">
        <f>_xll.BDH("RCOM IN Equity","ARDR_CORPORATE_DIVIDEND_TAX","FY 2018","FY 2018","Currency=INR","Period=FY","BEST_FPERIOD_OVERRIDE=FY","FILING_STATUS=MR","EQY_CONSOLIDATED=Y","SCALING_FORMAT=MLN","Sort=A","Dates=H","DateFormat=P","Fill=—","Direction=H","UseDPDF=Y")</f>
        <v>—</v>
      </c>
    </row>
    <row r="123" spans="1:12">
      <c r="A123" s="10" t="s">
        <v>588</v>
      </c>
      <c r="B123" s="10" t="s">
        <v>589</v>
      </c>
      <c r="C123" s="13" t="str">
        <f>_xll.BDH("RCOM IN Equity","ARDR_FOREIGN_EXCHANGE_EARNINGS","FY 2009","FY 2009","Currency=INR","Period=FY","BEST_FPERIOD_OVERRIDE=FY","FILING_STATUS=MR","EQY_CONSOLIDATED=Y","SCALING_FORMAT=MLN","Sort=A","Dates=H","DateFormat=P","Fill=—","Direction=H","UseDPDF=Y")</f>
        <v>—</v>
      </c>
      <c r="D123" s="13" t="str">
        <f>_xll.BDH("RCOM IN Equity","ARDR_FOREIGN_EXCHANGE_EARNINGS","FY 2010","FY 2010","Currency=INR","Period=FY","BEST_FPERIOD_OVERRIDE=FY","FILING_STATUS=MR","EQY_CONSOLIDATED=Y","SCALING_FORMAT=MLN","Sort=A","Dates=H","DateFormat=P","Fill=—","Direction=H","UseDPDF=Y")</f>
        <v>—</v>
      </c>
      <c r="E123" s="13" t="str">
        <f>_xll.BDH("RCOM IN Equity","ARDR_FOREIGN_EXCHANGE_EARNINGS","FY 2011","FY 2011","Currency=INR","Period=FY","BEST_FPERIOD_OVERRIDE=FY","FILING_STATUS=MR","EQY_CONSOLIDATED=Y","SCALING_FORMAT=MLN","Sort=A","Dates=H","DateFormat=P","Fill=—","Direction=H","UseDPDF=Y")</f>
        <v>—</v>
      </c>
      <c r="F123" s="13">
        <f>_xll.BDH("RCOM IN Equity","ARDR_FOREIGN_EXCHANGE_EARNINGS","FY 2012","FY 2012","Currency=INR","Period=FY","BEST_FPERIOD_OVERRIDE=FY","FILING_STATUS=MR","EQY_CONSOLIDATED=Y","SCALING_FORMAT=MLN","Sort=A","Dates=H","DateFormat=P","Fill=—","Direction=H","UseDPDF=Y")</f>
        <v>9990</v>
      </c>
      <c r="G123" s="13" t="str">
        <f>_xll.BDH("RCOM IN Equity","ARDR_FOREIGN_EXCHANGE_EARNINGS","FY 2013","FY 2013","Currency=INR","Period=FY","BEST_FPERIOD_OVERRIDE=FY","FILING_STATUS=MR","EQY_CONSOLIDATED=Y","SCALING_FORMAT=MLN","Sort=A","Dates=H","DateFormat=P","Fill=—","Direction=H","UseDPDF=Y")</f>
        <v>—</v>
      </c>
      <c r="H123" s="13" t="str">
        <f>_xll.BDH("RCOM IN Equity","ARDR_FOREIGN_EXCHANGE_EARNINGS","FY 2014","FY 2014","Currency=INR","Period=FY","BEST_FPERIOD_OVERRIDE=FY","FILING_STATUS=MR","EQY_CONSOLIDATED=Y","SCALING_FORMAT=MLN","Sort=A","Dates=H","DateFormat=P","Fill=—","Direction=H","UseDPDF=Y")</f>
        <v>—</v>
      </c>
      <c r="I123" s="13" t="str">
        <f>_xll.BDH("RCOM IN Equity","ARDR_FOREIGN_EXCHANGE_EARNINGS","FY 2015","FY 2015","Currency=INR","Period=FY","BEST_FPERIOD_OVERRIDE=FY","FILING_STATUS=MR","EQY_CONSOLIDATED=Y","SCALING_FORMAT=MLN","Sort=A","Dates=H","DateFormat=P","Fill=—","Direction=H","UseDPDF=Y")</f>
        <v>—</v>
      </c>
      <c r="J123" s="13" t="str">
        <f>_xll.BDH("RCOM IN Equity","ARDR_FOREIGN_EXCHANGE_EARNINGS","FY 2016","FY 2016","Currency=INR","Period=FY","BEST_FPERIOD_OVERRIDE=FY","FILING_STATUS=MR","EQY_CONSOLIDATED=Y","SCALING_FORMAT=MLN","Sort=A","Dates=H","DateFormat=P","Fill=—","Direction=H","UseDPDF=Y")</f>
        <v>—</v>
      </c>
      <c r="K123" s="13" t="str">
        <f>_xll.BDH("RCOM IN Equity","ARDR_FOREIGN_EXCHANGE_EARNINGS","FY 2017","FY 2017","Currency=INR","Period=FY","BEST_FPERIOD_OVERRIDE=FY","FILING_STATUS=MR","EQY_CONSOLIDATED=Y","SCALING_FORMAT=MLN","Sort=A","Dates=H","DateFormat=P","Fill=—","Direction=H","UseDPDF=Y")</f>
        <v>—</v>
      </c>
      <c r="L123" s="13" t="str">
        <f>_xll.BDH("RCOM IN Equity","ARDR_FOREIGN_EXCHANGE_EARNINGS","FY 2018","FY 2018","Currency=INR","Period=FY","BEST_FPERIOD_OVERRIDE=FY","FILING_STATUS=MR","EQY_CONSOLIDATED=Y","SCALING_FORMAT=MLN","Sort=A","Dates=H","DateFormat=P","Fill=—","Direction=H","UseDPDF=Y")</f>
        <v>—</v>
      </c>
    </row>
    <row r="124" spans="1:12">
      <c r="A124" s="10" t="s">
        <v>590</v>
      </c>
      <c r="B124" s="10" t="s">
        <v>591</v>
      </c>
      <c r="C124" s="13">
        <f>_xll.BDH("RCOM IN Equity","ARDR_COST_OF_STORES_AND_SPARES","FY 2009","FY 2009","Currency=INR","Period=FY","BEST_FPERIOD_OVERRIDE=FY","FILING_STATUS=MR","EQY_CONSOLIDATED=Y","SCALING_FORMAT=MLN","Sort=A","Dates=H","DateFormat=P","Fill=—","Direction=H","UseDPDF=Y")</f>
        <v>1038.7</v>
      </c>
      <c r="D124" s="13">
        <f>_xll.BDH("RCOM IN Equity","ARDR_COST_OF_STORES_AND_SPARES","FY 2010","FY 2010","Currency=INR","Period=FY","BEST_FPERIOD_OVERRIDE=FY","FILING_STATUS=MR","EQY_CONSOLIDATED=Y","SCALING_FORMAT=MLN","Sort=A","Dates=H","DateFormat=P","Fill=—","Direction=H","UseDPDF=Y")</f>
        <v>1227.3</v>
      </c>
      <c r="E124" s="13">
        <f>_xll.BDH("RCOM IN Equity","ARDR_COST_OF_STORES_AND_SPARES","FY 2011","FY 2011","Currency=INR","Period=FY","BEST_FPERIOD_OVERRIDE=FY","FILING_STATUS=MR","EQY_CONSOLIDATED=Y","SCALING_FORMAT=MLN","Sort=A","Dates=H","DateFormat=P","Fill=—","Direction=H","UseDPDF=Y")</f>
        <v>1320</v>
      </c>
      <c r="F124" s="13">
        <f>_xll.BDH("RCOM IN Equity","ARDR_COST_OF_STORES_AND_SPARES","FY 2012","FY 2012","Currency=INR","Period=FY","BEST_FPERIOD_OVERRIDE=FY","FILING_STATUS=MR","EQY_CONSOLIDATED=Y","SCALING_FORMAT=MLN","Sort=A","Dates=H","DateFormat=P","Fill=—","Direction=H","UseDPDF=Y")</f>
        <v>930</v>
      </c>
      <c r="G124" s="13">
        <f>_xll.BDH("RCOM IN Equity","ARDR_COST_OF_STORES_AND_SPARES","FY 2013","FY 2013","Currency=INR","Period=FY","BEST_FPERIOD_OVERRIDE=FY","FILING_STATUS=MR","EQY_CONSOLIDATED=Y","SCALING_FORMAT=MLN","Sort=A","Dates=H","DateFormat=P","Fill=—","Direction=H","UseDPDF=Y")</f>
        <v>1060</v>
      </c>
      <c r="H124" s="13">
        <f>_xll.BDH("RCOM IN Equity","ARDR_COST_OF_STORES_AND_SPARES","FY 2014","FY 2014","Currency=INR","Period=FY","BEST_FPERIOD_OVERRIDE=FY","FILING_STATUS=MR","EQY_CONSOLIDATED=Y","SCALING_FORMAT=MLN","Sort=A","Dates=H","DateFormat=P","Fill=—","Direction=H","UseDPDF=Y")</f>
        <v>450</v>
      </c>
      <c r="I124" s="13">
        <f>_xll.BDH("RCOM IN Equity","ARDR_COST_OF_STORES_AND_SPARES","FY 2015","FY 2015","Currency=INR","Period=FY","BEST_FPERIOD_OVERRIDE=FY","FILING_STATUS=MR","EQY_CONSOLIDATED=Y","SCALING_FORMAT=MLN","Sort=A","Dates=H","DateFormat=P","Fill=—","Direction=H","UseDPDF=Y")</f>
        <v>590</v>
      </c>
      <c r="J124" s="13">
        <f>_xll.BDH("RCOM IN Equity","ARDR_COST_OF_STORES_AND_SPARES","FY 2016","FY 2016","Currency=INR","Period=FY","BEST_FPERIOD_OVERRIDE=FY","FILING_STATUS=MR","EQY_CONSOLIDATED=Y","SCALING_FORMAT=MLN","Sort=A","Dates=H","DateFormat=P","Fill=—","Direction=H","UseDPDF=Y")</f>
        <v>870</v>
      </c>
      <c r="K124" s="13">
        <f>_xll.BDH("RCOM IN Equity","ARDR_COST_OF_STORES_AND_SPARES","FY 2017","FY 2017","Currency=INR","Period=FY","BEST_FPERIOD_OVERRIDE=FY","FILING_STATUS=MR","EQY_CONSOLIDATED=Y","SCALING_FORMAT=MLN","Sort=A","Dates=H","DateFormat=P","Fill=—","Direction=H","UseDPDF=Y")</f>
        <v>120</v>
      </c>
      <c r="L124" s="13">
        <f>_xll.BDH("RCOM IN Equity","ARDR_COST_OF_STORES_AND_SPARES","FY 2018","FY 2018","Currency=INR","Period=FY","BEST_FPERIOD_OVERRIDE=FY","FILING_STATUS=MR","EQY_CONSOLIDATED=Y","SCALING_FORMAT=MLN","Sort=A","Dates=H","DateFormat=P","Fill=—","Direction=H","UseDPDF=Y")</f>
        <v>190</v>
      </c>
    </row>
    <row r="125" spans="1:12">
      <c r="A125" s="10" t="s">
        <v>592</v>
      </c>
      <c r="B125" s="10" t="s">
        <v>593</v>
      </c>
      <c r="C125" s="13">
        <f>_xll.BDH("RCOM IN Equity","ARD_REF_EBITDA_IS","FY 2009","FY 2009","Currency=INR","Period=FY","BEST_FPERIOD_OVERRIDE=FY","FILING_STATUS=MR","EQY_CONSOLIDATED=Y","SCALING_FORMAT=MLN","Sort=A","Dates=H","DateFormat=P","Fill=—","Direction=H","UseDPDF=Y")</f>
        <v>93049.4</v>
      </c>
      <c r="D125" s="13">
        <f>_xll.BDH("RCOM IN Equity","ARD_REF_EBITDA_IS","FY 2010","FY 2010","Currency=INR","Period=FY","BEST_FPERIOD_OVERRIDE=FY","FILING_STATUS=MR","EQY_CONSOLIDATED=Y","SCALING_FORMAT=MLN","Sort=A","Dates=H","DateFormat=P","Fill=—","Direction=H","UseDPDF=Y")</f>
        <v>78204.800000000003</v>
      </c>
      <c r="E125" s="13">
        <f>_xll.BDH("RCOM IN Equity","ARD_REF_EBITDA_IS","FY 2011","FY 2011","Currency=INR","Period=FY","BEST_FPERIOD_OVERRIDE=FY","FILING_STATUS=MR","EQY_CONSOLIDATED=Y","SCALING_FORMAT=MLN","Sort=A","Dates=H","DateFormat=P","Fill=—","Direction=H","UseDPDF=Y")</f>
        <v>90810</v>
      </c>
      <c r="F125" s="13">
        <f>_xll.BDH("RCOM IN Equity","ARD_REF_EBITDA_IS","FY 2012","FY 2012","Currency=INR","Period=FY","BEST_FPERIOD_OVERRIDE=FY","FILING_STATUS=MR","EQY_CONSOLIDATED=Y","SCALING_FORMAT=MLN","Sort=A","Dates=H","DateFormat=P","Fill=—","Direction=H","UseDPDF=Y")</f>
        <v>64900</v>
      </c>
      <c r="G125" s="13">
        <f>_xll.BDH("RCOM IN Equity","ARD_REF_EBITDA_IS","FY 2013","FY 2013","Currency=INR","Period=FY","BEST_FPERIOD_OVERRIDE=FY","FILING_STATUS=MR","EQY_CONSOLIDATED=Y","SCALING_FORMAT=MLN","Sort=A","Dates=H","DateFormat=P","Fill=—","Direction=H","UseDPDF=Y")</f>
        <v>71590</v>
      </c>
      <c r="H125" s="13">
        <f>_xll.BDH("RCOM IN Equity","ARD_REF_EBITDA_IS","FY 2014","FY 2014","Currency=INR","Period=FY","BEST_FPERIOD_OVERRIDE=FY","FILING_STATUS=MR","EQY_CONSOLIDATED=Y","SCALING_FORMAT=MLN","Sort=A","Dates=H","DateFormat=P","Fill=—","Direction=H","UseDPDF=Y")</f>
        <v>77260</v>
      </c>
      <c r="I125" s="13">
        <f>_xll.BDH("RCOM IN Equity","ARD_REF_EBITDA_IS","FY 2015","FY 2015","Currency=INR","Period=FY","BEST_FPERIOD_OVERRIDE=FY","FILING_STATUS=MR","EQY_CONSOLIDATED=Y","SCALING_FORMAT=MLN","Sort=A","Dates=H","DateFormat=P","Fill=—","Direction=H","UseDPDF=Y")</f>
        <v>75180</v>
      </c>
      <c r="J125" s="13">
        <f>_xll.BDH("RCOM IN Equity","ARD_REF_EBITDA_IS","FY 2016","FY 2016","Currency=INR","Period=FY","BEST_FPERIOD_OVERRIDE=FY","FILING_STATUS=MR","EQY_CONSOLIDATED=Y","SCALING_FORMAT=MLN","Sort=A","Dates=H","DateFormat=P","Fill=—","Direction=H","UseDPDF=Y")</f>
        <v>74190</v>
      </c>
      <c r="K125" s="13" t="str">
        <f>_xll.BDH("RCOM IN Equity","ARD_REF_EBITDA_IS","FY 2017","FY 2017","Currency=INR","Period=FY","BEST_FPERIOD_OVERRIDE=FY","FILING_STATUS=MR","EQY_CONSOLIDATED=Y","SCALING_FORMAT=MLN","Sort=A","Dates=H","DateFormat=P","Fill=—","Direction=H","UseDPDF=Y")</f>
        <v>—</v>
      </c>
      <c r="L125" s="13">
        <f>_xll.BDH("RCOM IN Equity","ARD_REF_EBITDA_IS","FY 2018","FY 2018","Currency=INR","Period=FY","BEST_FPERIOD_OVERRIDE=FY","FILING_STATUS=MR","EQY_CONSOLIDATED=Y","SCALING_FORMAT=MLN","Sort=A","Dates=H","DateFormat=P","Fill=—","Direction=H","UseDPDF=Y")</f>
        <v>8990</v>
      </c>
    </row>
    <row r="126" spans="1:12">
      <c r="A126" s="10" t="s">
        <v>594</v>
      </c>
      <c r="B126" s="10" t="s">
        <v>595</v>
      </c>
      <c r="C126" s="13">
        <f>_xll.BDH("RCOM IN Equity","ARDR_SELLING_EXPENSES","FY 2009","FY 2009","Currency=INR","Period=FY","BEST_FPERIOD_OVERRIDE=FY","FILING_STATUS=MR","EQY_CONSOLIDATED=Y","SCALING_FORMAT=MLN","Sort=A","Dates=H","DateFormat=P","Fill=—","Direction=H","UseDPDF=Y")</f>
        <v>17341.099999999999</v>
      </c>
      <c r="D126" s="13">
        <f>_xll.BDH("RCOM IN Equity","ARDR_SELLING_EXPENSES","FY 2010","FY 2010","Currency=INR","Period=FY","BEST_FPERIOD_OVERRIDE=FY","FILING_STATUS=MR","EQY_CONSOLIDATED=Y","SCALING_FORMAT=MLN","Sort=A","Dates=H","DateFormat=P","Fill=—","Direction=H","UseDPDF=Y")</f>
        <v>20225.400000000001</v>
      </c>
      <c r="E126" s="13">
        <f>_xll.BDH("RCOM IN Equity","ARDR_SELLING_EXPENSES","FY 2011","FY 2011","Currency=INR","Period=FY","BEST_FPERIOD_OVERRIDE=FY","FILING_STATUS=MR","EQY_CONSOLIDATED=Y","SCALING_FORMAT=MLN","Sort=A","Dates=H","DateFormat=P","Fill=—","Direction=H","UseDPDF=Y")</f>
        <v>19200</v>
      </c>
      <c r="F126" s="13">
        <f>_xll.BDH("RCOM IN Equity","ARDR_SELLING_EXPENSES","FY 2012","FY 2012","Currency=INR","Period=FY","BEST_FPERIOD_OVERRIDE=FY","FILING_STATUS=MR","EQY_CONSOLIDATED=Y","SCALING_FORMAT=MLN","Sort=A","Dates=H","DateFormat=P","Fill=—","Direction=H","UseDPDF=Y")</f>
        <v>18620</v>
      </c>
      <c r="G126" s="13">
        <f>_xll.BDH("RCOM IN Equity","ARDR_SELLING_EXPENSES","FY 2013","FY 2013","Currency=INR","Period=FY","BEST_FPERIOD_OVERRIDE=FY","FILING_STATUS=MR","EQY_CONSOLIDATED=Y","SCALING_FORMAT=MLN","Sort=A","Dates=H","DateFormat=P","Fill=—","Direction=H","UseDPDF=Y")</f>
        <v>16910</v>
      </c>
      <c r="H126" s="13">
        <f>_xll.BDH("RCOM IN Equity","ARDR_SELLING_EXPENSES","FY 2014","FY 2014","Currency=INR","Period=FY","BEST_FPERIOD_OVERRIDE=FY","FILING_STATUS=MR","EQY_CONSOLIDATED=Y","SCALING_FORMAT=MLN","Sort=A","Dates=H","DateFormat=P","Fill=—","Direction=H","UseDPDF=Y")</f>
        <v>13790</v>
      </c>
      <c r="I126" s="13">
        <f>_xll.BDH("RCOM IN Equity","ARDR_SELLING_EXPENSES","FY 2015","FY 2015","Currency=INR","Period=FY","BEST_FPERIOD_OVERRIDE=FY","FILING_STATUS=MR","EQY_CONSOLIDATED=Y","SCALING_FORMAT=MLN","Sort=A","Dates=H","DateFormat=P","Fill=—","Direction=H","UseDPDF=Y")</f>
        <v>15360</v>
      </c>
      <c r="J126" s="13">
        <f>_xll.BDH("RCOM IN Equity","ARDR_SELLING_EXPENSES","FY 2016","FY 2016","Currency=INR","Period=FY","BEST_FPERIOD_OVERRIDE=FY","FILING_STATUS=MR","EQY_CONSOLIDATED=Y","SCALING_FORMAT=MLN","Sort=A","Dates=H","DateFormat=P","Fill=—","Direction=H","UseDPDF=Y")</f>
        <v>17480</v>
      </c>
      <c r="K126" s="13">
        <f>_xll.BDH("RCOM IN Equity","ARDR_SELLING_EXPENSES","FY 2017","FY 2017","Currency=INR","Period=FY","BEST_FPERIOD_OVERRIDE=FY","FILING_STATUS=MR","EQY_CONSOLIDATED=Y","SCALING_FORMAT=MLN","Sort=A","Dates=H","DateFormat=P","Fill=—","Direction=H","UseDPDF=Y")</f>
        <v>140</v>
      </c>
      <c r="L126" s="13">
        <f>_xll.BDH("RCOM IN Equity","ARDR_SELLING_EXPENSES","FY 2018","FY 2018","Currency=INR","Period=FY","BEST_FPERIOD_OVERRIDE=FY","FILING_STATUS=MR","EQY_CONSOLIDATED=Y","SCALING_FORMAT=MLN","Sort=A","Dates=H","DateFormat=P","Fill=—","Direction=H","UseDPDF=Y")</f>
        <v>390</v>
      </c>
    </row>
    <row r="127" spans="1:12">
      <c r="A127" s="10" t="s">
        <v>596</v>
      </c>
      <c r="B127" s="10" t="s">
        <v>597</v>
      </c>
      <c r="C127" s="13">
        <f>_xll.BDH("RCOM IN Equity","ARDR_ADVERTISING_EXPENSES","FY 2009","FY 2009","Currency=INR","Period=FY","BEST_FPERIOD_OVERRIDE=FY","FILING_STATUS=MR","EQY_CONSOLIDATED=Y","SCALING_FORMAT=MLN","Sort=A","Dates=H","DateFormat=P","Fill=—","Direction=H","UseDPDF=Y")</f>
        <v>3866.5</v>
      </c>
      <c r="D127" s="13">
        <f>_xll.BDH("RCOM IN Equity","ARDR_ADVERTISING_EXPENSES","FY 2010","FY 2010","Currency=INR","Period=FY","BEST_FPERIOD_OVERRIDE=FY","FILING_STATUS=MR","EQY_CONSOLIDATED=Y","SCALING_FORMAT=MLN","Sort=A","Dates=H","DateFormat=P","Fill=—","Direction=H","UseDPDF=Y")</f>
        <v>2273.5</v>
      </c>
      <c r="E127" s="13">
        <f>_xll.BDH("RCOM IN Equity","ARDR_ADVERTISING_EXPENSES","FY 2011","FY 2011","Currency=INR","Period=FY","BEST_FPERIOD_OVERRIDE=FY","FILING_STATUS=MR","EQY_CONSOLIDATED=Y","SCALING_FORMAT=MLN","Sort=A","Dates=H","DateFormat=P","Fill=—","Direction=H","UseDPDF=Y")</f>
        <v>1840</v>
      </c>
      <c r="F127" s="13">
        <f>_xll.BDH("RCOM IN Equity","ARDR_ADVERTISING_EXPENSES","FY 2012","FY 2012","Currency=INR","Period=FY","BEST_FPERIOD_OVERRIDE=FY","FILING_STATUS=MR","EQY_CONSOLIDATED=Y","SCALING_FORMAT=MLN","Sort=A","Dates=H","DateFormat=P","Fill=—","Direction=H","UseDPDF=Y")</f>
        <v>1270</v>
      </c>
      <c r="G127" s="13">
        <f>_xll.BDH("RCOM IN Equity","ARDR_ADVERTISING_EXPENSES","FY 2013","FY 2013","Currency=INR","Period=FY","BEST_FPERIOD_OVERRIDE=FY","FILING_STATUS=MR","EQY_CONSOLIDATED=Y","SCALING_FORMAT=MLN","Sort=A","Dates=H","DateFormat=P","Fill=—","Direction=H","UseDPDF=Y")</f>
        <v>1630</v>
      </c>
      <c r="H127" s="13">
        <f>_xll.BDH("RCOM IN Equity","ARDR_ADVERTISING_EXPENSES","FY 2014","FY 2014","Currency=INR","Period=FY","BEST_FPERIOD_OVERRIDE=FY","FILING_STATUS=MR","EQY_CONSOLIDATED=Y","SCALING_FORMAT=MLN","Sort=A","Dates=H","DateFormat=P","Fill=—","Direction=H","UseDPDF=Y")</f>
        <v>1640</v>
      </c>
      <c r="I127" s="13">
        <f>_xll.BDH("RCOM IN Equity","ARDR_ADVERTISING_EXPENSES","FY 2015","FY 2015","Currency=INR","Period=FY","BEST_FPERIOD_OVERRIDE=FY","FILING_STATUS=MR","EQY_CONSOLIDATED=Y","SCALING_FORMAT=MLN","Sort=A","Dates=H","DateFormat=P","Fill=—","Direction=H","UseDPDF=Y")</f>
        <v>1390</v>
      </c>
      <c r="J127" s="13">
        <f>_xll.BDH("RCOM IN Equity","ARDR_ADVERTISING_EXPENSES","FY 2016","FY 2016","Currency=INR","Period=FY","BEST_FPERIOD_OVERRIDE=FY","FILING_STATUS=MR","EQY_CONSOLIDATED=Y","SCALING_FORMAT=MLN","Sort=A","Dates=H","DateFormat=P","Fill=—","Direction=H","UseDPDF=Y")</f>
        <v>300</v>
      </c>
      <c r="K127" s="13">
        <f>_xll.BDH("RCOM IN Equity","ARDR_ADVERTISING_EXPENSES","FY 2017","FY 2017","Currency=INR","Period=FY","BEST_FPERIOD_OVERRIDE=FY","FILING_STATUS=MR","EQY_CONSOLIDATED=Y","SCALING_FORMAT=MLN","Sort=A","Dates=H","DateFormat=P","Fill=—","Direction=H","UseDPDF=Y")</f>
        <v>670</v>
      </c>
      <c r="L127" s="13">
        <f>_xll.BDH("RCOM IN Equity","ARDR_ADVERTISING_EXPENSES","FY 2018","FY 2018","Currency=INR","Period=FY","BEST_FPERIOD_OVERRIDE=FY","FILING_STATUS=MR","EQY_CONSOLIDATED=Y","SCALING_FORMAT=MLN","Sort=A","Dates=H","DateFormat=P","Fill=—","Direction=H","UseDPDF=Y")</f>
        <v>0</v>
      </c>
    </row>
    <row r="128" spans="1:12">
      <c r="A128" s="10" t="s">
        <v>598</v>
      </c>
      <c r="B128" s="10" t="s">
        <v>599</v>
      </c>
      <c r="C128" s="13">
        <f>_xll.BDH("RCOM IN Equity","ARDR_SERVICE_COST_OPRB","FY 2009","FY 2009","Currency=INR","Period=FY","BEST_FPERIOD_OVERRIDE=FY","FILING_STATUS=MR","EQY_CONSOLIDATED=Y","SCALING_FORMAT=MLN","Sort=A","Dates=H","DateFormat=P","Fill=—","Direction=H","UseDPDF=Y")</f>
        <v>96.9</v>
      </c>
      <c r="D128" s="13">
        <f>_xll.BDH("RCOM IN Equity","ARDR_SERVICE_COST_OPRB","FY 2010","FY 2010","Currency=INR","Period=FY","BEST_FPERIOD_OVERRIDE=FY","FILING_STATUS=MR","EQY_CONSOLIDATED=Y","SCALING_FORMAT=MLN","Sort=A","Dates=H","DateFormat=P","Fill=—","Direction=H","UseDPDF=Y")</f>
        <v>91.1</v>
      </c>
      <c r="E128" s="13">
        <f>_xll.BDH("RCOM IN Equity","ARDR_SERVICE_COST_OPRB","FY 2011","FY 2011","Currency=INR","Period=FY","BEST_FPERIOD_OVERRIDE=FY","FILING_STATUS=MR","EQY_CONSOLIDATED=Y","SCALING_FORMAT=MLN","Sort=A","Dates=H","DateFormat=P","Fill=—","Direction=H","UseDPDF=Y")</f>
        <v>80</v>
      </c>
      <c r="F128" s="13">
        <f>_xll.BDH("RCOM IN Equity","ARDR_SERVICE_COST_OPRB","FY 2012","FY 2012","Currency=INR","Period=FY","BEST_FPERIOD_OVERRIDE=FY","FILING_STATUS=MR","EQY_CONSOLIDATED=Y","SCALING_FORMAT=MLN","Sort=A","Dates=H","DateFormat=P","Fill=—","Direction=H","UseDPDF=Y")</f>
        <v>70</v>
      </c>
      <c r="G128" s="13">
        <f>_xll.BDH("RCOM IN Equity","ARDR_SERVICE_COST_OPRB","FY 2013","FY 2013","Currency=INR","Period=FY","BEST_FPERIOD_OVERRIDE=FY","FILING_STATUS=MR","EQY_CONSOLIDATED=Y","SCALING_FORMAT=MLN","Sort=A","Dates=H","DateFormat=P","Fill=—","Direction=H","UseDPDF=Y")</f>
        <v>80</v>
      </c>
      <c r="H128" s="13">
        <f>_xll.BDH("RCOM IN Equity","ARDR_SERVICE_COST_OPRB","FY 2014","FY 2014","Currency=INR","Period=FY","BEST_FPERIOD_OVERRIDE=FY","FILING_STATUS=MR","EQY_CONSOLIDATED=Y","SCALING_FORMAT=MLN","Sort=A","Dates=H","DateFormat=P","Fill=—","Direction=H","UseDPDF=Y")</f>
        <v>60</v>
      </c>
      <c r="I128" s="13">
        <f>_xll.BDH("RCOM IN Equity","ARDR_SERVICE_COST_OPRB","FY 2015","FY 2015","Currency=INR","Period=FY","BEST_FPERIOD_OVERRIDE=FY","FILING_STATUS=MR","EQY_CONSOLIDATED=Y","SCALING_FORMAT=MLN","Sort=A","Dates=H","DateFormat=P","Fill=—","Direction=H","UseDPDF=Y")</f>
        <v>50</v>
      </c>
      <c r="J128" s="13">
        <f>_xll.BDH("RCOM IN Equity","ARDR_SERVICE_COST_OPRB","FY 2016","FY 2016","Currency=INR","Period=FY","BEST_FPERIOD_OVERRIDE=FY","FILING_STATUS=MR","EQY_CONSOLIDATED=Y","SCALING_FORMAT=MLN","Sort=A","Dates=H","DateFormat=P","Fill=—","Direction=H","UseDPDF=Y")</f>
        <v>60</v>
      </c>
      <c r="K128" s="13">
        <f>_xll.BDH("RCOM IN Equity","ARDR_SERVICE_COST_OPRB","FY 2017","FY 2017","Currency=INR","Period=FY","BEST_FPERIOD_OVERRIDE=FY","FILING_STATUS=MR","EQY_CONSOLIDATED=Y","SCALING_FORMAT=MLN","Sort=A","Dates=H","DateFormat=P","Fill=—","Direction=H","UseDPDF=Y")</f>
        <v>60</v>
      </c>
      <c r="L128" s="13">
        <f>_xll.BDH("RCOM IN Equity","ARDR_SERVICE_COST_OPRB","FY 2018","FY 2018","Currency=INR","Period=FY","BEST_FPERIOD_OVERRIDE=FY","FILING_STATUS=MR","EQY_CONSOLIDATED=Y","SCALING_FORMAT=MLN","Sort=A","Dates=H","DateFormat=P","Fill=—","Direction=H","UseDPDF=Y")</f>
        <v>60</v>
      </c>
    </row>
    <row r="129" spans="1:12">
      <c r="A129" s="10" t="s">
        <v>600</v>
      </c>
      <c r="B129" s="10" t="s">
        <v>601</v>
      </c>
      <c r="C129" s="13">
        <f>_xll.BDH("RCOM IN Equity","ARDR_INTEREST_COST_OPRB","FY 2009","FY 2009","Currency=INR","Period=FY","BEST_FPERIOD_OVERRIDE=FY","FILING_STATUS=MR","EQY_CONSOLIDATED=Y","SCALING_FORMAT=MLN","Sort=A","Dates=H","DateFormat=P","Fill=—","Direction=H","UseDPDF=Y")</f>
        <v>24.4</v>
      </c>
      <c r="D129" s="13">
        <f>_xll.BDH("RCOM IN Equity","ARDR_INTEREST_COST_OPRB","FY 2010","FY 2010","Currency=INR","Period=FY","BEST_FPERIOD_OVERRIDE=FY","FILING_STATUS=MR","EQY_CONSOLIDATED=Y","SCALING_FORMAT=MLN","Sort=A","Dates=H","DateFormat=P","Fill=—","Direction=H","UseDPDF=Y")</f>
        <v>25</v>
      </c>
      <c r="E129" s="13">
        <f>_xll.BDH("RCOM IN Equity","ARDR_INTEREST_COST_OPRB","FY 2011","FY 2011","Currency=INR","Period=FY","BEST_FPERIOD_OVERRIDE=FY","FILING_STATUS=MR","EQY_CONSOLIDATED=Y","SCALING_FORMAT=MLN","Sort=A","Dates=H","DateFormat=P","Fill=—","Direction=H","UseDPDF=Y")</f>
        <v>30</v>
      </c>
      <c r="F129" s="13">
        <f>_xll.BDH("RCOM IN Equity","ARDR_INTEREST_COST_OPRB","FY 2012","FY 2012","Currency=INR","Period=FY","BEST_FPERIOD_OVERRIDE=FY","FILING_STATUS=MR","EQY_CONSOLIDATED=Y","SCALING_FORMAT=MLN","Sort=A","Dates=H","DateFormat=P","Fill=—","Direction=H","UseDPDF=Y")</f>
        <v>30</v>
      </c>
      <c r="G129" s="13">
        <f>_xll.BDH("RCOM IN Equity","ARDR_INTEREST_COST_OPRB","FY 2013","FY 2013","Currency=INR","Period=FY","BEST_FPERIOD_OVERRIDE=FY","FILING_STATUS=MR","EQY_CONSOLIDATED=Y","SCALING_FORMAT=MLN","Sort=A","Dates=H","DateFormat=P","Fill=—","Direction=H","UseDPDF=Y")</f>
        <v>30</v>
      </c>
      <c r="H129" s="13">
        <f>_xll.BDH("RCOM IN Equity","ARDR_INTEREST_COST_OPRB","FY 2014","FY 2014","Currency=INR","Period=FY","BEST_FPERIOD_OVERRIDE=FY","FILING_STATUS=MR","EQY_CONSOLIDATED=Y","SCALING_FORMAT=MLN","Sort=A","Dates=H","DateFormat=P","Fill=—","Direction=H","UseDPDF=Y")</f>
        <v>30</v>
      </c>
      <c r="I129" s="13">
        <f>_xll.BDH("RCOM IN Equity","ARDR_INTEREST_COST_OPRB","FY 2015","FY 2015","Currency=INR","Period=FY","BEST_FPERIOD_OVERRIDE=FY","FILING_STATUS=MR","EQY_CONSOLIDATED=Y","SCALING_FORMAT=MLN","Sort=A","Dates=H","DateFormat=P","Fill=—","Direction=H","UseDPDF=Y")</f>
        <v>40</v>
      </c>
      <c r="J129" s="13">
        <f>_xll.BDH("RCOM IN Equity","ARDR_INTEREST_COST_OPRB","FY 2016","FY 2016","Currency=INR","Period=FY","BEST_FPERIOD_OVERRIDE=FY","FILING_STATUS=MR","EQY_CONSOLIDATED=Y","SCALING_FORMAT=MLN","Sort=A","Dates=H","DateFormat=P","Fill=—","Direction=H","UseDPDF=Y")</f>
        <v>30</v>
      </c>
      <c r="K129" s="13">
        <f>_xll.BDH("RCOM IN Equity","ARDR_INTEREST_COST_OPRB","FY 2017","FY 2017","Currency=INR","Period=FY","BEST_FPERIOD_OVERRIDE=FY","FILING_STATUS=MR","EQY_CONSOLIDATED=Y","SCALING_FORMAT=MLN","Sort=A","Dates=H","DateFormat=P","Fill=—","Direction=H","UseDPDF=Y")</f>
        <v>40</v>
      </c>
      <c r="L129" s="13">
        <f>_xll.BDH("RCOM IN Equity","ARDR_INTEREST_COST_OPRB","FY 2018","FY 2018","Currency=INR","Period=FY","BEST_FPERIOD_OVERRIDE=FY","FILING_STATUS=MR","EQY_CONSOLIDATED=Y","SCALING_FORMAT=MLN","Sort=A","Dates=H","DateFormat=P","Fill=—","Direction=H","UseDPDF=Y")</f>
        <v>40</v>
      </c>
    </row>
    <row r="130" spans="1:12">
      <c r="A130" s="10" t="s">
        <v>602</v>
      </c>
      <c r="B130" s="10" t="s">
        <v>603</v>
      </c>
      <c r="C130" s="13">
        <f>_xll.BDH("RCOM IN Equity","ARDR_EXP_RETURN_PLAN_ASSETS_OPRB","FY 2009","FY 2009","Currency=INR","Period=FY","BEST_FPERIOD_OVERRIDE=FY","FILING_STATUS=MR","EQY_CONSOLIDATED=Y","SCALING_FORMAT=MLN","Sort=A","Dates=H","DateFormat=P","Fill=—","Direction=H","UseDPDF=Y")</f>
        <v>-26</v>
      </c>
      <c r="D130" s="13">
        <f>_xll.BDH("RCOM IN Equity","ARDR_EXP_RETURN_PLAN_ASSETS_OPRB","FY 2010","FY 2010","Currency=INR","Period=FY","BEST_FPERIOD_OVERRIDE=FY","FILING_STATUS=MR","EQY_CONSOLIDATED=Y","SCALING_FORMAT=MLN","Sort=A","Dates=H","DateFormat=P","Fill=—","Direction=H","UseDPDF=Y")</f>
        <v>-17.899999999999999</v>
      </c>
      <c r="E130" s="13">
        <f>_xll.BDH("RCOM IN Equity","ARDR_EXP_RETURN_PLAN_ASSETS_OPRB","FY 2011","FY 2011","Currency=INR","Period=FY","BEST_FPERIOD_OVERRIDE=FY","FILING_STATUS=MR","EQY_CONSOLIDATED=Y","SCALING_FORMAT=MLN","Sort=A","Dates=H","DateFormat=P","Fill=—","Direction=H","UseDPDF=Y")</f>
        <v>-30</v>
      </c>
      <c r="F130" s="13">
        <f>_xll.BDH("RCOM IN Equity","ARDR_EXP_RETURN_PLAN_ASSETS_OPRB","FY 2012","FY 2012","Currency=INR","Period=FY","BEST_FPERIOD_OVERRIDE=FY","FILING_STATUS=MR","EQY_CONSOLIDATED=Y","SCALING_FORMAT=MLN","Sort=A","Dates=H","DateFormat=P","Fill=—","Direction=H","UseDPDF=Y")</f>
        <v>-30</v>
      </c>
      <c r="G130" s="13">
        <f>_xll.BDH("RCOM IN Equity","ARDR_EXP_RETURN_PLAN_ASSETS_OPRB","FY 2013","FY 2013","Currency=INR","Period=FY","BEST_FPERIOD_OVERRIDE=FY","FILING_STATUS=MR","EQY_CONSOLIDATED=Y","SCALING_FORMAT=MLN","Sort=A","Dates=H","DateFormat=P","Fill=—","Direction=H","UseDPDF=Y")</f>
        <v>-30</v>
      </c>
      <c r="H130" s="13">
        <f>_xll.BDH("RCOM IN Equity","ARDR_EXP_RETURN_PLAN_ASSETS_OPRB","FY 2014","FY 2014","Currency=INR","Period=FY","BEST_FPERIOD_OVERRIDE=FY","FILING_STATUS=MR","EQY_CONSOLIDATED=Y","SCALING_FORMAT=MLN","Sort=A","Dates=H","DateFormat=P","Fill=—","Direction=H","UseDPDF=Y")</f>
        <v>-20</v>
      </c>
      <c r="I130" s="13">
        <f>_xll.BDH("RCOM IN Equity","ARDR_EXP_RETURN_PLAN_ASSETS_OPRB","FY 2015","FY 2015","Currency=INR","Period=FY","BEST_FPERIOD_OVERRIDE=FY","FILING_STATUS=MR","EQY_CONSOLIDATED=Y","SCALING_FORMAT=MLN","Sort=A","Dates=H","DateFormat=P","Fill=—","Direction=H","UseDPDF=Y")</f>
        <v>-10</v>
      </c>
      <c r="J130" s="13">
        <f>_xll.BDH("RCOM IN Equity","ARDR_EXP_RETURN_PLAN_ASSETS_OPRB","FY 2016","FY 2016","Currency=INR","Period=FY","BEST_FPERIOD_OVERRIDE=FY","FILING_STATUS=MR","EQY_CONSOLIDATED=Y","SCALING_FORMAT=MLN","Sort=A","Dates=H","DateFormat=P","Fill=—","Direction=H","UseDPDF=Y")</f>
        <v>-10</v>
      </c>
      <c r="K130" s="13">
        <f>_xll.BDH("RCOM IN Equity","ARDR_EXP_RETURN_PLAN_ASSETS_OPRB","FY 2017","FY 2017","Currency=INR","Period=FY","BEST_FPERIOD_OVERRIDE=FY","FILING_STATUS=MR","EQY_CONSOLIDATED=Y","SCALING_FORMAT=MLN","Sort=A","Dates=H","DateFormat=P","Fill=—","Direction=H","UseDPDF=Y")</f>
        <v>0</v>
      </c>
      <c r="L130" s="13">
        <f>_xll.BDH("RCOM IN Equity","ARDR_EXP_RETURN_PLAN_ASSETS_OPRB","FY 2018","FY 2018","Currency=INR","Period=FY","BEST_FPERIOD_OVERRIDE=FY","FILING_STATUS=MR","EQY_CONSOLIDATED=Y","SCALING_FORMAT=MLN","Sort=A","Dates=H","DateFormat=P","Fill=—","Direction=H","UseDPDF=Y")</f>
        <v>-10</v>
      </c>
    </row>
    <row r="131" spans="1:12">
      <c r="A131" s="10" t="s">
        <v>604</v>
      </c>
      <c r="B131" s="10" t="s">
        <v>605</v>
      </c>
      <c r="C131" s="13" t="str">
        <f>_xll.BDH("RCOM IN Equity","ARDR_ACTUAL_RET_PLAN_ASSETS_OPRB","FY 2009","FY 2009","Currency=INR","Period=FY","BEST_FPERIOD_OVERRIDE=FY","FILING_STATUS=MR","EQY_CONSOLIDATED=Y","SCALING_FORMAT=MLN","Sort=A","Dates=H","DateFormat=P","Fill=—","Direction=H","UseDPDF=Y")</f>
        <v>—</v>
      </c>
      <c r="D131" s="13">
        <f>_xll.BDH("RCOM IN Equity","ARDR_ACTUAL_RET_PLAN_ASSETS_OPRB","FY 2010","FY 2010","Currency=INR","Period=FY","BEST_FPERIOD_OVERRIDE=FY","FILING_STATUS=MR","EQY_CONSOLIDATED=Y","SCALING_FORMAT=MLN","Sort=A","Dates=H","DateFormat=P","Fill=—","Direction=H","UseDPDF=Y")</f>
        <v>47.7</v>
      </c>
      <c r="E131" s="13">
        <f>_xll.BDH("RCOM IN Equity","ARDR_ACTUAL_RET_PLAN_ASSETS_OPRB","FY 2011","FY 2011","Currency=INR","Period=FY","BEST_FPERIOD_OVERRIDE=FY","FILING_STATUS=MR","EQY_CONSOLIDATED=Y","SCALING_FORMAT=MLN","Sort=A","Dates=H","DateFormat=P","Fill=—","Direction=H","UseDPDF=Y")</f>
        <v>20</v>
      </c>
      <c r="F131" s="13">
        <f>_xll.BDH("RCOM IN Equity","ARDR_ACTUAL_RET_PLAN_ASSETS_OPRB","FY 2012","FY 2012","Currency=INR","Period=FY","BEST_FPERIOD_OVERRIDE=FY","FILING_STATUS=MR","EQY_CONSOLIDATED=Y","SCALING_FORMAT=MLN","Sort=A","Dates=H","DateFormat=P","Fill=—","Direction=H","UseDPDF=Y")</f>
        <v>20</v>
      </c>
      <c r="G131" s="13">
        <f>_xll.BDH("RCOM IN Equity","ARDR_ACTUAL_RET_PLAN_ASSETS_OPRB","FY 2013","FY 2013","Currency=INR","Period=FY","BEST_FPERIOD_OVERRIDE=FY","FILING_STATUS=MR","EQY_CONSOLIDATED=Y","SCALING_FORMAT=MLN","Sort=A","Dates=H","DateFormat=P","Fill=—","Direction=H","UseDPDF=Y")</f>
        <v>30</v>
      </c>
      <c r="H131" s="13">
        <f>_xll.BDH("RCOM IN Equity","ARDR_ACTUAL_RET_PLAN_ASSETS_OPRB","FY 2014","FY 2014","Currency=INR","Period=FY","BEST_FPERIOD_OVERRIDE=FY","FILING_STATUS=MR","EQY_CONSOLIDATED=Y","SCALING_FORMAT=MLN","Sort=A","Dates=H","DateFormat=P","Fill=—","Direction=H","UseDPDF=Y")</f>
        <v>20</v>
      </c>
      <c r="I131" s="13">
        <f>_xll.BDH("RCOM IN Equity","ARDR_ACTUAL_RET_PLAN_ASSETS_OPRB","FY 2015","FY 2015","Currency=INR","Period=FY","BEST_FPERIOD_OVERRIDE=FY","FILING_STATUS=MR","EQY_CONSOLIDATED=Y","SCALING_FORMAT=MLN","Sort=A","Dates=H","DateFormat=P","Fill=—","Direction=H","UseDPDF=Y")</f>
        <v>0</v>
      </c>
      <c r="J131" s="13" t="str">
        <f>_xll.BDH("RCOM IN Equity","ARDR_ACTUAL_RET_PLAN_ASSETS_OPRB","FY 2016","FY 2016","Currency=INR","Period=FY","BEST_FPERIOD_OVERRIDE=FY","FILING_STATUS=MR","EQY_CONSOLIDATED=Y","SCALING_FORMAT=MLN","Sort=A","Dates=H","DateFormat=P","Fill=—","Direction=H","UseDPDF=Y")</f>
        <v>—</v>
      </c>
      <c r="K131" s="13" t="str">
        <f>_xll.BDH("RCOM IN Equity","ARDR_ACTUAL_RET_PLAN_ASSETS_OPRB","FY 2017","FY 2017","Currency=INR","Period=FY","BEST_FPERIOD_OVERRIDE=FY","FILING_STATUS=MR","EQY_CONSOLIDATED=Y","SCALING_FORMAT=MLN","Sort=A","Dates=H","DateFormat=P","Fill=—","Direction=H","UseDPDF=Y")</f>
        <v>—</v>
      </c>
      <c r="L131" s="13" t="str">
        <f>_xll.BDH("RCOM IN Equity","ARDR_ACTUAL_RET_PLAN_ASSETS_OPRB","FY 2018","FY 2018","Currency=INR","Period=FY","BEST_FPERIOD_OVERRIDE=FY","FILING_STATUS=MR","EQY_CONSOLIDATED=Y","SCALING_FORMAT=MLN","Sort=A","Dates=H","DateFormat=P","Fill=—","Direction=H","UseDPDF=Y")</f>
        <v>—</v>
      </c>
    </row>
    <row r="132" spans="1:12">
      <c r="A132" s="10" t="s">
        <v>606</v>
      </c>
      <c r="B132" s="10" t="s">
        <v>607</v>
      </c>
      <c r="C132" s="13" t="str">
        <f>_xll.BDH("RCOM IN Equity","ARDR_ACTUARIAL_LOSSES_GAINS_OPEB","FY 2009","FY 2009","Currency=INR","Period=FY","BEST_FPERIOD_OVERRIDE=FY","FILING_STATUS=MR","EQY_CONSOLIDATED=Y","SCALING_FORMAT=MLN","Sort=A","Dates=H","DateFormat=P","Fill=—","Direction=H","UseDPDF=Y")</f>
        <v>—</v>
      </c>
      <c r="D132" s="13" t="str">
        <f>_xll.BDH("RCOM IN Equity","ARDR_ACTUARIAL_LOSSES_GAINS_OPEB","FY 2010","FY 2010","Currency=INR","Period=FY","BEST_FPERIOD_OVERRIDE=FY","FILING_STATUS=MR","EQY_CONSOLIDATED=Y","SCALING_FORMAT=MLN","Sort=A","Dates=H","DateFormat=P","Fill=—","Direction=H","UseDPDF=Y")</f>
        <v>—</v>
      </c>
      <c r="E132" s="13" t="str">
        <f>_xll.BDH("RCOM IN Equity","ARDR_ACTUARIAL_LOSSES_GAINS_OPEB","FY 2011","FY 2011","Currency=INR","Period=FY","BEST_FPERIOD_OVERRIDE=FY","FILING_STATUS=MR","EQY_CONSOLIDATED=Y","SCALING_FORMAT=MLN","Sort=A","Dates=H","DateFormat=P","Fill=—","Direction=H","UseDPDF=Y")</f>
        <v>—</v>
      </c>
      <c r="F132" s="13">
        <f>_xll.BDH("RCOM IN Equity","ARDR_ACTUARIAL_LOSSES_GAINS_OPEB","FY 2012","FY 2012","Currency=INR","Period=FY","BEST_FPERIOD_OVERRIDE=FY","FILING_STATUS=MR","EQY_CONSOLIDATED=Y","SCALING_FORMAT=MLN","Sort=A","Dates=H","DateFormat=P","Fill=—","Direction=H","UseDPDF=Y")</f>
        <v>-40</v>
      </c>
      <c r="G132" s="13">
        <f>_xll.BDH("RCOM IN Equity","ARDR_ACTUARIAL_LOSSES_GAINS_OPEB","FY 2013","FY 2013","Currency=INR","Period=FY","BEST_FPERIOD_OVERRIDE=FY","FILING_STATUS=MR","EQY_CONSOLIDATED=Y","SCALING_FORMAT=MLN","Sort=A","Dates=H","DateFormat=P","Fill=—","Direction=H","UseDPDF=Y")</f>
        <v>10</v>
      </c>
      <c r="H132" s="13">
        <f>_xll.BDH("RCOM IN Equity","ARDR_ACTUARIAL_LOSSES_GAINS_OPEB","FY 2014","FY 2014","Currency=INR","Period=FY","BEST_FPERIOD_OVERRIDE=FY","FILING_STATUS=MR","EQY_CONSOLIDATED=Y","SCALING_FORMAT=MLN","Sort=A","Dates=H","DateFormat=P","Fill=—","Direction=H","UseDPDF=Y")</f>
        <v>80</v>
      </c>
      <c r="I132" s="13">
        <f>_xll.BDH("RCOM IN Equity","ARDR_ACTUARIAL_LOSSES_GAINS_OPEB","FY 2015","FY 2015","Currency=INR","Period=FY","BEST_FPERIOD_OVERRIDE=FY","FILING_STATUS=MR","EQY_CONSOLIDATED=Y","SCALING_FORMAT=MLN","Sort=A","Dates=H","DateFormat=P","Fill=—","Direction=H","UseDPDF=Y")</f>
        <v>30</v>
      </c>
      <c r="J132" s="13">
        <f>_xll.BDH("RCOM IN Equity","ARDR_ACTUARIAL_LOSSES_GAINS_OPEB","FY 2016","FY 2016","Currency=INR","Period=FY","BEST_FPERIOD_OVERRIDE=FY","FILING_STATUS=MR","EQY_CONSOLIDATED=Y","SCALING_FORMAT=MLN","Sort=A","Dates=H","DateFormat=P","Fill=—","Direction=H","UseDPDF=Y")</f>
        <v>40</v>
      </c>
      <c r="K132" s="13" t="str">
        <f>_xll.BDH("RCOM IN Equity","ARDR_ACTUARIAL_LOSSES_GAINS_OPEB","FY 2017","FY 2017","Currency=INR","Period=FY","BEST_FPERIOD_OVERRIDE=FY","FILING_STATUS=MR","EQY_CONSOLIDATED=Y","SCALING_FORMAT=MLN","Sort=A","Dates=H","DateFormat=P","Fill=—","Direction=H","UseDPDF=Y")</f>
        <v>—</v>
      </c>
      <c r="L132" s="13">
        <f>_xll.BDH("RCOM IN Equity","ARDR_ACTUARIAL_LOSSES_GAINS_OPEB","FY 2018","FY 2018","Currency=INR","Period=FY","BEST_FPERIOD_OVERRIDE=FY","FILING_STATUS=MR","EQY_CONSOLIDATED=Y","SCALING_FORMAT=MLN","Sort=A","Dates=H","DateFormat=P","Fill=—","Direction=H","UseDPDF=Y")</f>
        <v>0</v>
      </c>
    </row>
    <row r="133" spans="1:12">
      <c r="A133" s="10" t="s">
        <v>608</v>
      </c>
      <c r="B133" s="10" t="s">
        <v>609</v>
      </c>
      <c r="C133" s="14">
        <f>_xll.BDH("RCOM IN Equity","ARDR_EBITDA_MARGIN","FY 2009","FY 2009","Currency=INR","Period=FY","BEST_FPERIOD_OVERRIDE=FY","FILING_STATUS=MR","EQY_CONSOLIDATED=Y","Sort=A","Dates=H","DateFormat=P","Fill=—","Direction=H","UseDPDF=Y")</f>
        <v>40.549999999999997</v>
      </c>
      <c r="D133" s="14">
        <f>_xll.BDH("RCOM IN Equity","ARDR_EBITDA_MARGIN","FY 2010","FY 2010","Currency=INR","Period=FY","BEST_FPERIOD_OVERRIDE=FY","FILING_STATUS=MR","EQY_CONSOLIDATED=Y","Sort=A","Dates=H","DateFormat=P","Fill=—","Direction=H","UseDPDF=Y")</f>
        <v>35.340000000000003</v>
      </c>
      <c r="E133" s="14">
        <f>_xll.BDH("RCOM IN Equity","ARDR_EBITDA_MARGIN","FY 2011","FY 2011","Currency=INR","Period=FY","BEST_FPERIOD_OVERRIDE=FY","FILING_STATUS=MR","EQY_CONSOLIDATED=Y","Sort=A","Dates=H","DateFormat=P","Fill=—","Direction=H","UseDPDF=Y")</f>
        <v>39.299999999999997</v>
      </c>
      <c r="F133" s="14">
        <f>_xll.BDH("RCOM IN Equity","ARDR_EBITDA_MARGIN","FY 2012","FY 2012","Currency=INR","Period=FY","BEST_FPERIOD_OVERRIDE=FY","FILING_STATUS=MR","EQY_CONSOLIDATED=Y","Sort=A","Dates=H","DateFormat=P","Fill=—","Direction=H","UseDPDF=Y")</f>
        <v>31.84</v>
      </c>
      <c r="G133" s="14">
        <f>_xll.BDH("RCOM IN Equity","ARDR_EBITDA_MARGIN","FY 2013","FY 2013","Currency=INR","Period=FY","BEST_FPERIOD_OVERRIDE=FY","FILING_STATUS=MR","EQY_CONSOLIDATED=Y","Sort=A","Dates=H","DateFormat=P","Fill=—","Direction=H","UseDPDF=Y")</f>
        <v>32.869999999999997</v>
      </c>
      <c r="H133" s="14">
        <f>_xll.BDH("RCOM IN Equity","ARDR_EBITDA_MARGIN","FY 2014","FY 2014","Currency=INR","Period=FY","BEST_FPERIOD_OVERRIDE=FY","FILING_STATUS=MR","EQY_CONSOLIDATED=Y","Sort=A","Dates=H","DateFormat=P","Fill=—","Direction=H","UseDPDF=Y")</f>
        <v>34.61</v>
      </c>
      <c r="I133" s="14">
        <f>_xll.BDH("RCOM IN Equity","ARDR_EBITDA_MARGIN","FY 2015","FY 2015","Currency=INR","Period=FY","BEST_FPERIOD_OVERRIDE=FY","FILING_STATUS=MR","EQY_CONSOLIDATED=Y","Sort=A","Dates=H","DateFormat=P","Fill=—","Direction=H","UseDPDF=Y")</f>
        <v>34.020000000000003</v>
      </c>
      <c r="J133" s="14">
        <f>_xll.BDH("RCOM IN Equity","ARDR_EBITDA_MARGIN","FY 2016","FY 2016","Currency=INR","Period=FY","BEST_FPERIOD_OVERRIDE=FY","FILING_STATUS=MR","EQY_CONSOLIDATED=Y","Sort=A","Dates=H","DateFormat=P","Fill=—","Direction=H","UseDPDF=Y")</f>
        <v>33.54</v>
      </c>
      <c r="K133" s="14" t="str">
        <f>_xll.BDH("RCOM IN Equity","ARDR_EBITDA_MARGIN","FY 2017","FY 2017","Currency=INR","Period=FY","BEST_FPERIOD_OVERRIDE=FY","FILING_STATUS=MR","EQY_CONSOLIDATED=Y","Sort=A","Dates=H","DateFormat=P","Fill=—","Direction=H","UseDPDF=Y")</f>
        <v>—</v>
      </c>
      <c r="L133" s="14">
        <f>_xll.BDH("RCOM IN Equity","ARDR_EBITDA_MARGIN","FY 2018","FY 2018","Currency=INR","Period=FY","BEST_FPERIOD_OVERRIDE=FY","FILING_STATUS=MR","EQY_CONSOLIDATED=Y","Sort=A","Dates=H","DateFormat=P","Fill=—","Direction=H","UseDPDF=Y")</f>
        <v>19.2</v>
      </c>
    </row>
    <row r="134" spans="1:12">
      <c r="A134" s="10" t="s">
        <v>610</v>
      </c>
      <c r="B134" s="10" t="s">
        <v>611</v>
      </c>
      <c r="C134" s="13">
        <f>_xll.BDH("RCOM IN Equity","ARDR_CAPEX_AS_REPORTED","FY 2009","FY 2009","Currency=INR","Period=FY","BEST_FPERIOD_OVERRIDE=FY","FILING_STATUS=MR","EQY_CONSOLIDATED=Y","SCALING_FORMAT=MLN","Sort=A","Dates=H","DateFormat=P","Fill=—","Direction=H","UseDPDF=Y")</f>
        <v>131500.9</v>
      </c>
      <c r="D134" s="13">
        <f>_xll.BDH("RCOM IN Equity","ARDR_CAPEX_AS_REPORTED","FY 2010","FY 2010","Currency=INR","Period=FY","BEST_FPERIOD_OVERRIDE=FY","FILING_STATUS=MR","EQY_CONSOLIDATED=Y","SCALING_FORMAT=MLN","Sort=A","Dates=H","DateFormat=P","Fill=—","Direction=H","UseDPDF=Y")</f>
        <v>48319.8</v>
      </c>
      <c r="E134" s="13">
        <f>_xll.BDH("RCOM IN Equity","ARDR_CAPEX_AS_REPORTED","FY 2011","FY 2011","Currency=INR","Period=FY","BEST_FPERIOD_OVERRIDE=FY","FILING_STATUS=MR","EQY_CONSOLIDATED=Y","SCALING_FORMAT=MLN","Sort=A","Dates=H","DateFormat=P","Fill=—","Direction=H","UseDPDF=Y")</f>
        <v>99600</v>
      </c>
      <c r="F134" s="13">
        <f>_xll.BDH("RCOM IN Equity","ARDR_CAPEX_AS_REPORTED","FY 2012","FY 2012","Currency=INR","Period=FY","BEST_FPERIOD_OVERRIDE=FY","FILING_STATUS=MR","EQY_CONSOLIDATED=Y","SCALING_FORMAT=MLN","Sort=A","Dates=H","DateFormat=P","Fill=—","Direction=H","UseDPDF=Y")</f>
        <v>58480</v>
      </c>
      <c r="G134" s="13">
        <f>_xll.BDH("RCOM IN Equity","ARDR_CAPEX_AS_REPORTED","FY 2013","FY 2013","Currency=INR","Period=FY","BEST_FPERIOD_OVERRIDE=FY","FILING_STATUS=MR","EQY_CONSOLIDATED=Y","SCALING_FORMAT=MLN","Sort=A","Dates=H","DateFormat=P","Fill=—","Direction=H","UseDPDF=Y")</f>
        <v>39210</v>
      </c>
      <c r="H134" s="13">
        <f>_xll.BDH("RCOM IN Equity","ARDR_CAPEX_AS_REPORTED","FY 2014","FY 2014","Currency=INR","Period=FY","BEST_FPERIOD_OVERRIDE=FY","FILING_STATUS=MR","EQY_CONSOLIDATED=Y","SCALING_FORMAT=MLN","Sort=A","Dates=H","DateFormat=P","Fill=—","Direction=H","UseDPDF=Y")</f>
        <v>33420</v>
      </c>
      <c r="I134" s="13">
        <f>_xll.BDH("RCOM IN Equity","ARDR_CAPEX_AS_REPORTED","FY 2015","FY 2015","Currency=INR","Period=FY","BEST_FPERIOD_OVERRIDE=FY","FILING_STATUS=MR","EQY_CONSOLIDATED=Y","SCALING_FORMAT=MLN","Sort=A","Dates=H","DateFormat=P","Fill=—","Direction=H","UseDPDF=Y")</f>
        <v>16150</v>
      </c>
      <c r="J134" s="13">
        <f>_xll.BDH("RCOM IN Equity","ARDR_CAPEX_AS_REPORTED","FY 2016","FY 2016","Currency=INR","Period=FY","BEST_FPERIOD_OVERRIDE=FY","FILING_STATUS=MR","EQY_CONSOLIDATED=Y","SCALING_FORMAT=MLN","Sort=A","Dates=H","DateFormat=P","Fill=—","Direction=H","UseDPDF=Y")</f>
        <v>182640</v>
      </c>
      <c r="K134" s="13">
        <f>_xll.BDH("RCOM IN Equity","ARDR_CAPEX_AS_REPORTED","FY 2017","FY 2017","Currency=INR","Period=FY","BEST_FPERIOD_OVERRIDE=FY","FILING_STATUS=MR","EQY_CONSOLIDATED=Y","SCALING_FORMAT=MLN","Sort=A","Dates=H","DateFormat=P","Fill=—","Direction=H","UseDPDF=Y")</f>
        <v>35790</v>
      </c>
      <c r="L134" s="13">
        <f>_xll.BDH("RCOM IN Equity","ARDR_CAPEX_AS_REPORTED","FY 2018","FY 2018","Currency=INR","Period=FY","BEST_FPERIOD_OVERRIDE=FY","FILING_STATUS=MR","EQY_CONSOLIDATED=Y","SCALING_FORMAT=MLN","Sort=A","Dates=H","DateFormat=P","Fill=—","Direction=H","UseDPDF=Y")</f>
        <v>24160</v>
      </c>
    </row>
    <row r="135" spans="1:12">
      <c r="A135" s="7" t="s">
        <v>57</v>
      </c>
      <c r="B135" s="7"/>
      <c r="C135" s="7" t="s">
        <v>3</v>
      </c>
      <c r="D135" s="7"/>
      <c r="E135" s="7"/>
      <c r="F135" s="7"/>
      <c r="G135" s="7"/>
      <c r="H135" s="7"/>
      <c r="I135" s="7"/>
      <c r="J135" s="7"/>
      <c r="K135" s="7"/>
      <c r="L135" s="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52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612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209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</row>
    <row r="6" spans="1:12">
      <c r="A6" s="6" t="s">
        <v>613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21"/>
    </row>
    <row r="7" spans="1:12">
      <c r="A7" s="6" t="s">
        <v>614</v>
      </c>
      <c r="B7" s="6" t="s">
        <v>64</v>
      </c>
      <c r="C7" s="19">
        <f>_xll.BDH("RCOM IN Equity","IS_OPER_INC","FY 2010","FY 2010","Currency=INR","Period=FY","BEST_FPERIOD_OVERRIDE=FY","FILING_STATUS=MR","EQY_CONSOLIDATED=Y","SCALING_FORMAT=MLN","FA_ADJUSTED=GAAP","Sort=A","Dates=H","DateFormat=P","Fill=—","Direction=H","UseDPDF=Y")</f>
        <v>32425.3</v>
      </c>
      <c r="D7" s="19">
        <f>_xll.BDH("RCOM IN Equity","IS_OPER_INC","FY 2011","FY 2011","Currency=INR","Period=FY","BEST_FPERIOD_OVERRIDE=FY","FILING_STATUS=MR","EQY_CONSOLIDATED=Y","SCALING_FORMAT=MLN","FA_ADJUSTED=GAAP","Sort=A","Dates=H","DateFormat=P","Fill=—","Direction=H","UseDPDF=Y")</f>
        <v>18720</v>
      </c>
      <c r="E7" s="19">
        <f>_xll.BDH("RCOM IN Equity","IS_OPER_INC","FY 2012","FY 2012","Currency=INR","Period=FY","BEST_FPERIOD_OVERRIDE=FY","FILING_STATUS=MR","EQY_CONSOLIDATED=Y","SCALING_FORMAT=MLN","FA_ADJUSTED=GAAP","Sort=A","Dates=H","DateFormat=P","Fill=—","Direction=H","UseDPDF=Y")</f>
        <v>18170</v>
      </c>
      <c r="F7" s="19">
        <f>_xll.BDH("RCOM IN Equity","IS_OPER_INC","FY 2013","FY 2013","Currency=INR","Period=FY","BEST_FPERIOD_OVERRIDE=FY","FILING_STATUS=MR","EQY_CONSOLIDATED=Y","SCALING_FORMAT=MLN","FA_ADJUSTED=GAAP","Sort=A","Dates=H","DateFormat=P","Fill=—","Direction=H","UseDPDF=Y")</f>
        <v>20960</v>
      </c>
      <c r="G7" s="19">
        <f>_xll.BDH("RCOM IN Equity","IS_OPER_INC","FY 2014","FY 2014","Currency=INR","Period=FY","BEST_FPERIOD_OVERRIDE=FY","FILING_STATUS=MR","EQY_CONSOLIDATED=Y","SCALING_FORMAT=MLN","FA_ADJUSTED=GAAP","Sort=A","Dates=H","DateFormat=P","Fill=—","Direction=H","UseDPDF=Y")</f>
        <v>21710</v>
      </c>
      <c r="H7" s="19">
        <f>_xll.BDH("RCOM IN Equity","IS_OPER_INC","FY 2015","FY 2015","Currency=INR","Period=FY","BEST_FPERIOD_OVERRIDE=FY","FILING_STATUS=MR","EQY_CONSOLIDATED=Y","SCALING_FORMAT=MLN","FA_ADJUSTED=GAAP","Sort=A","Dates=H","DateFormat=P","Fill=—","Direction=H","UseDPDF=Y")</f>
        <v>33890</v>
      </c>
      <c r="I7" s="19">
        <f>_xll.BDH("RCOM IN Equity","IS_OPER_INC","FY 2016","FY 2016","Currency=INR","Period=FY","BEST_FPERIOD_OVERRIDE=FY","FILING_STATUS=MR","EQY_CONSOLIDATED=Y","SCALING_FORMAT=MLN","FA_ADJUSTED=GAAP","Sort=A","Dates=H","DateFormat=P","Fill=—","Direction=H","UseDPDF=Y")</f>
        <v>27760</v>
      </c>
      <c r="J7" s="19">
        <f>_xll.BDH("RCOM IN Equity","IS_OPER_INC","FY 2017","FY 2017","Currency=INR","Period=FY","BEST_FPERIOD_OVERRIDE=FY","FILING_STATUS=MR","EQY_CONSOLIDATED=Y","SCALING_FORMAT=MLN","FA_ADJUSTED=GAAP","Sort=A","Dates=H","DateFormat=P","Fill=—","Direction=H","UseDPDF=Y")</f>
        <v>4400</v>
      </c>
      <c r="K7" s="19">
        <f>_xll.BDH("RCOM IN Equity","IS_OPER_INC","FY 2018","FY 2018","Currency=INR","Period=FY","BEST_FPERIOD_OVERRIDE=FY","FILING_STATUS=MR","EQY_CONSOLIDATED=Y","SCALING_FORMAT=MLN","FA_ADJUSTED=GAAP","Sort=A","Dates=H","DateFormat=P","Fill=—","Direction=H","UseDPDF=Y")</f>
        <v>2430</v>
      </c>
      <c r="L7" s="22">
        <v>-2810</v>
      </c>
    </row>
    <row r="8" spans="1:12">
      <c r="A8" s="10" t="s">
        <v>615</v>
      </c>
      <c r="B8" s="10" t="s">
        <v>616</v>
      </c>
      <c r="C8" s="13">
        <f>_xll.BDH("RCOM IN Equity","IS_REVENUE_ADJUSTMENTS","FY 2010","FY 2010","Currency=INR","Period=FY","BEST_FPERIOD_OVERRIDE=FY","FILING_STATUS=MR","EQY_CONSOLIDATED=Y","SCALING_FORMAT=MLN","Sort=A","Dates=H","DateFormat=P","Fill=—","Direction=H","UseDPDF=Y")</f>
        <v>0</v>
      </c>
      <c r="D8" s="13">
        <f>_xll.BDH("RCOM IN Equity","IS_REVENUE_ADJUSTMENTS","FY 2011","FY 2011","Currency=INR","Period=FY","BEST_FPERIOD_OVERRIDE=FY","FILING_STATUS=MR","EQY_CONSOLIDATED=Y","SCALING_FORMAT=MLN","Sort=A","Dates=H","DateFormat=P","Fill=—","Direction=H","UseDPDF=Y")</f>
        <v>0</v>
      </c>
      <c r="E8" s="13">
        <f>_xll.BDH("RCOM IN Equity","IS_REVENUE_ADJUSTMENTS","FY 2012","FY 2012","Currency=INR","Period=FY","BEST_FPERIOD_OVERRIDE=FY","FILING_STATUS=MR","EQY_CONSOLIDATED=Y","SCALING_FORMAT=MLN","Sort=A","Dates=H","DateFormat=P","Fill=—","Direction=H","UseDPDF=Y")</f>
        <v>0</v>
      </c>
      <c r="F8" s="13">
        <f>_xll.BDH("RCOM IN Equity","IS_REVENUE_ADJUSTMENTS","FY 2013","FY 2013","Currency=INR","Period=FY","BEST_FPERIOD_OVERRIDE=FY","FILING_STATUS=MR","EQY_CONSOLIDATED=Y","SCALING_FORMAT=MLN","Sort=A","Dates=H","DateFormat=P","Fill=—","Direction=H","UseDPDF=Y")</f>
        <v>0</v>
      </c>
      <c r="G8" s="13">
        <f>_xll.BDH("RCOM IN Equity","IS_REVENUE_ADJUSTMENTS","FY 2014","FY 2014","Currency=INR","Period=FY","BEST_FPERIOD_OVERRIDE=FY","FILING_STATUS=MR","EQY_CONSOLIDATED=Y","SCALING_FORMAT=MLN","Sort=A","Dates=H","DateFormat=P","Fill=—","Direction=H","UseDPDF=Y")</f>
        <v>0</v>
      </c>
      <c r="H8" s="13">
        <f>_xll.BDH("RCOM IN Equity","IS_REVENUE_ADJUSTMENTS","FY 2015","FY 2015","Currency=INR","Period=FY","BEST_FPERIOD_OVERRIDE=FY","FILING_STATUS=MR","EQY_CONSOLIDATED=Y","SCALING_FORMAT=MLN","Sort=A","Dates=H","DateFormat=P","Fill=—","Direction=H","UseDPDF=Y")</f>
        <v>0</v>
      </c>
      <c r="I8" s="13">
        <f>_xll.BDH("RCOM IN Equity","IS_REVENUE_ADJUSTMENTS","FY 2016","FY 2016","Currency=INR","Period=FY","BEST_FPERIOD_OVERRIDE=FY","FILING_STATUS=MR","EQY_CONSOLIDATED=Y","SCALING_FORMAT=MLN","Sort=A","Dates=H","DateFormat=P","Fill=—","Direction=H","UseDPDF=Y")</f>
        <v>0</v>
      </c>
      <c r="J8" s="13">
        <f>_xll.BDH("RCOM IN Equity","IS_REVENUE_ADJUSTMENTS","FY 2017","FY 2017","Currency=INR","Period=FY","BEST_FPERIOD_OVERRIDE=FY","FILING_STATUS=MR","EQY_CONSOLIDATED=Y","SCALING_FORMAT=MLN","Sort=A","Dates=H","DateFormat=P","Fill=—","Direction=H","UseDPDF=Y")</f>
        <v>0</v>
      </c>
      <c r="K8" s="13">
        <f>_xll.BDH("RCOM IN Equity","IS_REVENUE_ADJUSTMENTS","FY 2018","FY 2018","Currency=INR","Period=FY","BEST_FPERIOD_OVERRIDE=FY","FILING_STATUS=MR","EQY_CONSOLIDATED=Y","SCALING_FORMAT=MLN","Sort=A","Dates=H","DateFormat=P","Fill=—","Direction=H","UseDPDF=Y")</f>
        <v>0</v>
      </c>
      <c r="L8" s="16">
        <v>0</v>
      </c>
    </row>
    <row r="9" spans="1:12">
      <c r="A9" s="10" t="s">
        <v>617</v>
      </c>
      <c r="B9" s="10" t="s">
        <v>618</v>
      </c>
      <c r="C9" s="13">
        <f>_xll.BDH("RCOM IN Equity","IS_COST_OF_REVENUE_ADJUSTMENTS","FY 2010","FY 2010","Currency=INR","Period=FY","BEST_FPERIOD_OVERRIDE=FY","FILING_STATUS=MR","EQY_CONSOLIDATED=Y","SCALING_FORMAT=MLN","Sort=A","Dates=H","DateFormat=P","Fill=—","Direction=H","UseDPDF=Y")</f>
        <v>0</v>
      </c>
      <c r="D9" s="13">
        <f>_xll.BDH("RCOM IN Equity","IS_COST_OF_REVENUE_ADJUSTMENTS","FY 2011","FY 2011","Currency=INR","Period=FY","BEST_FPERIOD_OVERRIDE=FY","FILING_STATUS=MR","EQY_CONSOLIDATED=Y","SCALING_FORMAT=MLN","Sort=A","Dates=H","DateFormat=P","Fill=—","Direction=H","UseDPDF=Y")</f>
        <v>0</v>
      </c>
      <c r="E9" s="13">
        <f>_xll.BDH("RCOM IN Equity","IS_COST_OF_REVENUE_ADJUSTMENTS","FY 2012","FY 2012","Currency=INR","Period=FY","BEST_FPERIOD_OVERRIDE=FY","FILING_STATUS=MR","EQY_CONSOLIDATED=Y","SCALING_FORMAT=MLN","Sort=A","Dates=H","DateFormat=P","Fill=—","Direction=H","UseDPDF=Y")</f>
        <v>0</v>
      </c>
      <c r="F9" s="13">
        <f>_xll.BDH("RCOM IN Equity","IS_COST_OF_REVENUE_ADJUSTMENTS","FY 2013","FY 2013","Currency=INR","Period=FY","BEST_FPERIOD_OVERRIDE=FY","FILING_STATUS=MR","EQY_CONSOLIDATED=Y","SCALING_FORMAT=MLN","Sort=A","Dates=H","DateFormat=P","Fill=—","Direction=H","UseDPDF=Y")</f>
        <v>0</v>
      </c>
      <c r="G9" s="13">
        <f>_xll.BDH("RCOM IN Equity","IS_COST_OF_REVENUE_ADJUSTMENTS","FY 2014","FY 2014","Currency=INR","Period=FY","BEST_FPERIOD_OVERRIDE=FY","FILING_STATUS=MR","EQY_CONSOLIDATED=Y","SCALING_FORMAT=MLN","Sort=A","Dates=H","DateFormat=P","Fill=—","Direction=H","UseDPDF=Y")</f>
        <v>0</v>
      </c>
      <c r="H9" s="13">
        <f>_xll.BDH("RCOM IN Equity","IS_COST_OF_REVENUE_ADJUSTMENTS","FY 2015","FY 2015","Currency=INR","Period=FY","BEST_FPERIOD_OVERRIDE=FY","FILING_STATUS=MR","EQY_CONSOLIDATED=Y","SCALING_FORMAT=MLN","Sort=A","Dates=H","DateFormat=P","Fill=—","Direction=H","UseDPDF=Y")</f>
        <v>0</v>
      </c>
      <c r="I9" s="13">
        <f>_xll.BDH("RCOM IN Equity","IS_COST_OF_REVENUE_ADJUSTMENTS","FY 2016","FY 2016","Currency=INR","Period=FY","BEST_FPERIOD_OVERRIDE=FY","FILING_STATUS=MR","EQY_CONSOLIDATED=Y","SCALING_FORMAT=MLN","Sort=A","Dates=H","DateFormat=P","Fill=—","Direction=H","UseDPDF=Y")</f>
        <v>0</v>
      </c>
      <c r="J9" s="13">
        <f>_xll.BDH("RCOM IN Equity","IS_COST_OF_REVENUE_ADJUSTMENTS","FY 2017","FY 2017","Currency=INR","Period=FY","BEST_FPERIOD_OVERRIDE=FY","FILING_STATUS=MR","EQY_CONSOLIDATED=Y","SCALING_FORMAT=MLN","Sort=A","Dates=H","DateFormat=P","Fill=—","Direction=H","UseDPDF=Y")</f>
        <v>0</v>
      </c>
      <c r="K9" s="13">
        <f>_xll.BDH("RCOM IN Equity","IS_COST_OF_REVENUE_ADJUSTMENTS","FY 2018","FY 2018","Currency=INR","Period=FY","BEST_FPERIOD_OVERRIDE=FY","FILING_STATUS=MR","EQY_CONSOLIDATED=Y","SCALING_FORMAT=MLN","Sort=A","Dates=H","DateFormat=P","Fill=—","Direction=H","UseDPDF=Y")</f>
        <v>0</v>
      </c>
      <c r="L9" s="16">
        <v>0</v>
      </c>
    </row>
    <row r="10" spans="1:12">
      <c r="A10" s="10" t="s">
        <v>619</v>
      </c>
      <c r="B10" s="10" t="s">
        <v>620</v>
      </c>
      <c r="C10" s="13">
        <f>_xll.BDH("RCOM IN Equity","IS_OTHER_OPER_INC_NONGAAP_ADJUST","FY 2010","FY 2010","Currency=INR","Period=FY","BEST_FPERIOD_OVERRIDE=FY","FILING_STATUS=MR","EQY_CONSOLIDATED=Y","SCALING_FORMAT=MLN","Sort=A","Dates=H","DateFormat=P","Fill=—","Direction=H","UseDPDF=Y")</f>
        <v>0</v>
      </c>
      <c r="D10" s="13">
        <f>_xll.BDH("RCOM IN Equity","IS_OTHER_OPER_INC_NONGAAP_ADJUST","FY 2011","FY 2011","Currency=INR","Period=FY","BEST_FPERIOD_OVERRIDE=FY","FILING_STATUS=MR","EQY_CONSOLIDATED=Y","SCALING_FORMAT=MLN","Sort=A","Dates=H","DateFormat=P","Fill=—","Direction=H","UseDPDF=Y")</f>
        <v>0</v>
      </c>
      <c r="E10" s="13">
        <f>_xll.BDH("RCOM IN Equity","IS_OTHER_OPER_INC_NONGAAP_ADJUST","FY 2012","FY 2012","Currency=INR","Period=FY","BEST_FPERIOD_OVERRIDE=FY","FILING_STATUS=MR","EQY_CONSOLIDATED=Y","SCALING_FORMAT=MLN","Sort=A","Dates=H","DateFormat=P","Fill=—","Direction=H","UseDPDF=Y")</f>
        <v>0</v>
      </c>
      <c r="F10" s="13">
        <f>_xll.BDH("RCOM IN Equity","IS_OTHER_OPER_INC_NONGAAP_ADJUST","FY 2013","FY 2013","Currency=INR","Period=FY","BEST_FPERIOD_OVERRIDE=FY","FILING_STATUS=MR","EQY_CONSOLIDATED=Y","SCALING_FORMAT=MLN","Sort=A","Dates=H","DateFormat=P","Fill=—","Direction=H","UseDPDF=Y")</f>
        <v>0</v>
      </c>
      <c r="G10" s="13">
        <f>_xll.BDH("RCOM IN Equity","IS_OTHER_OPER_INC_NONGAAP_ADJUST","FY 2014","FY 2014","Currency=INR","Period=FY","BEST_FPERIOD_OVERRIDE=FY","FILING_STATUS=MR","EQY_CONSOLIDATED=Y","SCALING_FORMAT=MLN","Sort=A","Dates=H","DateFormat=P","Fill=—","Direction=H","UseDPDF=Y")</f>
        <v>0</v>
      </c>
      <c r="H10" s="13">
        <f>_xll.BDH("RCOM IN Equity","IS_OTHER_OPER_INC_NONGAAP_ADJUST","FY 2015","FY 2015","Currency=INR","Period=FY","BEST_FPERIOD_OVERRIDE=FY","FILING_STATUS=MR","EQY_CONSOLIDATED=Y","SCALING_FORMAT=MLN","Sort=A","Dates=H","DateFormat=P","Fill=—","Direction=H","UseDPDF=Y")</f>
        <v>0</v>
      </c>
      <c r="I10" s="13">
        <f>_xll.BDH("RCOM IN Equity","IS_OTHER_OPER_INC_NONGAAP_ADJUST","FY 2016","FY 2016","Currency=INR","Period=FY","BEST_FPERIOD_OVERRIDE=FY","FILING_STATUS=MR","EQY_CONSOLIDATED=Y","SCALING_FORMAT=MLN","Sort=A","Dates=H","DateFormat=P","Fill=—","Direction=H","UseDPDF=Y")</f>
        <v>0</v>
      </c>
      <c r="J10" s="13">
        <f>_xll.BDH("RCOM IN Equity","IS_OTHER_OPER_INC_NONGAAP_ADJUST","FY 2017","FY 2017","Currency=INR","Period=FY","BEST_FPERIOD_OVERRIDE=FY","FILING_STATUS=MR","EQY_CONSOLIDATED=Y","SCALING_FORMAT=MLN","Sort=A","Dates=H","DateFormat=P","Fill=—","Direction=H","UseDPDF=Y")</f>
        <v>0</v>
      </c>
      <c r="K10" s="13">
        <f>_xll.BDH("RCOM IN Equity","IS_OTHER_OPER_INC_NONGAAP_ADJUST","FY 2018","FY 2018","Currency=INR","Period=FY","BEST_FPERIOD_OVERRIDE=FY","FILING_STATUS=MR","EQY_CONSOLIDATED=Y","SCALING_FORMAT=MLN","Sort=A","Dates=H","DateFormat=P","Fill=—","Direction=H","UseDPDF=Y")</f>
        <v>0</v>
      </c>
      <c r="L10" s="16">
        <v>0</v>
      </c>
    </row>
    <row r="11" spans="1:12">
      <c r="A11" s="10" t="s">
        <v>621</v>
      </c>
      <c r="B11" s="10" t="s">
        <v>622</v>
      </c>
      <c r="C11" s="13">
        <f>_xll.BDH("RCOM IN Equity","IS_SG&amp;A_ADJUSTMENTS","FY 2010","FY 2010","Currency=INR","Period=FY","BEST_FPERIOD_OVERRIDE=FY","FILING_STATUS=MR","EQY_CONSOLIDATED=Y","SCALING_FORMAT=MLN","Sort=A","Dates=H","DateFormat=P","Fill=—","Direction=H","UseDPDF=Y")</f>
        <v>14.9</v>
      </c>
      <c r="D11" s="13">
        <f>_xll.BDH("RCOM IN Equity","IS_SG&amp;A_ADJUSTMENTS","FY 2011","FY 2011","Currency=INR","Period=FY","BEST_FPERIOD_OVERRIDE=FY","FILING_STATUS=MR","EQY_CONSOLIDATED=Y","SCALING_FORMAT=MLN","Sort=A","Dates=H","DateFormat=P","Fill=—","Direction=H","UseDPDF=Y")</f>
        <v>0.8</v>
      </c>
      <c r="E11" s="13">
        <f>_xll.BDH("RCOM IN Equity","IS_SG&amp;A_ADJUSTMENTS","FY 2012","FY 2012","Currency=INR","Period=FY","BEST_FPERIOD_OVERRIDE=FY","FILING_STATUS=MR","EQY_CONSOLIDATED=Y","SCALING_FORMAT=MLN","Sort=A","Dates=H","DateFormat=P","Fill=—","Direction=H","UseDPDF=Y")</f>
        <v>0</v>
      </c>
      <c r="F11" s="13">
        <f>_xll.BDH("RCOM IN Equity","IS_SG&amp;A_ADJUSTMENTS","FY 2013","FY 2013","Currency=INR","Period=FY","BEST_FPERIOD_OVERRIDE=FY","FILING_STATUS=MR","EQY_CONSOLIDATED=Y","SCALING_FORMAT=MLN","Sort=A","Dates=H","DateFormat=P","Fill=—","Direction=H","UseDPDF=Y")</f>
        <v>300</v>
      </c>
      <c r="G11" s="13">
        <f>_xll.BDH("RCOM IN Equity","IS_SG&amp;A_ADJUSTMENTS","FY 2014","FY 2014","Currency=INR","Period=FY","BEST_FPERIOD_OVERRIDE=FY","FILING_STATUS=MR","EQY_CONSOLIDATED=Y","SCALING_FORMAT=MLN","Sort=A","Dates=H","DateFormat=P","Fill=—","Direction=H","UseDPDF=Y")</f>
        <v>200</v>
      </c>
      <c r="H11" s="13">
        <f>_xll.BDH("RCOM IN Equity","IS_SG&amp;A_ADJUSTMENTS","FY 2015","FY 2015","Currency=INR","Period=FY","BEST_FPERIOD_OVERRIDE=FY","FILING_STATUS=MR","EQY_CONSOLIDATED=Y","SCALING_FORMAT=MLN","Sort=A","Dates=H","DateFormat=P","Fill=—","Direction=H","UseDPDF=Y")</f>
        <v>40</v>
      </c>
      <c r="I11" s="13">
        <f>_xll.BDH("RCOM IN Equity","IS_SG&amp;A_ADJUSTMENTS","FY 2016","FY 2016","Currency=INR","Period=FY","BEST_FPERIOD_OVERRIDE=FY","FILING_STATUS=MR","EQY_CONSOLIDATED=Y","SCALING_FORMAT=MLN","Sort=A","Dates=H","DateFormat=P","Fill=—","Direction=H","UseDPDF=Y")</f>
        <v>160</v>
      </c>
      <c r="J11" s="13">
        <f>_xll.BDH("RCOM IN Equity","IS_SG&amp;A_ADJUSTMENTS","FY 2017","FY 2017","Currency=INR","Period=FY","BEST_FPERIOD_OVERRIDE=FY","FILING_STATUS=MR","EQY_CONSOLIDATED=Y","SCALING_FORMAT=MLN","Sort=A","Dates=H","DateFormat=P","Fill=—","Direction=H","UseDPDF=Y")</f>
        <v>0</v>
      </c>
      <c r="K11" s="13">
        <f>_xll.BDH("RCOM IN Equity","IS_SG&amp;A_ADJUSTMENTS","FY 2018","FY 2018","Currency=INR","Period=FY","BEST_FPERIOD_OVERRIDE=FY","FILING_STATUS=MR","EQY_CONSOLIDATED=Y","SCALING_FORMAT=MLN","Sort=A","Dates=H","DateFormat=P","Fill=—","Direction=H","UseDPDF=Y")</f>
        <v>0</v>
      </c>
      <c r="L11" s="16">
        <v>0</v>
      </c>
    </row>
    <row r="12" spans="1:12">
      <c r="A12" s="10" t="s">
        <v>623</v>
      </c>
      <c r="B12" s="10" t="s">
        <v>624</v>
      </c>
      <c r="C12" s="13">
        <f>_xll.BDH("RCOM IN Equity","IS_R&amp;D_EXPENSE_NONGAAP_ADJUST","FY 2010","FY 2010","Currency=INR","Period=FY","BEST_FPERIOD_OVERRIDE=FY","FILING_STATUS=MR","EQY_CONSOLIDATED=Y","SCALING_FORMAT=MLN","Sort=A","Dates=H","DateFormat=P","Fill=—","Direction=H","UseDPDF=Y")</f>
        <v>0</v>
      </c>
      <c r="D12" s="13">
        <f>_xll.BDH("RCOM IN Equity","IS_R&amp;D_EXPENSE_NONGAAP_ADJUST","FY 2011","FY 2011","Currency=INR","Period=FY","BEST_FPERIOD_OVERRIDE=FY","FILING_STATUS=MR","EQY_CONSOLIDATED=Y","SCALING_FORMAT=MLN","Sort=A","Dates=H","DateFormat=P","Fill=—","Direction=H","UseDPDF=Y")</f>
        <v>0</v>
      </c>
      <c r="E12" s="13">
        <f>_xll.BDH("RCOM IN Equity","IS_R&amp;D_EXPENSE_NONGAAP_ADJUST","FY 2012","FY 2012","Currency=INR","Period=FY","BEST_FPERIOD_OVERRIDE=FY","FILING_STATUS=MR","EQY_CONSOLIDATED=Y","SCALING_FORMAT=MLN","Sort=A","Dates=H","DateFormat=P","Fill=—","Direction=H","UseDPDF=Y")</f>
        <v>0</v>
      </c>
      <c r="F12" s="13">
        <f>_xll.BDH("RCOM IN Equity","IS_R&amp;D_EXPENSE_NONGAAP_ADJUST","FY 2013","FY 2013","Currency=INR","Period=FY","BEST_FPERIOD_OVERRIDE=FY","FILING_STATUS=MR","EQY_CONSOLIDATED=Y","SCALING_FORMAT=MLN","Sort=A","Dates=H","DateFormat=P","Fill=—","Direction=H","UseDPDF=Y")</f>
        <v>0</v>
      </c>
      <c r="G12" s="13">
        <f>_xll.BDH("RCOM IN Equity","IS_R&amp;D_EXPENSE_NONGAAP_ADJUST","FY 2014","FY 2014","Currency=INR","Period=FY","BEST_FPERIOD_OVERRIDE=FY","FILING_STATUS=MR","EQY_CONSOLIDATED=Y","SCALING_FORMAT=MLN","Sort=A","Dates=H","DateFormat=P","Fill=—","Direction=H","UseDPDF=Y")</f>
        <v>0</v>
      </c>
      <c r="H12" s="13">
        <f>_xll.BDH("RCOM IN Equity","IS_R&amp;D_EXPENSE_NONGAAP_ADJUST","FY 2015","FY 2015","Currency=INR","Period=FY","BEST_FPERIOD_OVERRIDE=FY","FILING_STATUS=MR","EQY_CONSOLIDATED=Y","SCALING_FORMAT=MLN","Sort=A","Dates=H","DateFormat=P","Fill=—","Direction=H","UseDPDF=Y")</f>
        <v>0</v>
      </c>
      <c r="I12" s="13">
        <f>_xll.BDH("RCOM IN Equity","IS_R&amp;D_EXPENSE_NONGAAP_ADJUST","FY 2016","FY 2016","Currency=INR","Period=FY","BEST_FPERIOD_OVERRIDE=FY","FILING_STATUS=MR","EQY_CONSOLIDATED=Y","SCALING_FORMAT=MLN","Sort=A","Dates=H","DateFormat=P","Fill=—","Direction=H","UseDPDF=Y")</f>
        <v>0</v>
      </c>
      <c r="J12" s="13">
        <f>_xll.BDH("RCOM IN Equity","IS_R&amp;D_EXPENSE_NONGAAP_ADJUST","FY 2017","FY 2017","Currency=INR","Period=FY","BEST_FPERIOD_OVERRIDE=FY","FILING_STATUS=MR","EQY_CONSOLIDATED=Y","SCALING_FORMAT=MLN","Sort=A","Dates=H","DateFormat=P","Fill=—","Direction=H","UseDPDF=Y")</f>
        <v>0</v>
      </c>
      <c r="K12" s="13">
        <f>_xll.BDH("RCOM IN Equity","IS_R&amp;D_EXPENSE_NONGAAP_ADJUST","FY 2018","FY 2018","Currency=INR","Period=FY","BEST_FPERIOD_OVERRIDE=FY","FILING_STATUS=MR","EQY_CONSOLIDATED=Y","SCALING_FORMAT=MLN","Sort=A","Dates=H","DateFormat=P","Fill=—","Direction=H","UseDPDF=Y")</f>
        <v>0</v>
      </c>
      <c r="L12" s="16">
        <v>0</v>
      </c>
    </row>
    <row r="13" spans="1:12">
      <c r="A13" s="10" t="s">
        <v>625</v>
      </c>
      <c r="B13" s="10" t="s">
        <v>626</v>
      </c>
      <c r="C13" s="13">
        <f>_xll.BDH("RCOM IN Equity","IS_D&amp;A_NONGAAP_ADJUSTMENTS","FY 2010","FY 2010","Currency=INR","Period=FY","BEST_FPERIOD_OVERRIDE=FY","FILING_STATUS=MR","EQY_CONSOLIDATED=Y","SCALING_FORMAT=MLN","Sort=A","Dates=H","DateFormat=P","Fill=—","Direction=H","UseDPDF=Y")</f>
        <v>0</v>
      </c>
      <c r="D13" s="13">
        <f>_xll.BDH("RCOM IN Equity","IS_D&amp;A_NONGAAP_ADJUSTMENTS","FY 2011","FY 2011","Currency=INR","Period=FY","BEST_FPERIOD_OVERRIDE=FY","FILING_STATUS=MR","EQY_CONSOLIDATED=Y","SCALING_FORMAT=MLN","Sort=A","Dates=H","DateFormat=P","Fill=—","Direction=H","UseDPDF=Y")</f>
        <v>0</v>
      </c>
      <c r="E13" s="13">
        <f>_xll.BDH("RCOM IN Equity","IS_D&amp;A_NONGAAP_ADJUSTMENTS","FY 2012","FY 2012","Currency=INR","Period=FY","BEST_FPERIOD_OVERRIDE=FY","FILING_STATUS=MR","EQY_CONSOLIDATED=Y","SCALING_FORMAT=MLN","Sort=A","Dates=H","DateFormat=P","Fill=—","Direction=H","UseDPDF=Y")</f>
        <v>0</v>
      </c>
      <c r="F13" s="13">
        <f>_xll.BDH("RCOM IN Equity","IS_D&amp;A_NONGAAP_ADJUSTMENTS","FY 2013","FY 2013","Currency=INR","Period=FY","BEST_FPERIOD_OVERRIDE=FY","FILING_STATUS=MR","EQY_CONSOLIDATED=Y","SCALING_FORMAT=MLN","Sort=A","Dates=H","DateFormat=P","Fill=—","Direction=H","UseDPDF=Y")</f>
        <v>0</v>
      </c>
      <c r="G13" s="13">
        <f>_xll.BDH("RCOM IN Equity","IS_D&amp;A_NONGAAP_ADJUSTMENTS","FY 2014","FY 2014","Currency=INR","Period=FY","BEST_FPERIOD_OVERRIDE=FY","FILING_STATUS=MR","EQY_CONSOLIDATED=Y","SCALING_FORMAT=MLN","Sort=A","Dates=H","DateFormat=P","Fill=—","Direction=H","UseDPDF=Y")</f>
        <v>0</v>
      </c>
      <c r="H13" s="13">
        <f>_xll.BDH("RCOM IN Equity","IS_D&amp;A_NONGAAP_ADJUSTMENTS","FY 2015","FY 2015","Currency=INR","Period=FY","BEST_FPERIOD_OVERRIDE=FY","FILING_STATUS=MR","EQY_CONSOLIDATED=Y","SCALING_FORMAT=MLN","Sort=A","Dates=H","DateFormat=P","Fill=—","Direction=H","UseDPDF=Y")</f>
        <v>0</v>
      </c>
      <c r="I13" s="13">
        <f>_xll.BDH("RCOM IN Equity","IS_D&amp;A_NONGAAP_ADJUSTMENTS","FY 2016","FY 2016","Currency=INR","Period=FY","BEST_FPERIOD_OVERRIDE=FY","FILING_STATUS=MR","EQY_CONSOLIDATED=Y","SCALING_FORMAT=MLN","Sort=A","Dates=H","DateFormat=P","Fill=—","Direction=H","UseDPDF=Y")</f>
        <v>0</v>
      </c>
      <c r="J13" s="13">
        <f>_xll.BDH("RCOM IN Equity","IS_D&amp;A_NONGAAP_ADJUSTMENTS","FY 2017","FY 2017","Currency=INR","Period=FY","BEST_FPERIOD_OVERRIDE=FY","FILING_STATUS=MR","EQY_CONSOLIDATED=Y","SCALING_FORMAT=MLN","Sort=A","Dates=H","DateFormat=P","Fill=—","Direction=H","UseDPDF=Y")</f>
        <v>0</v>
      </c>
      <c r="K13" s="13">
        <f>_xll.BDH("RCOM IN Equity","IS_D&amp;A_NONGAAP_ADJUSTMENTS","FY 2018","FY 2018","Currency=INR","Period=FY","BEST_FPERIOD_OVERRIDE=FY","FILING_STATUS=MR","EQY_CONSOLIDATED=Y","SCALING_FORMAT=MLN","Sort=A","Dates=H","DateFormat=P","Fill=—","Direction=H","UseDPDF=Y")</f>
        <v>0</v>
      </c>
      <c r="L13" s="16">
        <v>0</v>
      </c>
    </row>
    <row r="14" spans="1:12">
      <c r="A14" s="10" t="s">
        <v>627</v>
      </c>
      <c r="B14" s="10" t="s">
        <v>628</v>
      </c>
      <c r="C14" s="13">
        <f>_xll.BDH("RCOM IN Equity","IS_PDA_NONGAAP_ADJUSTMENTS","FY 2010","FY 2010","Currency=INR","Period=FY","BEST_FPERIOD_OVERRIDE=FY","FILING_STATUS=MR","EQY_CONSOLIDATED=Y","SCALING_FORMAT=MLN","Sort=A","Dates=H","DateFormat=P","Fill=—","Direction=H","UseDPDF=Y")</f>
        <v>0</v>
      </c>
      <c r="D14" s="13">
        <f>_xll.BDH("RCOM IN Equity","IS_PDA_NONGAAP_ADJUSTMENTS","FY 2011","FY 2011","Currency=INR","Period=FY","BEST_FPERIOD_OVERRIDE=FY","FILING_STATUS=MR","EQY_CONSOLIDATED=Y","SCALING_FORMAT=MLN","Sort=A","Dates=H","DateFormat=P","Fill=—","Direction=H","UseDPDF=Y")</f>
        <v>0</v>
      </c>
      <c r="E14" s="13">
        <f>_xll.BDH("RCOM IN Equity","IS_PDA_NONGAAP_ADJUSTMENTS","FY 2012","FY 2012","Currency=INR","Period=FY","BEST_FPERIOD_OVERRIDE=FY","FILING_STATUS=MR","EQY_CONSOLIDATED=Y","SCALING_FORMAT=MLN","Sort=A","Dates=H","DateFormat=P","Fill=—","Direction=H","UseDPDF=Y")</f>
        <v>0</v>
      </c>
      <c r="F14" s="13">
        <f>_xll.BDH("RCOM IN Equity","IS_PDA_NONGAAP_ADJUSTMENTS","FY 2013","FY 2013","Currency=INR","Period=FY","BEST_FPERIOD_OVERRIDE=FY","FILING_STATUS=MR","EQY_CONSOLIDATED=Y","SCALING_FORMAT=MLN","Sort=A","Dates=H","DateFormat=P","Fill=—","Direction=H","UseDPDF=Y")</f>
        <v>0</v>
      </c>
      <c r="G14" s="13">
        <f>_xll.BDH("RCOM IN Equity","IS_PDA_NONGAAP_ADJUSTMENTS","FY 2014","FY 2014","Currency=INR","Period=FY","BEST_FPERIOD_OVERRIDE=FY","FILING_STATUS=MR","EQY_CONSOLIDATED=Y","SCALING_FORMAT=MLN","Sort=A","Dates=H","DateFormat=P","Fill=—","Direction=H","UseDPDF=Y")</f>
        <v>0</v>
      </c>
      <c r="H14" s="13">
        <f>_xll.BDH("RCOM IN Equity","IS_PDA_NONGAAP_ADJUSTMENTS","FY 2015","FY 2015","Currency=INR","Period=FY","BEST_FPERIOD_OVERRIDE=FY","FILING_STATUS=MR","EQY_CONSOLIDATED=Y","SCALING_FORMAT=MLN","Sort=A","Dates=H","DateFormat=P","Fill=—","Direction=H","UseDPDF=Y")</f>
        <v>0</v>
      </c>
      <c r="I14" s="13">
        <f>_xll.BDH("RCOM IN Equity","IS_PDA_NONGAAP_ADJUSTMENTS","FY 2016","FY 2016","Currency=INR","Period=FY","BEST_FPERIOD_OVERRIDE=FY","FILING_STATUS=MR","EQY_CONSOLIDATED=Y","SCALING_FORMAT=MLN","Sort=A","Dates=H","DateFormat=P","Fill=—","Direction=H","UseDPDF=Y")</f>
        <v>0</v>
      </c>
      <c r="J14" s="13">
        <f>_xll.BDH("RCOM IN Equity","IS_PDA_NONGAAP_ADJUSTMENTS","FY 2017","FY 2017","Currency=INR","Period=FY","BEST_FPERIOD_OVERRIDE=FY","FILING_STATUS=MR","EQY_CONSOLIDATED=Y","SCALING_FORMAT=MLN","Sort=A","Dates=H","DateFormat=P","Fill=—","Direction=H","UseDPDF=Y")</f>
        <v>0</v>
      </c>
      <c r="K14" s="13">
        <f>_xll.BDH("RCOM IN Equity","IS_PDA_NONGAAP_ADJUSTMENTS","FY 2018","FY 2018","Currency=INR","Period=FY","BEST_FPERIOD_OVERRIDE=FY","FILING_STATUS=MR","EQY_CONSOLIDATED=Y","SCALING_FORMAT=MLN","Sort=A","Dates=H","DateFormat=P","Fill=—","Direction=H","UseDPDF=Y")</f>
        <v>0</v>
      </c>
      <c r="L14" s="16">
        <v>0</v>
      </c>
    </row>
    <row r="15" spans="1:12">
      <c r="A15" s="10" t="s">
        <v>629</v>
      </c>
      <c r="B15" s="10" t="s">
        <v>630</v>
      </c>
      <c r="C15" s="13">
        <f>_xll.BDH("RCOM IN Equity","IS_OTHER_OPERATING_EXPN_ADJUST","FY 2010","FY 2010","Currency=INR","Period=FY","BEST_FPERIOD_OVERRIDE=FY","FILING_STATUS=MR","EQY_CONSOLIDATED=Y","SCALING_FORMAT=MLN","Sort=A","Dates=H","DateFormat=P","Fill=—","Direction=H","UseDPDF=Y")</f>
        <v>3049.7</v>
      </c>
      <c r="D15" s="13">
        <f>_xll.BDH("RCOM IN Equity","IS_OTHER_OPERATING_EXPN_ADJUST","FY 2011","FY 2011","Currency=INR","Period=FY","BEST_FPERIOD_OVERRIDE=FY","FILING_STATUS=MR","EQY_CONSOLIDATED=Y","SCALING_FORMAT=MLN","Sort=A","Dates=H","DateFormat=P","Fill=—","Direction=H","UseDPDF=Y")</f>
        <v>0</v>
      </c>
      <c r="E15" s="13">
        <f>_xll.BDH("RCOM IN Equity","IS_OTHER_OPERATING_EXPN_ADJUST","FY 2012","FY 2012","Currency=INR","Period=FY","BEST_FPERIOD_OVERRIDE=FY","FILING_STATUS=MR","EQY_CONSOLIDATED=Y","SCALING_FORMAT=MLN","Sort=A","Dates=H","DateFormat=P","Fill=—","Direction=H","UseDPDF=Y")</f>
        <v>3700</v>
      </c>
      <c r="F15" s="13">
        <f>_xll.BDH("RCOM IN Equity","IS_OTHER_OPERATING_EXPN_ADJUST","FY 2013","FY 2013","Currency=INR","Period=FY","BEST_FPERIOD_OVERRIDE=FY","FILING_STATUS=MR","EQY_CONSOLIDATED=Y","SCALING_FORMAT=MLN","Sort=A","Dates=H","DateFormat=P","Fill=—","Direction=H","UseDPDF=Y")</f>
        <v>0</v>
      </c>
      <c r="G15" s="13">
        <f>_xll.BDH("RCOM IN Equity","IS_OTHER_OPERATING_EXPN_ADJUST","FY 2014","FY 2014","Currency=INR","Period=FY","BEST_FPERIOD_OVERRIDE=FY","FILING_STATUS=MR","EQY_CONSOLIDATED=Y","SCALING_FORMAT=MLN","Sort=A","Dates=H","DateFormat=P","Fill=—","Direction=H","UseDPDF=Y")</f>
        <v>0</v>
      </c>
      <c r="H15" s="13">
        <f>_xll.BDH("RCOM IN Equity","IS_OTHER_OPERATING_EXPN_ADJUST","FY 2015","FY 2015","Currency=INR","Period=FY","BEST_FPERIOD_OVERRIDE=FY","FILING_STATUS=MR","EQY_CONSOLIDATED=Y","SCALING_FORMAT=MLN","Sort=A","Dates=H","DateFormat=P","Fill=—","Direction=H","UseDPDF=Y")</f>
        <v>0</v>
      </c>
      <c r="I15" s="13">
        <f>_xll.BDH("RCOM IN Equity","IS_OTHER_OPERATING_EXPN_ADJUST","FY 2016","FY 2016","Currency=INR","Period=FY","BEST_FPERIOD_OVERRIDE=FY","FILING_STATUS=MR","EQY_CONSOLIDATED=Y","SCALING_FORMAT=MLN","Sort=A","Dates=H","DateFormat=P","Fill=—","Direction=H","UseDPDF=Y")</f>
        <v>0</v>
      </c>
      <c r="J15" s="13">
        <f>_xll.BDH("RCOM IN Equity","IS_OTHER_OPERATING_EXPN_ADJUST","FY 2017","FY 2017","Currency=INR","Period=FY","BEST_FPERIOD_OVERRIDE=FY","FILING_STATUS=MR","EQY_CONSOLIDATED=Y","SCALING_FORMAT=MLN","Sort=A","Dates=H","DateFormat=P","Fill=—","Direction=H","UseDPDF=Y")</f>
        <v>0</v>
      </c>
      <c r="K15" s="13">
        <f>_xll.BDH("RCOM IN Equity","IS_OTHER_OPERATING_EXPN_ADJUST","FY 2018","FY 2018","Currency=INR","Period=FY","BEST_FPERIOD_OVERRIDE=FY","FILING_STATUS=MR","EQY_CONSOLIDATED=Y","SCALING_FORMAT=MLN","Sort=A","Dates=H","DateFormat=P","Fill=—","Direction=H","UseDPDF=Y")</f>
        <v>0</v>
      </c>
      <c r="L15" s="16">
        <v>0</v>
      </c>
    </row>
    <row r="16" spans="1:12">
      <c r="A16" s="6" t="s">
        <v>631</v>
      </c>
      <c r="B16" s="6" t="s">
        <v>64</v>
      </c>
      <c r="C16" s="19">
        <f>_xll.BDH("RCOM IN Equity","IS_OPER_INC","FY 2010","FY 2010","Currency=INR","Period=FY","BEST_FPERIOD_OVERRIDE=FY","FILING_STATUS=MR","EQY_CONSOLIDATED=Y","SCALING_FORMAT=MLN","FA_ADJUSTED=Adjusted","Sort=A","Dates=H","DateFormat=P","Fill=—","Direction=H","UseDPDF=Y")</f>
        <v>35489.9</v>
      </c>
      <c r="D16" s="19">
        <f>_xll.BDH("RCOM IN Equity","IS_OPER_INC","FY 2011","FY 2011","Currency=INR","Period=FY","BEST_FPERIOD_OVERRIDE=FY","FILING_STATUS=MR","EQY_CONSOLIDATED=Y","SCALING_FORMAT=MLN","FA_ADJUSTED=Adjusted","Sort=A","Dates=H","DateFormat=P","Fill=—","Direction=H","UseDPDF=Y")</f>
        <v>18720.8</v>
      </c>
      <c r="E16" s="19">
        <f>_xll.BDH("RCOM IN Equity","IS_OPER_INC","FY 2012","FY 2012","Currency=INR","Period=FY","BEST_FPERIOD_OVERRIDE=FY","FILING_STATUS=MR","EQY_CONSOLIDATED=Y","SCALING_FORMAT=MLN","FA_ADJUSTED=Adjusted","Sort=A","Dates=H","DateFormat=P","Fill=—","Direction=H","UseDPDF=Y")</f>
        <v>21870</v>
      </c>
      <c r="F16" s="19">
        <f>_xll.BDH("RCOM IN Equity","IS_OPER_INC","FY 2013","FY 2013","Currency=INR","Period=FY","BEST_FPERIOD_OVERRIDE=FY","FILING_STATUS=MR","EQY_CONSOLIDATED=Y","SCALING_FORMAT=MLN","FA_ADJUSTED=Adjusted","Sort=A","Dates=H","DateFormat=P","Fill=—","Direction=H","UseDPDF=Y")</f>
        <v>21260</v>
      </c>
      <c r="G16" s="19">
        <f>_xll.BDH("RCOM IN Equity","IS_OPER_INC","FY 2014","FY 2014","Currency=INR","Period=FY","BEST_FPERIOD_OVERRIDE=FY","FILING_STATUS=MR","EQY_CONSOLIDATED=Y","SCALING_FORMAT=MLN","FA_ADJUSTED=Adjusted","Sort=A","Dates=H","DateFormat=P","Fill=—","Direction=H","UseDPDF=Y")</f>
        <v>21910</v>
      </c>
      <c r="H16" s="19">
        <f>_xll.BDH("RCOM IN Equity","IS_OPER_INC","FY 2015","FY 2015","Currency=INR","Period=FY","BEST_FPERIOD_OVERRIDE=FY","FILING_STATUS=MR","EQY_CONSOLIDATED=Y","SCALING_FORMAT=MLN","FA_ADJUSTED=Adjusted","Sort=A","Dates=H","DateFormat=P","Fill=—","Direction=H","UseDPDF=Y")</f>
        <v>33930</v>
      </c>
      <c r="I16" s="19">
        <f>_xll.BDH("RCOM IN Equity","IS_OPER_INC","FY 2016","FY 2016","Currency=INR","Period=FY","BEST_FPERIOD_OVERRIDE=FY","FILING_STATUS=MR","EQY_CONSOLIDATED=Y","SCALING_FORMAT=MLN","FA_ADJUSTED=Adjusted","Sort=A","Dates=H","DateFormat=P","Fill=—","Direction=H","UseDPDF=Y")</f>
        <v>27920</v>
      </c>
      <c r="J16" s="19">
        <f>_xll.BDH("RCOM IN Equity","IS_OPER_INC","FY 2017","FY 2017","Currency=INR","Period=FY","BEST_FPERIOD_OVERRIDE=FY","FILING_STATUS=MR","EQY_CONSOLIDATED=Y","SCALING_FORMAT=MLN","FA_ADJUSTED=Adjusted","Sort=A","Dates=H","DateFormat=P","Fill=—","Direction=H","UseDPDF=Y")</f>
        <v>4400</v>
      </c>
      <c r="K16" s="19">
        <f>_xll.BDH("RCOM IN Equity","IS_OPER_INC","FY 2018","FY 2018","Currency=INR","Period=FY","BEST_FPERIOD_OVERRIDE=FY","FILING_STATUS=MR","EQY_CONSOLIDATED=Y","SCALING_FORMAT=MLN","FA_ADJUSTED=Adjusted","Sort=A","Dates=H","DateFormat=P","Fill=—","Direction=H","UseDPDF=Y")</f>
        <v>2430</v>
      </c>
      <c r="L16" s="22">
        <v>-2810</v>
      </c>
    </row>
    <row r="17" spans="1:12">
      <c r="A17" s="10" t="s">
        <v>632</v>
      </c>
      <c r="B17" s="10" t="s">
        <v>633</v>
      </c>
      <c r="C17" s="13">
        <f>_xll.BDH("RCOM IN Equity","ADJUSTED_D&amp;A_EXPENSES","FY 2010","FY 2010","Currency=INR","Period=FY","BEST_FPERIOD_OVERRIDE=FY","FILING_STATUS=MR","EQY_CONSOLIDATED=Y","SCALING_FORMAT=MLN","Sort=A","Dates=H","DateFormat=P","Fill=—","Direction=H","UseDPDF=Y")</f>
        <v>37465.1</v>
      </c>
      <c r="D17" s="13">
        <f>_xll.BDH("RCOM IN Equity","ADJUSTED_D&amp;A_EXPENSES","FY 2011","FY 2011","Currency=INR","Period=FY","BEST_FPERIOD_OVERRIDE=FY","FILING_STATUS=MR","EQY_CONSOLIDATED=Y","SCALING_FORMAT=MLN","Sort=A","Dates=H","DateFormat=P","Fill=—","Direction=H","UseDPDF=Y")</f>
        <v>65040</v>
      </c>
      <c r="E17" s="13">
        <f>_xll.BDH("RCOM IN Equity","ADJUSTED_D&amp;A_EXPENSES","FY 2012","FY 2012","Currency=INR","Period=FY","BEST_FPERIOD_OVERRIDE=FY","FILING_STATUS=MR","EQY_CONSOLIDATED=Y","SCALING_FORMAT=MLN","Sort=A","Dates=H","DateFormat=P","Fill=—","Direction=H","UseDPDF=Y")</f>
        <v>39780</v>
      </c>
      <c r="F17" s="13">
        <f>_xll.BDH("RCOM IN Equity","ADJUSTED_D&amp;A_EXPENSES","FY 2013","FY 2013","Currency=INR","Period=FY","BEST_FPERIOD_OVERRIDE=FY","FILING_STATUS=MR","EQY_CONSOLIDATED=Y","SCALING_FORMAT=MLN","Sort=A","Dates=H","DateFormat=P","Fill=—","Direction=H","UseDPDF=Y")</f>
        <v>38450</v>
      </c>
      <c r="G17" s="13">
        <f>_xll.BDH("RCOM IN Equity","ADJUSTED_D&amp;A_EXPENSES","FY 2014","FY 2014","Currency=INR","Period=FY","BEST_FPERIOD_OVERRIDE=FY","FILING_STATUS=MR","EQY_CONSOLIDATED=Y","SCALING_FORMAT=MLN","Sort=A","Dates=H","DateFormat=P","Fill=—","Direction=H","UseDPDF=Y")</f>
        <v>45350</v>
      </c>
      <c r="H17" s="13">
        <f>_xll.BDH("RCOM IN Equity","ADJUSTED_D&amp;A_EXPENSES","FY 2015","FY 2015","Currency=INR","Period=FY","BEST_FPERIOD_OVERRIDE=FY","FILING_STATUS=MR","EQY_CONSOLIDATED=Y","SCALING_FORMAT=MLN","Sort=A","Dates=H","DateFormat=P","Fill=—","Direction=H","UseDPDF=Y")</f>
        <v>38170</v>
      </c>
      <c r="I17" s="13">
        <f>_xll.BDH("RCOM IN Equity","ADJUSTED_D&amp;A_EXPENSES","FY 2016","FY 2016","Currency=INR","Period=FY","BEST_FPERIOD_OVERRIDE=FY","FILING_STATUS=MR","EQY_CONSOLIDATED=Y","SCALING_FORMAT=MLN","Sort=A","Dates=H","DateFormat=P","Fill=—","Direction=H","UseDPDF=Y")</f>
        <v>44840</v>
      </c>
      <c r="J17" s="13">
        <f>_xll.BDH("RCOM IN Equity","ADJUSTED_D&amp;A_EXPENSES","FY 2017","FY 2017","Currency=INR","Period=FY","BEST_FPERIOD_OVERRIDE=FY","FILING_STATUS=MR","EQY_CONSOLIDATED=Y","SCALING_FORMAT=MLN","Sort=A","Dates=H","DateFormat=P","Fill=—","Direction=H","UseDPDF=Y")</f>
        <v>42210</v>
      </c>
      <c r="K17" s="13">
        <f>_xll.BDH("RCOM IN Equity","ADJUSTED_D&amp;A_EXPENSES","FY 2018","FY 2018","Currency=INR","Period=FY","BEST_FPERIOD_OVERRIDE=FY","FILING_STATUS=MR","EQY_CONSOLIDATED=Y","SCALING_FORMAT=MLN","Sort=A","Dates=H","DateFormat=P","Fill=—","Direction=H","UseDPDF=Y")</f>
        <v>28670</v>
      </c>
      <c r="L17" s="16">
        <v>7970</v>
      </c>
    </row>
    <row r="18" spans="1:12">
      <c r="A18" s="6" t="s">
        <v>634</v>
      </c>
      <c r="B18" s="6" t="s">
        <v>46</v>
      </c>
      <c r="C18" s="19">
        <f>_xll.BDH("RCOM IN Equity","EBITDA","FY 2010","FY 2010","Currency=INR","Period=FY","BEST_FPERIOD_OVERRIDE=FY","FILING_STATUS=MR","EQY_CONSOLIDATED=Y","SCALING_FORMAT=MLN","FA_ADJUSTED=Adjusted","Sort=A","Dates=H","DateFormat=P","Fill=—","Direction=H","UseDPDF=Y")</f>
        <v>72955</v>
      </c>
      <c r="D18" s="19">
        <f>_xll.BDH("RCOM IN Equity","EBITDA","FY 2011","FY 2011","Currency=INR","Period=FY","BEST_FPERIOD_OVERRIDE=FY","FILING_STATUS=MR","EQY_CONSOLIDATED=Y","SCALING_FORMAT=MLN","FA_ADJUSTED=Adjusted","Sort=A","Dates=H","DateFormat=P","Fill=—","Direction=H","UseDPDF=Y")</f>
        <v>83760.800000000003</v>
      </c>
      <c r="E18" s="19">
        <f>_xll.BDH("RCOM IN Equity","EBITDA","FY 2012","FY 2012","Currency=INR","Period=FY","BEST_FPERIOD_OVERRIDE=FY","FILING_STATUS=MR","EQY_CONSOLIDATED=Y","SCALING_FORMAT=MLN","FA_ADJUSTED=Adjusted","Sort=A","Dates=H","DateFormat=P","Fill=—","Direction=H","UseDPDF=Y")</f>
        <v>61650</v>
      </c>
      <c r="F18" s="19">
        <f>_xll.BDH("RCOM IN Equity","EBITDA","FY 2013","FY 2013","Currency=INR","Period=FY","BEST_FPERIOD_OVERRIDE=FY","FILING_STATUS=MR","EQY_CONSOLIDATED=Y","SCALING_FORMAT=MLN","FA_ADJUSTED=Adjusted","Sort=A","Dates=H","DateFormat=P","Fill=—","Direction=H","UseDPDF=Y")</f>
        <v>59710</v>
      </c>
      <c r="G18" s="19">
        <f>_xll.BDH("RCOM IN Equity","EBITDA","FY 2014","FY 2014","Currency=INR","Period=FY","BEST_FPERIOD_OVERRIDE=FY","FILING_STATUS=MR","EQY_CONSOLIDATED=Y","SCALING_FORMAT=MLN","FA_ADJUSTED=Adjusted","Sort=A","Dates=H","DateFormat=P","Fill=—","Direction=H","UseDPDF=Y")</f>
        <v>67260</v>
      </c>
      <c r="H18" s="19">
        <f>_xll.BDH("RCOM IN Equity","EBITDA","FY 2015","FY 2015","Currency=INR","Period=FY","BEST_FPERIOD_OVERRIDE=FY","FILING_STATUS=MR","EQY_CONSOLIDATED=Y","SCALING_FORMAT=MLN","FA_ADJUSTED=Adjusted","Sort=A","Dates=H","DateFormat=P","Fill=—","Direction=H","UseDPDF=Y")</f>
        <v>72100</v>
      </c>
      <c r="I18" s="19">
        <f>_xll.BDH("RCOM IN Equity","EBITDA","FY 2016","FY 2016","Currency=INR","Period=FY","BEST_FPERIOD_OVERRIDE=FY","FILING_STATUS=MR","EQY_CONSOLIDATED=Y","SCALING_FORMAT=MLN","FA_ADJUSTED=Adjusted","Sort=A","Dates=H","DateFormat=P","Fill=—","Direction=H","UseDPDF=Y")</f>
        <v>72760</v>
      </c>
      <c r="J18" s="19">
        <f>_xll.BDH("RCOM IN Equity","EBITDA","FY 2017","FY 2017","Currency=INR","Period=FY","BEST_FPERIOD_OVERRIDE=FY","FILING_STATUS=MR","EQY_CONSOLIDATED=Y","SCALING_FORMAT=MLN","FA_ADJUSTED=Adjusted","Sort=A","Dates=H","DateFormat=P","Fill=—","Direction=H","UseDPDF=Y")</f>
        <v>46610</v>
      </c>
      <c r="K18" s="19">
        <f>_xll.BDH("RCOM IN Equity","EBITDA","FY 2018","FY 2018","Currency=INR","Period=FY","BEST_FPERIOD_OVERRIDE=FY","FILING_STATUS=MR","EQY_CONSOLIDATED=Y","SCALING_FORMAT=MLN","FA_ADJUSTED=Adjusted","Sort=A","Dates=H","DateFormat=P","Fill=—","Direction=H","UseDPDF=Y")</f>
        <v>31100</v>
      </c>
      <c r="L18" s="22">
        <v>5160</v>
      </c>
    </row>
    <row r="19" spans="1:12">
      <c r="A19" s="6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21"/>
    </row>
    <row r="20" spans="1:12">
      <c r="A20" s="6" t="s">
        <v>635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21"/>
    </row>
    <row r="21" spans="1:12">
      <c r="A21" s="6" t="s">
        <v>614</v>
      </c>
      <c r="B21" s="6" t="s">
        <v>64</v>
      </c>
      <c r="C21" s="19">
        <f>_xll.BDH("RCOM IN Equity","IS_OPER_INC","FY 2010","FY 2010","Currency=INR","Period=FY","BEST_FPERIOD_OVERRIDE=FY","FILING_STATUS=MR","EQY_CONSOLIDATED=Y","SCALING_FORMAT=MLN","FA_ADJUSTED=GAAP","Sort=A","Dates=H","DateFormat=P","Fill=—","Direction=H","UseDPDF=Y")</f>
        <v>32425.3</v>
      </c>
      <c r="D21" s="19">
        <f>_xll.BDH("RCOM IN Equity","IS_OPER_INC","FY 2011","FY 2011","Currency=INR","Period=FY","BEST_FPERIOD_OVERRIDE=FY","FILING_STATUS=MR","EQY_CONSOLIDATED=Y","SCALING_FORMAT=MLN","FA_ADJUSTED=GAAP","Sort=A","Dates=H","DateFormat=P","Fill=—","Direction=H","UseDPDF=Y")</f>
        <v>18720</v>
      </c>
      <c r="E21" s="19">
        <f>_xll.BDH("RCOM IN Equity","IS_OPER_INC","FY 2012","FY 2012","Currency=INR","Period=FY","BEST_FPERIOD_OVERRIDE=FY","FILING_STATUS=MR","EQY_CONSOLIDATED=Y","SCALING_FORMAT=MLN","FA_ADJUSTED=GAAP","Sort=A","Dates=H","DateFormat=P","Fill=—","Direction=H","UseDPDF=Y")</f>
        <v>18170</v>
      </c>
      <c r="F21" s="19">
        <f>_xll.BDH("RCOM IN Equity","IS_OPER_INC","FY 2013","FY 2013","Currency=INR","Period=FY","BEST_FPERIOD_OVERRIDE=FY","FILING_STATUS=MR","EQY_CONSOLIDATED=Y","SCALING_FORMAT=MLN","FA_ADJUSTED=GAAP","Sort=A","Dates=H","DateFormat=P","Fill=—","Direction=H","UseDPDF=Y")</f>
        <v>20960</v>
      </c>
      <c r="G21" s="19">
        <f>_xll.BDH("RCOM IN Equity","IS_OPER_INC","FY 2014","FY 2014","Currency=INR","Period=FY","BEST_FPERIOD_OVERRIDE=FY","FILING_STATUS=MR","EQY_CONSOLIDATED=Y","SCALING_FORMAT=MLN","FA_ADJUSTED=GAAP","Sort=A","Dates=H","DateFormat=P","Fill=—","Direction=H","UseDPDF=Y")</f>
        <v>21710</v>
      </c>
      <c r="H21" s="19">
        <f>_xll.BDH("RCOM IN Equity","IS_OPER_INC","FY 2015","FY 2015","Currency=INR","Period=FY","BEST_FPERIOD_OVERRIDE=FY","FILING_STATUS=MR","EQY_CONSOLIDATED=Y","SCALING_FORMAT=MLN","FA_ADJUSTED=GAAP","Sort=A","Dates=H","DateFormat=P","Fill=—","Direction=H","UseDPDF=Y")</f>
        <v>33890</v>
      </c>
      <c r="I21" s="19">
        <f>_xll.BDH("RCOM IN Equity","IS_OPER_INC","FY 2016","FY 2016","Currency=INR","Period=FY","BEST_FPERIOD_OVERRIDE=FY","FILING_STATUS=MR","EQY_CONSOLIDATED=Y","SCALING_FORMAT=MLN","FA_ADJUSTED=GAAP","Sort=A","Dates=H","DateFormat=P","Fill=—","Direction=H","UseDPDF=Y")</f>
        <v>27760</v>
      </c>
      <c r="J21" s="19">
        <f>_xll.BDH("RCOM IN Equity","IS_OPER_INC","FY 2017","FY 2017","Currency=INR","Period=FY","BEST_FPERIOD_OVERRIDE=FY","FILING_STATUS=MR","EQY_CONSOLIDATED=Y","SCALING_FORMAT=MLN","FA_ADJUSTED=GAAP","Sort=A","Dates=H","DateFormat=P","Fill=—","Direction=H","UseDPDF=Y")</f>
        <v>4400</v>
      </c>
      <c r="K21" s="19">
        <f>_xll.BDH("RCOM IN Equity","IS_OPER_INC","FY 2018","FY 2018","Currency=INR","Period=FY","BEST_FPERIOD_OVERRIDE=FY","FILING_STATUS=MR","EQY_CONSOLIDATED=Y","SCALING_FORMAT=MLN","FA_ADJUSTED=GAAP","Sort=A","Dates=H","DateFormat=P","Fill=—","Direction=H","UseDPDF=Y")</f>
        <v>2430</v>
      </c>
      <c r="L21" s="22">
        <v>-2810</v>
      </c>
    </row>
    <row r="22" spans="1:12">
      <c r="A22" s="10" t="s">
        <v>636</v>
      </c>
      <c r="B22" s="10" t="s">
        <v>637</v>
      </c>
      <c r="C22" s="13">
        <f>_xll.BDH("RCOM IN Equity","IS_GAIN_LOSS_ON_DISP_OF_AST_OP","FY 2010","FY 2010","Currency=INR","Period=FY","BEST_FPERIOD_OVERRIDE=FY","FILING_STATUS=MR","EQY_CONSOLIDATED=Y","SCALING_FORMAT=MLN","Sort=A","Dates=H","DateFormat=P","Fill=—","Direction=H","UseDPDF=Y")</f>
        <v>14.9</v>
      </c>
      <c r="D22" s="13">
        <f>_xll.BDH("RCOM IN Equity","IS_GAIN_LOSS_ON_DISP_OF_AST_OP","FY 2011","FY 2011","Currency=INR","Period=FY","BEST_FPERIOD_OVERRIDE=FY","FILING_STATUS=MR","EQY_CONSOLIDATED=Y","SCALING_FORMAT=MLN","Sort=A","Dates=H","DateFormat=P","Fill=—","Direction=H","UseDPDF=Y")</f>
        <v>0.8</v>
      </c>
      <c r="E22" s="13" t="str">
        <f>_xll.BDH("RCOM IN Equity","IS_GAIN_LOSS_ON_DISP_OF_AST_OP","FY 2012","FY 2012","Currency=INR","Period=FY","BEST_FPERIOD_OVERRIDE=FY","FILING_STATUS=MR","EQY_CONSOLIDATED=Y","SCALING_FORMAT=MLN","Sort=A","Dates=H","DateFormat=P","Fill=—","Direction=H","UseDPDF=Y")</f>
        <v>—</v>
      </c>
      <c r="F22" s="13">
        <f>_xll.BDH("RCOM IN Equity","IS_GAIN_LOSS_ON_DISP_OF_AST_OP","FY 2013","FY 2013","Currency=INR","Period=FY","BEST_FPERIOD_OVERRIDE=FY","FILING_STATUS=MR","EQY_CONSOLIDATED=Y","SCALING_FORMAT=MLN","Sort=A","Dates=H","DateFormat=P","Fill=—","Direction=H","UseDPDF=Y")</f>
        <v>300</v>
      </c>
      <c r="G22" s="13">
        <f>_xll.BDH("RCOM IN Equity","IS_GAIN_LOSS_ON_DISP_OF_AST_OP","FY 2014","FY 2014","Currency=INR","Period=FY","BEST_FPERIOD_OVERRIDE=FY","FILING_STATUS=MR","EQY_CONSOLIDATED=Y","SCALING_FORMAT=MLN","Sort=A","Dates=H","DateFormat=P","Fill=—","Direction=H","UseDPDF=Y")</f>
        <v>200</v>
      </c>
      <c r="H22" s="13">
        <f>_xll.BDH("RCOM IN Equity","IS_GAIN_LOSS_ON_DISP_OF_AST_OP","FY 2015","FY 2015","Currency=INR","Period=FY","BEST_FPERIOD_OVERRIDE=FY","FILING_STATUS=MR","EQY_CONSOLIDATED=Y","SCALING_FORMAT=MLN","Sort=A","Dates=H","DateFormat=P","Fill=—","Direction=H","UseDPDF=Y")</f>
        <v>40</v>
      </c>
      <c r="I22" s="13">
        <f>_xll.BDH("RCOM IN Equity","IS_GAIN_LOSS_ON_DISP_OF_AST_OP","FY 2016","FY 2016","Currency=INR","Period=FY","BEST_FPERIOD_OVERRIDE=FY","FILING_STATUS=MR","EQY_CONSOLIDATED=Y","SCALING_FORMAT=MLN","Sort=A","Dates=H","DateFormat=P","Fill=—","Direction=H","UseDPDF=Y")</f>
        <v>160</v>
      </c>
      <c r="J22" s="13" t="str">
        <f>_xll.BDH("RCOM IN Equity","IS_GAIN_LOSS_ON_DISP_OF_AST_OP","FY 2017","FY 2017","Currency=INR","Period=FY","BEST_FPERIOD_OVERRIDE=FY","FILING_STATUS=MR","EQY_CONSOLIDATED=Y","SCALING_FORMAT=MLN","Sort=A","Dates=H","DateFormat=P","Fill=—","Direction=H","UseDPDF=Y")</f>
        <v>—</v>
      </c>
      <c r="K22" s="13" t="str">
        <f>_xll.BDH("RCOM IN Equity","IS_GAIN_LOSS_ON_DISP_OF_AST_OP","FY 2018","FY 2018","Currency=INR","Period=FY","BEST_FPERIOD_OVERRIDE=FY","FILING_STATUS=MR","EQY_CONSOLIDATED=Y","SCALING_FORMAT=MLN","Sort=A","Dates=H","DateFormat=P","Fill=—","Direction=H","UseDPDF=Y")</f>
        <v>—</v>
      </c>
      <c r="L22" s="16"/>
    </row>
    <row r="23" spans="1:12">
      <c r="A23" s="10" t="s">
        <v>638</v>
      </c>
      <c r="B23" s="10" t="s">
        <v>639</v>
      </c>
      <c r="C23" s="13">
        <f>_xll.BDH("RCOM IN Equity","IS_WRTDWN_IOA_OP","FY 2010","FY 2010","Currency=INR","Period=FY","BEST_FPERIOD_OVERRIDE=FY","FILING_STATUS=MR","EQY_CONSOLIDATED=Y","SCALING_FORMAT=MLN","Sort=A","Dates=H","DateFormat=P","Fill=—","Direction=H","UseDPDF=Y")</f>
        <v>3049.7</v>
      </c>
      <c r="D23" s="13" t="str">
        <f>_xll.BDH("RCOM IN Equity","IS_WRTDWN_IOA_OP","FY 2011","FY 2011","Currency=INR","Period=FY","BEST_FPERIOD_OVERRIDE=FY","FILING_STATUS=MR","EQY_CONSOLIDATED=Y","SCALING_FORMAT=MLN","Sort=A","Dates=H","DateFormat=P","Fill=—","Direction=H","UseDPDF=Y")</f>
        <v>—</v>
      </c>
      <c r="E23" s="13">
        <f>_xll.BDH("RCOM IN Equity","IS_WRTDWN_IOA_OP","FY 2012","FY 2012","Currency=INR","Period=FY","BEST_FPERIOD_OVERRIDE=FY","FILING_STATUS=MR","EQY_CONSOLIDATED=Y","SCALING_FORMAT=MLN","Sort=A","Dates=H","DateFormat=P","Fill=—","Direction=H","UseDPDF=Y")</f>
        <v>3700</v>
      </c>
      <c r="F23" s="13" t="str">
        <f>_xll.BDH("RCOM IN Equity","IS_WRTDWN_IOA_OP","FY 2013","FY 2013","Currency=INR","Period=FY","BEST_FPERIOD_OVERRIDE=FY","FILING_STATUS=MR","EQY_CONSOLIDATED=Y","SCALING_FORMAT=MLN","Sort=A","Dates=H","DateFormat=P","Fill=—","Direction=H","UseDPDF=Y")</f>
        <v>—</v>
      </c>
      <c r="G23" s="13" t="str">
        <f>_xll.BDH("RCOM IN Equity","IS_WRTDWN_IOA_OP","FY 2014","FY 2014","Currency=INR","Period=FY","BEST_FPERIOD_OVERRIDE=FY","FILING_STATUS=MR","EQY_CONSOLIDATED=Y","SCALING_FORMAT=MLN","Sort=A","Dates=H","DateFormat=P","Fill=—","Direction=H","UseDPDF=Y")</f>
        <v>—</v>
      </c>
      <c r="H23" s="13" t="str">
        <f>_xll.BDH("RCOM IN Equity","IS_WRTDWN_IOA_OP","FY 2015","FY 2015","Currency=INR","Period=FY","BEST_FPERIOD_OVERRIDE=FY","FILING_STATUS=MR","EQY_CONSOLIDATED=Y","SCALING_FORMAT=MLN","Sort=A","Dates=H","DateFormat=P","Fill=—","Direction=H","UseDPDF=Y")</f>
        <v>—</v>
      </c>
      <c r="I23" s="13" t="str">
        <f>_xll.BDH("RCOM IN Equity","IS_WRTDWN_IOA_OP","FY 2016","FY 2016","Currency=INR","Period=FY","BEST_FPERIOD_OVERRIDE=FY","FILING_STATUS=MR","EQY_CONSOLIDATED=Y","SCALING_FORMAT=MLN","Sort=A","Dates=H","DateFormat=P","Fill=—","Direction=H","UseDPDF=Y")</f>
        <v>—</v>
      </c>
      <c r="J23" s="13" t="str">
        <f>_xll.BDH("RCOM IN Equity","IS_WRTDWN_IOA_OP","FY 2017","FY 2017","Currency=INR","Period=FY","BEST_FPERIOD_OVERRIDE=FY","FILING_STATUS=MR","EQY_CONSOLIDATED=Y","SCALING_FORMAT=MLN","Sort=A","Dates=H","DateFormat=P","Fill=—","Direction=H","UseDPDF=Y")</f>
        <v>—</v>
      </c>
      <c r="K23" s="13" t="str">
        <f>_xll.BDH("RCOM IN Equity","IS_WRTDWN_IOA_OP","FY 2018","FY 2018","Currency=INR","Period=FY","BEST_FPERIOD_OVERRIDE=FY","FILING_STATUS=MR","EQY_CONSOLIDATED=Y","SCALING_FORMAT=MLN","Sort=A","Dates=H","DateFormat=P","Fill=—","Direction=H","UseDPDF=Y")</f>
        <v>—</v>
      </c>
      <c r="L23" s="16"/>
    </row>
    <row r="24" spans="1:12">
      <c r="A24" s="6" t="s">
        <v>631</v>
      </c>
      <c r="B24" s="6" t="s">
        <v>64</v>
      </c>
      <c r="C24" s="19">
        <f>_xll.BDH("RCOM IN Equity","IS_OPER_INC","FY 2010","FY 2010","Currency=INR","Period=FY","BEST_FPERIOD_OVERRIDE=FY","FILING_STATUS=MR","EQY_CONSOLIDATED=Y","SCALING_FORMAT=MLN","FA_ADJUSTED=Adjusted","Sort=A","Dates=H","DateFormat=P","Fill=—","Direction=H","UseDPDF=Y")</f>
        <v>35489.9</v>
      </c>
      <c r="D24" s="19">
        <f>_xll.BDH("RCOM IN Equity","IS_OPER_INC","FY 2011","FY 2011","Currency=INR","Period=FY","BEST_FPERIOD_OVERRIDE=FY","FILING_STATUS=MR","EQY_CONSOLIDATED=Y","SCALING_FORMAT=MLN","FA_ADJUSTED=Adjusted","Sort=A","Dates=H","DateFormat=P","Fill=—","Direction=H","UseDPDF=Y")</f>
        <v>18720.8</v>
      </c>
      <c r="E24" s="19">
        <f>_xll.BDH("RCOM IN Equity","IS_OPER_INC","FY 2012","FY 2012","Currency=INR","Period=FY","BEST_FPERIOD_OVERRIDE=FY","FILING_STATUS=MR","EQY_CONSOLIDATED=Y","SCALING_FORMAT=MLN","FA_ADJUSTED=Adjusted","Sort=A","Dates=H","DateFormat=P","Fill=—","Direction=H","UseDPDF=Y")</f>
        <v>21870</v>
      </c>
      <c r="F24" s="19">
        <f>_xll.BDH("RCOM IN Equity","IS_OPER_INC","FY 2013","FY 2013","Currency=INR","Period=FY","BEST_FPERIOD_OVERRIDE=FY","FILING_STATUS=MR","EQY_CONSOLIDATED=Y","SCALING_FORMAT=MLN","FA_ADJUSTED=Adjusted","Sort=A","Dates=H","DateFormat=P","Fill=—","Direction=H","UseDPDF=Y")</f>
        <v>21260</v>
      </c>
      <c r="G24" s="19">
        <f>_xll.BDH("RCOM IN Equity","IS_OPER_INC","FY 2014","FY 2014","Currency=INR","Period=FY","BEST_FPERIOD_OVERRIDE=FY","FILING_STATUS=MR","EQY_CONSOLIDATED=Y","SCALING_FORMAT=MLN","FA_ADJUSTED=Adjusted","Sort=A","Dates=H","DateFormat=P","Fill=—","Direction=H","UseDPDF=Y")</f>
        <v>21910</v>
      </c>
      <c r="H24" s="19">
        <f>_xll.BDH("RCOM IN Equity","IS_OPER_INC","FY 2015","FY 2015","Currency=INR","Period=FY","BEST_FPERIOD_OVERRIDE=FY","FILING_STATUS=MR","EQY_CONSOLIDATED=Y","SCALING_FORMAT=MLN","FA_ADJUSTED=Adjusted","Sort=A","Dates=H","DateFormat=P","Fill=—","Direction=H","UseDPDF=Y")</f>
        <v>33930</v>
      </c>
      <c r="I24" s="19">
        <f>_xll.BDH("RCOM IN Equity","IS_OPER_INC","FY 2016","FY 2016","Currency=INR","Period=FY","BEST_FPERIOD_OVERRIDE=FY","FILING_STATUS=MR","EQY_CONSOLIDATED=Y","SCALING_FORMAT=MLN","FA_ADJUSTED=Adjusted","Sort=A","Dates=H","DateFormat=P","Fill=—","Direction=H","UseDPDF=Y")</f>
        <v>27920</v>
      </c>
      <c r="J24" s="19">
        <f>_xll.BDH("RCOM IN Equity","IS_OPER_INC","FY 2017","FY 2017","Currency=INR","Period=FY","BEST_FPERIOD_OVERRIDE=FY","FILING_STATUS=MR","EQY_CONSOLIDATED=Y","SCALING_FORMAT=MLN","FA_ADJUSTED=Adjusted","Sort=A","Dates=H","DateFormat=P","Fill=—","Direction=H","UseDPDF=Y")</f>
        <v>4400</v>
      </c>
      <c r="K24" s="19">
        <f>_xll.BDH("RCOM IN Equity","IS_OPER_INC","FY 2018","FY 2018","Currency=INR","Period=FY","BEST_FPERIOD_OVERRIDE=FY","FILING_STATUS=MR","EQY_CONSOLIDATED=Y","SCALING_FORMAT=MLN","FA_ADJUSTED=Adjusted","Sort=A","Dates=H","DateFormat=P","Fill=—","Direction=H","UseDPDF=Y")</f>
        <v>2430</v>
      </c>
      <c r="L24" s="22">
        <v>-2810</v>
      </c>
    </row>
    <row r="25" spans="1:12">
      <c r="A25" s="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21"/>
    </row>
    <row r="26" spans="1:12">
      <c r="A26" s="6" t="s">
        <v>640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21"/>
    </row>
    <row r="27" spans="1:12">
      <c r="A27" s="6" t="s">
        <v>314</v>
      </c>
      <c r="B27" s="6" t="s">
        <v>115</v>
      </c>
      <c r="C27" s="19">
        <f>_xll.BDH("RCOM IN Equity","PRETAX_INC","FY 2010","FY 2010","Currency=INR","Period=FY","BEST_FPERIOD_OVERRIDE=FY","FILING_STATUS=MR","EQY_CONSOLIDATED=Y","SCALING_FORMAT=MLN","FA_ADJUSTED=GAAP","Sort=A","Dates=H","DateFormat=P","Fill=—","Direction=H","UseDPDF=Y")</f>
        <v>52228.3</v>
      </c>
      <c r="D27" s="19">
        <f>_xll.BDH("RCOM IN Equity","PRETAX_INC","FY 2011","FY 2011","Currency=INR","Period=FY","BEST_FPERIOD_OVERRIDE=FY","FILING_STATUS=MR","EQY_CONSOLIDATED=Y","SCALING_FORMAT=MLN","FA_ADJUSTED=GAAP","Sort=A","Dates=H","DateFormat=P","Fill=—","Direction=H","UseDPDF=Y")</f>
        <v>15170</v>
      </c>
      <c r="E27" s="19">
        <f>_xll.BDH("RCOM IN Equity","PRETAX_INC","FY 2012","FY 2012","Currency=INR","Period=FY","BEST_FPERIOD_OVERRIDE=FY","FILING_STATUS=MR","EQY_CONSOLIDATED=Y","SCALING_FORMAT=MLN","FA_ADJUSTED=GAAP","Sort=A","Dates=H","DateFormat=P","Fill=—","Direction=H","UseDPDF=Y")</f>
        <v>8820</v>
      </c>
      <c r="F27" s="19">
        <f>_xll.BDH("RCOM IN Equity","PRETAX_INC","FY 2013","FY 2013","Currency=INR","Period=FY","BEST_FPERIOD_OVERRIDE=FY","FILING_STATUS=MR","EQY_CONSOLIDATED=Y","SCALING_FORMAT=MLN","FA_ADJUSTED=GAAP","Sort=A","Dates=H","DateFormat=P","Fill=—","Direction=H","UseDPDF=Y")</f>
        <v>8150</v>
      </c>
      <c r="G27" s="19">
        <f>_xll.BDH("RCOM IN Equity","PRETAX_INC","FY 2014","FY 2014","Currency=INR","Period=FY","BEST_FPERIOD_OVERRIDE=FY","FILING_STATUS=MR","EQY_CONSOLIDATED=Y","SCALING_FORMAT=MLN","FA_ADJUSTED=GAAP","Sort=A","Dates=H","DateFormat=P","Fill=—","Direction=H","UseDPDF=Y")</f>
        <v>1160</v>
      </c>
      <c r="H27" s="19">
        <f>_xll.BDH("RCOM IN Equity","PRETAX_INC","FY 2015","FY 2015","Currency=INR","Period=FY","BEST_FPERIOD_OVERRIDE=FY","FILING_STATUS=MR","EQY_CONSOLIDATED=Y","SCALING_FORMAT=MLN","FA_ADJUSTED=GAAP","Sort=A","Dates=H","DateFormat=P","Fill=—","Direction=H","UseDPDF=Y")</f>
        <v>9460</v>
      </c>
      <c r="I27" s="19">
        <f>_xll.BDH("RCOM IN Equity","PRETAX_INC","FY 2016","FY 2016","Currency=INR","Period=FY","BEST_FPERIOD_OVERRIDE=FY","FILING_STATUS=MR","EQY_CONSOLIDATED=Y","SCALING_FORMAT=MLN","FA_ADJUSTED=GAAP","Sort=A","Dates=H","DateFormat=P","Fill=—","Direction=H","UseDPDF=Y")</f>
        <v>2320</v>
      </c>
      <c r="J27" s="19">
        <f>_xll.BDH("RCOM IN Equity","PRETAX_INC","FY 2017","FY 2017","Currency=INR","Period=FY","BEST_FPERIOD_OVERRIDE=FY","FILING_STATUS=MR","EQY_CONSOLIDATED=Y","SCALING_FORMAT=MLN","FA_ADJUSTED=GAAP","Sort=A","Dates=H","DateFormat=P","Fill=—","Direction=H","UseDPDF=Y")</f>
        <v>1550</v>
      </c>
      <c r="K27" s="19">
        <f>_xll.BDH("RCOM IN Equity","PRETAX_INC","FY 2018","FY 2018","Currency=INR","Period=FY","BEST_FPERIOD_OVERRIDE=FY","FILING_STATUS=MR","EQY_CONSOLIDATED=Y","SCALING_FORMAT=MLN","FA_ADJUSTED=GAAP","Sort=A","Dates=H","DateFormat=P","Fill=—","Direction=H","UseDPDF=Y")</f>
        <v>-30</v>
      </c>
      <c r="L27" s="22">
        <v>20070</v>
      </c>
    </row>
    <row r="28" spans="1:12">
      <c r="A28" s="10" t="s">
        <v>636</v>
      </c>
      <c r="B28" s="10" t="s">
        <v>300</v>
      </c>
      <c r="C28" s="13">
        <f>_xll.BDH("RCOM IN Equity","IS_GAIN_LOSS_DISPOSAL_ASSETS","FY 2010","FY 2010","Currency=INR","Period=FY","BEST_FPERIOD_OVERRIDE=FY","FILING_STATUS=MR","EQY_CONSOLIDATED=Y","SCALING_FORMAT=MLN","Sort=A","Dates=H","DateFormat=P","Fill=—","Direction=H","UseDPDF=Y")</f>
        <v>14.9</v>
      </c>
      <c r="D28" s="13">
        <f>_xll.BDH("RCOM IN Equity","IS_GAIN_LOSS_DISPOSAL_ASSETS","FY 2011","FY 2011","Currency=INR","Period=FY","BEST_FPERIOD_OVERRIDE=FY","FILING_STATUS=MR","EQY_CONSOLIDATED=Y","SCALING_FORMAT=MLN","Sort=A","Dates=H","DateFormat=P","Fill=—","Direction=H","UseDPDF=Y")</f>
        <v>-3309.2</v>
      </c>
      <c r="E28" s="13">
        <f>_xll.BDH("RCOM IN Equity","IS_GAIN_LOSS_DISPOSAL_ASSETS","FY 2012","FY 2012","Currency=INR","Period=FY","BEST_FPERIOD_OVERRIDE=FY","FILING_STATUS=MR","EQY_CONSOLIDATED=Y","SCALING_FORMAT=MLN","Sort=A","Dates=H","DateFormat=P","Fill=—","Direction=H","UseDPDF=Y")</f>
        <v>-70</v>
      </c>
      <c r="F28" s="13">
        <f>_xll.BDH("RCOM IN Equity","IS_GAIN_LOSS_DISPOSAL_ASSETS","FY 2013","FY 2013","Currency=INR","Period=FY","BEST_FPERIOD_OVERRIDE=FY","FILING_STATUS=MR","EQY_CONSOLIDATED=Y","SCALING_FORMAT=MLN","Sort=A","Dates=H","DateFormat=P","Fill=—","Direction=H","UseDPDF=Y")</f>
        <v>300</v>
      </c>
      <c r="G28" s="13">
        <f>_xll.BDH("RCOM IN Equity","IS_GAIN_LOSS_DISPOSAL_ASSETS","FY 2014","FY 2014","Currency=INR","Period=FY","BEST_FPERIOD_OVERRIDE=FY","FILING_STATUS=MR","EQY_CONSOLIDATED=Y","SCALING_FORMAT=MLN","Sort=A","Dates=H","DateFormat=P","Fill=—","Direction=H","UseDPDF=Y")</f>
        <v>200</v>
      </c>
      <c r="H28" s="13">
        <f>_xll.BDH("RCOM IN Equity","IS_GAIN_LOSS_DISPOSAL_ASSETS","FY 2015","FY 2015","Currency=INR","Period=FY","BEST_FPERIOD_OVERRIDE=FY","FILING_STATUS=MR","EQY_CONSOLIDATED=Y","SCALING_FORMAT=MLN","Sort=A","Dates=H","DateFormat=P","Fill=—","Direction=H","UseDPDF=Y")</f>
        <v>-20</v>
      </c>
      <c r="I28" s="13">
        <f>_xll.BDH("RCOM IN Equity","IS_GAIN_LOSS_DISPOSAL_ASSETS","FY 2016","FY 2016","Currency=INR","Period=FY","BEST_FPERIOD_OVERRIDE=FY","FILING_STATUS=MR","EQY_CONSOLIDATED=Y","SCALING_FORMAT=MLN","Sort=A","Dates=H","DateFormat=P","Fill=—","Direction=H","UseDPDF=Y")</f>
        <v>-2120</v>
      </c>
      <c r="J28" s="13" t="str">
        <f>_xll.BDH("RCOM IN Equity","IS_GAIN_LOSS_DISPOSAL_ASSETS","FY 2017","FY 2017","Currency=INR","Period=FY","BEST_FPERIOD_OVERRIDE=FY","FILING_STATUS=MR","EQY_CONSOLIDATED=Y","SCALING_FORMAT=MLN","Sort=A","Dates=H","DateFormat=P","Fill=—","Direction=H","UseDPDF=Y")</f>
        <v>—</v>
      </c>
      <c r="K28" s="13" t="str">
        <f>_xll.BDH("RCOM IN Equity","IS_GAIN_LOSS_DISPOSAL_ASSETS","FY 2018","FY 2018","Currency=INR","Period=FY","BEST_FPERIOD_OVERRIDE=FY","FILING_STATUS=MR","EQY_CONSOLIDATED=Y","SCALING_FORMAT=MLN","Sort=A","Dates=H","DateFormat=P","Fill=—","Direction=H","UseDPDF=Y")</f>
        <v>—</v>
      </c>
      <c r="L28" s="16"/>
    </row>
    <row r="29" spans="1:12">
      <c r="A29" s="10" t="s">
        <v>638</v>
      </c>
      <c r="B29" s="10" t="s">
        <v>303</v>
      </c>
      <c r="C29" s="13">
        <f>_xll.BDH("RCOM IN Equity","IS_IMPAIRMENT_ASSETS","FY 2010","FY 2010","Currency=INR","Period=FY","BEST_FPERIOD_OVERRIDE=FY","FILING_STATUS=MR","EQY_CONSOLIDATED=Y","SCALING_FORMAT=MLN","Sort=A","Dates=H","DateFormat=P","Fill=—","Direction=H","UseDPDF=Y")</f>
        <v>3049.7</v>
      </c>
      <c r="D29" s="13" t="str">
        <f>_xll.BDH("RCOM IN Equity","IS_IMPAIRMENT_ASSETS","FY 2011","FY 2011","Currency=INR","Period=FY","BEST_FPERIOD_OVERRIDE=FY","FILING_STATUS=MR","EQY_CONSOLIDATED=Y","SCALING_FORMAT=MLN","Sort=A","Dates=H","DateFormat=P","Fill=—","Direction=H","UseDPDF=Y")</f>
        <v>—</v>
      </c>
      <c r="E29" s="13">
        <f>_xll.BDH("RCOM IN Equity","IS_IMPAIRMENT_ASSETS","FY 2012","FY 2012","Currency=INR","Period=FY","BEST_FPERIOD_OVERRIDE=FY","FILING_STATUS=MR","EQY_CONSOLIDATED=Y","SCALING_FORMAT=MLN","Sort=A","Dates=H","DateFormat=P","Fill=—","Direction=H","UseDPDF=Y")</f>
        <v>3700</v>
      </c>
      <c r="F29" s="13" t="str">
        <f>_xll.BDH("RCOM IN Equity","IS_IMPAIRMENT_ASSETS","FY 2013","FY 2013","Currency=INR","Period=FY","BEST_FPERIOD_OVERRIDE=FY","FILING_STATUS=MR","EQY_CONSOLIDATED=Y","SCALING_FORMAT=MLN","Sort=A","Dates=H","DateFormat=P","Fill=—","Direction=H","UseDPDF=Y")</f>
        <v>—</v>
      </c>
      <c r="G29" s="13" t="str">
        <f>_xll.BDH("RCOM IN Equity","IS_IMPAIRMENT_ASSETS","FY 2014","FY 2014","Currency=INR","Period=FY","BEST_FPERIOD_OVERRIDE=FY","FILING_STATUS=MR","EQY_CONSOLIDATED=Y","SCALING_FORMAT=MLN","Sort=A","Dates=H","DateFormat=P","Fill=—","Direction=H","UseDPDF=Y")</f>
        <v>—</v>
      </c>
      <c r="H29" s="13" t="str">
        <f>_xll.BDH("RCOM IN Equity","IS_IMPAIRMENT_ASSETS","FY 2015","FY 2015","Currency=INR","Period=FY","BEST_FPERIOD_OVERRIDE=FY","FILING_STATUS=MR","EQY_CONSOLIDATED=Y","SCALING_FORMAT=MLN","Sort=A","Dates=H","DateFormat=P","Fill=—","Direction=H","UseDPDF=Y")</f>
        <v>—</v>
      </c>
      <c r="I29" s="13" t="str">
        <f>_xll.BDH("RCOM IN Equity","IS_IMPAIRMENT_ASSETS","FY 2016","FY 2016","Currency=INR","Period=FY","BEST_FPERIOD_OVERRIDE=FY","FILING_STATUS=MR","EQY_CONSOLIDATED=Y","SCALING_FORMAT=MLN","Sort=A","Dates=H","DateFormat=P","Fill=—","Direction=H","UseDPDF=Y")</f>
        <v>—</v>
      </c>
      <c r="J29" s="13" t="str">
        <f>_xll.BDH("RCOM IN Equity","IS_IMPAIRMENT_ASSETS","FY 2017","FY 2017","Currency=INR","Period=FY","BEST_FPERIOD_OVERRIDE=FY","FILING_STATUS=MR","EQY_CONSOLIDATED=Y","SCALING_FORMAT=MLN","Sort=A","Dates=H","DateFormat=P","Fill=—","Direction=H","UseDPDF=Y")</f>
        <v>—</v>
      </c>
      <c r="K29" s="13" t="str">
        <f>_xll.BDH("RCOM IN Equity","IS_IMPAIRMENT_ASSETS","FY 2018","FY 2018","Currency=INR","Period=FY","BEST_FPERIOD_OVERRIDE=FY","FILING_STATUS=MR","EQY_CONSOLIDATED=Y","SCALING_FORMAT=MLN","Sort=A","Dates=H","DateFormat=P","Fill=—","Direction=H","UseDPDF=Y")</f>
        <v>—</v>
      </c>
      <c r="L29" s="16"/>
    </row>
    <row r="30" spans="1:12">
      <c r="A30" s="10" t="s">
        <v>641</v>
      </c>
      <c r="B30" s="10" t="s">
        <v>310</v>
      </c>
      <c r="C30" s="13">
        <f>_xll.BDH("RCOM IN Equity","IS_GAIN_LOSS_ON_INVESTMENTS","FY 2010","FY 2010","Currency=INR","Period=FY","BEST_FPERIOD_OVERRIDE=FY","FILING_STATUS=MR","EQY_CONSOLIDATED=Y","SCALING_FORMAT=MLN","Sort=A","Dates=H","DateFormat=P","Fill=—","Direction=H","UseDPDF=Y")</f>
        <v>-2094.9</v>
      </c>
      <c r="D30" s="13">
        <f>_xll.BDH("RCOM IN Equity","IS_GAIN_LOSS_ON_INVESTMENTS","FY 2011","FY 2011","Currency=INR","Period=FY","BEST_FPERIOD_OVERRIDE=FY","FILING_STATUS=MR","EQY_CONSOLIDATED=Y","SCALING_FORMAT=MLN","Sort=A","Dates=H","DateFormat=P","Fill=—","Direction=H","UseDPDF=Y")</f>
        <v>-570</v>
      </c>
      <c r="E30" s="13">
        <f>_xll.BDH("RCOM IN Equity","IS_GAIN_LOSS_ON_INVESTMENTS","FY 2012","FY 2012","Currency=INR","Period=FY","BEST_FPERIOD_OVERRIDE=FY","FILING_STATUS=MR","EQY_CONSOLIDATED=Y","SCALING_FORMAT=MLN","Sort=A","Dates=H","DateFormat=P","Fill=—","Direction=H","UseDPDF=Y")</f>
        <v>-230</v>
      </c>
      <c r="F30" s="13">
        <f>_xll.BDH("RCOM IN Equity","IS_GAIN_LOSS_ON_INVESTMENTS","FY 2013","FY 2013","Currency=INR","Period=FY","BEST_FPERIOD_OVERRIDE=FY","FILING_STATUS=MR","EQY_CONSOLIDATED=Y","SCALING_FORMAT=MLN","Sort=A","Dates=H","DateFormat=P","Fill=—","Direction=H","UseDPDF=Y")</f>
        <v>-350</v>
      </c>
      <c r="G30" s="13">
        <f>_xll.BDH("RCOM IN Equity","IS_GAIN_LOSS_ON_INVESTMENTS","FY 2014","FY 2014","Currency=INR","Period=FY","BEST_FPERIOD_OVERRIDE=FY","FILING_STATUS=MR","EQY_CONSOLIDATED=Y","SCALING_FORMAT=MLN","Sort=A","Dates=H","DateFormat=P","Fill=—","Direction=H","UseDPDF=Y")</f>
        <v>-90</v>
      </c>
      <c r="H30" s="13">
        <f>_xll.BDH("RCOM IN Equity","IS_GAIN_LOSS_ON_INVESTMENTS","FY 2015","FY 2015","Currency=INR","Period=FY","BEST_FPERIOD_OVERRIDE=FY","FILING_STATUS=MR","EQY_CONSOLIDATED=Y","SCALING_FORMAT=MLN","Sort=A","Dates=H","DateFormat=P","Fill=—","Direction=H","UseDPDF=Y")</f>
        <v>-300</v>
      </c>
      <c r="I30" s="13">
        <f>_xll.BDH("RCOM IN Equity","IS_GAIN_LOSS_ON_INVESTMENTS","FY 2016","FY 2016","Currency=INR","Period=FY","BEST_FPERIOD_OVERRIDE=FY","FILING_STATUS=MR","EQY_CONSOLIDATED=Y","SCALING_FORMAT=MLN","Sort=A","Dates=H","DateFormat=P","Fill=—","Direction=H","UseDPDF=Y")</f>
        <v>-30</v>
      </c>
      <c r="J30" s="13" t="str">
        <f>_xll.BDH("RCOM IN Equity","IS_GAIN_LOSS_ON_INVESTMENTS","FY 2017","FY 2017","Currency=INR","Period=FY","BEST_FPERIOD_OVERRIDE=FY","FILING_STATUS=MR","EQY_CONSOLIDATED=Y","SCALING_FORMAT=MLN","Sort=A","Dates=H","DateFormat=P","Fill=—","Direction=H","UseDPDF=Y")</f>
        <v>—</v>
      </c>
      <c r="K30" s="13" t="str">
        <f>_xll.BDH("RCOM IN Equity","IS_GAIN_LOSS_ON_INVESTMENTS","FY 2018","FY 2018","Currency=INR","Period=FY","BEST_FPERIOD_OVERRIDE=FY","FILING_STATUS=MR","EQY_CONSOLIDATED=Y","SCALING_FORMAT=MLN","Sort=A","Dates=H","DateFormat=P","Fill=—","Direction=H","UseDPDF=Y")</f>
        <v>—</v>
      </c>
      <c r="L30" s="16"/>
    </row>
    <row r="31" spans="1:12">
      <c r="A31" s="6" t="s">
        <v>293</v>
      </c>
      <c r="B31" s="6" t="s">
        <v>115</v>
      </c>
      <c r="C31" s="19">
        <f>_xll.BDH("RCOM IN Equity","PRETAX_INC","FY 2010","FY 2010","Currency=INR","Period=FY","BEST_FPERIOD_OVERRIDE=FY","FILING_STATUS=MR","EQY_CONSOLIDATED=Y","SCALING_FORMAT=MLN","FA_ADJUSTED=Adjusted","Sort=A","Dates=H","DateFormat=P","Fill=—","Direction=H","UseDPDF=Y")</f>
        <v>53198</v>
      </c>
      <c r="D31" s="19">
        <f>_xll.BDH("RCOM IN Equity","PRETAX_INC","FY 2011","FY 2011","Currency=INR","Period=FY","BEST_FPERIOD_OVERRIDE=FY","FILING_STATUS=MR","EQY_CONSOLIDATED=Y","SCALING_FORMAT=MLN","FA_ADJUSTED=Adjusted","Sort=A","Dates=H","DateFormat=P","Fill=—","Direction=H","UseDPDF=Y")</f>
        <v>11290.8</v>
      </c>
      <c r="E31" s="19">
        <f>_xll.BDH("RCOM IN Equity","PRETAX_INC","FY 2012","FY 2012","Currency=INR","Period=FY","BEST_FPERIOD_OVERRIDE=FY","FILING_STATUS=MR","EQY_CONSOLIDATED=Y","SCALING_FORMAT=MLN","FA_ADJUSTED=Adjusted","Sort=A","Dates=H","DateFormat=P","Fill=—","Direction=H","UseDPDF=Y")</f>
        <v>12220</v>
      </c>
      <c r="F31" s="19">
        <f>_xll.BDH("RCOM IN Equity","PRETAX_INC","FY 2013","FY 2013","Currency=INR","Period=FY","BEST_FPERIOD_OVERRIDE=FY","FILING_STATUS=MR","EQY_CONSOLIDATED=Y","SCALING_FORMAT=MLN","FA_ADJUSTED=Adjusted","Sort=A","Dates=H","DateFormat=P","Fill=—","Direction=H","UseDPDF=Y")</f>
        <v>8100</v>
      </c>
      <c r="G31" s="19">
        <f>_xll.BDH("RCOM IN Equity","PRETAX_INC","FY 2014","FY 2014","Currency=INR","Period=FY","BEST_FPERIOD_OVERRIDE=FY","FILING_STATUS=MR","EQY_CONSOLIDATED=Y","SCALING_FORMAT=MLN","FA_ADJUSTED=Adjusted","Sort=A","Dates=H","DateFormat=P","Fill=—","Direction=H","UseDPDF=Y")</f>
        <v>1270</v>
      </c>
      <c r="H31" s="19">
        <f>_xll.BDH("RCOM IN Equity","PRETAX_INC","FY 2015","FY 2015","Currency=INR","Period=FY","BEST_FPERIOD_OVERRIDE=FY","FILING_STATUS=MR","EQY_CONSOLIDATED=Y","SCALING_FORMAT=MLN","FA_ADJUSTED=Adjusted","Sort=A","Dates=H","DateFormat=P","Fill=—","Direction=H","UseDPDF=Y")</f>
        <v>9140</v>
      </c>
      <c r="I31" s="19">
        <f>_xll.BDH("RCOM IN Equity","PRETAX_INC","FY 2016","FY 2016","Currency=INR","Period=FY","BEST_FPERIOD_OVERRIDE=FY","FILING_STATUS=MR","EQY_CONSOLIDATED=Y","SCALING_FORMAT=MLN","FA_ADJUSTED=Adjusted","Sort=A","Dates=H","DateFormat=P","Fill=—","Direction=H","UseDPDF=Y")</f>
        <v>170</v>
      </c>
      <c r="J31" s="19">
        <f>_xll.BDH("RCOM IN Equity","PRETAX_INC","FY 2017","FY 2017","Currency=INR","Period=FY","BEST_FPERIOD_OVERRIDE=FY","FILING_STATUS=MR","EQY_CONSOLIDATED=Y","SCALING_FORMAT=MLN","FA_ADJUSTED=Adjusted","Sort=A","Dates=H","DateFormat=P","Fill=—","Direction=H","UseDPDF=Y")</f>
        <v>1550</v>
      </c>
      <c r="K31" s="19">
        <f>_xll.BDH("RCOM IN Equity","PRETAX_INC","FY 2018","FY 2018","Currency=INR","Period=FY","BEST_FPERIOD_OVERRIDE=FY","FILING_STATUS=MR","EQY_CONSOLIDATED=Y","SCALING_FORMAT=MLN","FA_ADJUSTED=Adjusted","Sort=A","Dates=H","DateFormat=P","Fill=—","Direction=H","UseDPDF=Y")</f>
        <v>-30</v>
      </c>
      <c r="L31" s="22">
        <v>20070</v>
      </c>
    </row>
    <row r="32" spans="1:12">
      <c r="A32" s="6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21"/>
    </row>
    <row r="33" spans="1:12">
      <c r="A33" s="6" t="s">
        <v>642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1"/>
    </row>
    <row r="34" spans="1:12">
      <c r="A34" s="6" t="s">
        <v>643</v>
      </c>
      <c r="B34" s="6" t="s">
        <v>48</v>
      </c>
      <c r="C34" s="19">
        <f>_xll.BDH("RCOM IN Equity","EARN_FOR_COMMON","FY 2010","FY 2010","Currency=INR","Period=FY","BEST_FPERIOD_OVERRIDE=FY","FILING_STATUS=MR","EQY_CONSOLIDATED=Y","SCALING_FORMAT=MLN","FA_ADJUSTED=GAAP","Sort=A","Dates=H","DateFormat=P","Fill=—","Direction=H","UseDPDF=Y")</f>
        <v>46550</v>
      </c>
      <c r="D34" s="19">
        <f>_xll.BDH("RCOM IN Equity","EARN_FOR_COMMON","FY 2011","FY 2011","Currency=INR","Period=FY","BEST_FPERIOD_OVERRIDE=FY","FILING_STATUS=MR","EQY_CONSOLIDATED=Y","SCALING_FORMAT=MLN","FA_ADJUSTED=GAAP","Sort=A","Dates=H","DateFormat=P","Fill=—","Direction=H","UseDPDF=Y")</f>
        <v>13450</v>
      </c>
      <c r="E34" s="19">
        <f>_xll.BDH("RCOM IN Equity","EARN_FOR_COMMON","FY 2012","FY 2012","Currency=INR","Period=FY","BEST_FPERIOD_OVERRIDE=FY","FILING_STATUS=MR","EQY_CONSOLIDATED=Y","SCALING_FORMAT=MLN","FA_ADJUSTED=GAAP","Sort=A","Dates=H","DateFormat=P","Fill=—","Direction=H","UseDPDF=Y")</f>
        <v>9280</v>
      </c>
      <c r="F34" s="19">
        <f>_xll.BDH("RCOM IN Equity","EARN_FOR_COMMON","FY 2013","FY 2013","Currency=INR","Period=FY","BEST_FPERIOD_OVERRIDE=FY","FILING_STATUS=MR","EQY_CONSOLIDATED=Y","SCALING_FORMAT=MLN","FA_ADJUSTED=GAAP","Sort=A","Dates=H","DateFormat=P","Fill=—","Direction=H","UseDPDF=Y")</f>
        <v>6720</v>
      </c>
      <c r="G34" s="19">
        <f>_xll.BDH("RCOM IN Equity","EARN_FOR_COMMON","FY 2014","FY 2014","Currency=INR","Period=FY","BEST_FPERIOD_OVERRIDE=FY","FILING_STATUS=MR","EQY_CONSOLIDATED=Y","SCALING_FORMAT=MLN","FA_ADJUSTED=GAAP","Sort=A","Dates=H","DateFormat=P","Fill=—","Direction=H","UseDPDF=Y")</f>
        <v>10470</v>
      </c>
      <c r="H34" s="19">
        <f>_xll.BDH("RCOM IN Equity","EARN_FOR_COMMON","FY 2015","FY 2015","Currency=INR","Period=FY","BEST_FPERIOD_OVERRIDE=FY","FILING_STATUS=MR","EQY_CONSOLIDATED=Y","SCALING_FORMAT=MLN","FA_ADJUSTED=GAAP","Sort=A","Dates=H","DateFormat=P","Fill=—","Direction=H","UseDPDF=Y")</f>
        <v>7140</v>
      </c>
      <c r="I34" s="19">
        <f>_xll.BDH("RCOM IN Equity","EARN_FOR_COMMON","FY 2016","FY 2016","Currency=INR","Period=FY","BEST_FPERIOD_OVERRIDE=FY","FILING_STATUS=MR","EQY_CONSOLIDATED=Y","SCALING_FORMAT=MLN","FA_ADJUSTED=GAAP","Sort=A","Dates=H","DateFormat=P","Fill=—","Direction=H","UseDPDF=Y")</f>
        <v>6390</v>
      </c>
      <c r="J34" s="19">
        <f>_xll.BDH("RCOM IN Equity","EARN_FOR_COMMON","FY 2017","FY 2017","Currency=INR","Period=FY","BEST_FPERIOD_OVERRIDE=FY","FILING_STATUS=MR","EQY_CONSOLIDATED=Y","SCALING_FORMAT=MLN","FA_ADJUSTED=GAAP","Sort=A","Dates=H","DateFormat=P","Fill=—","Direction=H","UseDPDF=Y")</f>
        <v>-14030</v>
      </c>
      <c r="K34" s="19">
        <f>_xll.BDH("RCOM IN Equity","EARN_FOR_COMMON","FY 2018","FY 2018","Currency=INR","Period=FY","BEST_FPERIOD_OVERRIDE=FY","FILING_STATUS=MR","EQY_CONSOLIDATED=Y","SCALING_FORMAT=MLN","FA_ADJUSTED=GAAP","Sort=A","Dates=H","DateFormat=P","Fill=—","Direction=H","UseDPDF=Y")</f>
        <v>-238390</v>
      </c>
      <c r="L34" s="22">
        <v>-192140</v>
      </c>
    </row>
    <row r="35" spans="1:12">
      <c r="A35" s="10" t="s">
        <v>644</v>
      </c>
      <c r="B35" s="10" t="s">
        <v>330</v>
      </c>
      <c r="C35" s="13">
        <f>_xll.BDH("RCOM IN Equity","IS_DISCONTINUED_OPERATIONS","FY 2010","FY 2010","Currency=INR","Period=FY","BEST_FPERIOD_OVERRIDE=FY","FILING_STATUS=MR","EQY_CONSOLIDATED=Y","SCALING_FORMAT=MLN","Sort=A","Dates=H","DateFormat=P","Fill=—","Direction=H","UseDPDF=Y")</f>
        <v>0</v>
      </c>
      <c r="D35" s="13">
        <f>_xll.BDH("RCOM IN Equity","IS_DISCONTINUED_OPERATIONS","FY 2011","FY 2011","Currency=INR","Period=FY","BEST_FPERIOD_OVERRIDE=FY","FILING_STATUS=MR","EQY_CONSOLIDATED=Y","SCALING_FORMAT=MLN","Sort=A","Dates=H","DateFormat=P","Fill=—","Direction=H","UseDPDF=Y")</f>
        <v>0</v>
      </c>
      <c r="E35" s="13">
        <f>_xll.BDH("RCOM IN Equity","IS_DISCONTINUED_OPERATIONS","FY 2012","FY 2012","Currency=INR","Period=FY","BEST_FPERIOD_OVERRIDE=FY","FILING_STATUS=MR","EQY_CONSOLIDATED=Y","SCALING_FORMAT=MLN","Sort=A","Dates=H","DateFormat=P","Fill=—","Direction=H","UseDPDF=Y")</f>
        <v>0</v>
      </c>
      <c r="F35" s="13">
        <f>_xll.BDH("RCOM IN Equity","IS_DISCONTINUED_OPERATIONS","FY 2013","FY 2013","Currency=INR","Period=FY","BEST_FPERIOD_OVERRIDE=FY","FILING_STATUS=MR","EQY_CONSOLIDATED=Y","SCALING_FORMAT=MLN","Sort=A","Dates=H","DateFormat=P","Fill=—","Direction=H","UseDPDF=Y")</f>
        <v>0</v>
      </c>
      <c r="G35" s="13">
        <f>_xll.BDH("RCOM IN Equity","IS_DISCONTINUED_OPERATIONS","FY 2014","FY 2014","Currency=INR","Period=FY","BEST_FPERIOD_OVERRIDE=FY","FILING_STATUS=MR","EQY_CONSOLIDATED=Y","SCALING_FORMAT=MLN","Sort=A","Dates=H","DateFormat=P","Fill=—","Direction=H","UseDPDF=Y")</f>
        <v>0</v>
      </c>
      <c r="H35" s="13">
        <f>_xll.BDH("RCOM IN Equity","IS_DISCONTINUED_OPERATIONS","FY 2015","FY 2015","Currency=INR","Period=FY","BEST_FPERIOD_OVERRIDE=FY","FILING_STATUS=MR","EQY_CONSOLIDATED=Y","SCALING_FORMAT=MLN","Sort=A","Dates=H","DateFormat=P","Fill=—","Direction=H","UseDPDF=Y")</f>
        <v>0</v>
      </c>
      <c r="I35" s="13">
        <f>_xll.BDH("RCOM IN Equity","IS_DISCONTINUED_OPERATIONS","FY 2016","FY 2016","Currency=INR","Period=FY","BEST_FPERIOD_OVERRIDE=FY","FILING_STATUS=MR","EQY_CONSOLIDATED=Y","SCALING_FORMAT=MLN","Sort=A","Dates=H","DateFormat=P","Fill=—","Direction=H","UseDPDF=Y")</f>
        <v>0</v>
      </c>
      <c r="J35" s="13">
        <f>_xll.BDH("RCOM IN Equity","IS_DISCONTINUED_OPERATIONS","FY 2017","FY 2017","Currency=INR","Period=FY","BEST_FPERIOD_OVERRIDE=FY","FILING_STATUS=MR","EQY_CONSOLIDATED=Y","SCALING_FORMAT=MLN","Sort=A","Dates=H","DateFormat=P","Fill=—","Direction=H","UseDPDF=Y")</f>
        <v>15280</v>
      </c>
      <c r="K35" s="13">
        <f>_xll.BDH("RCOM IN Equity","IS_DISCONTINUED_OPERATIONS","FY 2018","FY 2018","Currency=INR","Period=FY","BEST_FPERIOD_OVERRIDE=FY","FILING_STATUS=MR","EQY_CONSOLIDATED=Y","SCALING_FORMAT=MLN","Sort=A","Dates=H","DateFormat=P","Fill=—","Direction=H","UseDPDF=Y")</f>
        <v>238880</v>
      </c>
      <c r="L35" s="16">
        <v>203240</v>
      </c>
    </row>
    <row r="36" spans="1:12">
      <c r="A36" s="10" t="s">
        <v>645</v>
      </c>
      <c r="B36" s="10" t="s">
        <v>332</v>
      </c>
      <c r="C36" s="13">
        <f>_xll.BDH("RCOM IN Equity","IS_EXTRAORD_ITEMS_&amp;_ACCTG_CHNG","FY 2010","FY 2010","Currency=INR","Period=FY","BEST_FPERIOD_OVERRIDE=FY","FILING_STATUS=MR","EQY_CONSOLIDATED=Y","SCALING_FORMAT=MLN","Sort=A","Dates=H","DateFormat=P","Fill=—","Direction=H","UseDPDF=Y")</f>
        <v>0</v>
      </c>
      <c r="D36" s="13">
        <f>_xll.BDH("RCOM IN Equity","IS_EXTRAORD_ITEMS_&amp;_ACCTG_CHNG","FY 2011","FY 2011","Currency=INR","Period=FY","BEST_FPERIOD_OVERRIDE=FY","FILING_STATUS=MR","EQY_CONSOLIDATED=Y","SCALING_FORMAT=MLN","Sort=A","Dates=H","DateFormat=P","Fill=—","Direction=H","UseDPDF=Y")</f>
        <v>0</v>
      </c>
      <c r="E36" s="13">
        <f>_xll.BDH("RCOM IN Equity","IS_EXTRAORD_ITEMS_&amp;_ACCTG_CHNG","FY 2012","FY 2012","Currency=INR","Period=FY","BEST_FPERIOD_OVERRIDE=FY","FILING_STATUS=MR","EQY_CONSOLIDATED=Y","SCALING_FORMAT=MLN","Sort=A","Dates=H","DateFormat=P","Fill=—","Direction=H","UseDPDF=Y")</f>
        <v>0</v>
      </c>
      <c r="F36" s="13">
        <f>_xll.BDH("RCOM IN Equity","IS_EXTRAORD_ITEMS_&amp;_ACCTG_CHNG","FY 2013","FY 2013","Currency=INR","Period=FY","BEST_FPERIOD_OVERRIDE=FY","FILING_STATUS=MR","EQY_CONSOLIDATED=Y","SCALING_FORMAT=MLN","Sort=A","Dates=H","DateFormat=P","Fill=—","Direction=H","UseDPDF=Y")</f>
        <v>0</v>
      </c>
      <c r="G36" s="13">
        <f>_xll.BDH("RCOM IN Equity","IS_EXTRAORD_ITEMS_&amp;_ACCTG_CHNG","FY 2014","FY 2014","Currency=INR","Period=FY","BEST_FPERIOD_OVERRIDE=FY","FILING_STATUS=MR","EQY_CONSOLIDATED=Y","SCALING_FORMAT=MLN","Sort=A","Dates=H","DateFormat=P","Fill=—","Direction=H","UseDPDF=Y")</f>
        <v>0</v>
      </c>
      <c r="H36" s="13">
        <f>_xll.BDH("RCOM IN Equity","IS_EXTRAORD_ITEMS_&amp;_ACCTG_CHNG","FY 2015","FY 2015","Currency=INR","Period=FY","BEST_FPERIOD_OVERRIDE=FY","FILING_STATUS=MR","EQY_CONSOLIDATED=Y","SCALING_FORMAT=MLN","Sort=A","Dates=H","DateFormat=P","Fill=—","Direction=H","UseDPDF=Y")</f>
        <v>0</v>
      </c>
      <c r="I36" s="13">
        <f>_xll.BDH("RCOM IN Equity","IS_EXTRAORD_ITEMS_&amp;_ACCTG_CHNG","FY 2016","FY 2016","Currency=INR","Period=FY","BEST_FPERIOD_OVERRIDE=FY","FILING_STATUS=MR","EQY_CONSOLIDATED=Y","SCALING_FORMAT=MLN","Sort=A","Dates=H","DateFormat=P","Fill=—","Direction=H","UseDPDF=Y")</f>
        <v>0</v>
      </c>
      <c r="J36" s="13">
        <f>_xll.BDH("RCOM IN Equity","IS_EXTRAORD_ITEMS_&amp;_ACCTG_CHNG","FY 2017","FY 2017","Currency=INR","Period=FY","BEST_FPERIOD_OVERRIDE=FY","FILING_STATUS=MR","EQY_CONSOLIDATED=Y","SCALING_FORMAT=MLN","Sort=A","Dates=H","DateFormat=P","Fill=—","Direction=H","UseDPDF=Y")</f>
        <v>0</v>
      </c>
      <c r="K36" s="13">
        <f>_xll.BDH("RCOM IN Equity","IS_EXTRAORD_ITEMS_&amp;_ACCTG_CHNG","FY 2018","FY 2018","Currency=INR","Period=FY","BEST_FPERIOD_OVERRIDE=FY","FILING_STATUS=MR","EQY_CONSOLIDATED=Y","SCALING_FORMAT=MLN","Sort=A","Dates=H","DateFormat=P","Fill=—","Direction=H","UseDPDF=Y")</f>
        <v>0</v>
      </c>
      <c r="L36" s="16">
        <v>0</v>
      </c>
    </row>
    <row r="37" spans="1:12">
      <c r="A37" s="6" t="s">
        <v>646</v>
      </c>
      <c r="B37" s="6" t="s">
        <v>647</v>
      </c>
      <c r="C37" s="19">
        <f>_xll.BDH("RCOM IN Equity","INC_BEF_XO_LESS_MIN_INT_PREF_DVD","FY 2010","FY 2010","Currency=INR","Period=FY","BEST_FPERIOD_OVERRIDE=FY","FILING_STATUS=MR","EQY_CONSOLIDATED=Y","SCALING_FORMAT=MLN","FA_ADJUSTED=GAAP","Sort=A","Dates=H","DateFormat=P","Fill=—","Direction=H","UseDPDF=Y")</f>
        <v>46550</v>
      </c>
      <c r="D37" s="19">
        <f>_xll.BDH("RCOM IN Equity","INC_BEF_XO_LESS_MIN_INT_PREF_DVD","FY 2011","FY 2011","Currency=INR","Period=FY","BEST_FPERIOD_OVERRIDE=FY","FILING_STATUS=MR","EQY_CONSOLIDATED=Y","SCALING_FORMAT=MLN","FA_ADJUSTED=GAAP","Sort=A","Dates=H","DateFormat=P","Fill=—","Direction=H","UseDPDF=Y")</f>
        <v>13450</v>
      </c>
      <c r="E37" s="19">
        <f>_xll.BDH("RCOM IN Equity","INC_BEF_XO_LESS_MIN_INT_PREF_DVD","FY 2012","FY 2012","Currency=INR","Period=FY","BEST_FPERIOD_OVERRIDE=FY","FILING_STATUS=MR","EQY_CONSOLIDATED=Y","SCALING_FORMAT=MLN","FA_ADJUSTED=GAAP","Sort=A","Dates=H","DateFormat=P","Fill=—","Direction=H","UseDPDF=Y")</f>
        <v>9280</v>
      </c>
      <c r="F37" s="19">
        <f>_xll.BDH("RCOM IN Equity","INC_BEF_XO_LESS_MIN_INT_PREF_DVD","FY 2013","FY 2013","Currency=INR","Period=FY","BEST_FPERIOD_OVERRIDE=FY","FILING_STATUS=MR","EQY_CONSOLIDATED=Y","SCALING_FORMAT=MLN","FA_ADJUSTED=GAAP","Sort=A","Dates=H","DateFormat=P","Fill=—","Direction=H","UseDPDF=Y")</f>
        <v>6720</v>
      </c>
      <c r="G37" s="19">
        <f>_xll.BDH("RCOM IN Equity","INC_BEF_XO_LESS_MIN_INT_PREF_DVD","FY 2014","FY 2014","Currency=INR","Period=FY","BEST_FPERIOD_OVERRIDE=FY","FILING_STATUS=MR","EQY_CONSOLIDATED=Y","SCALING_FORMAT=MLN","FA_ADJUSTED=GAAP","Sort=A","Dates=H","DateFormat=P","Fill=—","Direction=H","UseDPDF=Y")</f>
        <v>10470</v>
      </c>
      <c r="H37" s="19">
        <f>_xll.BDH("RCOM IN Equity","INC_BEF_XO_LESS_MIN_INT_PREF_DVD","FY 2015","FY 2015","Currency=INR","Period=FY","BEST_FPERIOD_OVERRIDE=FY","FILING_STATUS=MR","EQY_CONSOLIDATED=Y","SCALING_FORMAT=MLN","FA_ADJUSTED=GAAP","Sort=A","Dates=H","DateFormat=P","Fill=—","Direction=H","UseDPDF=Y")</f>
        <v>7140</v>
      </c>
      <c r="I37" s="19">
        <f>_xll.BDH("RCOM IN Equity","INC_BEF_XO_LESS_MIN_INT_PREF_DVD","FY 2016","FY 2016","Currency=INR","Period=FY","BEST_FPERIOD_OVERRIDE=FY","FILING_STATUS=MR","EQY_CONSOLIDATED=Y","SCALING_FORMAT=MLN","FA_ADJUSTED=GAAP","Sort=A","Dates=H","DateFormat=P","Fill=—","Direction=H","UseDPDF=Y")</f>
        <v>6390</v>
      </c>
      <c r="J37" s="19">
        <f>_xll.BDH("RCOM IN Equity","INC_BEF_XO_LESS_MIN_INT_PREF_DVD","FY 2017","FY 2017","Currency=INR","Period=FY","BEST_FPERIOD_OVERRIDE=FY","FILING_STATUS=MR","EQY_CONSOLIDATED=Y","SCALING_FORMAT=MLN","FA_ADJUSTED=GAAP","Sort=A","Dates=H","DateFormat=P","Fill=—","Direction=H","UseDPDF=Y")</f>
        <v>1250</v>
      </c>
      <c r="K37" s="19">
        <f>_xll.BDH("RCOM IN Equity","INC_BEF_XO_LESS_MIN_INT_PREF_DVD","FY 2018","FY 2018","Currency=INR","Period=FY","BEST_FPERIOD_OVERRIDE=FY","FILING_STATUS=MR","EQY_CONSOLIDATED=Y","SCALING_FORMAT=MLN","FA_ADJUSTED=GAAP","Sort=A","Dates=H","DateFormat=P","Fill=—","Direction=H","UseDPDF=Y")</f>
        <v>490</v>
      </c>
      <c r="L37" s="22">
        <v>11100</v>
      </c>
    </row>
    <row r="38" spans="1:12">
      <c r="A38" s="10" t="s">
        <v>636</v>
      </c>
      <c r="B38" s="10" t="s">
        <v>648</v>
      </c>
      <c r="C38" s="13">
        <f>_xll.BDH("RCOM IN Equity","IS_DISPOSAL_ASSETS_AFTER_TAX","FY 2010","FY 2010","Currency=INR","Period=FY","BEST_FPERIOD_OVERRIDE=FY","FILING_STATUS=MR","EQY_CONSOLIDATED=Y","SCALING_FORMAT=MLN","Sort=A","Dates=H","DateFormat=P","Fill=—","Direction=H","UseDPDF=Y")</f>
        <v>9.8354999999999997</v>
      </c>
      <c r="D38" s="13">
        <f>_xll.BDH("RCOM IN Equity","IS_DISPOSAL_ASSETS_AFTER_TAX","FY 2011","FY 2011","Currency=INR","Period=FY","BEST_FPERIOD_OVERRIDE=FY","FILING_STATUS=MR","EQY_CONSOLIDATED=Y","SCALING_FORMAT=MLN","Sort=A","Dates=H","DateFormat=P","Fill=—","Direction=H","UseDPDF=Y")</f>
        <v>-2235.6954999999998</v>
      </c>
      <c r="E38" s="13">
        <f>_xll.BDH("RCOM IN Equity","IS_DISPOSAL_ASSETS_AFTER_TAX","FY 2012","FY 2012","Currency=INR","Period=FY","BEST_FPERIOD_OVERRIDE=FY","FILING_STATUS=MR","EQY_CONSOLIDATED=Y","SCALING_FORMAT=MLN","Sort=A","Dates=H","DateFormat=P","Fill=—","Direction=H","UseDPDF=Y")</f>
        <v>-47.284999999999997</v>
      </c>
      <c r="F38" s="13">
        <f>_xll.BDH("RCOM IN Equity","IS_DISPOSAL_ASSETS_AFTER_TAX","FY 2013","FY 2013","Currency=INR","Period=FY","BEST_FPERIOD_OVERRIDE=FY","FILING_STATUS=MR","EQY_CONSOLIDATED=Y","SCALING_FORMAT=MLN","Sort=A","Dates=H","DateFormat=P","Fill=—","Direction=H","UseDPDF=Y")</f>
        <v>198.03</v>
      </c>
      <c r="G38" s="13">
        <f>_xll.BDH("RCOM IN Equity","IS_DISPOSAL_ASSETS_AFTER_TAX","FY 2014","FY 2014","Currency=INR","Period=FY","BEST_FPERIOD_OVERRIDE=FY","FILING_STATUS=MR","EQY_CONSOLIDATED=Y","SCALING_FORMAT=MLN","Sort=A","Dates=H","DateFormat=P","Fill=—","Direction=H","UseDPDF=Y")</f>
        <v>132.02000000000001</v>
      </c>
      <c r="H38" s="13">
        <f>_xll.BDH("RCOM IN Equity","IS_DISPOSAL_ASSETS_AFTER_TAX","FY 2015","FY 2015","Currency=INR","Period=FY","BEST_FPERIOD_OVERRIDE=FY","FILING_STATUS=MR","EQY_CONSOLIDATED=Y","SCALING_FORMAT=MLN","Sort=A","Dates=H","DateFormat=P","Fill=—","Direction=H","UseDPDF=Y")</f>
        <v>-13.077999999999999</v>
      </c>
      <c r="I38" s="13">
        <f>_xll.BDH("RCOM IN Equity","IS_DISPOSAL_ASSETS_AFTER_TAX","FY 2016","FY 2016","Currency=INR","Period=FY","BEST_FPERIOD_OVERRIDE=FY","FILING_STATUS=MR","EQY_CONSOLIDATED=Y","SCALING_FORMAT=MLN","Sort=A","Dates=H","DateFormat=P","Fill=—","Direction=H","UseDPDF=Y")</f>
        <v>-1386.268</v>
      </c>
      <c r="J38" s="13" t="str">
        <f>_xll.BDH("RCOM IN Equity","IS_DISPOSAL_ASSETS_AFTER_TAX","FY 2017","FY 2017","Currency=INR","Period=FY","BEST_FPERIOD_OVERRIDE=FY","FILING_STATUS=MR","EQY_CONSOLIDATED=Y","SCALING_FORMAT=MLN","Sort=A","Dates=H","DateFormat=P","Fill=—","Direction=H","UseDPDF=Y")</f>
        <v>—</v>
      </c>
      <c r="K38" s="13" t="str">
        <f>_xll.BDH("RCOM IN Equity","IS_DISPOSAL_ASSETS_AFTER_TAX","FY 2018","FY 2018","Currency=INR","Period=FY","BEST_FPERIOD_OVERRIDE=FY","FILING_STATUS=MR","EQY_CONSOLIDATED=Y","SCALING_FORMAT=MLN","Sort=A","Dates=H","DateFormat=P","Fill=—","Direction=H","UseDPDF=Y")</f>
        <v>—</v>
      </c>
      <c r="L38" s="16"/>
    </row>
    <row r="39" spans="1:12">
      <c r="A39" s="10" t="s">
        <v>638</v>
      </c>
      <c r="B39" s="10" t="s">
        <v>649</v>
      </c>
      <c r="C39" s="13">
        <f>_xll.BDH("RCOM IN Equity","IS_WRTOFF_IMPAIR_ASSET_AFTER_TAX","FY 2010","FY 2010","Currency=INR","Period=FY","BEST_FPERIOD_OVERRIDE=FY","FILING_STATUS=MR","EQY_CONSOLIDATED=Y","SCALING_FORMAT=MLN","Sort=A","Dates=H","DateFormat=P","Fill=—","Direction=H","UseDPDF=Y")</f>
        <v>2013.107</v>
      </c>
      <c r="D39" s="13" t="str">
        <f>_xll.BDH("RCOM IN Equity","IS_WRTOFF_IMPAIR_ASSET_AFTER_TAX","FY 2011","FY 2011","Currency=INR","Period=FY","BEST_FPERIOD_OVERRIDE=FY","FILING_STATUS=MR","EQY_CONSOLIDATED=Y","SCALING_FORMAT=MLN","Sort=A","Dates=H","DateFormat=P","Fill=—","Direction=H","UseDPDF=Y")</f>
        <v>—</v>
      </c>
      <c r="E39" s="13">
        <f>_xll.BDH("RCOM IN Equity","IS_WRTOFF_IMPAIR_ASSET_AFTER_TAX","FY 2012","FY 2012","Currency=INR","Period=FY","BEST_FPERIOD_OVERRIDE=FY","FILING_STATUS=MR","EQY_CONSOLIDATED=Y","SCALING_FORMAT=MLN","Sort=A","Dates=H","DateFormat=P","Fill=—","Direction=H","UseDPDF=Y")</f>
        <v>2499.35</v>
      </c>
      <c r="F39" s="13" t="str">
        <f>_xll.BDH("RCOM IN Equity","IS_WRTOFF_IMPAIR_ASSET_AFTER_TAX","FY 2013","FY 2013","Currency=INR","Period=FY","BEST_FPERIOD_OVERRIDE=FY","FILING_STATUS=MR","EQY_CONSOLIDATED=Y","SCALING_FORMAT=MLN","Sort=A","Dates=H","DateFormat=P","Fill=—","Direction=H","UseDPDF=Y")</f>
        <v>—</v>
      </c>
      <c r="G39" s="13" t="str">
        <f>_xll.BDH("RCOM IN Equity","IS_WRTOFF_IMPAIR_ASSET_AFTER_TAX","FY 2014","FY 2014","Currency=INR","Period=FY","BEST_FPERIOD_OVERRIDE=FY","FILING_STATUS=MR","EQY_CONSOLIDATED=Y","SCALING_FORMAT=MLN","Sort=A","Dates=H","DateFormat=P","Fill=—","Direction=H","UseDPDF=Y")</f>
        <v>—</v>
      </c>
      <c r="H39" s="13" t="str">
        <f>_xll.BDH("RCOM IN Equity","IS_WRTOFF_IMPAIR_ASSET_AFTER_TAX","FY 2015","FY 2015","Currency=INR","Period=FY","BEST_FPERIOD_OVERRIDE=FY","FILING_STATUS=MR","EQY_CONSOLIDATED=Y","SCALING_FORMAT=MLN","Sort=A","Dates=H","DateFormat=P","Fill=—","Direction=H","UseDPDF=Y")</f>
        <v>—</v>
      </c>
      <c r="I39" s="13" t="str">
        <f>_xll.BDH("RCOM IN Equity","IS_WRTOFF_IMPAIR_ASSET_AFTER_TAX","FY 2016","FY 2016","Currency=INR","Period=FY","BEST_FPERIOD_OVERRIDE=FY","FILING_STATUS=MR","EQY_CONSOLIDATED=Y","SCALING_FORMAT=MLN","Sort=A","Dates=H","DateFormat=P","Fill=—","Direction=H","UseDPDF=Y")</f>
        <v>—</v>
      </c>
      <c r="J39" s="13" t="str">
        <f>_xll.BDH("RCOM IN Equity","IS_WRTOFF_IMPAIR_ASSET_AFTER_TAX","FY 2017","FY 2017","Currency=INR","Period=FY","BEST_FPERIOD_OVERRIDE=FY","FILING_STATUS=MR","EQY_CONSOLIDATED=Y","SCALING_FORMAT=MLN","Sort=A","Dates=H","DateFormat=P","Fill=—","Direction=H","UseDPDF=Y")</f>
        <v>—</v>
      </c>
      <c r="K39" s="13" t="str">
        <f>_xll.BDH("RCOM IN Equity","IS_WRTOFF_IMPAIR_ASSET_AFTER_TAX","FY 2018","FY 2018","Currency=INR","Period=FY","BEST_FPERIOD_OVERRIDE=FY","FILING_STATUS=MR","EQY_CONSOLIDATED=Y","SCALING_FORMAT=MLN","Sort=A","Dates=H","DateFormat=P","Fill=—","Direction=H","UseDPDF=Y")</f>
        <v>—</v>
      </c>
      <c r="L39" s="16"/>
    </row>
    <row r="40" spans="1:12">
      <c r="A40" s="10" t="s">
        <v>641</v>
      </c>
      <c r="B40" s="10" t="s">
        <v>650</v>
      </c>
      <c r="C40" s="13">
        <f>_xll.BDH("RCOM IN Equity","IS_SALE_OF_INVESTMENTS_AFTER_TAX","FY 2010","FY 2010","Currency=INR","Period=FY","BEST_FPERIOD_OVERRIDE=FY","FILING_STATUS=MR","EQY_CONSOLIDATED=Y","SCALING_FORMAT=MLN","Sort=A","Dates=H","DateFormat=P","Fill=—","Direction=H","UseDPDF=Y")</f>
        <v>-1382.8434999999999</v>
      </c>
      <c r="D40" s="13">
        <f>_xll.BDH("RCOM IN Equity","IS_SALE_OF_INVESTMENTS_AFTER_TAX","FY 2011","FY 2011","Currency=INR","Period=FY","BEST_FPERIOD_OVERRIDE=FY","FILING_STATUS=MR","EQY_CONSOLIDATED=Y","SCALING_FORMAT=MLN","Sort=A","Dates=H","DateFormat=P","Fill=—","Direction=H","UseDPDF=Y")</f>
        <v>-385.09199999999998</v>
      </c>
      <c r="E40" s="13">
        <f>_xll.BDH("RCOM IN Equity","IS_SALE_OF_INVESTMENTS_AFTER_TAX","FY 2012","FY 2012","Currency=INR","Period=FY","BEST_FPERIOD_OVERRIDE=FY","FILING_STATUS=MR","EQY_CONSOLIDATED=Y","SCALING_FORMAT=MLN","Sort=A","Dates=H","DateFormat=P","Fill=—","Direction=H","UseDPDF=Y")</f>
        <v>-155.36500000000001</v>
      </c>
      <c r="F40" s="13">
        <f>_xll.BDH("RCOM IN Equity","IS_SALE_OF_INVESTMENTS_AFTER_TAX","FY 2013","FY 2013","Currency=INR","Period=FY","BEST_FPERIOD_OVERRIDE=FY","FILING_STATUS=MR","EQY_CONSOLIDATED=Y","SCALING_FORMAT=MLN","Sort=A","Dates=H","DateFormat=P","Fill=—","Direction=H","UseDPDF=Y")</f>
        <v>-231.035</v>
      </c>
      <c r="G40" s="13">
        <f>_xll.BDH("RCOM IN Equity","IS_SALE_OF_INVESTMENTS_AFTER_TAX","FY 2014","FY 2014","Currency=INR","Period=FY","BEST_FPERIOD_OVERRIDE=FY","FILING_STATUS=MR","EQY_CONSOLIDATED=Y","SCALING_FORMAT=MLN","Sort=A","Dates=H","DateFormat=P","Fill=—","Direction=H","UseDPDF=Y")</f>
        <v>-59.408999999999999</v>
      </c>
      <c r="H40" s="13">
        <f>_xll.BDH("RCOM IN Equity","IS_SALE_OF_INVESTMENTS_AFTER_TAX","FY 2015","FY 2015","Currency=INR","Period=FY","BEST_FPERIOD_OVERRIDE=FY","FILING_STATUS=MR","EQY_CONSOLIDATED=Y","SCALING_FORMAT=MLN","Sort=A","Dates=H","DateFormat=P","Fill=—","Direction=H","UseDPDF=Y")</f>
        <v>-196.17</v>
      </c>
      <c r="I40" s="13">
        <f>_xll.BDH("RCOM IN Equity","IS_SALE_OF_INVESTMENTS_AFTER_TAX","FY 2016","FY 2016","Currency=INR","Period=FY","BEST_FPERIOD_OVERRIDE=FY","FILING_STATUS=MR","EQY_CONSOLIDATED=Y","SCALING_FORMAT=MLN","Sort=A","Dates=H","DateFormat=P","Fill=—","Direction=H","UseDPDF=Y")</f>
        <v>-19.617000000000001</v>
      </c>
      <c r="J40" s="13" t="str">
        <f>_xll.BDH("RCOM IN Equity","IS_SALE_OF_INVESTMENTS_AFTER_TAX","FY 2017","FY 2017","Currency=INR","Period=FY","BEST_FPERIOD_OVERRIDE=FY","FILING_STATUS=MR","EQY_CONSOLIDATED=Y","SCALING_FORMAT=MLN","Sort=A","Dates=H","DateFormat=P","Fill=—","Direction=H","UseDPDF=Y")</f>
        <v>—</v>
      </c>
      <c r="K40" s="13" t="str">
        <f>_xll.BDH("RCOM IN Equity","IS_SALE_OF_INVESTMENTS_AFTER_TAX","FY 2018","FY 2018","Currency=INR","Period=FY","BEST_FPERIOD_OVERRIDE=FY","FILING_STATUS=MR","EQY_CONSOLIDATED=Y","SCALING_FORMAT=MLN","Sort=A","Dates=H","DateFormat=P","Fill=—","Direction=H","UseDPDF=Y")</f>
        <v>—</v>
      </c>
      <c r="L40" s="16"/>
    </row>
    <row r="41" spans="1:12">
      <c r="A41" s="6" t="s">
        <v>344</v>
      </c>
      <c r="B41" s="6" t="s">
        <v>48</v>
      </c>
      <c r="C41" s="19">
        <f>_xll.BDH("RCOM IN Equity","EARN_FOR_COMMON","FY 2010","FY 2010","Currency=INR","Period=FY","BEST_FPERIOD_OVERRIDE=FY","FILING_STATUS=MR","EQY_CONSOLIDATED=Y","SCALING_FORMAT=MLN","FA_ADJUSTED=Adjusted","Sort=A","Dates=H","DateFormat=P","Fill=—","Direction=H","UseDPDF=Y")</f>
        <v>47190.099000000002</v>
      </c>
      <c r="D41" s="19">
        <f>_xll.BDH("RCOM IN Equity","EARN_FOR_COMMON","FY 2011","FY 2011","Currency=INR","Period=FY","BEST_FPERIOD_OVERRIDE=FY","FILING_STATUS=MR","EQY_CONSOLIDATED=Y","SCALING_FORMAT=MLN","FA_ADJUSTED=Adjusted","Sort=A","Dates=H","DateFormat=P","Fill=—","Direction=H","UseDPDF=Y")</f>
        <v>10829.2125</v>
      </c>
      <c r="E41" s="19">
        <f>_xll.BDH("RCOM IN Equity","EARN_FOR_COMMON","FY 2012","FY 2012","Currency=INR","Period=FY","BEST_FPERIOD_OVERRIDE=FY","FILING_STATUS=MR","EQY_CONSOLIDATED=Y","SCALING_FORMAT=MLN","FA_ADJUSTED=Adjusted","Sort=A","Dates=H","DateFormat=P","Fill=—","Direction=H","UseDPDF=Y")</f>
        <v>11576.7</v>
      </c>
      <c r="F41" s="19">
        <f>_xll.BDH("RCOM IN Equity","EARN_FOR_COMMON","FY 2013","FY 2013","Currency=INR","Period=FY","BEST_FPERIOD_OVERRIDE=FY","FILING_STATUS=MR","EQY_CONSOLIDATED=Y","SCALING_FORMAT=MLN","FA_ADJUSTED=Adjusted","Sort=A","Dates=H","DateFormat=P","Fill=—","Direction=H","UseDPDF=Y")</f>
        <v>6686.9949999999999</v>
      </c>
      <c r="G41" s="19">
        <f>_xll.BDH("RCOM IN Equity","EARN_FOR_COMMON","FY 2014","FY 2014","Currency=INR","Period=FY","BEST_FPERIOD_OVERRIDE=FY","FILING_STATUS=MR","EQY_CONSOLIDATED=Y","SCALING_FORMAT=MLN","FA_ADJUSTED=Adjusted","Sort=A","Dates=H","DateFormat=P","Fill=—","Direction=H","UseDPDF=Y")</f>
        <v>10542.611000000001</v>
      </c>
      <c r="H41" s="19">
        <f>_xll.BDH("RCOM IN Equity","EARN_FOR_COMMON","FY 2015","FY 2015","Currency=INR","Period=FY","BEST_FPERIOD_OVERRIDE=FY","FILING_STATUS=MR","EQY_CONSOLIDATED=Y","SCALING_FORMAT=MLN","FA_ADJUSTED=Adjusted","Sort=A","Dates=H","DateFormat=P","Fill=—","Direction=H","UseDPDF=Y")</f>
        <v>6930.7520000000004</v>
      </c>
      <c r="I41" s="19">
        <f>_xll.BDH("RCOM IN Equity","EARN_FOR_COMMON","FY 2016","FY 2016","Currency=INR","Period=FY","BEST_FPERIOD_OVERRIDE=FY","FILING_STATUS=MR","EQY_CONSOLIDATED=Y","SCALING_FORMAT=MLN","FA_ADJUSTED=Adjusted","Sort=A","Dates=H","DateFormat=P","Fill=—","Direction=H","UseDPDF=Y")</f>
        <v>4984.1149999999998</v>
      </c>
      <c r="J41" s="19">
        <f>_xll.BDH("RCOM IN Equity","EARN_FOR_COMMON","FY 2017","FY 2017","Currency=INR","Period=FY","BEST_FPERIOD_OVERRIDE=FY","FILING_STATUS=MR","EQY_CONSOLIDATED=Y","SCALING_FORMAT=MLN","FA_ADJUSTED=Adjusted","Sort=A","Dates=H","DateFormat=P","Fill=—","Direction=H","UseDPDF=Y")</f>
        <v>1250</v>
      </c>
      <c r="K41" s="19">
        <f>_xll.BDH("RCOM IN Equity","EARN_FOR_COMMON","FY 2018","FY 2018","Currency=INR","Period=FY","BEST_FPERIOD_OVERRIDE=FY","FILING_STATUS=MR","EQY_CONSOLIDATED=Y","SCALING_FORMAT=MLN","FA_ADJUSTED=Adjusted","Sort=A","Dates=H","DateFormat=P","Fill=—","Direction=H","UseDPDF=Y")</f>
        <v>490</v>
      </c>
      <c r="L41" s="22">
        <v>11100</v>
      </c>
    </row>
    <row r="42" spans="1:12">
      <c r="A42" s="6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21"/>
    </row>
    <row r="43" spans="1:12">
      <c r="A43" s="6" t="s">
        <v>651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21"/>
    </row>
    <row r="44" spans="1:12">
      <c r="A44" s="6" t="s">
        <v>68</v>
      </c>
      <c r="B44" s="6" t="s">
        <v>69</v>
      </c>
      <c r="C44" s="20">
        <f>_xll.BDH("RCOM IN Equity","IS_DILUTED_EPS","FY 2010","FY 2010","Currency=INR","Period=FY","BEST_FPERIOD_OVERRIDE=FY","FILING_STATUS=MR","EQY_CONSOLIDATED=Y","FA_ADJUSTED=GAAP","Sort=A","Dates=H","DateFormat=P","Fill=—","Direction=H","UseDPDF=Y")</f>
        <v>21.619299999999999</v>
      </c>
      <c r="D44" s="20">
        <f>_xll.BDH("RCOM IN Equity","IS_DILUTED_EPS","FY 2011","FY 2011","Currency=INR","Period=FY","BEST_FPERIOD_OVERRIDE=FY","FILING_STATUS=MR","EQY_CONSOLIDATED=Y","FA_ADJUSTED=GAAP","Sort=A","Dates=H","DateFormat=P","Fill=—","Direction=H","UseDPDF=Y")</f>
        <v>6.2465999999999999</v>
      </c>
      <c r="E44" s="20">
        <f>_xll.BDH("RCOM IN Equity","IS_DILUTED_EPS","FY 2012","FY 2012","Currency=INR","Period=FY","BEST_FPERIOD_OVERRIDE=FY","FILING_STATUS=MR","EQY_CONSOLIDATED=Y","FA_ADJUSTED=GAAP","Sort=A","Dates=H","DateFormat=P","Fill=—","Direction=H","UseDPDF=Y")</f>
        <v>4.41</v>
      </c>
      <c r="F44" s="20">
        <f>_xll.BDH("RCOM IN Equity","IS_DILUTED_EPS","FY 2013","FY 2013","Currency=INR","Period=FY","BEST_FPERIOD_OVERRIDE=FY","FILING_STATUS=MR","EQY_CONSOLIDATED=Y","FA_ADJUSTED=GAAP","Sort=A","Dates=H","DateFormat=P","Fill=—","Direction=H","UseDPDF=Y")</f>
        <v>3.26</v>
      </c>
      <c r="G44" s="20">
        <f>_xll.BDH("RCOM IN Equity","IS_DILUTED_EPS","FY 2014","FY 2014","Currency=INR","Period=FY","BEST_FPERIOD_OVERRIDE=FY","FILING_STATUS=MR","EQY_CONSOLIDATED=Y","FA_ADJUSTED=GAAP","Sort=A","Dates=H","DateFormat=P","Fill=—","Direction=H","UseDPDF=Y")</f>
        <v>5.07</v>
      </c>
      <c r="H44" s="20">
        <f>_xll.BDH("RCOM IN Equity","IS_DILUTED_EPS","FY 2015","FY 2015","Currency=INR","Period=FY","BEST_FPERIOD_OVERRIDE=FY","FILING_STATUS=MR","EQY_CONSOLIDATED=Y","FA_ADJUSTED=GAAP","Sort=A","Dates=H","DateFormat=P","Fill=—","Direction=H","UseDPDF=Y")</f>
        <v>3.05</v>
      </c>
      <c r="I44" s="20">
        <f>_xll.BDH("RCOM IN Equity","IS_DILUTED_EPS","FY 2016","FY 2016","Currency=INR","Period=FY","BEST_FPERIOD_OVERRIDE=FY","FILING_STATUS=MR","EQY_CONSOLIDATED=Y","FA_ADJUSTED=GAAP","Sort=A","Dates=H","DateFormat=P","Fill=—","Direction=H","UseDPDF=Y")</f>
        <v>2.59</v>
      </c>
      <c r="J44" s="20">
        <f>_xll.BDH("RCOM IN Equity","IS_DILUTED_EPS","FY 2017","FY 2017","Currency=INR","Period=FY","BEST_FPERIOD_OVERRIDE=FY","FILING_STATUS=MR","EQY_CONSOLIDATED=Y","FA_ADJUSTED=GAAP","Sort=A","Dates=H","DateFormat=P","Fill=—","Direction=H","UseDPDF=Y")</f>
        <v>-5.6855000000000002</v>
      </c>
      <c r="K44" s="20">
        <f>_xll.BDH("RCOM IN Equity","IS_DILUTED_EPS","FY 2018","FY 2018","Currency=INR","Period=FY","BEST_FPERIOD_OVERRIDE=FY","FILING_STATUS=MR","EQY_CONSOLIDATED=Y","FA_ADJUSTED=GAAP","Sort=A","Dates=H","DateFormat=P","Fill=—","Direction=H","UseDPDF=Y")</f>
        <v>-92.296599999999998</v>
      </c>
      <c r="L44" s="23">
        <v>-74.560955000000007</v>
      </c>
    </row>
    <row r="45" spans="1:12">
      <c r="A45" s="10" t="s">
        <v>644</v>
      </c>
      <c r="B45" s="10" t="s">
        <v>652</v>
      </c>
      <c r="C45" s="14">
        <f>_xll.BDH("RCOM IN Equity","IS_DISC_OPS_DILUTED_SH","FY 2010","FY 2010","Currency=INR","Period=FY","BEST_FPERIOD_OVERRIDE=FY","FILING_STATUS=MR","EQY_CONSOLIDATED=Y","Sort=A","Dates=H","DateFormat=P","Fill=—","Direction=H","UseDPDF=Y")</f>
        <v>0</v>
      </c>
      <c r="D45" s="14">
        <f>_xll.BDH("RCOM IN Equity","IS_DISC_OPS_DILUTED_SH","FY 2011","FY 2011","Currency=INR","Period=FY","BEST_FPERIOD_OVERRIDE=FY","FILING_STATUS=MR","EQY_CONSOLIDATED=Y","Sort=A","Dates=H","DateFormat=P","Fill=—","Direction=H","UseDPDF=Y")</f>
        <v>0</v>
      </c>
      <c r="E45" s="14">
        <f>_xll.BDH("RCOM IN Equity","IS_DISC_OPS_DILUTED_SH","FY 2012","FY 2012","Currency=INR","Period=FY","BEST_FPERIOD_OVERRIDE=FY","FILING_STATUS=MR","EQY_CONSOLIDATED=Y","Sort=A","Dates=H","DateFormat=P","Fill=—","Direction=H","UseDPDF=Y")</f>
        <v>0</v>
      </c>
      <c r="F45" s="14">
        <f>_xll.BDH("RCOM IN Equity","IS_DISC_OPS_DILUTED_SH","FY 2013","FY 2013","Currency=INR","Period=FY","BEST_FPERIOD_OVERRIDE=FY","FILING_STATUS=MR","EQY_CONSOLIDATED=Y","Sort=A","Dates=H","DateFormat=P","Fill=—","Direction=H","UseDPDF=Y")</f>
        <v>0</v>
      </c>
      <c r="G45" s="14">
        <f>_xll.BDH("RCOM IN Equity","IS_DISC_OPS_DILUTED_SH","FY 2014","FY 2014","Currency=INR","Period=FY","BEST_FPERIOD_OVERRIDE=FY","FILING_STATUS=MR","EQY_CONSOLIDATED=Y","Sort=A","Dates=H","DateFormat=P","Fill=—","Direction=H","UseDPDF=Y")</f>
        <v>0</v>
      </c>
      <c r="H45" s="14">
        <f>_xll.BDH("RCOM IN Equity","IS_DISC_OPS_DILUTED_SH","FY 2015","FY 2015","Currency=INR","Period=FY","BEST_FPERIOD_OVERRIDE=FY","FILING_STATUS=MR","EQY_CONSOLIDATED=Y","Sort=A","Dates=H","DateFormat=P","Fill=—","Direction=H","UseDPDF=Y")</f>
        <v>0</v>
      </c>
      <c r="I45" s="14">
        <f>_xll.BDH("RCOM IN Equity","IS_DISC_OPS_DILUTED_SH","FY 2016","FY 2016","Currency=INR","Period=FY","BEST_FPERIOD_OVERRIDE=FY","FILING_STATUS=MR","EQY_CONSOLIDATED=Y","Sort=A","Dates=H","DateFormat=P","Fill=—","Direction=H","UseDPDF=Y")</f>
        <v>0</v>
      </c>
      <c r="J45" s="14">
        <f>_xll.BDH("RCOM IN Equity","IS_DISC_OPS_DILUTED_SH","FY 2017","FY 2017","Currency=INR","Period=FY","BEST_FPERIOD_OVERRIDE=FY","FILING_STATUS=MR","EQY_CONSOLIDATED=Y","Sort=A","Dates=H","DateFormat=P","Fill=—","Direction=H","UseDPDF=Y")</f>
        <v>6.1920000000000002</v>
      </c>
      <c r="K45" s="14">
        <f>_xll.BDH("RCOM IN Equity","IS_DISC_OPS_DILUTED_SH","FY 2018","FY 2018","Currency=INR","Period=FY","BEST_FPERIOD_OVERRIDE=FY","FILING_STATUS=MR","EQY_CONSOLIDATED=Y","Sort=A","Dates=H","DateFormat=P","Fill=—","Direction=H","UseDPDF=Y")</f>
        <v>92.4863</v>
      </c>
      <c r="L45" s="17">
        <v>78.561528999999993</v>
      </c>
    </row>
    <row r="46" spans="1:12">
      <c r="A46" s="10" t="s">
        <v>645</v>
      </c>
      <c r="B46" s="10" t="s">
        <v>653</v>
      </c>
      <c r="C46" s="14">
        <f>_xll.BDH("RCOM IN Equity","IS_XO_ITEMS_&amp;_ACCTG_CHNG_DIL_SH","FY 2010","FY 2010","Currency=INR","Period=FY","BEST_FPERIOD_OVERRIDE=FY","FILING_STATUS=MR","EQY_CONSOLIDATED=Y","Sort=A","Dates=H","DateFormat=P","Fill=—","Direction=H","UseDPDF=Y")</f>
        <v>0</v>
      </c>
      <c r="D46" s="14">
        <f>_xll.BDH("RCOM IN Equity","IS_XO_ITEMS_&amp;_ACCTG_CHNG_DIL_SH","FY 2011","FY 2011","Currency=INR","Period=FY","BEST_FPERIOD_OVERRIDE=FY","FILING_STATUS=MR","EQY_CONSOLIDATED=Y","Sort=A","Dates=H","DateFormat=P","Fill=—","Direction=H","UseDPDF=Y")</f>
        <v>0</v>
      </c>
      <c r="E46" s="14">
        <f>_xll.BDH("RCOM IN Equity","IS_XO_ITEMS_&amp;_ACCTG_CHNG_DIL_SH","FY 2012","FY 2012","Currency=INR","Period=FY","BEST_FPERIOD_OVERRIDE=FY","FILING_STATUS=MR","EQY_CONSOLIDATED=Y","Sort=A","Dates=H","DateFormat=P","Fill=—","Direction=H","UseDPDF=Y")</f>
        <v>0</v>
      </c>
      <c r="F46" s="14">
        <f>_xll.BDH("RCOM IN Equity","IS_XO_ITEMS_&amp;_ACCTG_CHNG_DIL_SH","FY 2013","FY 2013","Currency=INR","Period=FY","BEST_FPERIOD_OVERRIDE=FY","FILING_STATUS=MR","EQY_CONSOLIDATED=Y","Sort=A","Dates=H","DateFormat=P","Fill=—","Direction=H","UseDPDF=Y")</f>
        <v>0</v>
      </c>
      <c r="G46" s="14">
        <f>_xll.BDH("RCOM IN Equity","IS_XO_ITEMS_&amp;_ACCTG_CHNG_DIL_SH","FY 2014","FY 2014","Currency=INR","Period=FY","BEST_FPERIOD_OVERRIDE=FY","FILING_STATUS=MR","EQY_CONSOLIDATED=Y","Sort=A","Dates=H","DateFormat=P","Fill=—","Direction=H","UseDPDF=Y")</f>
        <v>0</v>
      </c>
      <c r="H46" s="14">
        <f>_xll.BDH("RCOM IN Equity","IS_XO_ITEMS_&amp;_ACCTG_CHNG_DIL_SH","FY 2015","FY 2015","Currency=INR","Period=FY","BEST_FPERIOD_OVERRIDE=FY","FILING_STATUS=MR","EQY_CONSOLIDATED=Y","Sort=A","Dates=H","DateFormat=P","Fill=—","Direction=H","UseDPDF=Y")</f>
        <v>0</v>
      </c>
      <c r="I46" s="14">
        <f>_xll.BDH("RCOM IN Equity","IS_XO_ITEMS_&amp;_ACCTG_CHNG_DIL_SH","FY 2016","FY 2016","Currency=INR","Period=FY","BEST_FPERIOD_OVERRIDE=FY","FILING_STATUS=MR","EQY_CONSOLIDATED=Y","Sort=A","Dates=H","DateFormat=P","Fill=—","Direction=H","UseDPDF=Y")</f>
        <v>0</v>
      </c>
      <c r="J46" s="14">
        <f>_xll.BDH("RCOM IN Equity","IS_XO_ITEMS_&amp;_ACCTG_CHNG_DIL_SH","FY 2017","FY 2017","Currency=INR","Period=FY","BEST_FPERIOD_OVERRIDE=FY","FILING_STATUS=MR","EQY_CONSOLIDATED=Y","Sort=A","Dates=H","DateFormat=P","Fill=—","Direction=H","UseDPDF=Y")</f>
        <v>0</v>
      </c>
      <c r="K46" s="14">
        <f>_xll.BDH("RCOM IN Equity","IS_XO_ITEMS_&amp;_ACCTG_CHNG_DIL_SH","FY 2018","FY 2018","Currency=INR","Period=FY","BEST_FPERIOD_OVERRIDE=FY","FILING_STATUS=MR","EQY_CONSOLIDATED=Y","Sort=A","Dates=H","DateFormat=P","Fill=—","Direction=H","UseDPDF=Y")</f>
        <v>0</v>
      </c>
      <c r="L46" s="17">
        <v>0</v>
      </c>
    </row>
    <row r="47" spans="1:12">
      <c r="A47" s="6" t="s">
        <v>350</v>
      </c>
      <c r="B47" s="6" t="s">
        <v>224</v>
      </c>
      <c r="C47" s="20">
        <f>_xll.BDH("RCOM IN Equity","IS_DIL_EPS_BEF_XO","FY 2010","FY 2010","Currency=INR","Period=FY","BEST_FPERIOD_OVERRIDE=FY","FILING_STATUS=MR","EQY_CONSOLIDATED=Y","Sort=A","Dates=H","DateFormat=P","Fill=—","Direction=H","UseDPDF=Y")</f>
        <v>21.619299999999999</v>
      </c>
      <c r="D47" s="20">
        <f>_xll.BDH("RCOM IN Equity","IS_DIL_EPS_BEF_XO","FY 2011","FY 2011","Currency=INR","Period=FY","BEST_FPERIOD_OVERRIDE=FY","FILING_STATUS=MR","EQY_CONSOLIDATED=Y","Sort=A","Dates=H","DateFormat=P","Fill=—","Direction=H","UseDPDF=Y")</f>
        <v>6.2465999999999999</v>
      </c>
      <c r="E47" s="20">
        <f>_xll.BDH("RCOM IN Equity","IS_DIL_EPS_BEF_XO","FY 2012","FY 2012","Currency=INR","Period=FY","BEST_FPERIOD_OVERRIDE=FY","FILING_STATUS=MR","EQY_CONSOLIDATED=Y","Sort=A","Dates=H","DateFormat=P","Fill=—","Direction=H","UseDPDF=Y")</f>
        <v>4.41</v>
      </c>
      <c r="F47" s="20">
        <f>_xll.BDH("RCOM IN Equity","IS_DIL_EPS_BEF_XO","FY 2013","FY 2013","Currency=INR","Period=FY","BEST_FPERIOD_OVERRIDE=FY","FILING_STATUS=MR","EQY_CONSOLIDATED=Y","Sort=A","Dates=H","DateFormat=P","Fill=—","Direction=H","UseDPDF=Y")</f>
        <v>3.26</v>
      </c>
      <c r="G47" s="20">
        <f>_xll.BDH("RCOM IN Equity","IS_DIL_EPS_BEF_XO","FY 2014","FY 2014","Currency=INR","Period=FY","BEST_FPERIOD_OVERRIDE=FY","FILING_STATUS=MR","EQY_CONSOLIDATED=Y","Sort=A","Dates=H","DateFormat=P","Fill=—","Direction=H","UseDPDF=Y")</f>
        <v>5.07</v>
      </c>
      <c r="H47" s="20">
        <f>_xll.BDH("RCOM IN Equity","IS_DIL_EPS_BEF_XO","FY 2015","FY 2015","Currency=INR","Period=FY","BEST_FPERIOD_OVERRIDE=FY","FILING_STATUS=MR","EQY_CONSOLIDATED=Y","Sort=A","Dates=H","DateFormat=P","Fill=—","Direction=H","UseDPDF=Y")</f>
        <v>3.05</v>
      </c>
      <c r="I47" s="20">
        <f>_xll.BDH("RCOM IN Equity","IS_DIL_EPS_BEF_XO","FY 2016","FY 2016","Currency=INR","Period=FY","BEST_FPERIOD_OVERRIDE=FY","FILING_STATUS=MR","EQY_CONSOLIDATED=Y","Sort=A","Dates=H","DateFormat=P","Fill=—","Direction=H","UseDPDF=Y")</f>
        <v>2.59</v>
      </c>
      <c r="J47" s="20">
        <f>_xll.BDH("RCOM IN Equity","IS_DIL_EPS_BEF_XO","FY 2017","FY 2017","Currency=INR","Period=FY","BEST_FPERIOD_OVERRIDE=FY","FILING_STATUS=MR","EQY_CONSOLIDATED=Y","Sort=A","Dates=H","DateFormat=P","Fill=—","Direction=H","UseDPDF=Y")</f>
        <v>0.50649999999999995</v>
      </c>
      <c r="K47" s="20">
        <f>_xll.BDH("RCOM IN Equity","IS_DIL_EPS_BEF_XO","FY 2018","FY 2018","Currency=INR","Period=FY","BEST_FPERIOD_OVERRIDE=FY","FILING_STATUS=MR","EQY_CONSOLIDATED=Y","Sort=A","Dates=H","DateFormat=P","Fill=—","Direction=H","UseDPDF=Y")</f>
        <v>0.18970000000000001</v>
      </c>
      <c r="L47" s="23">
        <v>4.0190530000000004</v>
      </c>
    </row>
    <row r="48" spans="1:12">
      <c r="A48" s="10" t="s">
        <v>636</v>
      </c>
      <c r="B48" s="10" t="s">
        <v>654</v>
      </c>
      <c r="C48" s="14">
        <f>_xll.BDH("RCOM IN Equity","IS_DISPOSAL_ASSETS_DILUTED_SHARE","FY 2010","FY 2010","Currency=INR","Period=FY","BEST_FPERIOD_OVERRIDE=FY","FILING_STATUS=MR","EQY_CONSOLIDATED=Y","Sort=A","Dates=H","DateFormat=P","Fill=—","Direction=H","UseDPDF=Y")</f>
        <v>4.5999999999999999E-3</v>
      </c>
      <c r="D48" s="14">
        <f>_xll.BDH("RCOM IN Equity","IS_DISPOSAL_ASSETS_DILUTED_SHARE","FY 2011","FY 2011","Currency=INR","Period=FY","BEST_FPERIOD_OVERRIDE=FY","FILING_STATUS=MR","EQY_CONSOLIDATED=Y","Sort=A","Dates=H","DateFormat=P","Fill=—","Direction=H","UseDPDF=Y")</f>
        <v>-1.0383</v>
      </c>
      <c r="E48" s="14">
        <f>_xll.BDH("RCOM IN Equity","IS_DISPOSAL_ASSETS_DILUTED_SHARE","FY 2012","FY 2012","Currency=INR","Period=FY","BEST_FPERIOD_OVERRIDE=FY","FILING_STATUS=MR","EQY_CONSOLIDATED=Y","Sort=A","Dates=H","DateFormat=P","Fill=—","Direction=H","UseDPDF=Y")</f>
        <v>-2.2499999999999999E-2</v>
      </c>
      <c r="F48" s="14">
        <f>_xll.BDH("RCOM IN Equity","IS_DISPOSAL_ASSETS_DILUTED_SHARE","FY 2013","FY 2013","Currency=INR","Period=FY","BEST_FPERIOD_OVERRIDE=FY","FILING_STATUS=MR","EQY_CONSOLIDATED=Y","Sort=A","Dates=H","DateFormat=P","Fill=—","Direction=H","UseDPDF=Y")</f>
        <v>9.5899999999999999E-2</v>
      </c>
      <c r="G48" s="14">
        <f>_xll.BDH("RCOM IN Equity","IS_DISPOSAL_ASSETS_DILUTED_SHARE","FY 2014","FY 2014","Currency=INR","Period=FY","BEST_FPERIOD_OVERRIDE=FY","FILING_STATUS=MR","EQY_CONSOLIDATED=Y","Sort=A","Dates=H","DateFormat=P","Fill=—","Direction=H","UseDPDF=Y")</f>
        <v>6.4000000000000001E-2</v>
      </c>
      <c r="H48" s="14">
        <f>_xll.BDH("RCOM IN Equity","IS_DISPOSAL_ASSETS_DILUTED_SHARE","FY 2015","FY 2015","Currency=INR","Period=FY","BEST_FPERIOD_OVERRIDE=FY","FILING_STATUS=MR","EQY_CONSOLIDATED=Y","Sort=A","Dates=H","DateFormat=P","Fill=—","Direction=H","UseDPDF=Y")</f>
        <v>-5.5999999999999999E-3</v>
      </c>
      <c r="I48" s="14">
        <f>_xll.BDH("RCOM IN Equity","IS_DISPOSAL_ASSETS_DILUTED_SHARE","FY 2016","FY 2016","Currency=INR","Period=FY","BEST_FPERIOD_OVERRIDE=FY","FILING_STATUS=MR","EQY_CONSOLIDATED=Y","Sort=A","Dates=H","DateFormat=P","Fill=—","Direction=H","UseDPDF=Y")</f>
        <v>-0.56179999999999997</v>
      </c>
      <c r="J48" s="14" t="str">
        <f>_xll.BDH("RCOM IN Equity","IS_DISPOSAL_ASSETS_DILUTED_SHARE","FY 2017","FY 2017","Currency=INR","Period=FY","BEST_FPERIOD_OVERRIDE=FY","FILING_STATUS=MR","EQY_CONSOLIDATED=Y","Sort=A","Dates=H","DateFormat=P","Fill=—","Direction=H","UseDPDF=Y")</f>
        <v>—</v>
      </c>
      <c r="K48" s="14" t="str">
        <f>_xll.BDH("RCOM IN Equity","IS_DISPOSAL_ASSETS_DILUTED_SHARE","FY 2018","FY 2018","Currency=INR","Period=FY","BEST_FPERIOD_OVERRIDE=FY","FILING_STATUS=MR","EQY_CONSOLIDATED=Y","Sort=A","Dates=H","DateFormat=P","Fill=—","Direction=H","UseDPDF=Y")</f>
        <v>—</v>
      </c>
      <c r="L48" s="17"/>
    </row>
    <row r="49" spans="1:12">
      <c r="A49" s="10" t="s">
        <v>638</v>
      </c>
      <c r="B49" s="10" t="s">
        <v>655</v>
      </c>
      <c r="C49" s="14">
        <f>_xll.BDH("RCOM IN Equity","IS_WRTOFF_IMPAIR_AST_DILUTED_SH","FY 2010","FY 2010","Currency=INR","Period=FY","BEST_FPERIOD_OVERRIDE=FY","FILING_STATUS=MR","EQY_CONSOLIDATED=Y","Sort=A","Dates=H","DateFormat=P","Fill=—","Direction=H","UseDPDF=Y")</f>
        <v>0.93500000000000005</v>
      </c>
      <c r="D49" s="14" t="str">
        <f>_xll.BDH("RCOM IN Equity","IS_WRTOFF_IMPAIR_AST_DILUTED_SH","FY 2011","FY 2011","Currency=INR","Period=FY","BEST_FPERIOD_OVERRIDE=FY","FILING_STATUS=MR","EQY_CONSOLIDATED=Y","Sort=A","Dates=H","DateFormat=P","Fill=—","Direction=H","UseDPDF=Y")</f>
        <v>—</v>
      </c>
      <c r="E49" s="14">
        <f>_xll.BDH("RCOM IN Equity","IS_WRTOFF_IMPAIR_AST_DILUTED_SH","FY 2012","FY 2012","Currency=INR","Period=FY","BEST_FPERIOD_OVERRIDE=FY","FILING_STATUS=MR","EQY_CONSOLIDATED=Y","Sort=A","Dates=H","DateFormat=P","Fill=—","Direction=H","UseDPDF=Y")</f>
        <v>1.1879</v>
      </c>
      <c r="F49" s="14" t="str">
        <f>_xll.BDH("RCOM IN Equity","IS_WRTOFF_IMPAIR_AST_DILUTED_SH","FY 2013","FY 2013","Currency=INR","Period=FY","BEST_FPERIOD_OVERRIDE=FY","FILING_STATUS=MR","EQY_CONSOLIDATED=Y","Sort=A","Dates=H","DateFormat=P","Fill=—","Direction=H","UseDPDF=Y")</f>
        <v>—</v>
      </c>
      <c r="G49" s="14" t="str">
        <f>_xll.BDH("RCOM IN Equity","IS_WRTOFF_IMPAIR_AST_DILUTED_SH","FY 2014","FY 2014","Currency=INR","Period=FY","BEST_FPERIOD_OVERRIDE=FY","FILING_STATUS=MR","EQY_CONSOLIDATED=Y","Sort=A","Dates=H","DateFormat=P","Fill=—","Direction=H","UseDPDF=Y")</f>
        <v>—</v>
      </c>
      <c r="H49" s="14" t="str">
        <f>_xll.BDH("RCOM IN Equity","IS_WRTOFF_IMPAIR_AST_DILUTED_SH","FY 2015","FY 2015","Currency=INR","Period=FY","BEST_FPERIOD_OVERRIDE=FY","FILING_STATUS=MR","EQY_CONSOLIDATED=Y","Sort=A","Dates=H","DateFormat=P","Fill=—","Direction=H","UseDPDF=Y")</f>
        <v>—</v>
      </c>
      <c r="I49" s="14" t="str">
        <f>_xll.BDH("RCOM IN Equity","IS_WRTOFF_IMPAIR_AST_DILUTED_SH","FY 2016","FY 2016","Currency=INR","Period=FY","BEST_FPERIOD_OVERRIDE=FY","FILING_STATUS=MR","EQY_CONSOLIDATED=Y","Sort=A","Dates=H","DateFormat=P","Fill=—","Direction=H","UseDPDF=Y")</f>
        <v>—</v>
      </c>
      <c r="J49" s="14" t="str">
        <f>_xll.BDH("RCOM IN Equity","IS_WRTOFF_IMPAIR_AST_DILUTED_SH","FY 2017","FY 2017","Currency=INR","Period=FY","BEST_FPERIOD_OVERRIDE=FY","FILING_STATUS=MR","EQY_CONSOLIDATED=Y","Sort=A","Dates=H","DateFormat=P","Fill=—","Direction=H","UseDPDF=Y")</f>
        <v>—</v>
      </c>
      <c r="K49" s="14" t="str">
        <f>_xll.BDH("RCOM IN Equity","IS_WRTOFF_IMPAIR_AST_DILUTED_SH","FY 2018","FY 2018","Currency=INR","Period=FY","BEST_FPERIOD_OVERRIDE=FY","FILING_STATUS=MR","EQY_CONSOLIDATED=Y","Sort=A","Dates=H","DateFormat=P","Fill=—","Direction=H","UseDPDF=Y")</f>
        <v>—</v>
      </c>
      <c r="L49" s="17"/>
    </row>
    <row r="50" spans="1:12">
      <c r="A50" s="10" t="s">
        <v>641</v>
      </c>
      <c r="B50" s="10" t="s">
        <v>656</v>
      </c>
      <c r="C50" s="14">
        <f>_xll.BDH("RCOM IN Equity","IS_SALE_INVESTMENTS_DILUTED_SH","FY 2010","FY 2010","Currency=INR","Period=FY","BEST_FPERIOD_OVERRIDE=FY","FILING_STATUS=MR","EQY_CONSOLIDATED=Y","Sort=A","Dates=H","DateFormat=P","Fill=—","Direction=H","UseDPDF=Y")</f>
        <v>-0.64219999999999999</v>
      </c>
      <c r="D50" s="14">
        <f>_xll.BDH("RCOM IN Equity","IS_SALE_INVESTMENTS_DILUTED_SH","FY 2011","FY 2011","Currency=INR","Period=FY","BEST_FPERIOD_OVERRIDE=FY","FILING_STATUS=MR","EQY_CONSOLIDATED=Y","Sort=A","Dates=H","DateFormat=P","Fill=—","Direction=H","UseDPDF=Y")</f>
        <v>-0.17879999999999999</v>
      </c>
      <c r="E50" s="14">
        <f>_xll.BDH("RCOM IN Equity","IS_SALE_INVESTMENTS_DILUTED_SH","FY 2012","FY 2012","Currency=INR","Period=FY","BEST_FPERIOD_OVERRIDE=FY","FILING_STATUS=MR","EQY_CONSOLIDATED=Y","Sort=A","Dates=H","DateFormat=P","Fill=—","Direction=H","UseDPDF=Y")</f>
        <v>-7.3800000000000004E-2</v>
      </c>
      <c r="F50" s="14">
        <f>_xll.BDH("RCOM IN Equity","IS_SALE_INVESTMENTS_DILUTED_SH","FY 2013","FY 2013","Currency=INR","Period=FY","BEST_FPERIOD_OVERRIDE=FY","FILING_STATUS=MR","EQY_CONSOLIDATED=Y","Sort=A","Dates=H","DateFormat=P","Fill=—","Direction=H","UseDPDF=Y")</f>
        <v>-0.1119</v>
      </c>
      <c r="G50" s="14">
        <f>_xll.BDH("RCOM IN Equity","IS_SALE_INVESTMENTS_DILUTED_SH","FY 2014","FY 2014","Currency=INR","Period=FY","BEST_FPERIOD_OVERRIDE=FY","FILING_STATUS=MR","EQY_CONSOLIDATED=Y","Sort=A","Dates=H","DateFormat=P","Fill=—","Direction=H","UseDPDF=Y")</f>
        <v>-2.8799999999999999E-2</v>
      </c>
      <c r="H50" s="14">
        <f>_xll.BDH("RCOM IN Equity","IS_SALE_INVESTMENTS_DILUTED_SH","FY 2015","FY 2015","Currency=INR","Period=FY","BEST_FPERIOD_OVERRIDE=FY","FILING_STATUS=MR","EQY_CONSOLIDATED=Y","Sort=A","Dates=H","DateFormat=P","Fill=—","Direction=H","UseDPDF=Y")</f>
        <v>-8.4099999999999994E-2</v>
      </c>
      <c r="I50" s="14">
        <f>_xll.BDH("RCOM IN Equity","IS_SALE_INVESTMENTS_DILUTED_SH","FY 2016","FY 2016","Currency=INR","Period=FY","BEST_FPERIOD_OVERRIDE=FY","FILING_STATUS=MR","EQY_CONSOLIDATED=Y","Sort=A","Dates=H","DateFormat=P","Fill=—","Direction=H","UseDPDF=Y")</f>
        <v>-8.0000000000000002E-3</v>
      </c>
      <c r="J50" s="14" t="str">
        <f>_xll.BDH("RCOM IN Equity","IS_SALE_INVESTMENTS_DILUTED_SH","FY 2017","FY 2017","Currency=INR","Period=FY","BEST_FPERIOD_OVERRIDE=FY","FILING_STATUS=MR","EQY_CONSOLIDATED=Y","Sort=A","Dates=H","DateFormat=P","Fill=—","Direction=H","UseDPDF=Y")</f>
        <v>—</v>
      </c>
      <c r="K50" s="14" t="str">
        <f>_xll.BDH("RCOM IN Equity","IS_SALE_INVESTMENTS_DILUTED_SH","FY 2018","FY 2018","Currency=INR","Period=FY","BEST_FPERIOD_OVERRIDE=FY","FILING_STATUS=MR","EQY_CONSOLIDATED=Y","Sort=A","Dates=H","DateFormat=P","Fill=—","Direction=H","UseDPDF=Y")</f>
        <v>—</v>
      </c>
      <c r="L50" s="17"/>
    </row>
    <row r="51" spans="1:12">
      <c r="A51" s="6" t="s">
        <v>351</v>
      </c>
      <c r="B51" s="6" t="s">
        <v>69</v>
      </c>
      <c r="C51" s="20">
        <f>_xll.BDH("RCOM IN Equity","IS_DILUTED_EPS","FY 2010","FY 2010","Currency=INR","Period=FY","BEST_FPERIOD_OVERRIDE=FY","FILING_STATUS=MR","EQY_CONSOLIDATED=Y","FA_ADJUSTED=Adjusted","Sort=A","Dates=H","DateFormat=P","Fill=—","Direction=H","UseDPDF=Y")</f>
        <v>21.916599999999999</v>
      </c>
      <c r="D51" s="20">
        <f>_xll.BDH("RCOM IN Equity","IS_DILUTED_EPS","FY 2011","FY 2011","Currency=INR","Period=FY","BEST_FPERIOD_OVERRIDE=FY","FILING_STATUS=MR","EQY_CONSOLIDATED=Y","FA_ADJUSTED=Adjusted","Sort=A","Dates=H","DateFormat=P","Fill=—","Direction=H","UseDPDF=Y")</f>
        <v>5.0293999999999999</v>
      </c>
      <c r="E51" s="20">
        <f>_xll.BDH("RCOM IN Equity","IS_DILUTED_EPS","FY 2012","FY 2012","Currency=INR","Period=FY","BEST_FPERIOD_OVERRIDE=FY","FILING_STATUS=MR","EQY_CONSOLIDATED=Y","FA_ADJUSTED=Adjusted","Sort=A","Dates=H","DateFormat=P","Fill=—","Direction=H","UseDPDF=Y")</f>
        <v>5.5015999999999998</v>
      </c>
      <c r="F51" s="20">
        <f>_xll.BDH("RCOM IN Equity","IS_DILUTED_EPS","FY 2013","FY 2013","Currency=INR","Period=FY","BEST_FPERIOD_OVERRIDE=FY","FILING_STATUS=MR","EQY_CONSOLIDATED=Y","FA_ADJUSTED=Adjusted","Sort=A","Dates=H","DateFormat=P","Fill=—","Direction=H","UseDPDF=Y")</f>
        <v>3.2397999999999998</v>
      </c>
      <c r="G51" s="20">
        <f>_xll.BDH("RCOM IN Equity","IS_DILUTED_EPS","FY 2014","FY 2014","Currency=INR","Period=FY","BEST_FPERIOD_OVERRIDE=FY","FILING_STATUS=MR","EQY_CONSOLIDATED=Y","FA_ADJUSTED=Adjusted","Sort=A","Dates=H","DateFormat=P","Fill=—","Direction=H","UseDPDF=Y")</f>
        <v>5.1078000000000001</v>
      </c>
      <c r="H51" s="20">
        <f>_xll.BDH("RCOM IN Equity","IS_DILUTED_EPS","FY 2015","FY 2015","Currency=INR","Period=FY","BEST_FPERIOD_OVERRIDE=FY","FILING_STATUS=MR","EQY_CONSOLIDATED=Y","FA_ADJUSTED=Adjusted","Sort=A","Dates=H","DateFormat=P","Fill=—","Direction=H","UseDPDF=Y")</f>
        <v>2.9695999999999998</v>
      </c>
      <c r="I51" s="20">
        <f>_xll.BDH("RCOM IN Equity","IS_DILUTED_EPS","FY 2016","FY 2016","Currency=INR","Period=FY","BEST_FPERIOD_OVERRIDE=FY","FILING_STATUS=MR","EQY_CONSOLIDATED=Y","FA_ADJUSTED=Adjusted","Sort=A","Dates=H","DateFormat=P","Fill=—","Direction=H","UseDPDF=Y")</f>
        <v>2.0196999999999998</v>
      </c>
      <c r="J51" s="20">
        <f>_xll.BDH("RCOM IN Equity","IS_DILUTED_EPS","FY 2017","FY 2017","Currency=INR","Period=FY","BEST_FPERIOD_OVERRIDE=FY","FILING_STATUS=MR","EQY_CONSOLIDATED=Y","FA_ADJUSTED=Adjusted","Sort=A","Dates=H","DateFormat=P","Fill=—","Direction=H","UseDPDF=Y")</f>
        <v>0.50649999999999995</v>
      </c>
      <c r="K51" s="20">
        <f>_xll.BDH("RCOM IN Equity","IS_DILUTED_EPS","FY 2018","FY 2018","Currency=INR","Period=FY","BEST_FPERIOD_OVERRIDE=FY","FILING_STATUS=MR","EQY_CONSOLIDATED=Y","FA_ADJUSTED=Adjusted","Sort=A","Dates=H","DateFormat=P","Fill=—","Direction=H","UseDPDF=Y")</f>
        <v>0.18970000000000001</v>
      </c>
      <c r="L51" s="23">
        <v>4.0190530000000004</v>
      </c>
    </row>
    <row r="52" spans="1:12">
      <c r="A52" s="7" t="s">
        <v>57</v>
      </c>
      <c r="B52" s="7"/>
      <c r="C52" s="7" t="s">
        <v>3</v>
      </c>
      <c r="D52" s="7"/>
      <c r="E52" s="7"/>
      <c r="F52" s="7"/>
      <c r="G52" s="7"/>
      <c r="H52" s="7"/>
      <c r="I52" s="7"/>
      <c r="J52" s="7"/>
      <c r="K52" s="7"/>
      <c r="L52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29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657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10" t="s">
        <v>651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2">
      <c r="A7" s="10" t="s">
        <v>658</v>
      </c>
      <c r="B7" s="10" t="s">
        <v>659</v>
      </c>
      <c r="C7" s="14">
        <f>_xll.BDH("RCOM IN Equity","BASIC_EPS_EX_STK_BASED_COMP","FY 2009","FY 2009","Currency=INR","Period=FY","BEST_FPERIOD_OVERRIDE=FY","FILING_STATUS=MR","EQY_CONSOLIDATED=Y","Sort=A","Dates=H","DateFormat=P","Fill=—","Direction=H","UseDPDF=Y")</f>
        <v>28.2621</v>
      </c>
      <c r="D7" s="14">
        <f>_xll.BDH("RCOM IN Equity","BASIC_EPS_EX_STK_BASED_COMP","FY 2010","FY 2010","Currency=INR","Period=FY","BEST_FPERIOD_OVERRIDE=FY","FILING_STATUS=MR","EQY_CONSOLIDATED=Y","Sort=A","Dates=H","DateFormat=P","Fill=—","Direction=H","UseDPDF=Y")</f>
        <v>22.841899999999999</v>
      </c>
      <c r="E7" s="14">
        <f>_xll.BDH("RCOM IN Equity","BASIC_EPS_EX_STK_BASED_COMP","FY 2011","FY 2011","Currency=INR","Period=FY","BEST_FPERIOD_OVERRIDE=FY","FILING_STATUS=MR","EQY_CONSOLIDATED=Y","Sort=A","Dates=H","DateFormat=P","Fill=—","Direction=H","UseDPDF=Y")</f>
        <v>5.2237</v>
      </c>
      <c r="F7" s="14">
        <f>_xll.BDH("RCOM IN Equity","BASIC_EPS_EX_STK_BASED_COMP","FY 2012","FY 2012","Currency=INR","Period=FY","BEST_FPERIOD_OVERRIDE=FY","FILING_STATUS=MR","EQY_CONSOLIDATED=Y","Sort=A","Dates=H","DateFormat=P","Fill=—","Direction=H","UseDPDF=Y")</f>
        <v>5.5923999999999996</v>
      </c>
      <c r="G7" s="14">
        <f>_xll.BDH("RCOM IN Equity","BASIC_EPS_EX_STK_BASED_COMP","FY 2013","FY 2013","Currency=INR","Period=FY","BEST_FPERIOD_OVERRIDE=FY","FILING_STATUS=MR","EQY_CONSOLIDATED=Y","Sort=A","Dates=H","DateFormat=P","Fill=—","Direction=H","UseDPDF=Y")</f>
        <v>3.2397999999999998</v>
      </c>
      <c r="H7" s="14">
        <f>_xll.BDH("RCOM IN Equity","BASIC_EPS_EX_STK_BASED_COMP","FY 2014","FY 2014","Currency=INR","Period=FY","BEST_FPERIOD_OVERRIDE=FY","FILING_STATUS=MR","EQY_CONSOLIDATED=Y","Sort=A","Dates=H","DateFormat=P","Fill=—","Direction=H","UseDPDF=Y")</f>
        <v>5.1045999999999996</v>
      </c>
      <c r="I7" s="14">
        <f>_xll.BDH("RCOM IN Equity","BASIC_EPS_EX_STK_BASED_COMP","FY 2015","FY 2015","Currency=INR","Period=FY","BEST_FPERIOD_OVERRIDE=FY","FILING_STATUS=MR","EQY_CONSOLIDATED=Y","Sort=A","Dates=H","DateFormat=P","Fill=—","Direction=H","UseDPDF=Y")</f>
        <v>2.964</v>
      </c>
      <c r="J7" s="14">
        <f>_xll.BDH("RCOM IN Equity","BASIC_EPS_EX_STK_BASED_COMP","FY 2016","FY 2016","Currency=INR","Period=FY","BEST_FPERIOD_OVERRIDE=FY","FILING_STATUS=MR","EQY_CONSOLIDATED=Y","Sort=A","Dates=H","DateFormat=P","Fill=—","Direction=H","UseDPDF=Y")</f>
        <v>2.0196999999999998</v>
      </c>
      <c r="K7" s="14">
        <f>_xll.BDH("RCOM IN Equity","BASIC_EPS_EX_STK_BASED_COMP","FY 2017","FY 2017","Currency=INR","Period=FY","BEST_FPERIOD_OVERRIDE=FY","FILING_STATUS=MR","EQY_CONSOLIDATED=Y","Sort=A","Dates=H","DateFormat=P","Fill=—","Direction=H","UseDPDF=Y")</f>
        <v>0.50649999999999995</v>
      </c>
      <c r="L7" s="14">
        <f>_xll.BDH("RCOM IN Equity","BASIC_EPS_EX_STK_BASED_COMP","FY 2018","FY 2018","Currency=INR","Period=FY","BEST_FPERIOD_OVERRIDE=FY","FILING_STATUS=MR","EQY_CONSOLIDATED=Y","Sort=A","Dates=H","DateFormat=P","Fill=—","Direction=H","UseDPDF=Y")</f>
        <v>0.19239999999999999</v>
      </c>
    </row>
    <row r="8" spans="1:12">
      <c r="A8" s="10" t="s">
        <v>660</v>
      </c>
      <c r="B8" s="10" t="s">
        <v>661</v>
      </c>
      <c r="C8" s="14">
        <f>_xll.BDH("RCOM IN Equity","DILUTED_EPS_EX_STK_BASED_COMP","FY 2009","FY 2009","Currency=INR","Period=FY","BEST_FPERIOD_OVERRIDE=FY","FILING_STATUS=MR","EQY_CONSOLIDATED=Y","Sort=A","Dates=H","DateFormat=P","Fill=—","Direction=H","UseDPDF=Y")</f>
        <v>27.0672</v>
      </c>
      <c r="D8" s="14">
        <f>_xll.BDH("RCOM IN Equity","DILUTED_EPS_EX_STK_BASED_COMP","FY 2010","FY 2010","Currency=INR","Period=FY","BEST_FPERIOD_OVERRIDE=FY","FILING_STATUS=MR","EQY_CONSOLIDATED=Y","Sort=A","Dates=H","DateFormat=P","Fill=—","Direction=H","UseDPDF=Y")</f>
        <v>21.8962</v>
      </c>
      <c r="E8" s="14">
        <f>_xll.BDH("RCOM IN Equity","DILUTED_EPS_EX_STK_BASED_COMP","FY 2011","FY 2011","Currency=INR","Period=FY","BEST_FPERIOD_OVERRIDE=FY","FILING_STATUS=MR","EQY_CONSOLIDATED=Y","Sort=A","Dates=H","DateFormat=P","Fill=—","Direction=H","UseDPDF=Y")</f>
        <v>5.0075000000000003</v>
      </c>
      <c r="F8" s="14">
        <f>_xll.BDH("RCOM IN Equity","DILUTED_EPS_EX_STK_BASED_COMP","FY 2012","FY 2012","Currency=INR","Period=FY","BEST_FPERIOD_OVERRIDE=FY","FILING_STATUS=MR","EQY_CONSOLIDATED=Y","Sort=A","Dates=H","DateFormat=P","Fill=—","Direction=H","UseDPDF=Y")</f>
        <v>5.4855</v>
      </c>
      <c r="G8" s="14">
        <f>_xll.BDH("RCOM IN Equity","DILUTED_EPS_EX_STK_BASED_COMP","FY 2013","FY 2013","Currency=INR","Period=FY","BEST_FPERIOD_OVERRIDE=FY","FILING_STATUS=MR","EQY_CONSOLIDATED=Y","Sort=A","Dates=H","DateFormat=P","Fill=—","Direction=H","UseDPDF=Y")</f>
        <v>3.2397999999999998</v>
      </c>
      <c r="H8" s="14">
        <f>_xll.BDH("RCOM IN Equity","DILUTED_EPS_EX_STK_BASED_COMP","FY 2014","FY 2014","Currency=INR","Period=FY","BEST_FPERIOD_OVERRIDE=FY","FILING_STATUS=MR","EQY_CONSOLIDATED=Y","Sort=A","Dates=H","DateFormat=P","Fill=—","Direction=H","UseDPDF=Y")</f>
        <v>5.1045999999999996</v>
      </c>
      <c r="I8" s="14">
        <f>_xll.BDH("RCOM IN Equity","DILUTED_EPS_EX_STK_BASED_COMP","FY 2015","FY 2015","Currency=INR","Period=FY","BEST_FPERIOD_OVERRIDE=FY","FILING_STATUS=MR","EQY_CONSOLIDATED=Y","Sort=A","Dates=H","DateFormat=P","Fill=—","Direction=H","UseDPDF=Y")</f>
        <v>2.964</v>
      </c>
      <c r="J8" s="14">
        <f>_xll.BDH("RCOM IN Equity","DILUTED_EPS_EX_STK_BASED_COMP","FY 2016","FY 2016","Currency=INR","Period=FY","BEST_FPERIOD_OVERRIDE=FY","FILING_STATUS=MR","EQY_CONSOLIDATED=Y","Sort=A","Dates=H","DateFormat=P","Fill=—","Direction=H","UseDPDF=Y")</f>
        <v>2.0196999999999998</v>
      </c>
      <c r="K8" s="14">
        <f>_xll.BDH("RCOM IN Equity","DILUTED_EPS_EX_STK_BASED_COMP","FY 2017","FY 2017","Currency=INR","Period=FY","BEST_FPERIOD_OVERRIDE=FY","FILING_STATUS=MR","EQY_CONSOLIDATED=Y","Sort=A","Dates=H","DateFormat=P","Fill=—","Direction=H","UseDPDF=Y")</f>
        <v>0.50649999999999995</v>
      </c>
      <c r="L8" s="14">
        <f>_xll.BDH("RCOM IN Equity","DILUTED_EPS_EX_STK_BASED_COMP","FY 2018","FY 2018","Currency=INR","Period=FY","BEST_FPERIOD_OVERRIDE=FY","FILING_STATUS=MR","EQY_CONSOLIDATED=Y","Sort=A","Dates=H","DateFormat=P","Fill=—","Direction=H","UseDPDF=Y")</f>
        <v>0.19239999999999999</v>
      </c>
    </row>
    <row r="9" spans="1:12">
      <c r="A9" s="10" t="s">
        <v>662</v>
      </c>
      <c r="B9" s="10" t="s">
        <v>663</v>
      </c>
      <c r="C9" s="14">
        <f>_xll.BDH("RCOM IN Equity","ADJ_EPS_EX_AMORT_TOT_INTANG_BAS","FY 2009","FY 2009","Currency=INR","Period=FY","BEST_FPERIOD_OVERRIDE=FY","FILING_STATUS=MR","EQY_CONSOLIDATED=Y","Sort=A","Dates=H","DateFormat=P","Fill=—","Direction=H","UseDPDF=Y")</f>
        <v>29.3064</v>
      </c>
      <c r="D9" s="14">
        <f>_xll.BDH("RCOM IN Equity","ADJ_EPS_EX_AMORT_TOT_INTANG_BAS","FY 2010","FY 2010","Currency=INR","Period=FY","BEST_FPERIOD_OVERRIDE=FY","FILING_STATUS=MR","EQY_CONSOLIDATED=Y","Sort=A","Dates=H","DateFormat=P","Fill=—","Direction=H","UseDPDF=Y")</f>
        <v>24.708300000000001</v>
      </c>
      <c r="E9" s="14">
        <f>_xll.BDH("RCOM IN Equity","ADJ_EPS_EX_AMORT_TOT_INTANG_BAS","FY 2011","FY 2011","Currency=INR","Period=FY","BEST_FPERIOD_OVERRIDE=FY","FILING_STATUS=MR","EQY_CONSOLIDATED=Y","Sort=A","Dates=H","DateFormat=P","Fill=—","Direction=H","UseDPDF=Y")</f>
        <v>14.2807</v>
      </c>
      <c r="F9" s="14">
        <f>_xll.BDH("RCOM IN Equity","ADJ_EPS_EX_AMORT_TOT_INTANG_BAS","FY 2012","FY 2012","Currency=INR","Period=FY","BEST_FPERIOD_OVERRIDE=FY","FILING_STATUS=MR","EQY_CONSOLIDATED=Y","Sort=A","Dates=H","DateFormat=P","Fill=—","Direction=H","UseDPDF=Y")</f>
        <v>12.0593</v>
      </c>
      <c r="G9" s="14">
        <f>_xll.BDH("RCOM IN Equity","ADJ_EPS_EX_AMORT_TOT_INTANG_BAS","FY 2013","FY 2013","Currency=INR","Period=FY","BEST_FPERIOD_OVERRIDE=FY","FILING_STATUS=MR","EQY_CONSOLIDATED=Y","Sort=A","Dates=H","DateFormat=P","Fill=—","Direction=H","UseDPDF=Y")</f>
        <v>9.4344999999999999</v>
      </c>
      <c r="H9" s="14" t="str">
        <f>_xll.BDH("RCOM IN Equity","ADJ_EPS_EX_AMORT_TOT_INTANG_BAS","FY 2014","FY 2014","Currency=INR","Period=FY","BEST_FPERIOD_OVERRIDE=FY","FILING_STATUS=MR","EQY_CONSOLIDATED=Y","Sort=A","Dates=H","DateFormat=P","Fill=—","Direction=H","UseDPDF=Y")</f>
        <v>—</v>
      </c>
      <c r="I9" s="14" t="str">
        <f>_xll.BDH("RCOM IN Equity","ADJ_EPS_EX_AMORT_TOT_INTANG_BAS","FY 2015","FY 2015","Currency=INR","Period=FY","BEST_FPERIOD_OVERRIDE=FY","FILING_STATUS=MR","EQY_CONSOLIDATED=Y","Sort=A","Dates=H","DateFormat=P","Fill=—","Direction=H","UseDPDF=Y")</f>
        <v>—</v>
      </c>
      <c r="J9" s="14" t="str">
        <f>_xll.BDH("RCOM IN Equity","ADJ_EPS_EX_AMORT_TOT_INTANG_BAS","FY 2016","FY 2016","Currency=INR","Period=FY","BEST_FPERIOD_OVERRIDE=FY","FILING_STATUS=MR","EQY_CONSOLIDATED=Y","Sort=A","Dates=H","DateFormat=P","Fill=—","Direction=H","UseDPDF=Y")</f>
        <v>—</v>
      </c>
      <c r="K9" s="14" t="str">
        <f>_xll.BDH("RCOM IN Equity","ADJ_EPS_EX_AMORT_TOT_INTANG_BAS","FY 2017","FY 2017","Currency=INR","Period=FY","BEST_FPERIOD_OVERRIDE=FY","FILING_STATUS=MR","EQY_CONSOLIDATED=Y","Sort=A","Dates=H","DateFormat=P","Fill=—","Direction=H","UseDPDF=Y")</f>
        <v>—</v>
      </c>
      <c r="L9" s="14" t="str">
        <f>_xll.BDH("RCOM IN Equity","ADJ_EPS_EX_AMORT_TOT_INTANG_BAS","FY 2018","FY 2018","Currency=INR","Period=FY","BEST_FPERIOD_OVERRIDE=FY","FILING_STATUS=MR","EQY_CONSOLIDATED=Y","Sort=A","Dates=H","DateFormat=P","Fill=—","Direction=H","UseDPDF=Y")</f>
        <v>—</v>
      </c>
    </row>
    <row r="10" spans="1:12">
      <c r="A10" s="10" t="s">
        <v>664</v>
      </c>
      <c r="B10" s="10" t="s">
        <v>665</v>
      </c>
      <c r="C10" s="14">
        <f>_xll.BDH("RCOM IN Equity","ADJ_EPS_EX_AMORT_TOT_INTANG_DIL","FY 2009","FY 2009","Currency=INR","Period=FY","BEST_FPERIOD_OVERRIDE=FY","FILING_STATUS=MR","EQY_CONSOLIDATED=Y","Sort=A","Dates=H","DateFormat=P","Fill=—","Direction=H","UseDPDF=Y")</f>
        <v>28.067299999999999</v>
      </c>
      <c r="D10" s="14">
        <f>_xll.BDH("RCOM IN Equity","ADJ_EPS_EX_AMORT_TOT_INTANG_DIL","FY 2010","FY 2010","Currency=INR","Period=FY","BEST_FPERIOD_OVERRIDE=FY","FILING_STATUS=MR","EQY_CONSOLIDATED=Y","Sort=A","Dates=H","DateFormat=P","Fill=—","Direction=H","UseDPDF=Y")</f>
        <v>23.685400000000001</v>
      </c>
      <c r="E10" s="14">
        <f>_xll.BDH("RCOM IN Equity","ADJ_EPS_EX_AMORT_TOT_INTANG_DIL","FY 2011","FY 2011","Currency=INR","Period=FY","BEST_FPERIOD_OVERRIDE=FY","FILING_STATUS=MR","EQY_CONSOLIDATED=Y","Sort=A","Dates=H","DateFormat=P","Fill=—","Direction=H","UseDPDF=Y")</f>
        <v>13.689500000000001</v>
      </c>
      <c r="F10" s="14">
        <f>_xll.BDH("RCOM IN Equity","ADJ_EPS_EX_AMORT_TOT_INTANG_DIL","FY 2012","FY 2012","Currency=INR","Period=FY","BEST_FPERIOD_OVERRIDE=FY","FILING_STATUS=MR","EQY_CONSOLIDATED=Y","Sort=A","Dates=H","DateFormat=P","Fill=—","Direction=H","UseDPDF=Y")</f>
        <v>11.8294</v>
      </c>
      <c r="G10" s="14">
        <f>_xll.BDH("RCOM IN Equity","ADJ_EPS_EX_AMORT_TOT_INTANG_DIL","FY 2013","FY 2013","Currency=INR","Period=FY","BEST_FPERIOD_OVERRIDE=FY","FILING_STATUS=MR","EQY_CONSOLIDATED=Y","Sort=A","Dates=H","DateFormat=P","Fill=—","Direction=H","UseDPDF=Y")</f>
        <v>9.4344999999999999</v>
      </c>
      <c r="H10" s="14" t="str">
        <f>_xll.BDH("RCOM IN Equity","ADJ_EPS_EX_AMORT_TOT_INTANG_DIL","FY 2014","FY 2014","Currency=INR","Period=FY","BEST_FPERIOD_OVERRIDE=FY","FILING_STATUS=MR","EQY_CONSOLIDATED=Y","Sort=A","Dates=H","DateFormat=P","Fill=—","Direction=H","UseDPDF=Y")</f>
        <v>—</v>
      </c>
      <c r="I10" s="14" t="str">
        <f>_xll.BDH("RCOM IN Equity","ADJ_EPS_EX_AMORT_TOT_INTANG_DIL","FY 2015","FY 2015","Currency=INR","Period=FY","BEST_FPERIOD_OVERRIDE=FY","FILING_STATUS=MR","EQY_CONSOLIDATED=Y","Sort=A","Dates=H","DateFormat=P","Fill=—","Direction=H","UseDPDF=Y")</f>
        <v>—</v>
      </c>
      <c r="J10" s="14" t="str">
        <f>_xll.BDH("RCOM IN Equity","ADJ_EPS_EX_AMORT_TOT_INTANG_DIL","FY 2016","FY 2016","Currency=INR","Period=FY","BEST_FPERIOD_OVERRIDE=FY","FILING_STATUS=MR","EQY_CONSOLIDATED=Y","Sort=A","Dates=H","DateFormat=P","Fill=—","Direction=H","UseDPDF=Y")</f>
        <v>—</v>
      </c>
      <c r="K10" s="14" t="str">
        <f>_xll.BDH("RCOM IN Equity","ADJ_EPS_EX_AMORT_TOT_INTANG_DIL","FY 2017","FY 2017","Currency=INR","Period=FY","BEST_FPERIOD_OVERRIDE=FY","FILING_STATUS=MR","EQY_CONSOLIDATED=Y","Sort=A","Dates=H","DateFormat=P","Fill=—","Direction=H","UseDPDF=Y")</f>
        <v>—</v>
      </c>
      <c r="L10" s="14" t="str">
        <f>_xll.BDH("RCOM IN Equity","ADJ_EPS_EX_AMORT_TOT_INTANG_DIL","FY 2018","FY 2018","Currency=INR","Period=FY","BEST_FPERIOD_OVERRIDE=FY","FILING_STATUS=MR","EQY_CONSOLIDATED=Y","Sort=A","Dates=H","DateFormat=P","Fill=—","Direction=H","UseDPDF=Y")</f>
        <v>—</v>
      </c>
    </row>
    <row r="11" spans="1:12">
      <c r="A11" s="10" t="s">
        <v>666</v>
      </c>
      <c r="B11" s="10" t="s">
        <v>667</v>
      </c>
      <c r="C11" s="14">
        <f>_xll.BDH("RCOM IN Equity","ADJ_EPS_EX_SBC_AMORT_TOT_INT_BAS","FY 2009","FY 2009","Currency=INR","Period=FY","BEST_FPERIOD_OVERRIDE=FY","FILING_STATUS=MR","EQY_CONSOLIDATED=Y","Sort=A","Dates=H","DateFormat=P","Fill=—","Direction=H","UseDPDF=Y")</f>
        <v>29.330300000000001</v>
      </c>
      <c r="D11" s="14">
        <f>_xll.BDH("RCOM IN Equity","ADJ_EPS_EX_SBC_AMORT_TOT_INT_BAS","FY 2010","FY 2010","Currency=INR","Period=FY","BEST_FPERIOD_OVERRIDE=FY","FILING_STATUS=MR","EQY_CONSOLIDATED=Y","Sort=A","Dates=H","DateFormat=P","Fill=—","Direction=H","UseDPDF=Y")</f>
        <v>24.687000000000001</v>
      </c>
      <c r="E11" s="14">
        <f>_xll.BDH("RCOM IN Equity","ADJ_EPS_EX_SBC_AMORT_TOT_INT_BAS","FY 2011","FY 2011","Currency=INR","Period=FY","BEST_FPERIOD_OVERRIDE=FY","FILING_STATUS=MR","EQY_CONSOLIDATED=Y","Sort=A","Dates=H","DateFormat=P","Fill=—","Direction=H","UseDPDF=Y")</f>
        <v>14.2578</v>
      </c>
      <c r="F11" s="14">
        <f>_xll.BDH("RCOM IN Equity","ADJ_EPS_EX_SBC_AMORT_TOT_INT_BAS","FY 2012","FY 2012","Currency=INR","Period=FY","BEST_FPERIOD_OVERRIDE=FY","FILING_STATUS=MR","EQY_CONSOLIDATED=Y","Sort=A","Dates=H","DateFormat=P","Fill=—","Direction=H","UseDPDF=Y")</f>
        <v>12.042999999999999</v>
      </c>
      <c r="G11" s="14">
        <f>_xll.BDH("RCOM IN Equity","ADJ_EPS_EX_SBC_AMORT_TOT_INT_BAS","FY 2013","FY 2013","Currency=INR","Period=FY","BEST_FPERIOD_OVERRIDE=FY","FILING_STATUS=MR","EQY_CONSOLIDATED=Y","Sort=A","Dates=H","DateFormat=P","Fill=—","Direction=H","UseDPDF=Y")</f>
        <v>9.4344999999999999</v>
      </c>
      <c r="H11" s="14" t="str">
        <f>_xll.BDH("RCOM IN Equity","ADJ_EPS_EX_SBC_AMORT_TOT_INT_BAS","FY 2014","FY 2014","Currency=INR","Period=FY","BEST_FPERIOD_OVERRIDE=FY","FILING_STATUS=MR","EQY_CONSOLIDATED=Y","Sort=A","Dates=H","DateFormat=P","Fill=—","Direction=H","UseDPDF=Y")</f>
        <v>—</v>
      </c>
      <c r="I11" s="14" t="str">
        <f>_xll.BDH("RCOM IN Equity","ADJ_EPS_EX_SBC_AMORT_TOT_INT_BAS","FY 2015","FY 2015","Currency=INR","Period=FY","BEST_FPERIOD_OVERRIDE=FY","FILING_STATUS=MR","EQY_CONSOLIDATED=Y","Sort=A","Dates=H","DateFormat=P","Fill=—","Direction=H","UseDPDF=Y")</f>
        <v>—</v>
      </c>
      <c r="J11" s="14" t="str">
        <f>_xll.BDH("RCOM IN Equity","ADJ_EPS_EX_SBC_AMORT_TOT_INT_BAS","FY 2016","FY 2016","Currency=INR","Period=FY","BEST_FPERIOD_OVERRIDE=FY","FILING_STATUS=MR","EQY_CONSOLIDATED=Y","Sort=A","Dates=H","DateFormat=P","Fill=—","Direction=H","UseDPDF=Y")</f>
        <v>—</v>
      </c>
      <c r="K11" s="14" t="str">
        <f>_xll.BDH("RCOM IN Equity","ADJ_EPS_EX_SBC_AMORT_TOT_INT_BAS","FY 2017","FY 2017","Currency=INR","Period=FY","BEST_FPERIOD_OVERRIDE=FY","FILING_STATUS=MR","EQY_CONSOLIDATED=Y","Sort=A","Dates=H","DateFormat=P","Fill=—","Direction=H","UseDPDF=Y")</f>
        <v>—</v>
      </c>
      <c r="L11" s="14" t="str">
        <f>_xll.BDH("RCOM IN Equity","ADJ_EPS_EX_SBC_AMORT_TOT_INT_BAS","FY 2018","FY 2018","Currency=INR","Period=FY","BEST_FPERIOD_OVERRIDE=FY","FILING_STATUS=MR","EQY_CONSOLIDATED=Y","Sort=A","Dates=H","DateFormat=P","Fill=—","Direction=H","UseDPDF=Y")</f>
        <v>—</v>
      </c>
    </row>
    <row r="12" spans="1:12">
      <c r="A12" s="10" t="s">
        <v>668</v>
      </c>
      <c r="B12" s="10" t="s">
        <v>669</v>
      </c>
      <c r="C12" s="14">
        <f>_xll.BDH("RCOM IN Equity","ADJ_EPS_EX_SBC_AMORT_TOT_INT_DIL","FY 2009","FY 2009","Currency=INR","Period=FY","BEST_FPERIOD_OVERRIDE=FY","FILING_STATUS=MR","EQY_CONSOLIDATED=Y","Sort=A","Dates=H","DateFormat=P","Fill=—","Direction=H","UseDPDF=Y")</f>
        <v>28.090199999999999</v>
      </c>
      <c r="D12" s="14">
        <f>_xll.BDH("RCOM IN Equity","ADJ_EPS_EX_SBC_AMORT_TOT_INT_DIL","FY 2010","FY 2010","Currency=INR","Period=FY","BEST_FPERIOD_OVERRIDE=FY","FILING_STATUS=MR","EQY_CONSOLIDATED=Y","Sort=A","Dates=H","DateFormat=P","Fill=—","Direction=H","UseDPDF=Y")</f>
        <v>23.664999999999999</v>
      </c>
      <c r="E12" s="14">
        <f>_xll.BDH("RCOM IN Equity","ADJ_EPS_EX_SBC_AMORT_TOT_INT_DIL","FY 2011","FY 2011","Currency=INR","Period=FY","BEST_FPERIOD_OVERRIDE=FY","FILING_STATUS=MR","EQY_CONSOLIDATED=Y","Sort=A","Dates=H","DateFormat=P","Fill=—","Direction=H","UseDPDF=Y")</f>
        <v>13.6675</v>
      </c>
      <c r="F12" s="14">
        <f>_xll.BDH("RCOM IN Equity","ADJ_EPS_EX_SBC_AMORT_TOT_INT_DIL","FY 2012","FY 2012","Currency=INR","Period=FY","BEST_FPERIOD_OVERRIDE=FY","FILING_STATUS=MR","EQY_CONSOLIDATED=Y","Sort=A","Dates=H","DateFormat=P","Fill=—","Direction=H","UseDPDF=Y")</f>
        <v>11.8134</v>
      </c>
      <c r="G12" s="14">
        <f>_xll.BDH("RCOM IN Equity","ADJ_EPS_EX_SBC_AMORT_TOT_INT_DIL","FY 2013","FY 2013","Currency=INR","Period=FY","BEST_FPERIOD_OVERRIDE=FY","FILING_STATUS=MR","EQY_CONSOLIDATED=Y","Sort=A","Dates=H","DateFormat=P","Fill=—","Direction=H","UseDPDF=Y")</f>
        <v>9.4344999999999999</v>
      </c>
      <c r="H12" s="14" t="str">
        <f>_xll.BDH("RCOM IN Equity","ADJ_EPS_EX_SBC_AMORT_TOT_INT_DIL","FY 2014","FY 2014","Currency=INR","Period=FY","BEST_FPERIOD_OVERRIDE=FY","FILING_STATUS=MR","EQY_CONSOLIDATED=Y","Sort=A","Dates=H","DateFormat=P","Fill=—","Direction=H","UseDPDF=Y")</f>
        <v>—</v>
      </c>
      <c r="I12" s="14" t="str">
        <f>_xll.BDH("RCOM IN Equity","ADJ_EPS_EX_SBC_AMORT_TOT_INT_DIL","FY 2015","FY 2015","Currency=INR","Period=FY","BEST_FPERIOD_OVERRIDE=FY","FILING_STATUS=MR","EQY_CONSOLIDATED=Y","Sort=A","Dates=H","DateFormat=P","Fill=—","Direction=H","UseDPDF=Y")</f>
        <v>—</v>
      </c>
      <c r="J12" s="14" t="str">
        <f>_xll.BDH("RCOM IN Equity","ADJ_EPS_EX_SBC_AMORT_TOT_INT_DIL","FY 2016","FY 2016","Currency=INR","Period=FY","BEST_FPERIOD_OVERRIDE=FY","FILING_STATUS=MR","EQY_CONSOLIDATED=Y","Sort=A","Dates=H","DateFormat=P","Fill=—","Direction=H","UseDPDF=Y")</f>
        <v>—</v>
      </c>
      <c r="K12" s="14" t="str">
        <f>_xll.BDH("RCOM IN Equity","ADJ_EPS_EX_SBC_AMORT_TOT_INT_DIL","FY 2017","FY 2017","Currency=INR","Period=FY","BEST_FPERIOD_OVERRIDE=FY","FILING_STATUS=MR","EQY_CONSOLIDATED=Y","Sort=A","Dates=H","DateFormat=P","Fill=—","Direction=H","UseDPDF=Y")</f>
        <v>—</v>
      </c>
      <c r="L12" s="14" t="str">
        <f>_xll.BDH("RCOM IN Equity","ADJ_EPS_EX_SBC_AMORT_TOT_INT_DIL","FY 2018","FY 2018","Currency=INR","Period=FY","BEST_FPERIOD_OVERRIDE=FY","FILING_STATUS=MR","EQY_CONSOLIDATED=Y","Sort=A","Dates=H","DateFormat=P","Fill=—","Direction=H","UseDPDF=Y")</f>
        <v>—</v>
      </c>
    </row>
    <row r="13" spans="1:12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>
      <c r="A14" s="10" t="s">
        <v>670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  <row r="15" spans="1:12">
      <c r="A15" s="10" t="s">
        <v>671</v>
      </c>
      <c r="B15" s="10" t="s">
        <v>672</v>
      </c>
      <c r="C15" s="13">
        <f>_xll.BDH("RCOM IN Equity","IS_EXPENSE_STOCK_BASED_COMP","FY 2009","FY 2009","Currency=INR","Period=FY","BEST_FPERIOD_OVERRIDE=FY","FILING_STATUS=MR","EQY_CONSOLIDATED=Y","SCALING_FORMAT=MLN","Sort=A","Dates=H","DateFormat=P","Fill=—","Direction=H","UseDPDF=Y")</f>
        <v>74.7</v>
      </c>
      <c r="D15" s="13">
        <f>_xll.BDH("RCOM IN Equity","IS_EXPENSE_STOCK_BASED_COMP","FY 2010","FY 2010","Currency=INR","Period=FY","BEST_FPERIOD_OVERRIDE=FY","FILING_STATUS=MR","EQY_CONSOLIDATED=Y","SCALING_FORMAT=MLN","Sort=A","Dates=H","DateFormat=P","Fill=—","Direction=H","UseDPDF=Y")</f>
        <v>-66.5</v>
      </c>
      <c r="E15" s="13">
        <f>_xll.BDH("RCOM IN Equity","IS_EXPENSE_STOCK_BASED_COMP","FY 2011","FY 2011","Currency=INR","Period=FY","BEST_FPERIOD_OVERRIDE=FY","FILING_STATUS=MR","EQY_CONSOLIDATED=Y","SCALING_FORMAT=MLN","Sort=A","Dates=H","DateFormat=P","Fill=—","Direction=H","UseDPDF=Y")</f>
        <v>-70</v>
      </c>
      <c r="F15" s="13">
        <f>_xll.BDH("RCOM IN Equity","IS_EXPENSE_STOCK_BASED_COMP","FY 2012","FY 2012","Currency=INR","Period=FY","BEST_FPERIOD_OVERRIDE=FY","FILING_STATUS=MR","EQY_CONSOLIDATED=Y","SCALING_FORMAT=MLN","Sort=A","Dates=H","DateFormat=P","Fill=—","Direction=H","UseDPDF=Y")</f>
        <v>-50</v>
      </c>
      <c r="G15" s="13">
        <f>_xll.BDH("RCOM IN Equity","IS_EXPENSE_STOCK_BASED_COMP","FY 2013","FY 2013","Currency=INR","Period=FY","BEST_FPERIOD_OVERRIDE=FY","FILING_STATUS=MR","EQY_CONSOLIDATED=Y","SCALING_FORMAT=MLN","Sort=A","Dates=H","DateFormat=P","Fill=—","Direction=H","UseDPDF=Y")</f>
        <v>0</v>
      </c>
      <c r="H15" s="13">
        <f>_xll.BDH("RCOM IN Equity","IS_EXPENSE_STOCK_BASED_COMP","FY 2014","FY 2014","Currency=INR","Period=FY","BEST_FPERIOD_OVERRIDE=FY","FILING_STATUS=MR","EQY_CONSOLIDATED=Y","SCALING_FORMAT=MLN","Sort=A","Dates=H","DateFormat=P","Fill=—","Direction=H","UseDPDF=Y")</f>
        <v>-10</v>
      </c>
      <c r="I15" s="13">
        <f>_xll.BDH("RCOM IN Equity","IS_EXPENSE_STOCK_BASED_COMP","FY 2015","FY 2015","Currency=INR","Period=FY","BEST_FPERIOD_OVERRIDE=FY","FILING_STATUS=MR","EQY_CONSOLIDATED=Y","SCALING_FORMAT=MLN","Sort=A","Dates=H","DateFormat=P","Fill=—","Direction=H","UseDPDF=Y")</f>
        <v>-20</v>
      </c>
      <c r="J15" s="13">
        <f>_xll.BDH("RCOM IN Equity","IS_EXPENSE_STOCK_BASED_COMP","FY 2016","FY 2016","Currency=INR","Period=FY","BEST_FPERIOD_OVERRIDE=FY","FILING_STATUS=MR","EQY_CONSOLIDATED=Y","SCALING_FORMAT=MLN","Sort=A","Dates=H","DateFormat=P","Fill=—","Direction=H","UseDPDF=Y")</f>
        <v>0</v>
      </c>
      <c r="K15" s="13">
        <f>_xll.BDH("RCOM IN Equity","IS_EXPENSE_STOCK_BASED_COMP","FY 2017","FY 2017","Currency=INR","Period=FY","BEST_FPERIOD_OVERRIDE=FY","FILING_STATUS=MR","EQY_CONSOLIDATED=Y","SCALING_FORMAT=MLN","Sort=A","Dates=H","DateFormat=P","Fill=—","Direction=H","UseDPDF=Y")</f>
        <v>0</v>
      </c>
      <c r="L15" s="13">
        <f>_xll.BDH("RCOM IN Equity","IS_EXPENSE_STOCK_BASED_COMP","FY 2018","FY 2018","Currency=INR","Period=FY","BEST_FPERIOD_OVERRIDE=FY","FILING_STATUS=MR","EQY_CONSOLIDATED=Y","SCALING_FORMAT=MLN","Sort=A","Dates=H","DateFormat=P","Fill=—","Direction=H","UseDPDF=Y")</f>
        <v>10</v>
      </c>
    </row>
    <row r="16" spans="1:12">
      <c r="A16" s="10" t="s">
        <v>673</v>
      </c>
      <c r="B16" s="10" t="s">
        <v>674</v>
      </c>
      <c r="C16" s="13">
        <f>_xll.BDH("RCOM IN Equity","IS_STK_BASED_COMP_AFT_TAX","FY 2009","FY 2009","Currency=INR","Period=FY","BEST_FPERIOD_OVERRIDE=FY","FILING_STATUS=MR","EQY_CONSOLIDATED=Y","SCALING_FORMAT=MLN","Sort=A","Dates=H","DateFormat=P","Fill=—","Direction=H","UseDPDF=Y")</f>
        <v>49.3095</v>
      </c>
      <c r="D16" s="13">
        <f>_xll.BDH("RCOM IN Equity","IS_STK_BASED_COMP_AFT_TAX","FY 2010","FY 2010","Currency=INR","Period=FY","BEST_FPERIOD_OVERRIDE=FY","FILING_STATUS=MR","EQY_CONSOLIDATED=Y","SCALING_FORMAT=MLN","Sort=A","Dates=H","DateFormat=P","Fill=—","Direction=H","UseDPDF=Y")</f>
        <v>-43.896700000000003</v>
      </c>
      <c r="E16" s="13">
        <f>_xll.BDH("RCOM IN Equity","IS_STK_BASED_COMP_AFT_TAX","FY 2011","FY 2011","Currency=INR","Period=FY","BEST_FPERIOD_OVERRIDE=FY","FILING_STATUS=MR","EQY_CONSOLIDATED=Y","SCALING_FORMAT=MLN","Sort=A","Dates=H","DateFormat=P","Fill=—","Direction=H","UseDPDF=Y")</f>
        <v>-47.292000000000002</v>
      </c>
      <c r="F16" s="13">
        <f>_xll.BDH("RCOM IN Equity","IS_STK_BASED_COMP_AFT_TAX","FY 2012","FY 2012","Currency=INR","Period=FY","BEST_FPERIOD_OVERRIDE=FY","FILING_STATUS=MR","EQY_CONSOLIDATED=Y","SCALING_FORMAT=MLN","Sort=A","Dates=H","DateFormat=P","Fill=—","Direction=H","UseDPDF=Y")</f>
        <v>-33.774999999999999</v>
      </c>
      <c r="G16" s="13">
        <f>_xll.BDH("RCOM IN Equity","IS_STK_BASED_COMP_AFT_TAX","FY 2013","FY 2013","Currency=INR","Period=FY","BEST_FPERIOD_OVERRIDE=FY","FILING_STATUS=MR","EQY_CONSOLIDATED=Y","SCALING_FORMAT=MLN","Sort=A","Dates=H","DateFormat=P","Fill=—","Direction=H","UseDPDF=Y")</f>
        <v>0</v>
      </c>
      <c r="H16" s="13">
        <f>_xll.BDH("RCOM IN Equity","IS_STK_BASED_COMP_AFT_TAX","FY 2014","FY 2014","Currency=INR","Period=FY","BEST_FPERIOD_OVERRIDE=FY","FILING_STATUS=MR","EQY_CONSOLIDATED=Y","SCALING_FORMAT=MLN","Sort=A","Dates=H","DateFormat=P","Fill=—","Direction=H","UseDPDF=Y")</f>
        <v>-6.601</v>
      </c>
      <c r="I16" s="13">
        <f>_xll.BDH("RCOM IN Equity","IS_STK_BASED_COMP_AFT_TAX","FY 2015","FY 2015","Currency=INR","Period=FY","BEST_FPERIOD_OVERRIDE=FY","FILING_STATUS=MR","EQY_CONSOLIDATED=Y","SCALING_FORMAT=MLN","Sort=A","Dates=H","DateFormat=P","Fill=—","Direction=H","UseDPDF=Y")</f>
        <v>-13.077999999999999</v>
      </c>
      <c r="J16" s="13">
        <f>_xll.BDH("RCOM IN Equity","IS_STK_BASED_COMP_AFT_TAX","FY 2016","FY 2016","Currency=INR","Period=FY","BEST_FPERIOD_OVERRIDE=FY","FILING_STATUS=MR","EQY_CONSOLIDATED=Y","SCALING_FORMAT=MLN","Sort=A","Dates=H","DateFormat=P","Fill=—","Direction=H","UseDPDF=Y")</f>
        <v>0</v>
      </c>
      <c r="K16" s="13">
        <f>_xll.BDH("RCOM IN Equity","IS_STK_BASED_COMP_AFT_TAX","FY 2017","FY 2017","Currency=INR","Period=FY","BEST_FPERIOD_OVERRIDE=FY","FILING_STATUS=MR","EQY_CONSOLIDATED=Y","SCALING_FORMAT=MLN","Sort=A","Dates=H","DateFormat=P","Fill=—","Direction=H","UseDPDF=Y")</f>
        <v>0</v>
      </c>
      <c r="L16" s="13">
        <f>_xll.BDH("RCOM IN Equity","IS_STK_BASED_COMP_AFT_TAX","FY 2018","FY 2018","Currency=INR","Period=FY","BEST_FPERIOD_OVERRIDE=FY","FILING_STATUS=MR","EQY_CONSOLIDATED=Y","SCALING_FORMAT=MLN","Sort=A","Dates=H","DateFormat=P","Fill=—","Direction=H","UseDPDF=Y")</f>
        <v>7</v>
      </c>
    </row>
    <row r="17" spans="1:12">
      <c r="A17" s="10" t="s">
        <v>675</v>
      </c>
      <c r="B17" s="10" t="s">
        <v>676</v>
      </c>
      <c r="C17" s="14">
        <f>_xll.BDH("RCOM IN Equity","IS_STK_BASED_COMP_PER_BAS_SH","FY 2009","FY 2009","Currency=INR","Period=FY","BEST_FPERIOD_OVERRIDE=FY","FILING_STATUS=MR","EQY_CONSOLIDATED=Y","Sort=A","Dates=H","DateFormat=P","Fill=—","Direction=H","UseDPDF=Y")</f>
        <v>2.3900000000000001E-2</v>
      </c>
      <c r="D17" s="14">
        <f>_xll.BDH("RCOM IN Equity","IS_STK_BASED_COMP_PER_BAS_SH","FY 2010","FY 2010","Currency=INR","Period=FY","BEST_FPERIOD_OVERRIDE=FY","FILING_STATUS=MR","EQY_CONSOLIDATED=Y","Sort=A","Dates=H","DateFormat=P","Fill=—","Direction=H","UseDPDF=Y")</f>
        <v>-2.1299999999999999E-2</v>
      </c>
      <c r="E17" s="14">
        <f>_xll.BDH("RCOM IN Equity","IS_STK_BASED_COMP_PER_BAS_SH","FY 2011","FY 2011","Currency=INR","Period=FY","BEST_FPERIOD_OVERRIDE=FY","FILING_STATUS=MR","EQY_CONSOLIDATED=Y","Sort=A","Dates=H","DateFormat=P","Fill=—","Direction=H","UseDPDF=Y")</f>
        <v>-2.29E-2</v>
      </c>
      <c r="F17" s="14">
        <f>_xll.BDH("RCOM IN Equity","IS_STK_BASED_COMP_PER_BAS_SH","FY 2012","FY 2012","Currency=INR","Period=FY","BEST_FPERIOD_OVERRIDE=FY","FILING_STATUS=MR","EQY_CONSOLIDATED=Y","Sort=A","Dates=H","DateFormat=P","Fill=—","Direction=H","UseDPDF=Y")</f>
        <v>-1.6400000000000001E-2</v>
      </c>
      <c r="G17" s="14">
        <f>_xll.BDH("RCOM IN Equity","IS_STK_BASED_COMP_PER_BAS_SH","FY 2013","FY 2013","Currency=INR","Period=FY","BEST_FPERIOD_OVERRIDE=FY","FILING_STATUS=MR","EQY_CONSOLIDATED=Y","Sort=A","Dates=H","DateFormat=P","Fill=—","Direction=H","UseDPDF=Y")</f>
        <v>0</v>
      </c>
      <c r="H17" s="14">
        <f>_xll.BDH("RCOM IN Equity","IS_STK_BASED_COMP_PER_BAS_SH","FY 2014","FY 2014","Currency=INR","Period=FY","BEST_FPERIOD_OVERRIDE=FY","FILING_STATUS=MR","EQY_CONSOLIDATED=Y","Sort=A","Dates=H","DateFormat=P","Fill=—","Direction=H","UseDPDF=Y")</f>
        <v>-3.2000000000000002E-3</v>
      </c>
      <c r="I17" s="14">
        <f>_xll.BDH("RCOM IN Equity","IS_STK_BASED_COMP_PER_BAS_SH","FY 2015","FY 2015","Currency=INR","Period=FY","BEST_FPERIOD_OVERRIDE=FY","FILING_STATUS=MR","EQY_CONSOLIDATED=Y","Sort=A","Dates=H","DateFormat=P","Fill=—","Direction=H","UseDPDF=Y")</f>
        <v>-5.5999999999999999E-3</v>
      </c>
      <c r="J17" s="14">
        <f>_xll.BDH("RCOM IN Equity","IS_STK_BASED_COMP_PER_BAS_SH","FY 2016","FY 2016","Currency=INR","Period=FY","BEST_FPERIOD_OVERRIDE=FY","FILING_STATUS=MR","EQY_CONSOLIDATED=Y","Sort=A","Dates=H","DateFormat=P","Fill=—","Direction=H","UseDPDF=Y")</f>
        <v>0</v>
      </c>
      <c r="K17" s="14">
        <f>_xll.BDH("RCOM IN Equity","IS_STK_BASED_COMP_PER_BAS_SH","FY 2017","FY 2017","Currency=INR","Period=FY","BEST_FPERIOD_OVERRIDE=FY","FILING_STATUS=MR","EQY_CONSOLIDATED=Y","Sort=A","Dates=H","DateFormat=P","Fill=—","Direction=H","UseDPDF=Y")</f>
        <v>0</v>
      </c>
      <c r="L17" s="14">
        <f>_xll.BDH("RCOM IN Equity","IS_STK_BASED_COMP_PER_BAS_SH","FY 2018","FY 2018","Currency=INR","Period=FY","BEST_FPERIOD_OVERRIDE=FY","FILING_STATUS=MR","EQY_CONSOLIDATED=Y","Sort=A","Dates=H","DateFormat=P","Fill=—","Direction=H","UseDPDF=Y")</f>
        <v>2.7000000000000001E-3</v>
      </c>
    </row>
    <row r="18" spans="1:12">
      <c r="A18" s="10" t="s">
        <v>677</v>
      </c>
      <c r="B18" s="10" t="s">
        <v>678</v>
      </c>
      <c r="C18" s="14">
        <f>_xll.BDH("RCOM IN Equity","IS_STK_BASED_COMP_PER_DIL_SH","FY 2009","FY 2009","Currency=INR","Period=FY","BEST_FPERIOD_OVERRIDE=FY","FILING_STATUS=MR","EQY_CONSOLIDATED=Y","Sort=A","Dates=H","DateFormat=P","Fill=—","Direction=H","UseDPDF=Y")</f>
        <v>2.29E-2</v>
      </c>
      <c r="D18" s="14">
        <f>_xll.BDH("RCOM IN Equity","IS_STK_BASED_COMP_PER_DIL_SH","FY 2010","FY 2010","Currency=INR","Period=FY","BEST_FPERIOD_OVERRIDE=FY","FILING_STATUS=MR","EQY_CONSOLIDATED=Y","Sort=A","Dates=H","DateFormat=P","Fill=—","Direction=H","UseDPDF=Y")</f>
        <v>-2.0400000000000001E-2</v>
      </c>
      <c r="E18" s="14">
        <f>_xll.BDH("RCOM IN Equity","IS_STK_BASED_COMP_PER_DIL_SH","FY 2011","FY 2011","Currency=INR","Period=FY","BEST_FPERIOD_OVERRIDE=FY","FILING_STATUS=MR","EQY_CONSOLIDATED=Y","Sort=A","Dates=H","DateFormat=P","Fill=—","Direction=H","UseDPDF=Y")</f>
        <v>-2.1999999999999999E-2</v>
      </c>
      <c r="F18" s="14">
        <f>_xll.BDH("RCOM IN Equity","IS_STK_BASED_COMP_PER_DIL_SH","FY 2012","FY 2012","Currency=INR","Period=FY","BEST_FPERIOD_OVERRIDE=FY","FILING_STATUS=MR","EQY_CONSOLIDATED=Y","Sort=A","Dates=H","DateFormat=P","Fill=—","Direction=H","UseDPDF=Y")</f>
        <v>-1.61E-2</v>
      </c>
      <c r="G18" s="14">
        <f>_xll.BDH("RCOM IN Equity","IS_STK_BASED_COMP_PER_DIL_SH","FY 2013","FY 2013","Currency=INR","Period=FY","BEST_FPERIOD_OVERRIDE=FY","FILING_STATUS=MR","EQY_CONSOLIDATED=Y","Sort=A","Dates=H","DateFormat=P","Fill=—","Direction=H","UseDPDF=Y")</f>
        <v>0</v>
      </c>
      <c r="H18" s="14">
        <f>_xll.BDH("RCOM IN Equity","IS_STK_BASED_COMP_PER_DIL_SH","FY 2014","FY 2014","Currency=INR","Period=FY","BEST_FPERIOD_OVERRIDE=FY","FILING_STATUS=MR","EQY_CONSOLIDATED=Y","Sort=A","Dates=H","DateFormat=P","Fill=—","Direction=H","UseDPDF=Y")</f>
        <v>-3.2000000000000002E-3</v>
      </c>
      <c r="I18" s="14">
        <f>_xll.BDH("RCOM IN Equity","IS_STK_BASED_COMP_PER_DIL_SH","FY 2015","FY 2015","Currency=INR","Period=FY","BEST_FPERIOD_OVERRIDE=FY","FILING_STATUS=MR","EQY_CONSOLIDATED=Y","Sort=A","Dates=H","DateFormat=P","Fill=—","Direction=H","UseDPDF=Y")</f>
        <v>-5.5999999999999999E-3</v>
      </c>
      <c r="J18" s="14">
        <f>_xll.BDH("RCOM IN Equity","IS_STK_BASED_COMP_PER_DIL_SH","FY 2016","FY 2016","Currency=INR","Period=FY","BEST_FPERIOD_OVERRIDE=FY","FILING_STATUS=MR","EQY_CONSOLIDATED=Y","Sort=A","Dates=H","DateFormat=P","Fill=—","Direction=H","UseDPDF=Y")</f>
        <v>0</v>
      </c>
      <c r="K18" s="14">
        <f>_xll.BDH("RCOM IN Equity","IS_STK_BASED_COMP_PER_DIL_SH","FY 2017","FY 2017","Currency=INR","Period=FY","BEST_FPERIOD_OVERRIDE=FY","FILING_STATUS=MR","EQY_CONSOLIDATED=Y","Sort=A","Dates=H","DateFormat=P","Fill=—","Direction=H","UseDPDF=Y")</f>
        <v>0</v>
      </c>
      <c r="L18" s="14">
        <f>_xll.BDH("RCOM IN Equity","IS_STK_BASED_COMP_PER_DIL_SH","FY 2018","FY 2018","Currency=INR","Period=FY","BEST_FPERIOD_OVERRIDE=FY","FILING_STATUS=MR","EQY_CONSOLIDATED=Y","Sort=A","Dates=H","DateFormat=P","Fill=—","Direction=H","UseDPDF=Y")</f>
        <v>2.7000000000000001E-3</v>
      </c>
    </row>
    <row r="19" spans="1:12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>
      <c r="A21" s="10" t="s">
        <v>679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>
      <c r="A22" s="10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</row>
    <row r="23" spans="1:12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>
      <c r="A24" s="10" t="s">
        <v>680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>
      <c r="A25" s="10" t="s">
        <v>671</v>
      </c>
      <c r="B25" s="10" t="s">
        <v>681</v>
      </c>
      <c r="C25" s="13">
        <f>_xll.BDH("RCOM IN Equity","IS_AMORT_OF_TOT_INTANG_PRETX","FY 2009","FY 2009","Currency=INR","Period=FY","BEST_FPERIOD_OVERRIDE=FY","FILING_STATUS=MR","EQY_CONSOLIDATED=Y","SCALING_FORMAT=MLN","Sort=A","Dates=H","DateFormat=P","Fill=—","Direction=H","UseDPDF=Y")</f>
        <v>3340</v>
      </c>
      <c r="D25" s="13">
        <f>_xll.BDH("RCOM IN Equity","IS_AMORT_OF_TOT_INTANG_PRETX","FY 2010","FY 2010","Currency=INR","Period=FY","BEST_FPERIOD_OVERRIDE=FY","FILING_STATUS=MR","EQY_CONSOLIDATED=Y","SCALING_FORMAT=MLN","Sort=A","Dates=H","DateFormat=P","Fill=—","Direction=H","UseDPDF=Y")</f>
        <v>5769.6</v>
      </c>
      <c r="E25" s="13">
        <f>_xll.BDH("RCOM IN Equity","IS_AMORT_OF_TOT_INTANG_PRETX","FY 2011","FY 2011","Currency=INR","Period=FY","BEST_FPERIOD_OVERRIDE=FY","FILING_STATUS=MR","EQY_CONSOLIDATED=Y","SCALING_FORMAT=MLN","Sort=A","Dates=H","DateFormat=P","Fill=—","Direction=H","UseDPDF=Y")</f>
        <v>27600</v>
      </c>
      <c r="F25" s="13">
        <f>_xll.BDH("RCOM IN Equity","IS_AMORT_OF_TOT_INTANG_PRETX","FY 2012","FY 2012","Currency=INR","Period=FY","BEST_FPERIOD_OVERRIDE=FY","FILING_STATUS=MR","EQY_CONSOLIDATED=Y","SCALING_FORMAT=MLN","Sort=A","Dates=H","DateFormat=P","Fill=—","Direction=H","UseDPDF=Y")</f>
        <v>19710</v>
      </c>
      <c r="G25" s="13">
        <f>_xll.BDH("RCOM IN Equity","IS_AMORT_OF_TOT_INTANG_PRETX","FY 2013","FY 2013","Currency=INR","Period=FY","BEST_FPERIOD_OVERRIDE=FY","FILING_STATUS=MR","EQY_CONSOLIDATED=Y","SCALING_FORMAT=MLN","Sort=A","Dates=H","DateFormat=P","Fill=—","Direction=H","UseDPDF=Y")</f>
        <v>19370</v>
      </c>
      <c r="H25" s="13" t="str">
        <f>_xll.BDH("RCOM IN Equity","IS_AMORT_OF_TOT_INTANG_PRETX","FY 2014","FY 2014","Currency=INR","Period=FY","BEST_FPERIOD_OVERRIDE=FY","FILING_STATUS=MR","EQY_CONSOLIDATED=Y","SCALING_FORMAT=MLN","Sort=A","Dates=H","DateFormat=P","Fill=—","Direction=H","UseDPDF=Y")</f>
        <v>—</v>
      </c>
      <c r="I25" s="13" t="str">
        <f>_xll.BDH("RCOM IN Equity","IS_AMORT_OF_TOT_INTANG_PRETX","FY 2015","FY 2015","Currency=INR","Period=FY","BEST_FPERIOD_OVERRIDE=FY","FILING_STATUS=MR","EQY_CONSOLIDATED=Y","SCALING_FORMAT=MLN","Sort=A","Dates=H","DateFormat=P","Fill=—","Direction=H","UseDPDF=Y")</f>
        <v>—</v>
      </c>
      <c r="J25" s="13" t="str">
        <f>_xll.BDH("RCOM IN Equity","IS_AMORT_OF_TOT_INTANG_PRETX","FY 2016","FY 2016","Currency=INR","Period=FY","BEST_FPERIOD_OVERRIDE=FY","FILING_STATUS=MR","EQY_CONSOLIDATED=Y","SCALING_FORMAT=MLN","Sort=A","Dates=H","DateFormat=P","Fill=—","Direction=H","UseDPDF=Y")</f>
        <v>—</v>
      </c>
      <c r="K25" s="13" t="str">
        <f>_xll.BDH("RCOM IN Equity","IS_AMORT_OF_TOT_INTANG_PRETX","FY 2017","FY 2017","Currency=INR","Period=FY","BEST_FPERIOD_OVERRIDE=FY","FILING_STATUS=MR","EQY_CONSOLIDATED=Y","SCALING_FORMAT=MLN","Sort=A","Dates=H","DateFormat=P","Fill=—","Direction=H","UseDPDF=Y")</f>
        <v>—</v>
      </c>
      <c r="L25" s="13" t="str">
        <f>_xll.BDH("RCOM IN Equity","IS_AMORT_OF_TOT_INTANG_PRETX","FY 2018","FY 2018","Currency=INR","Period=FY","BEST_FPERIOD_OVERRIDE=FY","FILING_STATUS=MR","EQY_CONSOLIDATED=Y","SCALING_FORMAT=MLN","Sort=A","Dates=H","DateFormat=P","Fill=—","Direction=H","UseDPDF=Y")</f>
        <v>—</v>
      </c>
    </row>
    <row r="26" spans="1:12">
      <c r="A26" s="10" t="s">
        <v>673</v>
      </c>
      <c r="B26" s="10" t="s">
        <v>682</v>
      </c>
      <c r="C26" s="13">
        <f>_xll.BDH("RCOM IN Equity","IS_AMORT_OF_TOT_INTANG_AFT_TAX","FY 2009","FY 2009","Currency=INR","Period=FY","BEST_FPERIOD_OVERRIDE=FY","FILING_STATUS=MR","EQY_CONSOLIDATED=Y","SCALING_FORMAT=MLN","Sort=A","Dates=H","DateFormat=P","Fill=—","Direction=H","UseDPDF=Y")</f>
        <v>2204.7339999999999</v>
      </c>
      <c r="D26" s="13">
        <f>_xll.BDH("RCOM IN Equity","IS_AMORT_OF_TOT_INTANG_AFT_TAX","FY 2010","FY 2010","Currency=INR","Period=FY","BEST_FPERIOD_OVERRIDE=FY","FILING_STATUS=MR","EQY_CONSOLIDATED=Y","SCALING_FORMAT=MLN","Sort=A","Dates=H","DateFormat=P","Fill=—","Direction=H","UseDPDF=Y")</f>
        <v>3808.5129999999999</v>
      </c>
      <c r="E26" s="13">
        <f>_xll.BDH("RCOM IN Equity","IS_AMORT_OF_TOT_INTANG_AFT_TAX","FY 2011","FY 2011","Currency=INR","Period=FY","BEST_FPERIOD_OVERRIDE=FY","FILING_STATUS=MR","EQY_CONSOLIDATED=Y","SCALING_FORMAT=MLN","Sort=A","Dates=H","DateFormat=P","Fill=—","Direction=H","UseDPDF=Y")</f>
        <v>18646.560000000001</v>
      </c>
      <c r="F26" s="13">
        <f>_xll.BDH("RCOM IN Equity","IS_AMORT_OF_TOT_INTANG_AFT_TAX","FY 2012","FY 2012","Currency=INR","Period=FY","BEST_FPERIOD_OVERRIDE=FY","FILING_STATUS=MR","EQY_CONSOLIDATED=Y","SCALING_FORMAT=MLN","Sort=A","Dates=H","DateFormat=P","Fill=—","Direction=H","UseDPDF=Y")</f>
        <v>13314.105</v>
      </c>
      <c r="G26" s="13">
        <f>_xll.BDH("RCOM IN Equity","IS_AMORT_OF_TOT_INTANG_AFT_TAX","FY 2013","FY 2013","Currency=INR","Period=FY","BEST_FPERIOD_OVERRIDE=FY","FILING_STATUS=MR","EQY_CONSOLIDATED=Y","SCALING_FORMAT=MLN","Sort=A","Dates=H","DateFormat=P","Fill=—","Direction=H","UseDPDF=Y")</f>
        <v>12786.137000000001</v>
      </c>
      <c r="H26" s="13" t="str">
        <f>_xll.BDH("RCOM IN Equity","IS_AMORT_OF_TOT_INTANG_AFT_TAX","FY 2014","FY 2014","Currency=INR","Period=FY","BEST_FPERIOD_OVERRIDE=FY","FILING_STATUS=MR","EQY_CONSOLIDATED=Y","SCALING_FORMAT=MLN","Sort=A","Dates=H","DateFormat=P","Fill=—","Direction=H","UseDPDF=Y")</f>
        <v>—</v>
      </c>
      <c r="I26" s="13" t="str">
        <f>_xll.BDH("RCOM IN Equity","IS_AMORT_OF_TOT_INTANG_AFT_TAX","FY 2015","FY 2015","Currency=INR","Period=FY","BEST_FPERIOD_OVERRIDE=FY","FILING_STATUS=MR","EQY_CONSOLIDATED=Y","SCALING_FORMAT=MLN","Sort=A","Dates=H","DateFormat=P","Fill=—","Direction=H","UseDPDF=Y")</f>
        <v>—</v>
      </c>
      <c r="J26" s="13" t="str">
        <f>_xll.BDH("RCOM IN Equity","IS_AMORT_OF_TOT_INTANG_AFT_TAX","FY 2016","FY 2016","Currency=INR","Period=FY","BEST_FPERIOD_OVERRIDE=FY","FILING_STATUS=MR","EQY_CONSOLIDATED=Y","SCALING_FORMAT=MLN","Sort=A","Dates=H","DateFormat=P","Fill=—","Direction=H","UseDPDF=Y")</f>
        <v>—</v>
      </c>
      <c r="K26" s="13" t="str">
        <f>_xll.BDH("RCOM IN Equity","IS_AMORT_OF_TOT_INTANG_AFT_TAX","FY 2017","FY 2017","Currency=INR","Period=FY","BEST_FPERIOD_OVERRIDE=FY","FILING_STATUS=MR","EQY_CONSOLIDATED=Y","SCALING_FORMAT=MLN","Sort=A","Dates=H","DateFormat=P","Fill=—","Direction=H","UseDPDF=Y")</f>
        <v>—</v>
      </c>
      <c r="L26" s="13" t="str">
        <f>_xll.BDH("RCOM IN Equity","IS_AMORT_OF_TOT_INTANG_AFT_TAX","FY 2018","FY 2018","Currency=INR","Period=FY","BEST_FPERIOD_OVERRIDE=FY","FILING_STATUS=MR","EQY_CONSOLIDATED=Y","SCALING_FORMAT=MLN","Sort=A","Dates=H","DateFormat=P","Fill=—","Direction=H","UseDPDF=Y")</f>
        <v>—</v>
      </c>
    </row>
    <row r="27" spans="1:12">
      <c r="A27" s="10" t="s">
        <v>675</v>
      </c>
      <c r="B27" s="10" t="s">
        <v>683</v>
      </c>
      <c r="C27" s="14">
        <f>_xll.BDH("RCOM IN Equity","IS_AMORT_OF_TOT_INTANG_P_BAS_SH","FY 2009","FY 2009","Currency=INR","Period=FY","BEST_FPERIOD_OVERRIDE=FY","FILING_STATUS=MR","EQY_CONSOLIDATED=Y","Sort=A","Dates=H","DateFormat=P","Fill=—","Direction=H","UseDPDF=Y")</f>
        <v>1.0682</v>
      </c>
      <c r="D27" s="14">
        <f>_xll.BDH("RCOM IN Equity","IS_AMORT_OF_TOT_INTANG_P_BAS_SH","FY 2010","FY 2010","Currency=INR","Period=FY","BEST_FPERIOD_OVERRIDE=FY","FILING_STATUS=MR","EQY_CONSOLIDATED=Y","Sort=A","Dates=H","DateFormat=P","Fill=—","Direction=H","UseDPDF=Y")</f>
        <v>1.8452</v>
      </c>
      <c r="E27" s="14">
        <f>_xll.BDH("RCOM IN Equity","IS_AMORT_OF_TOT_INTANG_P_BAS_SH","FY 2011","FY 2011","Currency=INR","Period=FY","BEST_FPERIOD_OVERRIDE=FY","FILING_STATUS=MR","EQY_CONSOLIDATED=Y","Sort=A","Dates=H","DateFormat=P","Fill=—","Direction=H","UseDPDF=Y")</f>
        <v>9.0341000000000005</v>
      </c>
      <c r="F27" s="14">
        <f>_xll.BDH("RCOM IN Equity","IS_AMORT_OF_TOT_INTANG_P_BAS_SH","FY 2012","FY 2012","Currency=INR","Period=FY","BEST_FPERIOD_OVERRIDE=FY","FILING_STATUS=MR","EQY_CONSOLIDATED=Y","Sort=A","Dates=H","DateFormat=P","Fill=—","Direction=H","UseDPDF=Y")</f>
        <v>6.4504999999999999</v>
      </c>
      <c r="G27" s="14">
        <f>_xll.BDH("RCOM IN Equity","IS_AMORT_OF_TOT_INTANG_P_BAS_SH","FY 2013","FY 2013","Currency=INR","Period=FY","BEST_FPERIOD_OVERRIDE=FY","FILING_STATUS=MR","EQY_CONSOLIDATED=Y","Sort=A","Dates=H","DateFormat=P","Fill=—","Direction=H","UseDPDF=Y")</f>
        <v>6.1947999999999999</v>
      </c>
      <c r="H27" s="14" t="str">
        <f>_xll.BDH("RCOM IN Equity","IS_AMORT_OF_TOT_INTANG_P_BAS_SH","FY 2014","FY 2014","Currency=INR","Period=FY","BEST_FPERIOD_OVERRIDE=FY","FILING_STATUS=MR","EQY_CONSOLIDATED=Y","Sort=A","Dates=H","DateFormat=P","Fill=—","Direction=H","UseDPDF=Y")</f>
        <v>—</v>
      </c>
      <c r="I27" s="14" t="str">
        <f>_xll.BDH("RCOM IN Equity","IS_AMORT_OF_TOT_INTANG_P_BAS_SH","FY 2015","FY 2015","Currency=INR","Period=FY","BEST_FPERIOD_OVERRIDE=FY","FILING_STATUS=MR","EQY_CONSOLIDATED=Y","Sort=A","Dates=H","DateFormat=P","Fill=—","Direction=H","UseDPDF=Y")</f>
        <v>—</v>
      </c>
      <c r="J27" s="14" t="str">
        <f>_xll.BDH("RCOM IN Equity","IS_AMORT_OF_TOT_INTANG_P_BAS_SH","FY 2016","FY 2016","Currency=INR","Period=FY","BEST_FPERIOD_OVERRIDE=FY","FILING_STATUS=MR","EQY_CONSOLIDATED=Y","Sort=A","Dates=H","DateFormat=P","Fill=—","Direction=H","UseDPDF=Y")</f>
        <v>—</v>
      </c>
      <c r="K27" s="14" t="str">
        <f>_xll.BDH("RCOM IN Equity","IS_AMORT_OF_TOT_INTANG_P_BAS_SH","FY 2017","FY 2017","Currency=INR","Period=FY","BEST_FPERIOD_OVERRIDE=FY","FILING_STATUS=MR","EQY_CONSOLIDATED=Y","Sort=A","Dates=H","DateFormat=P","Fill=—","Direction=H","UseDPDF=Y")</f>
        <v>—</v>
      </c>
      <c r="L27" s="14" t="str">
        <f>_xll.BDH("RCOM IN Equity","IS_AMORT_OF_TOT_INTANG_P_BAS_SH","FY 2018","FY 2018","Currency=INR","Period=FY","BEST_FPERIOD_OVERRIDE=FY","FILING_STATUS=MR","EQY_CONSOLIDATED=Y","Sort=A","Dates=H","DateFormat=P","Fill=—","Direction=H","UseDPDF=Y")</f>
        <v>—</v>
      </c>
    </row>
    <row r="28" spans="1:12">
      <c r="A28" s="10" t="s">
        <v>677</v>
      </c>
      <c r="B28" s="10" t="s">
        <v>684</v>
      </c>
      <c r="C28" s="14">
        <f>_xll.BDH("RCOM IN Equity","IS_AMORT_OF_TOT_INTANG_P_DIL_SH","FY 2009","FY 2009","Currency=INR","Period=FY","BEST_FPERIOD_OVERRIDE=FY","FILING_STATUS=MR","EQY_CONSOLIDATED=Y","Sort=A","Dates=H","DateFormat=P","Fill=—","Direction=H","UseDPDF=Y")</f>
        <v>1.0229999999999999</v>
      </c>
      <c r="D28" s="14">
        <f>_xll.BDH("RCOM IN Equity","IS_AMORT_OF_TOT_INTANG_P_DIL_SH","FY 2010","FY 2010","Currency=INR","Period=FY","BEST_FPERIOD_OVERRIDE=FY","FILING_STATUS=MR","EQY_CONSOLIDATED=Y","Sort=A","Dates=H","DateFormat=P","Fill=—","Direction=H","UseDPDF=Y")</f>
        <v>1.7688000000000001</v>
      </c>
      <c r="E28" s="14">
        <f>_xll.BDH("RCOM IN Equity","IS_AMORT_OF_TOT_INTANG_P_DIL_SH","FY 2011","FY 2011","Currency=INR","Period=FY","BEST_FPERIOD_OVERRIDE=FY","FILING_STATUS=MR","EQY_CONSOLIDATED=Y","Sort=A","Dates=H","DateFormat=P","Fill=—","Direction=H","UseDPDF=Y")</f>
        <v>8.6600999999999999</v>
      </c>
      <c r="F28" s="14">
        <f>_xll.BDH("RCOM IN Equity","IS_AMORT_OF_TOT_INTANG_P_DIL_SH","FY 2012","FY 2012","Currency=INR","Period=FY","BEST_FPERIOD_OVERRIDE=FY","FILING_STATUS=MR","EQY_CONSOLIDATED=Y","Sort=A","Dates=H","DateFormat=P","Fill=—","Direction=H","UseDPDF=Y")</f>
        <v>6.3278999999999996</v>
      </c>
      <c r="G28" s="14">
        <f>_xll.BDH("RCOM IN Equity","IS_AMORT_OF_TOT_INTANG_P_DIL_SH","FY 2013","FY 2013","Currency=INR","Period=FY","BEST_FPERIOD_OVERRIDE=FY","FILING_STATUS=MR","EQY_CONSOLIDATED=Y","Sort=A","Dates=H","DateFormat=P","Fill=—","Direction=H","UseDPDF=Y")</f>
        <v>6.1947999999999999</v>
      </c>
      <c r="H28" s="14" t="str">
        <f>_xll.BDH("RCOM IN Equity","IS_AMORT_OF_TOT_INTANG_P_DIL_SH","FY 2014","FY 2014","Currency=INR","Period=FY","BEST_FPERIOD_OVERRIDE=FY","FILING_STATUS=MR","EQY_CONSOLIDATED=Y","Sort=A","Dates=H","DateFormat=P","Fill=—","Direction=H","UseDPDF=Y")</f>
        <v>—</v>
      </c>
      <c r="I28" s="14" t="str">
        <f>_xll.BDH("RCOM IN Equity","IS_AMORT_OF_TOT_INTANG_P_DIL_SH","FY 2015","FY 2015","Currency=INR","Period=FY","BEST_FPERIOD_OVERRIDE=FY","FILING_STATUS=MR","EQY_CONSOLIDATED=Y","Sort=A","Dates=H","DateFormat=P","Fill=—","Direction=H","UseDPDF=Y")</f>
        <v>—</v>
      </c>
      <c r="J28" s="14" t="str">
        <f>_xll.BDH("RCOM IN Equity","IS_AMORT_OF_TOT_INTANG_P_DIL_SH","FY 2016","FY 2016","Currency=INR","Period=FY","BEST_FPERIOD_OVERRIDE=FY","FILING_STATUS=MR","EQY_CONSOLIDATED=Y","Sort=A","Dates=H","DateFormat=P","Fill=—","Direction=H","UseDPDF=Y")</f>
        <v>—</v>
      </c>
      <c r="K28" s="14" t="str">
        <f>_xll.BDH("RCOM IN Equity","IS_AMORT_OF_TOT_INTANG_P_DIL_SH","FY 2017","FY 2017","Currency=INR","Period=FY","BEST_FPERIOD_OVERRIDE=FY","FILING_STATUS=MR","EQY_CONSOLIDATED=Y","Sort=A","Dates=H","DateFormat=P","Fill=—","Direction=H","UseDPDF=Y")</f>
        <v>—</v>
      </c>
      <c r="L28" s="14" t="str">
        <f>_xll.BDH("RCOM IN Equity","IS_AMORT_OF_TOT_INTANG_P_DIL_SH","FY 2018","FY 2018","Currency=INR","Period=FY","BEST_FPERIOD_OVERRIDE=FY","FILING_STATUS=MR","EQY_CONSOLIDATED=Y","Sort=A","Dates=H","DateFormat=P","Fill=—","Direction=H","UseDPDF=Y")</f>
        <v>—</v>
      </c>
    </row>
    <row r="29" spans="1:12">
      <c r="A29" s="7" t="s">
        <v>57</v>
      </c>
      <c r="B29" s="7"/>
      <c r="C29" s="7" t="s">
        <v>3</v>
      </c>
      <c r="D29" s="7"/>
      <c r="E29" s="7"/>
      <c r="F29" s="7"/>
      <c r="G29" s="7"/>
      <c r="H29" s="7"/>
      <c r="I29" s="7"/>
      <c r="J29" s="7"/>
      <c r="K29" s="7"/>
      <c r="L29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75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685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209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</row>
    <row r="6" spans="1:12">
      <c r="A6" s="6" t="s">
        <v>0</v>
      </c>
      <c r="B6" s="6" t="s">
        <v>38</v>
      </c>
      <c r="C6" s="19">
        <f>_xll.BDH("RCOM IN Equity","SALES_REV_TURN","FY 2010","FY 2010","Currency=INR","Period=FY","BEST_FPERIOD_OVERRIDE=FY","FILING_STATUS=MR","EQY_CONSOLIDATED=Y","SCALING_FORMAT=MLN","FA_ADJUSTED=Adjusted","Sort=A","Dates=H","DateFormat=P","Fill=—","Direction=H","UseDPDF=Y")</f>
        <v>206850.5</v>
      </c>
      <c r="D6" s="19">
        <f>_xll.BDH("RCOM IN Equity","SALES_REV_TURN","FY 2011","FY 2011","Currency=INR","Period=FY","BEST_FPERIOD_OVERRIDE=FY","FILING_STATUS=MR","EQY_CONSOLIDATED=Y","SCALING_FORMAT=MLN","FA_ADJUSTED=Adjusted","Sort=A","Dates=H","DateFormat=P","Fill=—","Direction=H","UseDPDF=Y")</f>
        <v>220890</v>
      </c>
      <c r="E6" s="19">
        <f>_xll.BDH("RCOM IN Equity","SALES_REV_TURN","FY 2012","FY 2012","Currency=INR","Period=FY","BEST_FPERIOD_OVERRIDE=FY","FILING_STATUS=MR","EQY_CONSOLIDATED=Y","SCALING_FORMAT=MLN","FA_ADJUSTED=Adjusted","Sort=A","Dates=H","DateFormat=P","Fill=—","Direction=H","UseDPDF=Y")</f>
        <v>187160</v>
      </c>
      <c r="F6" s="19">
        <f>_xll.BDH("RCOM IN Equity","SALES_REV_TURN","FY 2013","FY 2013","Currency=INR","Period=FY","BEST_FPERIOD_OVERRIDE=FY","FILING_STATUS=MR","EQY_CONSOLIDATED=Y","SCALING_FORMAT=MLN","FA_ADJUSTED=Adjusted","Sort=A","Dates=H","DateFormat=P","Fill=—","Direction=H","UseDPDF=Y")</f>
        <v>192940</v>
      </c>
      <c r="G6" s="19">
        <f>_xll.BDH("RCOM IN Equity","SALES_REV_TURN","FY 2014","FY 2014","Currency=INR","Period=FY","BEST_FPERIOD_OVERRIDE=FY","FILING_STATUS=MR","EQY_CONSOLIDATED=Y","SCALING_FORMAT=MLN","FA_ADJUSTED=Adjusted","Sort=A","Dates=H","DateFormat=P","Fill=—","Direction=H","UseDPDF=Y")</f>
        <v>209400</v>
      </c>
      <c r="H6" s="19">
        <f>_xll.BDH("RCOM IN Equity","SALES_REV_TURN","FY 2015","FY 2015","Currency=INR","Period=FY","BEST_FPERIOD_OVERRIDE=FY","FILING_STATUS=MR","EQY_CONSOLIDATED=Y","SCALING_FORMAT=MLN","FA_ADJUSTED=Adjusted","Sort=A","Dates=H","DateFormat=P","Fill=—","Direction=H","UseDPDF=Y")</f>
        <v>214230</v>
      </c>
      <c r="I6" s="19">
        <f>_xll.BDH("RCOM IN Equity","SALES_REV_TURN","FY 2016","FY 2016","Currency=INR","Period=FY","BEST_FPERIOD_OVERRIDE=FY","FILING_STATUS=MR","EQY_CONSOLIDATED=Y","SCALING_FORMAT=MLN","FA_ADJUSTED=Adjusted","Sort=A","Dates=H","DateFormat=P","Fill=—","Direction=H","UseDPDF=Y")</f>
        <v>217430</v>
      </c>
      <c r="J6" s="19">
        <f>_xll.BDH("RCOM IN Equity","SALES_REV_TURN","FY 2017","FY 2017","Currency=INR","Period=FY","BEST_FPERIOD_OVERRIDE=FY","FILING_STATUS=MR","EQY_CONSOLIDATED=Y","SCALING_FORMAT=MLN","FA_ADJUSTED=Adjusted","Sort=A","Dates=H","DateFormat=P","Fill=—","Direction=H","UseDPDF=Y")</f>
        <v>65540</v>
      </c>
      <c r="K6" s="19">
        <f>_xll.BDH("RCOM IN Equity","SALES_REV_TURN","FY 2018","FY 2018","Currency=INR","Period=FY","BEST_FPERIOD_OVERRIDE=FY","FILING_STATUS=MR","EQY_CONSOLIDATED=Y","SCALING_FORMAT=MLN","FA_ADJUSTED=Adjusted","Sort=A","Dates=H","DateFormat=P","Fill=—","Direction=H","UseDPDF=Y")</f>
        <v>45930</v>
      </c>
      <c r="L6" s="22">
        <v>40020</v>
      </c>
    </row>
    <row r="7" spans="1:12">
      <c r="A7" s="10" t="s">
        <v>250</v>
      </c>
      <c r="B7" s="10" t="s">
        <v>251</v>
      </c>
      <c r="C7" s="13">
        <v>100</v>
      </c>
      <c r="D7" s="13">
        <v>100</v>
      </c>
      <c r="E7" s="13">
        <v>100</v>
      </c>
      <c r="F7" s="13">
        <v>100</v>
      </c>
      <c r="G7" s="13">
        <v>100</v>
      </c>
      <c r="H7" s="13">
        <v>100</v>
      </c>
      <c r="I7" s="13">
        <v>100</v>
      </c>
      <c r="J7" s="13">
        <v>100</v>
      </c>
      <c r="K7" s="13">
        <v>100</v>
      </c>
      <c r="L7" s="16">
        <v>100</v>
      </c>
    </row>
    <row r="8" spans="1:12">
      <c r="A8" s="10" t="s">
        <v>258</v>
      </c>
      <c r="B8" s="10" t="s">
        <v>259</v>
      </c>
      <c r="C8" s="13">
        <v>3.9223013722471101</v>
      </c>
      <c r="D8" s="13">
        <v>1.548281950292</v>
      </c>
      <c r="E8" s="13">
        <v>5.1346441547339197</v>
      </c>
      <c r="F8" s="13">
        <v>6.5668083341971597</v>
      </c>
      <c r="G8" s="13">
        <v>1.42311365807068</v>
      </c>
      <c r="H8" s="13">
        <v>1.6197544694954</v>
      </c>
      <c r="I8" s="13">
        <v>0.97042726394701795</v>
      </c>
      <c r="J8" s="13">
        <v>1.80042722001831</v>
      </c>
      <c r="K8" s="13">
        <v>3.44001741780971</v>
      </c>
      <c r="L8" s="16">
        <v>4.99750124937531E-2</v>
      </c>
    </row>
    <row r="9" spans="1:12">
      <c r="A9" s="10" t="s">
        <v>260</v>
      </c>
      <c r="B9" s="10" t="s">
        <v>261</v>
      </c>
      <c r="C9" s="13">
        <v>86.765030783101807</v>
      </c>
      <c r="D9" s="13">
        <v>93.073113314319301</v>
      </c>
      <c r="E9" s="13">
        <v>93.449455011754694</v>
      </c>
      <c r="F9" s="13">
        <v>95.547838706333593</v>
      </c>
      <c r="G9" s="13">
        <v>90.959885386819494</v>
      </c>
      <c r="H9" s="13">
        <v>85.781636558838599</v>
      </c>
      <c r="I9" s="13">
        <v>88.129512946695499</v>
      </c>
      <c r="J9" s="13">
        <v>95.086969789441596</v>
      </c>
      <c r="K9" s="13">
        <v>98.149357718266899</v>
      </c>
      <c r="L9" s="16">
        <v>107.07146426786601</v>
      </c>
    </row>
    <row r="10" spans="1:12">
      <c r="A10" s="10" t="s">
        <v>262</v>
      </c>
      <c r="B10" s="10" t="s">
        <v>263</v>
      </c>
      <c r="C10" s="13">
        <v>16.1134249131619</v>
      </c>
      <c r="D10" s="13">
        <v>14.060935307166501</v>
      </c>
      <c r="E10" s="13">
        <v>15.473391750374001</v>
      </c>
      <c r="F10" s="13">
        <v>15.154970457136899</v>
      </c>
      <c r="G10" s="13">
        <v>12.9465138490926</v>
      </c>
      <c r="H10" s="13">
        <v>12.0758063763245</v>
      </c>
      <c r="I10" s="13">
        <v>9.5708963804442799</v>
      </c>
      <c r="J10" s="13">
        <v>9.6734818431492204</v>
      </c>
      <c r="K10" s="13">
        <v>11.561071195297201</v>
      </c>
      <c r="L10" s="16"/>
    </row>
    <row r="11" spans="1:12">
      <c r="A11" s="11" t="s">
        <v>264</v>
      </c>
      <c r="B11" s="11" t="s">
        <v>265</v>
      </c>
      <c r="C11" s="25">
        <v>10.876889347620599</v>
      </c>
      <c r="D11" s="25">
        <v>9.5251029924396793</v>
      </c>
      <c r="E11" s="25">
        <v>10.6272707843556</v>
      </c>
      <c r="F11" s="25">
        <v>9.6092049341764305</v>
      </c>
      <c r="G11" s="25">
        <v>7.3686723973256898</v>
      </c>
      <c r="H11" s="25">
        <v>7.8186995285440899</v>
      </c>
      <c r="I11" s="25">
        <v>8.1773444326909797</v>
      </c>
      <c r="J11" s="25">
        <v>1.23588648153799</v>
      </c>
      <c r="K11" s="25">
        <v>0.84911822338341003</v>
      </c>
      <c r="L11" s="28"/>
    </row>
    <row r="12" spans="1:12">
      <c r="A12" s="11" t="s">
        <v>266</v>
      </c>
      <c r="B12" s="11" t="s">
        <v>267</v>
      </c>
      <c r="C12" s="25">
        <v>5.2365355655413</v>
      </c>
      <c r="D12" s="25">
        <v>4.5358323147267896</v>
      </c>
      <c r="E12" s="25">
        <v>4.8461209660183799</v>
      </c>
      <c r="F12" s="25">
        <v>5.5457655229605098</v>
      </c>
      <c r="G12" s="25">
        <v>5.5778414517669503</v>
      </c>
      <c r="H12" s="25">
        <v>4.2571068477804204</v>
      </c>
      <c r="I12" s="25">
        <v>1.3935519477533</v>
      </c>
      <c r="J12" s="25">
        <v>8.4375953616112298</v>
      </c>
      <c r="K12" s="25">
        <v>10.711952971913799</v>
      </c>
      <c r="L12" s="28"/>
    </row>
    <row r="13" spans="1:12">
      <c r="A13" s="10" t="s">
        <v>268</v>
      </c>
      <c r="B13" s="10" t="s">
        <v>269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6"/>
    </row>
    <row r="14" spans="1:12">
      <c r="A14" s="10" t="s">
        <v>270</v>
      </c>
      <c r="B14" s="10" t="s">
        <v>271</v>
      </c>
      <c r="C14" s="13">
        <v>16.637909988131501</v>
      </c>
      <c r="D14" s="13">
        <v>29.444519896781198</v>
      </c>
      <c r="E14" s="13">
        <v>19.2776234238085</v>
      </c>
      <c r="F14" s="13">
        <v>19.928475173629099</v>
      </c>
      <c r="G14" s="13">
        <v>21.657115568290401</v>
      </c>
      <c r="H14" s="13">
        <v>17.817299164449398</v>
      </c>
      <c r="I14" s="13">
        <v>20.622729154210599</v>
      </c>
      <c r="J14" s="13">
        <v>12.526701251144299</v>
      </c>
      <c r="K14" s="13">
        <v>15.6978010015241</v>
      </c>
      <c r="L14" s="16">
        <v>19.915042478760601</v>
      </c>
    </row>
    <row r="15" spans="1:12">
      <c r="A15" s="10" t="s">
        <v>272</v>
      </c>
      <c r="B15" s="10" t="s">
        <v>273</v>
      </c>
      <c r="C15" s="13">
        <v>0.95856669430337405</v>
      </c>
      <c r="D15" s="13">
        <v>0.76508669473493596</v>
      </c>
      <c r="E15" s="13">
        <v>0.32592434280829202</v>
      </c>
      <c r="F15" s="13">
        <v>0.55975951072872399</v>
      </c>
      <c r="G15" s="13">
        <v>1.3801337153772699</v>
      </c>
      <c r="H15" s="13">
        <v>0.54147411660364997</v>
      </c>
      <c r="I15" s="13">
        <v>0.625488663017983</v>
      </c>
      <c r="J15" s="13">
        <v>1.3426914861153501</v>
      </c>
      <c r="K15" s="13">
        <v>0.979751796211626</v>
      </c>
      <c r="L15" s="16"/>
    </row>
    <row r="16" spans="1:12">
      <c r="A16" s="10" t="s">
        <v>274</v>
      </c>
      <c r="B16" s="10" t="s">
        <v>275</v>
      </c>
      <c r="C16" s="13">
        <v>53.055129187505003</v>
      </c>
      <c r="D16" s="13">
        <v>48.802571415636699</v>
      </c>
      <c r="E16" s="13">
        <v>58.372515494763803</v>
      </c>
      <c r="F16" s="13">
        <v>59.904633564838797</v>
      </c>
      <c r="G16" s="13">
        <v>54.976122254059199</v>
      </c>
      <c r="H16" s="13">
        <v>55.347056901461002</v>
      </c>
      <c r="I16" s="13">
        <v>57.310398749022703</v>
      </c>
      <c r="J16" s="13">
        <v>71.544095209032605</v>
      </c>
      <c r="K16" s="13">
        <v>69.910733725234095</v>
      </c>
      <c r="L16" s="16">
        <v>75.137431284357802</v>
      </c>
    </row>
    <row r="17" spans="1:12">
      <c r="A17" s="6" t="s">
        <v>276</v>
      </c>
      <c r="B17" s="6" t="s">
        <v>64</v>
      </c>
      <c r="C17" s="19">
        <v>17.157270589145298</v>
      </c>
      <c r="D17" s="19">
        <v>8.4751686359726595</v>
      </c>
      <c r="E17" s="19">
        <v>11.685189142979301</v>
      </c>
      <c r="F17" s="19">
        <v>11.0189696278636</v>
      </c>
      <c r="G17" s="19">
        <v>10.4632282712512</v>
      </c>
      <c r="H17" s="19">
        <v>15.8381179106568</v>
      </c>
      <c r="I17" s="19">
        <v>12.840914317251499</v>
      </c>
      <c r="J17" s="19">
        <v>6.7134574305767503</v>
      </c>
      <c r="K17" s="19">
        <v>5.2906596995427799</v>
      </c>
      <c r="L17" s="22">
        <v>-7.0214892553723098</v>
      </c>
    </row>
    <row r="18" spans="1:12">
      <c r="A18" s="10" t="s">
        <v>277</v>
      </c>
      <c r="B18" s="10" t="s">
        <v>278</v>
      </c>
      <c r="C18" s="13">
        <v>-8.5608204959620604</v>
      </c>
      <c r="D18" s="13">
        <v>3.3636651727103999</v>
      </c>
      <c r="E18" s="13">
        <v>5.1560162427869196</v>
      </c>
      <c r="F18" s="13">
        <v>6.8207732973981603</v>
      </c>
      <c r="G18" s="13">
        <v>9.8567335243553007</v>
      </c>
      <c r="H18" s="13">
        <v>11.5716753022453</v>
      </c>
      <c r="I18" s="13">
        <v>12.7627282343743</v>
      </c>
      <c r="J18" s="13">
        <v>4.3484894720781204</v>
      </c>
      <c r="K18" s="13">
        <v>5.3559764859568899</v>
      </c>
      <c r="L18" s="16">
        <v>-57.171414292853598</v>
      </c>
    </row>
    <row r="19" spans="1:12">
      <c r="A19" s="10" t="s">
        <v>279</v>
      </c>
      <c r="B19" s="10" t="s">
        <v>280</v>
      </c>
      <c r="C19" s="13" t="s">
        <v>44</v>
      </c>
      <c r="D19" s="13">
        <v>3.8073249128525499</v>
      </c>
      <c r="E19" s="13">
        <v>7.6779226330412502</v>
      </c>
      <c r="F19" s="13">
        <v>10.884212708614101</v>
      </c>
      <c r="G19" s="13">
        <v>13.0993314231137</v>
      </c>
      <c r="H19" s="13">
        <v>11.272930962050101</v>
      </c>
      <c r="I19" s="13">
        <v>10.164190774042201</v>
      </c>
      <c r="J19" s="13">
        <v>3.0515715593530701</v>
      </c>
      <c r="K19" s="13">
        <v>3.3964728935336401</v>
      </c>
      <c r="L19" s="16"/>
    </row>
    <row r="20" spans="1:12">
      <c r="A20" s="11" t="s">
        <v>281</v>
      </c>
      <c r="B20" s="11" t="s">
        <v>282</v>
      </c>
      <c r="C20" s="25">
        <v>6.4887442863324001</v>
      </c>
      <c r="D20" s="25">
        <v>4.0834804653900099</v>
      </c>
      <c r="E20" s="25">
        <v>7.8916435135712799</v>
      </c>
      <c r="F20" s="25">
        <v>11.7394008500052</v>
      </c>
      <c r="G20" s="25">
        <v>13.323782234956999</v>
      </c>
      <c r="H20" s="25">
        <v>11.492321336880901</v>
      </c>
      <c r="I20" s="25">
        <v>10.6517039966886</v>
      </c>
      <c r="J20" s="25">
        <v>3.4177601464754299</v>
      </c>
      <c r="K20" s="25">
        <v>3.6577400391900698</v>
      </c>
      <c r="L20" s="28"/>
    </row>
    <row r="21" spans="1:12">
      <c r="A21" s="11" t="s">
        <v>283</v>
      </c>
      <c r="B21" s="11" t="s">
        <v>284</v>
      </c>
      <c r="C21" s="25" t="s">
        <v>44</v>
      </c>
      <c r="D21" s="25">
        <v>0.27615555253746199</v>
      </c>
      <c r="E21" s="25">
        <v>0.213720880530028</v>
      </c>
      <c r="F21" s="25">
        <v>0.85518814139110599</v>
      </c>
      <c r="G21" s="25">
        <v>0.22445081184336199</v>
      </c>
      <c r="H21" s="25">
        <v>0.21939037483078899</v>
      </c>
      <c r="I21" s="25">
        <v>0.48751322264636898</v>
      </c>
      <c r="J21" s="25">
        <v>0.36618858712236801</v>
      </c>
      <c r="K21" s="25">
        <v>0.261267145656434</v>
      </c>
      <c r="L21" s="28"/>
    </row>
    <row r="22" spans="1:12">
      <c r="A22" s="10" t="s">
        <v>285</v>
      </c>
      <c r="B22" s="10" t="s">
        <v>286</v>
      </c>
      <c r="C22" s="13">
        <v>-2.9006456353743398E-4</v>
      </c>
      <c r="D22" s="13">
        <v>0</v>
      </c>
      <c r="E22" s="13" t="s">
        <v>44</v>
      </c>
      <c r="F22" s="13" t="s">
        <v>44</v>
      </c>
      <c r="G22" s="13" t="s">
        <v>44</v>
      </c>
      <c r="H22" s="13" t="s">
        <v>44</v>
      </c>
      <c r="I22" s="13" t="s">
        <v>44</v>
      </c>
      <c r="J22" s="13" t="s">
        <v>44</v>
      </c>
      <c r="K22" s="13" t="s">
        <v>44</v>
      </c>
      <c r="L22" s="16"/>
    </row>
    <row r="23" spans="1:12">
      <c r="A23" s="10" t="s">
        <v>287</v>
      </c>
      <c r="B23" s="10" t="s">
        <v>288</v>
      </c>
      <c r="C23" s="13">
        <v>-13.7324782874588</v>
      </c>
      <c r="D23" s="13">
        <v>-0.15844990719362601</v>
      </c>
      <c r="E23" s="13">
        <v>8.4580038469758492</v>
      </c>
      <c r="F23" s="13">
        <v>4.3536850834456304</v>
      </c>
      <c r="G23" s="13">
        <v>3.1423113658070698</v>
      </c>
      <c r="H23" s="13">
        <v>2.5673341735517901</v>
      </c>
      <c r="I23" s="13">
        <v>0.110380352297291</v>
      </c>
      <c r="J23" s="13">
        <v>-3.0515715593530699E-2</v>
      </c>
      <c r="K23" s="13">
        <v>-4.3544524276072298E-2</v>
      </c>
      <c r="L23" s="16"/>
    </row>
    <row r="24" spans="1:12">
      <c r="A24" s="10" t="s">
        <v>289</v>
      </c>
      <c r="B24" s="10" t="s">
        <v>290</v>
      </c>
      <c r="C24" s="13" t="s">
        <v>44</v>
      </c>
      <c r="D24" s="13" t="s">
        <v>44</v>
      </c>
      <c r="E24" s="13" t="s">
        <v>44</v>
      </c>
      <c r="F24" s="13" t="s">
        <v>44</v>
      </c>
      <c r="G24" s="13">
        <v>0</v>
      </c>
      <c r="H24" s="13">
        <v>0</v>
      </c>
      <c r="I24" s="13">
        <v>-9.19836269144092E-3</v>
      </c>
      <c r="J24" s="13">
        <v>-4.5773573390296002E-2</v>
      </c>
      <c r="K24" s="13">
        <v>-0.108861310690181</v>
      </c>
      <c r="L24" s="16"/>
    </row>
    <row r="25" spans="1:12">
      <c r="A25" s="10" t="s">
        <v>291</v>
      </c>
      <c r="B25" s="10" t="s">
        <v>292</v>
      </c>
      <c r="C25" s="13">
        <v>-1.3167964302721</v>
      </c>
      <c r="D25" s="13">
        <v>-0.28520983294852598</v>
      </c>
      <c r="E25" s="13">
        <v>-10.9799102372302</v>
      </c>
      <c r="F25" s="13">
        <v>-8.4171244946615502</v>
      </c>
      <c r="G25" s="13">
        <v>-6.3849092645654304</v>
      </c>
      <c r="H25" s="13">
        <v>-2.2685898333566699</v>
      </c>
      <c r="I25" s="13">
        <v>2.4973554707262098</v>
      </c>
      <c r="J25" s="13">
        <v>1.3732072017088801</v>
      </c>
      <c r="K25" s="13">
        <v>2.1119094273895098</v>
      </c>
      <c r="L25" s="16">
        <v>-57.071464267866098</v>
      </c>
    </row>
    <row r="26" spans="1:12">
      <c r="A26" s="6" t="s">
        <v>293</v>
      </c>
      <c r="B26" s="6" t="s">
        <v>115</v>
      </c>
      <c r="C26" s="19">
        <v>25.7180910851074</v>
      </c>
      <c r="D26" s="19">
        <v>5.1115034632622596</v>
      </c>
      <c r="E26" s="19">
        <v>6.52917290019235</v>
      </c>
      <c r="F26" s="19">
        <v>4.1981963304654304</v>
      </c>
      <c r="G26" s="19">
        <v>0.606494746895893</v>
      </c>
      <c r="H26" s="19">
        <v>4.2664426084115199</v>
      </c>
      <c r="I26" s="19">
        <v>7.8186082877247806E-2</v>
      </c>
      <c r="J26" s="19">
        <v>2.3649679584986298</v>
      </c>
      <c r="K26" s="19">
        <v>-6.5316786414108402E-2</v>
      </c>
      <c r="L26" s="22">
        <v>50.149925037481303</v>
      </c>
    </row>
    <row r="27" spans="1:12">
      <c r="A27" s="10" t="s">
        <v>294</v>
      </c>
      <c r="B27" s="10" t="s">
        <v>295</v>
      </c>
      <c r="C27" s="13">
        <v>0.46879267877041603</v>
      </c>
      <c r="D27" s="13">
        <v>-1.75616822853004</v>
      </c>
      <c r="E27" s="13">
        <v>1.8166274845052399</v>
      </c>
      <c r="F27" s="13">
        <v>-2.5914792163366899E-2</v>
      </c>
      <c r="G27" s="13">
        <v>5.2531041069722999E-2</v>
      </c>
      <c r="H27" s="13">
        <v>-0.14937217009755899</v>
      </c>
      <c r="I27" s="13">
        <v>-0.98882398932989901</v>
      </c>
      <c r="J27" s="13">
        <v>0</v>
      </c>
      <c r="K27" s="13">
        <v>0</v>
      </c>
      <c r="L27" s="16">
        <v>0</v>
      </c>
    </row>
    <row r="28" spans="1:12">
      <c r="A28" s="10" t="s">
        <v>299</v>
      </c>
      <c r="B28" s="10" t="s">
        <v>300</v>
      </c>
      <c r="C28" s="13">
        <v>7.2032699945129503E-3</v>
      </c>
      <c r="D28" s="13">
        <v>-1.4981212368147001</v>
      </c>
      <c r="E28" s="13">
        <v>-3.74011540927549E-2</v>
      </c>
      <c r="F28" s="13">
        <v>0.15548875298020101</v>
      </c>
      <c r="G28" s="13">
        <v>9.5510983763132801E-2</v>
      </c>
      <c r="H28" s="13">
        <v>-9.3357606310974194E-3</v>
      </c>
      <c r="I28" s="13">
        <v>-0.97502644529273796</v>
      </c>
      <c r="J28" s="13" t="s">
        <v>44</v>
      </c>
      <c r="K28" s="13" t="s">
        <v>44</v>
      </c>
      <c r="L28" s="16"/>
    </row>
    <row r="29" spans="1:12">
      <c r="A29" s="10" t="s">
        <v>302</v>
      </c>
      <c r="B29" s="10" t="s">
        <v>303</v>
      </c>
      <c r="C29" s="13">
        <v>1.47434983236685</v>
      </c>
      <c r="D29" s="13" t="s">
        <v>44</v>
      </c>
      <c r="E29" s="13">
        <v>1.97691814490276</v>
      </c>
      <c r="F29" s="13" t="s">
        <v>44</v>
      </c>
      <c r="G29" s="13" t="s">
        <v>44</v>
      </c>
      <c r="H29" s="13" t="s">
        <v>44</v>
      </c>
      <c r="I29" s="13" t="s">
        <v>44</v>
      </c>
      <c r="J29" s="13" t="s">
        <v>44</v>
      </c>
      <c r="K29" s="13" t="s">
        <v>44</v>
      </c>
      <c r="L29" s="16"/>
    </row>
    <row r="30" spans="1:12">
      <c r="A30" s="10" t="s">
        <v>309</v>
      </c>
      <c r="B30" s="10" t="s">
        <v>310</v>
      </c>
      <c r="C30" s="13">
        <v>-1.01276042359095</v>
      </c>
      <c r="D30" s="13">
        <v>-0.25804699171533302</v>
      </c>
      <c r="E30" s="13">
        <v>-0.122889506304766</v>
      </c>
      <c r="F30" s="13">
        <v>-0.18140354514356799</v>
      </c>
      <c r="G30" s="13">
        <v>-4.2979942693409698E-2</v>
      </c>
      <c r="H30" s="13">
        <v>-0.14003640946646101</v>
      </c>
      <c r="I30" s="13">
        <v>-1.3797544037161401E-2</v>
      </c>
      <c r="J30" s="13" t="s">
        <v>44</v>
      </c>
      <c r="K30" s="13" t="s">
        <v>44</v>
      </c>
      <c r="L30" s="16"/>
    </row>
    <row r="31" spans="1:12">
      <c r="A31" s="6" t="s">
        <v>314</v>
      </c>
      <c r="B31" s="6" t="s">
        <v>115</v>
      </c>
      <c r="C31" s="19">
        <v>25.249298406336901</v>
      </c>
      <c r="D31" s="19">
        <v>6.8676716917922898</v>
      </c>
      <c r="E31" s="19">
        <v>4.7125454156871101</v>
      </c>
      <c r="F31" s="19">
        <v>4.2241111226288002</v>
      </c>
      <c r="G31" s="19">
        <v>0.55396370582617005</v>
      </c>
      <c r="H31" s="19">
        <v>4.4158147785090804</v>
      </c>
      <c r="I31" s="19">
        <v>1.0670100722071501</v>
      </c>
      <c r="J31" s="19">
        <v>2.3649679584986298</v>
      </c>
      <c r="K31" s="19">
        <v>-6.5316786414108402E-2</v>
      </c>
      <c r="L31" s="22">
        <v>50.149925037481303</v>
      </c>
    </row>
    <row r="32" spans="1:12">
      <c r="A32" s="10" t="s">
        <v>315</v>
      </c>
      <c r="B32" s="10" t="s">
        <v>316</v>
      </c>
      <c r="C32" s="13">
        <v>2.1531975992322998</v>
      </c>
      <c r="D32" s="13">
        <v>5.4325682466385999E-2</v>
      </c>
      <c r="E32" s="13">
        <v>-0.56636033340457403</v>
      </c>
      <c r="F32" s="13">
        <v>0.367990048719809</v>
      </c>
      <c r="G32" s="13">
        <v>-4.8758357211079302</v>
      </c>
      <c r="H32" s="13">
        <v>1.52172898286888</v>
      </c>
      <c r="I32" s="13">
        <v>-1.96844961596836</v>
      </c>
      <c r="J32" s="13">
        <v>-1.3732072017088801</v>
      </c>
      <c r="K32" s="13">
        <v>0.348356194208578</v>
      </c>
      <c r="L32" s="16">
        <v>24.837581209395299</v>
      </c>
    </row>
    <row r="33" spans="1:12">
      <c r="A33" s="10" t="s">
        <v>317</v>
      </c>
      <c r="B33" s="10" t="s">
        <v>318</v>
      </c>
      <c r="C33" s="13">
        <v>1.8008174986282399</v>
      </c>
      <c r="D33" s="13">
        <v>-1.26759925754901</v>
      </c>
      <c r="E33" s="13">
        <v>-0.56636033340457403</v>
      </c>
      <c r="F33" s="13">
        <v>0.367990048719809</v>
      </c>
      <c r="G33" s="13">
        <v>0.17191977077363901</v>
      </c>
      <c r="H33" s="13">
        <v>0.53213835597255299</v>
      </c>
      <c r="I33" s="13">
        <v>6.4388538840086496E-2</v>
      </c>
      <c r="J33" s="13">
        <v>3.0515715593530699E-2</v>
      </c>
      <c r="K33" s="13">
        <v>8.7089048552144596E-2</v>
      </c>
      <c r="L33" s="16">
        <v>0.24987506246876601</v>
      </c>
    </row>
    <row r="34" spans="1:12">
      <c r="A34" s="10" t="s">
        <v>319</v>
      </c>
      <c r="B34" s="10" t="s">
        <v>320</v>
      </c>
      <c r="C34" s="13">
        <v>0.352380100604059</v>
      </c>
      <c r="D34" s="13">
        <v>1.3219249400153901</v>
      </c>
      <c r="E34" s="13">
        <v>0</v>
      </c>
      <c r="F34" s="13">
        <v>0</v>
      </c>
      <c r="G34" s="13">
        <v>-5.0477554918815697</v>
      </c>
      <c r="H34" s="13">
        <v>0.98959062689632604</v>
      </c>
      <c r="I34" s="13">
        <v>-2.0328381548084402</v>
      </c>
      <c r="J34" s="13">
        <v>-1.4037229173024099</v>
      </c>
      <c r="K34" s="13">
        <v>0.261267145656434</v>
      </c>
      <c r="L34" s="16">
        <v>24.5877061469265</v>
      </c>
    </row>
    <row r="35" spans="1:12">
      <c r="A35" s="10" t="s">
        <v>323</v>
      </c>
      <c r="B35" s="10" t="s">
        <v>324</v>
      </c>
      <c r="C35" s="13">
        <v>1.5421765961406901E-2</v>
      </c>
      <c r="D35" s="13">
        <v>4.5271402055321701E-2</v>
      </c>
      <c r="E35" s="13">
        <v>-5.3430220132506898E-3</v>
      </c>
      <c r="F35" s="13">
        <v>-5.1829584326733699E-3</v>
      </c>
      <c r="G35" s="13">
        <v>-9.5510983763132801E-3</v>
      </c>
      <c r="H35" s="13">
        <v>-1.40036409466461E-2</v>
      </c>
      <c r="I35" s="13" t="s">
        <v>44</v>
      </c>
      <c r="J35" s="13" t="s">
        <v>44</v>
      </c>
      <c r="K35" s="13" t="s">
        <v>44</v>
      </c>
      <c r="L35" s="16"/>
    </row>
    <row r="36" spans="1:12">
      <c r="A36" s="6" t="s">
        <v>325</v>
      </c>
      <c r="B36" s="6" t="s">
        <v>326</v>
      </c>
      <c r="C36" s="19">
        <v>23.080679041143199</v>
      </c>
      <c r="D36" s="19">
        <v>6.7680746072705897</v>
      </c>
      <c r="E36" s="19">
        <v>5.2842487711049397</v>
      </c>
      <c r="F36" s="19">
        <v>3.8613040323416601</v>
      </c>
      <c r="G36" s="19">
        <v>5.4393505253104104</v>
      </c>
      <c r="H36" s="19">
        <v>2.9080894365868502</v>
      </c>
      <c r="I36" s="19">
        <v>3.0354596881755</v>
      </c>
      <c r="J36" s="19">
        <v>3.73817516020751</v>
      </c>
      <c r="K36" s="19">
        <v>-0.41367298062268698</v>
      </c>
      <c r="L36" s="22">
        <v>25.287356321839098</v>
      </c>
    </row>
    <row r="37" spans="1:12">
      <c r="A37" s="10" t="s">
        <v>327</v>
      </c>
      <c r="B37" s="10" t="s">
        <v>328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23.314006713457399</v>
      </c>
      <c r="K37" s="13">
        <v>520.09579795340699</v>
      </c>
      <c r="L37" s="16">
        <v>507.84607696151897</v>
      </c>
    </row>
    <row r="38" spans="1:12">
      <c r="A38" s="10" t="s">
        <v>329</v>
      </c>
      <c r="B38" s="10" t="s">
        <v>330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23.314006713457399</v>
      </c>
      <c r="K38" s="13">
        <v>520.09579795340699</v>
      </c>
      <c r="L38" s="16">
        <v>507.84607696151897</v>
      </c>
    </row>
    <row r="39" spans="1:12">
      <c r="A39" s="10" t="s">
        <v>331</v>
      </c>
      <c r="B39" s="10" t="s">
        <v>332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6">
        <v>0</v>
      </c>
    </row>
    <row r="40" spans="1:12">
      <c r="A40" s="6" t="s">
        <v>333</v>
      </c>
      <c r="B40" s="6" t="s">
        <v>334</v>
      </c>
      <c r="C40" s="19">
        <v>23.080679041143199</v>
      </c>
      <c r="D40" s="19">
        <v>6.7680746072705897</v>
      </c>
      <c r="E40" s="19">
        <v>5.2842487711049397</v>
      </c>
      <c r="F40" s="19">
        <v>3.8613040323416601</v>
      </c>
      <c r="G40" s="19">
        <v>5.4393505253104104</v>
      </c>
      <c r="H40" s="19">
        <v>2.9080894365868502</v>
      </c>
      <c r="I40" s="19">
        <v>3.0354596881755</v>
      </c>
      <c r="J40" s="19">
        <v>-19.575831553249898</v>
      </c>
      <c r="K40" s="19">
        <v>-520.50947093402999</v>
      </c>
      <c r="L40" s="22">
        <v>-482.55872063968002</v>
      </c>
    </row>
    <row r="41" spans="1:12">
      <c r="A41" s="10" t="s">
        <v>335</v>
      </c>
      <c r="B41" s="10" t="s">
        <v>336</v>
      </c>
      <c r="C41" s="13">
        <v>0.57650332003064997</v>
      </c>
      <c r="D41" s="13">
        <v>0.67907103082982501</v>
      </c>
      <c r="E41" s="13">
        <v>0.32592434280829202</v>
      </c>
      <c r="F41" s="13">
        <v>0.378355965585156</v>
      </c>
      <c r="G41" s="13">
        <v>0.43935052531041102</v>
      </c>
      <c r="H41" s="13">
        <v>-0.42477710871493302</v>
      </c>
      <c r="I41" s="13">
        <v>9.6582808260129702E-2</v>
      </c>
      <c r="J41" s="13">
        <v>1.8309429356118401</v>
      </c>
      <c r="K41" s="13">
        <v>-1.48051382538646</v>
      </c>
      <c r="L41" s="16">
        <v>-2.4487756121938999</v>
      </c>
    </row>
    <row r="42" spans="1:12">
      <c r="A42" s="6" t="s">
        <v>337</v>
      </c>
      <c r="B42" s="6" t="s">
        <v>338</v>
      </c>
      <c r="C42" s="19">
        <v>22.504175721112599</v>
      </c>
      <c r="D42" s="19">
        <v>6.08900357644076</v>
      </c>
      <c r="E42" s="19">
        <v>4.9583244282966401</v>
      </c>
      <c r="F42" s="19">
        <v>3.4829480667564998</v>
      </c>
      <c r="G42" s="19">
        <v>5</v>
      </c>
      <c r="H42" s="19">
        <v>3.3328665453017798</v>
      </c>
      <c r="I42" s="19">
        <v>2.9388768799153699</v>
      </c>
      <c r="J42" s="19">
        <v>-21.406774488861799</v>
      </c>
      <c r="K42" s="19">
        <v>-519.02895710864402</v>
      </c>
      <c r="L42" s="22">
        <v>-480.10994502748599</v>
      </c>
    </row>
    <row r="43" spans="1:12">
      <c r="A43" s="10" t="s">
        <v>339</v>
      </c>
      <c r="B43" s="10" t="s">
        <v>340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6">
        <v>0</v>
      </c>
    </row>
    <row r="44" spans="1:12">
      <c r="A44" s="10" t="s">
        <v>341</v>
      </c>
      <c r="B44" s="10" t="s">
        <v>342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6">
        <v>0</v>
      </c>
    </row>
    <row r="45" spans="1:12">
      <c r="A45" s="6" t="s">
        <v>343</v>
      </c>
      <c r="B45" s="6" t="s">
        <v>48</v>
      </c>
      <c r="C45" s="19">
        <v>22.504175721112599</v>
      </c>
      <c r="D45" s="19">
        <v>6.08900357644076</v>
      </c>
      <c r="E45" s="19">
        <v>4.9583244282966401</v>
      </c>
      <c r="F45" s="19">
        <v>3.4829480667564998</v>
      </c>
      <c r="G45" s="19">
        <v>5</v>
      </c>
      <c r="H45" s="19">
        <v>3.3328665453017798</v>
      </c>
      <c r="I45" s="19">
        <v>2.9388768799153699</v>
      </c>
      <c r="J45" s="19">
        <v>-21.406774488861799</v>
      </c>
      <c r="K45" s="19">
        <v>-519.02895710864402</v>
      </c>
      <c r="L45" s="22">
        <v>-480.10994502748599</v>
      </c>
    </row>
    <row r="46" spans="1:12">
      <c r="A46" s="6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1"/>
    </row>
    <row r="47" spans="1:12">
      <c r="A47" s="10" t="s">
        <v>345</v>
      </c>
      <c r="B47" s="10" t="s">
        <v>346</v>
      </c>
      <c r="C47" s="13">
        <v>0.309450047256352</v>
      </c>
      <c r="D47" s="13">
        <v>-1.18646725519489</v>
      </c>
      <c r="E47" s="13">
        <v>1.2271318657832899</v>
      </c>
      <c r="F47" s="13">
        <v>-1.7106354307038499E-2</v>
      </c>
      <c r="G47" s="13">
        <v>3.4675740210124199E-2</v>
      </c>
      <c r="H47" s="13">
        <v>-9.7674462026793599E-2</v>
      </c>
      <c r="I47" s="13">
        <v>-0.64659200662282101</v>
      </c>
      <c r="J47" s="13">
        <v>0</v>
      </c>
      <c r="K47" s="13">
        <v>0</v>
      </c>
      <c r="L47" s="16">
        <v>0</v>
      </c>
    </row>
    <row r="48" spans="1:12">
      <c r="A48" s="10" t="s">
        <v>347</v>
      </c>
      <c r="B48" s="10" t="s">
        <v>328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23.314006713457399</v>
      </c>
      <c r="K48" s="13">
        <v>520.09579795340699</v>
      </c>
      <c r="L48" s="16">
        <v>507.84607696151897</v>
      </c>
    </row>
    <row r="49" spans="1:12">
      <c r="A49" s="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1"/>
    </row>
    <row r="50" spans="1:12">
      <c r="A50" s="10" t="s">
        <v>212</v>
      </c>
      <c r="B50" s="10" t="s">
        <v>71</v>
      </c>
      <c r="C50" s="13">
        <v>0.99783509394465997</v>
      </c>
      <c r="D50" s="13">
        <v>0.93441390782742495</v>
      </c>
      <c r="E50" s="13">
        <v>1.1028141061124199</v>
      </c>
      <c r="F50" s="13">
        <v>1.0697765528143499</v>
      </c>
      <c r="G50" s="13">
        <v>0.98568618958930299</v>
      </c>
      <c r="H50" s="13">
        <v>1.0894388591700499</v>
      </c>
      <c r="I50" s="13">
        <v>1.13494032332245</v>
      </c>
      <c r="J50" s="13">
        <v>3.7651827052181899</v>
      </c>
      <c r="K50" s="13">
        <v>5.6234882408012199</v>
      </c>
      <c r="L50" s="16">
        <v>6.9115442278860604</v>
      </c>
    </row>
    <row r="51" spans="1:12">
      <c r="A51" s="6" t="s">
        <v>66</v>
      </c>
      <c r="B51" s="6" t="s">
        <v>67</v>
      </c>
      <c r="C51" s="19">
        <v>1.0903043985873899E-2</v>
      </c>
      <c r="D51" s="19">
        <v>2.9500602109647301E-3</v>
      </c>
      <c r="E51" s="19">
        <v>2.40435990596281E-3</v>
      </c>
      <c r="F51" s="19">
        <v>1.6896444490515201E-3</v>
      </c>
      <c r="G51" s="19">
        <v>2.42120343839542E-3</v>
      </c>
      <c r="H51" s="19">
        <v>1.42370349624236E-3</v>
      </c>
      <c r="I51" s="19">
        <v>1.1911879685416E-3</v>
      </c>
      <c r="J51" s="19">
        <v>-8.6747848642050596E-3</v>
      </c>
      <c r="K51" s="19">
        <v>-0.20095062050947099</v>
      </c>
      <c r="L51" s="22">
        <v>-0.186309232883558</v>
      </c>
    </row>
    <row r="52" spans="1:12">
      <c r="A52" s="6" t="s">
        <v>348</v>
      </c>
      <c r="B52" s="6" t="s">
        <v>219</v>
      </c>
      <c r="C52" s="19">
        <v>1.0903043985873899E-2</v>
      </c>
      <c r="D52" s="19">
        <v>2.9500602109647301E-3</v>
      </c>
      <c r="E52" s="19">
        <v>2.40435990596281E-3</v>
      </c>
      <c r="F52" s="19">
        <v>1.6896444490515201E-3</v>
      </c>
      <c r="G52" s="19">
        <v>2.42120343839542E-3</v>
      </c>
      <c r="H52" s="19">
        <v>1.42370349624236E-3</v>
      </c>
      <c r="I52" s="19">
        <v>1.1911879685416E-3</v>
      </c>
      <c r="J52" s="19">
        <v>7.7287763198046996E-4</v>
      </c>
      <c r="K52" s="19">
        <v>4.1304593947311097E-4</v>
      </c>
      <c r="L52" s="22">
        <v>1.0042611194402799E-2</v>
      </c>
    </row>
    <row r="53" spans="1:12">
      <c r="A53" s="6" t="s">
        <v>349</v>
      </c>
      <c r="B53" s="6" t="s">
        <v>221</v>
      </c>
      <c r="C53" s="19">
        <v>1.1052969173388501E-2</v>
      </c>
      <c r="D53" s="19">
        <v>2.3752288469373901E-3</v>
      </c>
      <c r="E53" s="19">
        <v>2.9967904466766402E-3</v>
      </c>
      <c r="F53" s="19">
        <v>1.6791650253965E-3</v>
      </c>
      <c r="G53" s="19">
        <v>2.4392492836676199E-3</v>
      </c>
      <c r="H53" s="19">
        <v>1.38617140456519E-3</v>
      </c>
      <c r="I53" s="19">
        <v>9.2891505312054496E-4</v>
      </c>
      <c r="J53" s="19">
        <v>7.7287763198046996E-4</v>
      </c>
      <c r="K53" s="19">
        <v>4.1304593947311097E-4</v>
      </c>
      <c r="L53" s="22">
        <v>1.0042611194402799E-2</v>
      </c>
    </row>
    <row r="54" spans="1:12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1"/>
    </row>
    <row r="55" spans="1:12">
      <c r="A55" s="10" t="s">
        <v>211</v>
      </c>
      <c r="B55" s="10" t="s">
        <v>73</v>
      </c>
      <c r="C55" s="13">
        <v>1.04092850343606</v>
      </c>
      <c r="D55" s="13">
        <v>0.974768352573679</v>
      </c>
      <c r="E55" s="13">
        <v>1.12419690959607</v>
      </c>
      <c r="F55" s="13">
        <v>1.0697765528143499</v>
      </c>
      <c r="G55" s="13">
        <v>0.98568618958930299</v>
      </c>
      <c r="H55" s="13">
        <v>1.0894388591700499</v>
      </c>
      <c r="I55" s="13">
        <v>1.13494032332245</v>
      </c>
      <c r="J55" s="13">
        <v>3.7651827052181899</v>
      </c>
      <c r="K55" s="13">
        <v>5.6234882408012199</v>
      </c>
      <c r="L55" s="16">
        <v>6.9115442278860604</v>
      </c>
    </row>
    <row r="56" spans="1:12">
      <c r="A56" s="6" t="s">
        <v>68</v>
      </c>
      <c r="B56" s="6" t="s">
        <v>69</v>
      </c>
      <c r="C56" s="19">
        <v>1.0451668717262001E-2</v>
      </c>
      <c r="D56" s="19">
        <v>2.8279306442120498E-3</v>
      </c>
      <c r="E56" s="19">
        <v>2.3562727078435602E-3</v>
      </c>
      <c r="F56" s="19">
        <v>1.6896444490515201E-3</v>
      </c>
      <c r="G56" s="19">
        <v>2.42120343839542E-3</v>
      </c>
      <c r="H56" s="19">
        <v>1.42370349624236E-3</v>
      </c>
      <c r="I56" s="19">
        <v>1.1911879685416E-3</v>
      </c>
      <c r="J56" s="19">
        <v>-8.6747848642050596E-3</v>
      </c>
      <c r="K56" s="19">
        <v>-0.20095062050947099</v>
      </c>
      <c r="L56" s="22">
        <v>-0.186309232883558</v>
      </c>
    </row>
    <row r="57" spans="1:12">
      <c r="A57" s="6" t="s">
        <v>350</v>
      </c>
      <c r="B57" s="6" t="s">
        <v>224</v>
      </c>
      <c r="C57" s="19">
        <v>1.0451668717262001E-2</v>
      </c>
      <c r="D57" s="19">
        <v>2.8279306442120498E-3</v>
      </c>
      <c r="E57" s="19">
        <v>2.3562727078435602E-3</v>
      </c>
      <c r="F57" s="19">
        <v>1.6896444490515201E-3</v>
      </c>
      <c r="G57" s="19">
        <v>2.42120343839542E-3</v>
      </c>
      <c r="H57" s="19">
        <v>1.42370349624236E-3</v>
      </c>
      <c r="I57" s="19">
        <v>1.1911879685416E-3</v>
      </c>
      <c r="J57" s="19">
        <v>7.7287763198046996E-4</v>
      </c>
      <c r="K57" s="19">
        <v>4.1304593947311097E-4</v>
      </c>
      <c r="L57" s="22">
        <v>1.0042611194402799E-2</v>
      </c>
    </row>
    <row r="58" spans="1:12">
      <c r="A58" s="6" t="s">
        <v>351</v>
      </c>
      <c r="B58" s="6" t="s">
        <v>50</v>
      </c>
      <c r="C58" s="19">
        <v>1.05953874899988E-2</v>
      </c>
      <c r="D58" s="19">
        <v>2.2768966453891098E-3</v>
      </c>
      <c r="E58" s="19">
        <v>2.9394972216285498E-3</v>
      </c>
      <c r="F58" s="19">
        <v>1.6791650253965E-3</v>
      </c>
      <c r="G58" s="19">
        <v>2.4392492836676199E-3</v>
      </c>
      <c r="H58" s="19">
        <v>1.38617140456519E-3</v>
      </c>
      <c r="I58" s="19">
        <v>9.2891505312054496E-4</v>
      </c>
      <c r="J58" s="19">
        <v>7.7287763198046996E-4</v>
      </c>
      <c r="K58" s="19">
        <v>4.1304593947311097E-4</v>
      </c>
      <c r="L58" s="22">
        <v>1.0042611194402799E-2</v>
      </c>
    </row>
    <row r="59" spans="1:12">
      <c r="A59" s="6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1"/>
    </row>
    <row r="60" spans="1:12">
      <c r="A60" s="6" t="s">
        <v>2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1"/>
    </row>
    <row r="61" spans="1:12">
      <c r="A61" s="10" t="s">
        <v>352</v>
      </c>
      <c r="B61" s="10" t="s">
        <v>353</v>
      </c>
      <c r="C61" s="12" t="s">
        <v>354</v>
      </c>
      <c r="D61" s="12" t="s">
        <v>354</v>
      </c>
      <c r="E61" s="12" t="s">
        <v>354</v>
      </c>
      <c r="F61" s="12" t="s">
        <v>354</v>
      </c>
      <c r="G61" s="12" t="s">
        <v>354</v>
      </c>
      <c r="H61" s="12" t="s">
        <v>354</v>
      </c>
      <c r="I61" s="12" t="s">
        <v>354</v>
      </c>
      <c r="J61" s="12" t="s">
        <v>354</v>
      </c>
      <c r="K61" s="12" t="s">
        <v>354</v>
      </c>
      <c r="L61" s="15"/>
    </row>
    <row r="62" spans="1:12">
      <c r="A62" s="10" t="s">
        <v>46</v>
      </c>
      <c r="B62" s="10" t="s">
        <v>46</v>
      </c>
      <c r="C62" s="13">
        <v>35.269433721455798</v>
      </c>
      <c r="D62" s="13">
        <v>37.919688532753902</v>
      </c>
      <c r="E62" s="13">
        <v>32.939730711690501</v>
      </c>
      <c r="F62" s="13">
        <v>30.947444801492701</v>
      </c>
      <c r="G62" s="13">
        <v>32.120343839541498</v>
      </c>
      <c r="H62" s="13">
        <v>33.6554170751062</v>
      </c>
      <c r="I62" s="13">
        <v>33.463643471462099</v>
      </c>
      <c r="J62" s="13">
        <v>71.116875190723206</v>
      </c>
      <c r="K62" s="13">
        <v>67.711735249292403</v>
      </c>
      <c r="L62" s="16">
        <v>12.893553223388301</v>
      </c>
    </row>
    <row r="63" spans="1:12">
      <c r="A63" s="10" t="s">
        <v>355</v>
      </c>
      <c r="B63" s="10" t="s">
        <v>356</v>
      </c>
      <c r="C63" s="13">
        <v>1.7050688299037199E-2</v>
      </c>
      <c r="D63" s="13">
        <v>1.7166774865317602E-2</v>
      </c>
      <c r="E63" s="13">
        <v>1.7599770784355599E-2</v>
      </c>
      <c r="F63" s="13">
        <v>1.60399321032445E-2</v>
      </c>
      <c r="G63" s="13">
        <v>1.53392282712512E-2</v>
      </c>
      <c r="H63" s="13">
        <v>1.5709945852588302E-2</v>
      </c>
      <c r="I63" s="13">
        <v>1.53905362645449E-2</v>
      </c>
      <c r="J63" s="13">
        <v>0.10850911657003399</v>
      </c>
      <c r="K63" s="13">
        <v>0.147423764424124</v>
      </c>
      <c r="L63" s="16">
        <v>3.2217774171385098E-2</v>
      </c>
    </row>
    <row r="64" spans="1:12">
      <c r="A64" s="10" t="s">
        <v>357</v>
      </c>
      <c r="B64" s="10" t="s">
        <v>357</v>
      </c>
      <c r="C64" s="13">
        <v>21.420784576300299</v>
      </c>
      <c r="D64" s="13">
        <v>20.970075603241401</v>
      </c>
      <c r="E64" s="13">
        <v>24.193203675999101</v>
      </c>
      <c r="F64" s="13">
        <v>21.058360111951899</v>
      </c>
      <c r="G64" s="13" t="s">
        <v>44</v>
      </c>
      <c r="H64" s="13" t="s">
        <v>44</v>
      </c>
      <c r="I64" s="13" t="s">
        <v>44</v>
      </c>
      <c r="J64" s="13" t="s">
        <v>44</v>
      </c>
      <c r="K64" s="13" t="s">
        <v>44</v>
      </c>
      <c r="L64" s="16"/>
    </row>
    <row r="65" spans="1:12">
      <c r="A65" s="10" t="s">
        <v>102</v>
      </c>
      <c r="B65" s="10" t="s">
        <v>102</v>
      </c>
      <c r="C65" s="13">
        <v>17.157270589145298</v>
      </c>
      <c r="D65" s="13">
        <v>8.4751686359726595</v>
      </c>
      <c r="E65" s="13">
        <v>11.685189142979301</v>
      </c>
      <c r="F65" s="13">
        <v>11.0189696278636</v>
      </c>
      <c r="G65" s="13">
        <v>10.4632282712512</v>
      </c>
      <c r="H65" s="13">
        <v>15.8381179106568</v>
      </c>
      <c r="I65" s="13">
        <v>12.840914317251499</v>
      </c>
      <c r="J65" s="13">
        <v>6.7134574305767503</v>
      </c>
      <c r="K65" s="13">
        <v>5.2906596995427799</v>
      </c>
      <c r="L65" s="16">
        <v>-7.0214892553723098</v>
      </c>
    </row>
    <row r="66" spans="1:12">
      <c r="A66" s="10" t="s">
        <v>358</v>
      </c>
      <c r="B66" s="10" t="s">
        <v>359</v>
      </c>
      <c r="C66" s="13">
        <v>8.2945272068474605E-3</v>
      </c>
      <c r="D66" s="13">
        <v>3.8368278328579802E-3</v>
      </c>
      <c r="E66" s="13">
        <v>6.2434222055994899E-3</v>
      </c>
      <c r="F66" s="13">
        <v>5.71108634808749E-3</v>
      </c>
      <c r="G66" s="13">
        <v>4.9967659980897803E-3</v>
      </c>
      <c r="H66" s="13">
        <v>7.3930439247537703E-3</v>
      </c>
      <c r="I66" s="13">
        <v>5.90576921308007E-3</v>
      </c>
      <c r="J66" s="13">
        <v>1.02432972230699E-2</v>
      </c>
      <c r="K66" s="13">
        <v>1.15189636403222E-2</v>
      </c>
      <c r="L66" s="16">
        <v>-1.7544950663099201E-2</v>
      </c>
    </row>
    <row r="67" spans="1:12">
      <c r="A67" s="10" t="s">
        <v>360</v>
      </c>
      <c r="B67" s="10" t="s">
        <v>361</v>
      </c>
      <c r="C67" s="13">
        <v>1.10290407806604E-2</v>
      </c>
      <c r="D67" s="13">
        <v>2.2194467834668798E-3</v>
      </c>
      <c r="E67" s="13">
        <v>3.3049027569993601E-3</v>
      </c>
      <c r="F67" s="13">
        <v>1.79633150202135E-3</v>
      </c>
      <c r="G67" s="13">
        <v>2.4043342884431701E-3</v>
      </c>
      <c r="H67" s="13">
        <v>1.5101489053820701E-3</v>
      </c>
      <c r="I67" s="13">
        <v>1.0542634411074799E-3</v>
      </c>
      <c r="J67" s="13">
        <v>2.91002746414403E-3</v>
      </c>
      <c r="K67" s="13">
        <v>2.3227541911604601E-3</v>
      </c>
      <c r="L67" s="16">
        <v>6.9305676996584201E-2</v>
      </c>
    </row>
    <row r="68" spans="1:12">
      <c r="A68" s="10" t="s">
        <v>362</v>
      </c>
      <c r="B68" s="10" t="s">
        <v>363</v>
      </c>
      <c r="C68" s="13">
        <v>3228.5142377475499</v>
      </c>
      <c r="D68" s="13">
        <v>3563.15695706415</v>
      </c>
      <c r="E68" s="13">
        <v>4088.30744071971</v>
      </c>
      <c r="F68" s="13">
        <v>5361.0679247304897</v>
      </c>
      <c r="G68" s="13" t="s">
        <v>44</v>
      </c>
      <c r="H68" s="13" t="s">
        <v>44</v>
      </c>
      <c r="I68" s="13" t="s">
        <v>44</v>
      </c>
      <c r="J68" s="13" t="s">
        <v>44</v>
      </c>
      <c r="K68" s="13" t="s">
        <v>44</v>
      </c>
      <c r="L68" s="16"/>
    </row>
    <row r="69" spans="1:12">
      <c r="A69" s="10" t="s">
        <v>364</v>
      </c>
      <c r="B69" s="10" t="s">
        <v>227</v>
      </c>
      <c r="C69" s="13">
        <v>4.1092479834469798E-4</v>
      </c>
      <c r="D69" s="13">
        <v>2.2635701027660799E-4</v>
      </c>
      <c r="E69" s="13">
        <v>1.33575550331267E-4</v>
      </c>
      <c r="F69" s="13">
        <v>1.2957396081683399E-4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6"/>
    </row>
    <row r="70" spans="1:12">
      <c r="A70" s="10" t="s">
        <v>365</v>
      </c>
      <c r="B70" s="10" t="s">
        <v>366</v>
      </c>
      <c r="C70" s="13">
        <v>0.84814878378345704</v>
      </c>
      <c r="D70" s="13">
        <v>0.46629544116981297</v>
      </c>
      <c r="E70" s="13">
        <v>0.27783714468903598</v>
      </c>
      <c r="F70" s="13">
        <v>0.269513838499015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6"/>
    </row>
    <row r="71" spans="1:12">
      <c r="A71" s="10" t="s">
        <v>367</v>
      </c>
      <c r="B71" s="10" t="s">
        <v>368</v>
      </c>
      <c r="C71" s="13">
        <v>7.2519524970933098</v>
      </c>
      <c r="D71" s="13">
        <v>6.6503689619267501</v>
      </c>
      <c r="E71" s="13">
        <v>6.8550972430006398</v>
      </c>
      <c r="F71" s="13">
        <v>6.1625375764486403</v>
      </c>
      <c r="G71" s="13">
        <v>4.8949379178605499</v>
      </c>
      <c r="H71" s="13">
        <v>4.6585445549176097</v>
      </c>
      <c r="I71" s="13">
        <v>5.1510831072069196</v>
      </c>
      <c r="J71" s="13">
        <v>6.7439731461702799</v>
      </c>
      <c r="K71" s="13">
        <v>9.29675593294143</v>
      </c>
      <c r="L71" s="16">
        <v>11.5692153923038</v>
      </c>
    </row>
    <row r="72" spans="1:12">
      <c r="A72" s="10" t="s">
        <v>369</v>
      </c>
      <c r="B72" s="10" t="s">
        <v>370</v>
      </c>
      <c r="C72" s="13" t="s">
        <v>44</v>
      </c>
      <c r="D72" s="13" t="s">
        <v>44</v>
      </c>
      <c r="E72" s="13">
        <v>5.3376789912374401</v>
      </c>
      <c r="F72" s="13" t="s">
        <v>44</v>
      </c>
      <c r="G72" s="13" t="s">
        <v>44</v>
      </c>
      <c r="H72" s="13" t="s">
        <v>44</v>
      </c>
      <c r="I72" s="13" t="s">
        <v>44</v>
      </c>
      <c r="J72" s="13" t="s">
        <v>44</v>
      </c>
      <c r="K72" s="13" t="s">
        <v>44</v>
      </c>
      <c r="L72" s="16"/>
    </row>
    <row r="73" spans="1:12">
      <c r="A73" s="10" t="s">
        <v>371</v>
      </c>
      <c r="B73" s="10" t="s">
        <v>372</v>
      </c>
      <c r="C73" s="13">
        <v>13.8486491451556</v>
      </c>
      <c r="D73" s="13">
        <v>16.949612929512401</v>
      </c>
      <c r="E73" s="13">
        <v>8.7465270356913898</v>
      </c>
      <c r="F73" s="13">
        <v>9.8890846895407893</v>
      </c>
      <c r="G73" s="13" t="s">
        <v>44</v>
      </c>
      <c r="H73" s="13" t="s">
        <v>44</v>
      </c>
      <c r="I73" s="13" t="s">
        <v>44</v>
      </c>
      <c r="J73" s="13" t="s">
        <v>44</v>
      </c>
      <c r="K73" s="13" t="s">
        <v>44</v>
      </c>
      <c r="L73" s="16"/>
    </row>
    <row r="74" spans="1:12">
      <c r="A74" s="10" t="s">
        <v>373</v>
      </c>
      <c r="B74" s="10" t="s">
        <v>374</v>
      </c>
      <c r="C74" s="13">
        <v>1.90968839814262</v>
      </c>
      <c r="D74" s="13">
        <v>1.548281950292</v>
      </c>
      <c r="E74" s="13">
        <v>1.62427869202821</v>
      </c>
      <c r="F74" s="13">
        <v>1.8865968694931099</v>
      </c>
      <c r="G74" s="13">
        <v>1.0744985673352401</v>
      </c>
      <c r="H74" s="13">
        <v>0.98492274658077805</v>
      </c>
      <c r="I74" s="13">
        <v>0.36793450765763702</v>
      </c>
      <c r="J74" s="13">
        <v>0.38144644491913299</v>
      </c>
      <c r="K74" s="13">
        <v>1.7200087089048599</v>
      </c>
      <c r="L74" s="16"/>
    </row>
    <row r="75" spans="1:12">
      <c r="A75" s="7" t="s">
        <v>57</v>
      </c>
      <c r="B75" s="7"/>
      <c r="C75" s="7" t="s">
        <v>3</v>
      </c>
      <c r="D75" s="7"/>
      <c r="E75" s="7"/>
      <c r="F75" s="7"/>
      <c r="G75" s="7"/>
      <c r="H75" s="7"/>
      <c r="I75" s="7"/>
      <c r="J75" s="7"/>
      <c r="K75" s="7"/>
      <c r="L75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L70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686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209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</row>
    <row r="6" spans="1:12">
      <c r="A6" s="6" t="s">
        <v>0</v>
      </c>
      <c r="B6" s="6" t="s">
        <v>38</v>
      </c>
      <c r="C6" s="19">
        <f>_xll.BDH("RCOM IN Equity","SALES_REV_TURN","FY 2010","FY 2010","Currency=INR","Period=FY","BEST_FPERIOD_OVERRIDE=FY","FILING_STATUS=MR","EQY_CONSOLIDATED=Y","SCALING_FORMAT=MLN","FA_ADJUSTED=GAAP","Sort=A","Dates=H","DateFormat=P","Fill=—","Direction=H","UseDPDF=Y")</f>
        <v>206850.5</v>
      </c>
      <c r="D6" s="19">
        <f>_xll.BDH("RCOM IN Equity","SALES_REV_TURN","FY 2011","FY 2011","Currency=INR","Period=FY","BEST_FPERIOD_OVERRIDE=FY","FILING_STATUS=MR","EQY_CONSOLIDATED=Y","SCALING_FORMAT=MLN","FA_ADJUSTED=GAAP","Sort=A","Dates=H","DateFormat=P","Fill=—","Direction=H","UseDPDF=Y")</f>
        <v>220890</v>
      </c>
      <c r="E6" s="19">
        <f>_xll.BDH("RCOM IN Equity","SALES_REV_TURN","FY 2012","FY 2012","Currency=INR","Period=FY","BEST_FPERIOD_OVERRIDE=FY","FILING_STATUS=MR","EQY_CONSOLIDATED=Y","SCALING_FORMAT=MLN","FA_ADJUSTED=GAAP","Sort=A","Dates=H","DateFormat=P","Fill=—","Direction=H","UseDPDF=Y")</f>
        <v>187160</v>
      </c>
      <c r="F6" s="19">
        <f>_xll.BDH("RCOM IN Equity","SALES_REV_TURN","FY 2013","FY 2013","Currency=INR","Period=FY","BEST_FPERIOD_OVERRIDE=FY","FILING_STATUS=MR","EQY_CONSOLIDATED=Y","SCALING_FORMAT=MLN","FA_ADJUSTED=GAAP","Sort=A","Dates=H","DateFormat=P","Fill=—","Direction=H","UseDPDF=Y")</f>
        <v>192940</v>
      </c>
      <c r="G6" s="19">
        <f>_xll.BDH("RCOM IN Equity","SALES_REV_TURN","FY 2014","FY 2014","Currency=INR","Period=FY","BEST_FPERIOD_OVERRIDE=FY","FILING_STATUS=MR","EQY_CONSOLIDATED=Y","SCALING_FORMAT=MLN","FA_ADJUSTED=GAAP","Sort=A","Dates=H","DateFormat=P","Fill=—","Direction=H","UseDPDF=Y")</f>
        <v>209400</v>
      </c>
      <c r="H6" s="19">
        <f>_xll.BDH("RCOM IN Equity","SALES_REV_TURN","FY 2015","FY 2015","Currency=INR","Period=FY","BEST_FPERIOD_OVERRIDE=FY","FILING_STATUS=MR","EQY_CONSOLIDATED=Y","SCALING_FORMAT=MLN","FA_ADJUSTED=GAAP","Sort=A","Dates=H","DateFormat=P","Fill=—","Direction=H","UseDPDF=Y")</f>
        <v>214230</v>
      </c>
      <c r="I6" s="19">
        <f>_xll.BDH("RCOM IN Equity","SALES_REV_TURN","FY 2016","FY 2016","Currency=INR","Period=FY","BEST_FPERIOD_OVERRIDE=FY","FILING_STATUS=MR","EQY_CONSOLIDATED=Y","SCALING_FORMAT=MLN","FA_ADJUSTED=GAAP","Sort=A","Dates=H","DateFormat=P","Fill=—","Direction=H","UseDPDF=Y")</f>
        <v>217430</v>
      </c>
      <c r="J6" s="19">
        <f>_xll.BDH("RCOM IN Equity","SALES_REV_TURN","FY 2017","FY 2017","Currency=INR","Period=FY","BEST_FPERIOD_OVERRIDE=FY","FILING_STATUS=MR","EQY_CONSOLIDATED=Y","SCALING_FORMAT=MLN","FA_ADJUSTED=GAAP","Sort=A","Dates=H","DateFormat=P","Fill=—","Direction=H","UseDPDF=Y")</f>
        <v>65540</v>
      </c>
      <c r="K6" s="19">
        <f>_xll.BDH("RCOM IN Equity","SALES_REV_TURN","FY 2018","FY 2018","Currency=INR","Period=FY","BEST_FPERIOD_OVERRIDE=FY","FILING_STATUS=MR","EQY_CONSOLIDATED=Y","SCALING_FORMAT=MLN","FA_ADJUSTED=GAAP","Sort=A","Dates=H","DateFormat=P","Fill=—","Direction=H","UseDPDF=Y")</f>
        <v>45930</v>
      </c>
      <c r="L6" s="22">
        <v>40020</v>
      </c>
    </row>
    <row r="7" spans="1:12">
      <c r="A7" s="10" t="s">
        <v>250</v>
      </c>
      <c r="B7" s="10" t="s">
        <v>251</v>
      </c>
      <c r="C7" s="13">
        <v>100</v>
      </c>
      <c r="D7" s="13">
        <v>100</v>
      </c>
      <c r="E7" s="13">
        <v>100</v>
      </c>
      <c r="F7" s="13">
        <v>100</v>
      </c>
      <c r="G7" s="13">
        <v>100</v>
      </c>
      <c r="H7" s="13">
        <v>100</v>
      </c>
      <c r="I7" s="13">
        <v>100</v>
      </c>
      <c r="J7" s="13">
        <v>100</v>
      </c>
      <c r="K7" s="13">
        <v>100</v>
      </c>
      <c r="L7" s="16">
        <v>100</v>
      </c>
    </row>
    <row r="8" spans="1:12">
      <c r="A8" s="10" t="s">
        <v>258</v>
      </c>
      <c r="B8" s="10" t="s">
        <v>259</v>
      </c>
      <c r="C8" s="13">
        <v>3.9223013722471101</v>
      </c>
      <c r="D8" s="13">
        <v>1.548281950292</v>
      </c>
      <c r="E8" s="13">
        <v>5.1346441547339197</v>
      </c>
      <c r="F8" s="13">
        <v>6.5668083341971597</v>
      </c>
      <c r="G8" s="13">
        <v>1.42311365807068</v>
      </c>
      <c r="H8" s="13">
        <v>1.6197544694954</v>
      </c>
      <c r="I8" s="13">
        <v>0.97042726394701795</v>
      </c>
      <c r="J8" s="13">
        <v>1.80042722001831</v>
      </c>
      <c r="K8" s="13">
        <v>3.44001741780971</v>
      </c>
      <c r="L8" s="16">
        <v>4.99750124937531E-2</v>
      </c>
    </row>
    <row r="9" spans="1:12">
      <c r="A9" s="10" t="s">
        <v>260</v>
      </c>
      <c r="B9" s="10" t="s">
        <v>261</v>
      </c>
      <c r="C9" s="13">
        <v>88.246583885463195</v>
      </c>
      <c r="D9" s="13">
        <v>93.073475485535795</v>
      </c>
      <c r="E9" s="13">
        <v>95.426373156657405</v>
      </c>
      <c r="F9" s="13">
        <v>95.703327459313797</v>
      </c>
      <c r="G9" s="13">
        <v>91.055396370582599</v>
      </c>
      <c r="H9" s="13">
        <v>85.800308080100805</v>
      </c>
      <c r="I9" s="13">
        <v>88.203099848226998</v>
      </c>
      <c r="J9" s="13">
        <v>95.086969789441596</v>
      </c>
      <c r="K9" s="13">
        <v>98.149357718266899</v>
      </c>
      <c r="L9" s="16">
        <v>107.07146426786601</v>
      </c>
    </row>
    <row r="10" spans="1:12">
      <c r="A10" s="10" t="s">
        <v>262</v>
      </c>
      <c r="B10" s="10" t="s">
        <v>263</v>
      </c>
      <c r="C10" s="13">
        <v>16.120628183156398</v>
      </c>
      <c r="D10" s="13">
        <v>14.061297478382899</v>
      </c>
      <c r="E10" s="13">
        <v>15.473391750374001</v>
      </c>
      <c r="F10" s="13">
        <v>15.3104592101171</v>
      </c>
      <c r="G10" s="13">
        <v>13.0420248328558</v>
      </c>
      <c r="H10" s="13">
        <v>12.0944778975867</v>
      </c>
      <c r="I10" s="13">
        <v>9.6444832819758108</v>
      </c>
      <c r="J10" s="13">
        <v>9.6734818431492204</v>
      </c>
      <c r="K10" s="13">
        <v>11.561071195297201</v>
      </c>
      <c r="L10" s="16"/>
    </row>
    <row r="11" spans="1:12">
      <c r="A11" s="11" t="s">
        <v>264</v>
      </c>
      <c r="B11" s="11" t="s">
        <v>265</v>
      </c>
      <c r="C11" s="25">
        <v>10.876889347620599</v>
      </c>
      <c r="D11" s="25">
        <v>9.5251029924396793</v>
      </c>
      <c r="E11" s="25">
        <v>10.6272707843556</v>
      </c>
      <c r="F11" s="25">
        <v>9.6092049341764305</v>
      </c>
      <c r="G11" s="25">
        <v>7.3686723973256898</v>
      </c>
      <c r="H11" s="25">
        <v>7.8186995285440899</v>
      </c>
      <c r="I11" s="25">
        <v>8.1773444326909797</v>
      </c>
      <c r="J11" s="25">
        <v>1.23588648153799</v>
      </c>
      <c r="K11" s="25">
        <v>0.84911822338341003</v>
      </c>
      <c r="L11" s="28"/>
    </row>
    <row r="12" spans="1:12">
      <c r="A12" s="11" t="s">
        <v>266</v>
      </c>
      <c r="B12" s="11" t="s">
        <v>267</v>
      </c>
      <c r="C12" s="25">
        <v>5.2437388355358099</v>
      </c>
      <c r="D12" s="25">
        <v>4.5361944859432297</v>
      </c>
      <c r="E12" s="25">
        <v>4.8461209660183799</v>
      </c>
      <c r="F12" s="25">
        <v>5.7012542759407099</v>
      </c>
      <c r="G12" s="25">
        <v>5.6733524355300897</v>
      </c>
      <c r="H12" s="25">
        <v>4.2757783690426203</v>
      </c>
      <c r="I12" s="25">
        <v>1.4671388492848301</v>
      </c>
      <c r="J12" s="25">
        <v>8.4375953616112298</v>
      </c>
      <c r="K12" s="25">
        <v>10.711952971913799</v>
      </c>
      <c r="L12" s="28"/>
    </row>
    <row r="13" spans="1:12">
      <c r="A13" s="10" t="s">
        <v>268</v>
      </c>
      <c r="B13" s="10" t="s">
        <v>377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6"/>
    </row>
    <row r="14" spans="1:12">
      <c r="A14" s="10" t="s">
        <v>270</v>
      </c>
      <c r="B14" s="10" t="s">
        <v>271</v>
      </c>
      <c r="C14" s="13">
        <v>16.637909988131501</v>
      </c>
      <c r="D14" s="13">
        <v>29.444519896781198</v>
      </c>
      <c r="E14" s="13">
        <v>19.2776234238085</v>
      </c>
      <c r="F14" s="13">
        <v>19.928475173629099</v>
      </c>
      <c r="G14" s="13">
        <v>21.657115568290401</v>
      </c>
      <c r="H14" s="13">
        <v>17.817299164449398</v>
      </c>
      <c r="I14" s="13">
        <v>20.622729154210599</v>
      </c>
      <c r="J14" s="13">
        <v>12.526701251144299</v>
      </c>
      <c r="K14" s="13">
        <v>15.6978010015241</v>
      </c>
      <c r="L14" s="16">
        <v>19.915042478760601</v>
      </c>
    </row>
    <row r="15" spans="1:12">
      <c r="A15" s="10" t="s">
        <v>272</v>
      </c>
      <c r="B15" s="10" t="s">
        <v>273</v>
      </c>
      <c r="C15" s="13">
        <v>0.95856669430337405</v>
      </c>
      <c r="D15" s="13">
        <v>0.76508669473493596</v>
      </c>
      <c r="E15" s="13">
        <v>0.32592434280829202</v>
      </c>
      <c r="F15" s="13">
        <v>0.55975951072872399</v>
      </c>
      <c r="G15" s="13">
        <v>1.3801337153772699</v>
      </c>
      <c r="H15" s="13">
        <v>0.54147411660364997</v>
      </c>
      <c r="I15" s="13">
        <v>0.625488663017983</v>
      </c>
      <c r="J15" s="13">
        <v>1.3426914861153501</v>
      </c>
      <c r="K15" s="13">
        <v>0.979751796211626</v>
      </c>
      <c r="L15" s="16"/>
    </row>
    <row r="16" spans="1:12">
      <c r="A16" s="10" t="s">
        <v>274</v>
      </c>
      <c r="B16" s="10" t="s">
        <v>378</v>
      </c>
      <c r="C16" s="13">
        <v>54.5294790198718</v>
      </c>
      <c r="D16" s="13">
        <v>48.802571415636699</v>
      </c>
      <c r="E16" s="13">
        <v>60.3494336396666</v>
      </c>
      <c r="F16" s="13">
        <v>59.904633564838797</v>
      </c>
      <c r="G16" s="13">
        <v>54.976122254059199</v>
      </c>
      <c r="H16" s="13">
        <v>55.347056901461002</v>
      </c>
      <c r="I16" s="13">
        <v>57.310398749022703</v>
      </c>
      <c r="J16" s="13">
        <v>71.544095209032605</v>
      </c>
      <c r="K16" s="13">
        <v>69.910733725234095</v>
      </c>
      <c r="L16" s="16">
        <v>75.137431284357802</v>
      </c>
    </row>
    <row r="17" spans="1:12">
      <c r="A17" s="6" t="s">
        <v>276</v>
      </c>
      <c r="B17" s="6" t="s">
        <v>64</v>
      </c>
      <c r="C17" s="19">
        <v>15.675717486783901</v>
      </c>
      <c r="D17" s="19">
        <v>8.4748064647562096</v>
      </c>
      <c r="E17" s="19">
        <v>9.7082709980765092</v>
      </c>
      <c r="F17" s="19">
        <v>10.8634808748834</v>
      </c>
      <c r="G17" s="19">
        <v>10.3677172874881</v>
      </c>
      <c r="H17" s="19">
        <v>15.819446389394599</v>
      </c>
      <c r="I17" s="19">
        <v>12.767327415720001</v>
      </c>
      <c r="J17" s="19">
        <v>6.7134574305767503</v>
      </c>
      <c r="K17" s="19">
        <v>5.2906596995427799</v>
      </c>
      <c r="L17" s="22">
        <v>-7.0214892553723098</v>
      </c>
    </row>
    <row r="18" spans="1:12">
      <c r="A18" s="10" t="s">
        <v>277</v>
      </c>
      <c r="B18" s="10" t="s">
        <v>379</v>
      </c>
      <c r="C18" s="13">
        <v>-9.5735809195530095</v>
      </c>
      <c r="D18" s="13">
        <v>1.60713477296392</v>
      </c>
      <c r="E18" s="13">
        <v>4.9957255823894</v>
      </c>
      <c r="F18" s="13">
        <v>6.6393697522545896</v>
      </c>
      <c r="G18" s="13">
        <v>9.8137535816618904</v>
      </c>
      <c r="H18" s="13">
        <v>11.403631610885499</v>
      </c>
      <c r="I18" s="13">
        <v>11.7003173435129</v>
      </c>
      <c r="J18" s="13">
        <v>4.3484894720781204</v>
      </c>
      <c r="K18" s="13">
        <v>5.3559764859568899</v>
      </c>
      <c r="L18" s="16">
        <v>-57.171414292853598</v>
      </c>
    </row>
    <row r="19" spans="1:12">
      <c r="A19" s="10" t="s">
        <v>279</v>
      </c>
      <c r="B19" s="10" t="s">
        <v>280</v>
      </c>
      <c r="C19" s="13" t="s">
        <v>44</v>
      </c>
      <c r="D19" s="13">
        <v>3.8073249128525499</v>
      </c>
      <c r="E19" s="13">
        <v>7.6779226330412502</v>
      </c>
      <c r="F19" s="13">
        <v>10.884212708614101</v>
      </c>
      <c r="G19" s="13">
        <v>13.0993314231137</v>
      </c>
      <c r="H19" s="13">
        <v>11.272930962050101</v>
      </c>
      <c r="I19" s="13">
        <v>10.164190774042201</v>
      </c>
      <c r="J19" s="13">
        <v>3.0515715593530701</v>
      </c>
      <c r="K19" s="13">
        <v>3.3964728935336401</v>
      </c>
      <c r="L19" s="16"/>
    </row>
    <row r="20" spans="1:12">
      <c r="A20" s="11" t="s">
        <v>281</v>
      </c>
      <c r="B20" s="11" t="s">
        <v>282</v>
      </c>
      <c r="C20" s="25">
        <v>6.4887442863324001</v>
      </c>
      <c r="D20" s="25">
        <v>4.0834804653900099</v>
      </c>
      <c r="E20" s="25">
        <v>7.8916435135712799</v>
      </c>
      <c r="F20" s="25">
        <v>11.7394008500052</v>
      </c>
      <c r="G20" s="25">
        <v>13.323782234956999</v>
      </c>
      <c r="H20" s="25">
        <v>11.492321336880901</v>
      </c>
      <c r="I20" s="25">
        <v>10.6517039966886</v>
      </c>
      <c r="J20" s="25">
        <v>3.4177601464754299</v>
      </c>
      <c r="K20" s="25">
        <v>3.6577400391900698</v>
      </c>
      <c r="L20" s="28"/>
    </row>
    <row r="21" spans="1:12">
      <c r="A21" s="11" t="s">
        <v>283</v>
      </c>
      <c r="B21" s="11" t="s">
        <v>284</v>
      </c>
      <c r="C21" s="25" t="s">
        <v>44</v>
      </c>
      <c r="D21" s="25">
        <v>0.27615555253746199</v>
      </c>
      <c r="E21" s="25">
        <v>0.213720880530028</v>
      </c>
      <c r="F21" s="25">
        <v>0.85518814139110599</v>
      </c>
      <c r="G21" s="25">
        <v>0.22445081184336199</v>
      </c>
      <c r="H21" s="25">
        <v>0.21939037483078899</v>
      </c>
      <c r="I21" s="25">
        <v>0.48751322264636898</v>
      </c>
      <c r="J21" s="25">
        <v>0.36618858712236801</v>
      </c>
      <c r="K21" s="25">
        <v>0.261267145656434</v>
      </c>
      <c r="L21" s="28"/>
    </row>
    <row r="22" spans="1:12">
      <c r="A22" s="10" t="s">
        <v>285</v>
      </c>
      <c r="B22" s="10" t="s">
        <v>286</v>
      </c>
      <c r="C22" s="13">
        <v>-2.9006456353743398E-4</v>
      </c>
      <c r="D22" s="13">
        <v>0</v>
      </c>
      <c r="E22" s="13" t="s">
        <v>44</v>
      </c>
      <c r="F22" s="13" t="s">
        <v>44</v>
      </c>
      <c r="G22" s="13" t="s">
        <v>44</v>
      </c>
      <c r="H22" s="13" t="s">
        <v>44</v>
      </c>
      <c r="I22" s="13" t="s">
        <v>44</v>
      </c>
      <c r="J22" s="13" t="s">
        <v>44</v>
      </c>
      <c r="K22" s="13" t="s">
        <v>44</v>
      </c>
      <c r="L22" s="16"/>
    </row>
    <row r="23" spans="1:12">
      <c r="A23" s="10" t="s">
        <v>287</v>
      </c>
      <c r="B23" s="10" t="s">
        <v>288</v>
      </c>
      <c r="C23" s="13">
        <v>-13.7324782874588</v>
      </c>
      <c r="D23" s="13">
        <v>-0.15844990719362601</v>
      </c>
      <c r="E23" s="13">
        <v>8.4580038469758492</v>
      </c>
      <c r="F23" s="13">
        <v>4.3536850834456304</v>
      </c>
      <c r="G23" s="13">
        <v>3.1423113658070698</v>
      </c>
      <c r="H23" s="13">
        <v>2.5673341735517901</v>
      </c>
      <c r="I23" s="13">
        <v>0.110380352297291</v>
      </c>
      <c r="J23" s="13">
        <v>-3.0515715593530699E-2</v>
      </c>
      <c r="K23" s="13">
        <v>-4.3544524276072298E-2</v>
      </c>
      <c r="L23" s="16"/>
    </row>
    <row r="24" spans="1:12">
      <c r="A24" s="10" t="s">
        <v>289</v>
      </c>
      <c r="B24" s="10" t="s">
        <v>290</v>
      </c>
      <c r="C24" s="13" t="s">
        <v>44</v>
      </c>
      <c r="D24" s="13" t="s">
        <v>44</v>
      </c>
      <c r="E24" s="13" t="s">
        <v>44</v>
      </c>
      <c r="F24" s="13" t="s">
        <v>44</v>
      </c>
      <c r="G24" s="13">
        <v>0</v>
      </c>
      <c r="H24" s="13">
        <v>0</v>
      </c>
      <c r="I24" s="13">
        <v>-9.19836269144092E-3</v>
      </c>
      <c r="J24" s="13">
        <v>-4.5773573390296002E-2</v>
      </c>
      <c r="K24" s="13">
        <v>-0.108861310690181</v>
      </c>
      <c r="L24" s="16"/>
    </row>
    <row r="25" spans="1:12">
      <c r="A25" s="10" t="s">
        <v>291</v>
      </c>
      <c r="B25" s="10" t="s">
        <v>380</v>
      </c>
      <c r="C25" s="13">
        <v>-2.32955685386306</v>
      </c>
      <c r="D25" s="13">
        <v>-2.0417402326950098</v>
      </c>
      <c r="E25" s="13">
        <v>-11.1402008976277</v>
      </c>
      <c r="F25" s="13">
        <v>-8.5985280398051191</v>
      </c>
      <c r="G25" s="13">
        <v>-6.4278892072588301</v>
      </c>
      <c r="H25" s="13">
        <v>-2.4366335247164299</v>
      </c>
      <c r="I25" s="13">
        <v>1.43494457986478</v>
      </c>
      <c r="J25" s="13">
        <v>1.3732072017088801</v>
      </c>
      <c r="K25" s="13">
        <v>2.1119094273895098</v>
      </c>
      <c r="L25" s="16">
        <v>-57.071464267866098</v>
      </c>
    </row>
    <row r="26" spans="1:12">
      <c r="A26" s="6" t="s">
        <v>381</v>
      </c>
      <c r="B26" s="6" t="s">
        <v>115</v>
      </c>
      <c r="C26" s="19">
        <v>25.249298406336901</v>
      </c>
      <c r="D26" s="19">
        <v>6.8676716917922898</v>
      </c>
      <c r="E26" s="19">
        <v>4.7125454156871101</v>
      </c>
      <c r="F26" s="19">
        <v>4.2241111226288002</v>
      </c>
      <c r="G26" s="19">
        <v>0.55396370582617005</v>
      </c>
      <c r="H26" s="19">
        <v>4.4158147785090804</v>
      </c>
      <c r="I26" s="19">
        <v>1.0670100722071501</v>
      </c>
      <c r="J26" s="19">
        <v>2.3649679584986298</v>
      </c>
      <c r="K26" s="19">
        <v>-6.5316786414108402E-2</v>
      </c>
      <c r="L26" s="22">
        <v>50.149925037481303</v>
      </c>
    </row>
    <row r="27" spans="1:12">
      <c r="A27" s="10" t="s">
        <v>315</v>
      </c>
      <c r="B27" s="10" t="s">
        <v>316</v>
      </c>
      <c r="C27" s="13">
        <v>2.1531975992322998</v>
      </c>
      <c r="D27" s="13">
        <v>5.4325682466385999E-2</v>
      </c>
      <c r="E27" s="13">
        <v>-0.56636033340457403</v>
      </c>
      <c r="F27" s="13">
        <v>0.367990048719809</v>
      </c>
      <c r="G27" s="13">
        <v>-4.8758357211079302</v>
      </c>
      <c r="H27" s="13">
        <v>1.52172898286888</v>
      </c>
      <c r="I27" s="13">
        <v>-1.96844961596836</v>
      </c>
      <c r="J27" s="13">
        <v>-1.3732072017088801</v>
      </c>
      <c r="K27" s="13">
        <v>0.348356194208578</v>
      </c>
      <c r="L27" s="16">
        <v>24.837581209395299</v>
      </c>
    </row>
    <row r="28" spans="1:12">
      <c r="A28" s="10" t="s">
        <v>317</v>
      </c>
      <c r="B28" s="10" t="s">
        <v>318</v>
      </c>
      <c r="C28" s="13">
        <v>1.8008174986282399</v>
      </c>
      <c r="D28" s="13">
        <v>-1.26759925754901</v>
      </c>
      <c r="E28" s="13">
        <v>-0.56636033340457403</v>
      </c>
      <c r="F28" s="13">
        <v>0.367990048719809</v>
      </c>
      <c r="G28" s="13">
        <v>0.17191977077363901</v>
      </c>
      <c r="H28" s="13">
        <v>0.53213835597255299</v>
      </c>
      <c r="I28" s="13">
        <v>6.4388538840086496E-2</v>
      </c>
      <c r="J28" s="13">
        <v>3.0515715593530699E-2</v>
      </c>
      <c r="K28" s="13">
        <v>8.7089048552144596E-2</v>
      </c>
      <c r="L28" s="16">
        <v>0.24987506246876601</v>
      </c>
    </row>
    <row r="29" spans="1:12">
      <c r="A29" s="10" t="s">
        <v>319</v>
      </c>
      <c r="B29" s="10" t="s">
        <v>320</v>
      </c>
      <c r="C29" s="13">
        <v>0.352380100604059</v>
      </c>
      <c r="D29" s="13">
        <v>1.3219249400153901</v>
      </c>
      <c r="E29" s="13">
        <v>0</v>
      </c>
      <c r="F29" s="13">
        <v>0</v>
      </c>
      <c r="G29" s="13">
        <v>-5.0477554918815697</v>
      </c>
      <c r="H29" s="13">
        <v>0.98959062689632604</v>
      </c>
      <c r="I29" s="13">
        <v>-2.0328381548084402</v>
      </c>
      <c r="J29" s="13">
        <v>-1.4037229173024099</v>
      </c>
      <c r="K29" s="13">
        <v>0.261267145656434</v>
      </c>
      <c r="L29" s="16">
        <v>24.5877061469265</v>
      </c>
    </row>
    <row r="30" spans="1:12">
      <c r="A30" s="10" t="s">
        <v>323</v>
      </c>
      <c r="B30" s="10" t="s">
        <v>324</v>
      </c>
      <c r="C30" s="13">
        <v>1.5421765961406901E-2</v>
      </c>
      <c r="D30" s="13">
        <v>4.5271402055321701E-2</v>
      </c>
      <c r="E30" s="13">
        <v>-5.3430220132506898E-3</v>
      </c>
      <c r="F30" s="13">
        <v>-5.1829584326733699E-3</v>
      </c>
      <c r="G30" s="13">
        <v>-9.5510983763132801E-3</v>
      </c>
      <c r="H30" s="13">
        <v>-1.40036409466461E-2</v>
      </c>
      <c r="I30" s="13" t="s">
        <v>44</v>
      </c>
      <c r="J30" s="13" t="s">
        <v>44</v>
      </c>
      <c r="K30" s="13" t="s">
        <v>44</v>
      </c>
      <c r="L30" s="16"/>
    </row>
    <row r="31" spans="1:12">
      <c r="A31" s="6" t="s">
        <v>325</v>
      </c>
      <c r="B31" s="6" t="s">
        <v>326</v>
      </c>
      <c r="C31" s="19">
        <v>23.080679041143199</v>
      </c>
      <c r="D31" s="19">
        <v>6.7680746072705897</v>
      </c>
      <c r="E31" s="19">
        <v>5.2842487711049397</v>
      </c>
      <c r="F31" s="19">
        <v>3.8613040323416601</v>
      </c>
      <c r="G31" s="19">
        <v>5.4393505253104104</v>
      </c>
      <c r="H31" s="19">
        <v>2.9080894365868502</v>
      </c>
      <c r="I31" s="19">
        <v>3.0354596881755</v>
      </c>
      <c r="J31" s="19">
        <v>3.73817516020751</v>
      </c>
      <c r="K31" s="19">
        <v>-0.41367298062268698</v>
      </c>
      <c r="L31" s="22">
        <v>25.287356321839098</v>
      </c>
    </row>
    <row r="32" spans="1:12">
      <c r="A32" s="10" t="s">
        <v>327</v>
      </c>
      <c r="B32" s="10" t="s">
        <v>328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23.314006713457399</v>
      </c>
      <c r="K32" s="13">
        <v>520.09579795340699</v>
      </c>
      <c r="L32" s="16">
        <v>507.84607696151897</v>
      </c>
    </row>
    <row r="33" spans="1:12">
      <c r="A33" s="10" t="s">
        <v>329</v>
      </c>
      <c r="B33" s="10" t="s">
        <v>330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23.314006713457399</v>
      </c>
      <c r="K33" s="13">
        <v>520.09579795340699</v>
      </c>
      <c r="L33" s="16">
        <v>507.84607696151897</v>
      </c>
    </row>
    <row r="34" spans="1:12">
      <c r="A34" s="10" t="s">
        <v>331</v>
      </c>
      <c r="B34" s="10" t="s">
        <v>332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6">
        <v>0</v>
      </c>
    </row>
    <row r="35" spans="1:12">
      <c r="A35" s="6" t="s">
        <v>333</v>
      </c>
      <c r="B35" s="6" t="s">
        <v>334</v>
      </c>
      <c r="C35" s="19">
        <v>23.080679041143199</v>
      </c>
      <c r="D35" s="19">
        <v>6.7680746072705897</v>
      </c>
      <c r="E35" s="19">
        <v>5.2842487711049397</v>
      </c>
      <c r="F35" s="19">
        <v>3.8613040323416601</v>
      </c>
      <c r="G35" s="19">
        <v>5.4393505253104104</v>
      </c>
      <c r="H35" s="19">
        <v>2.9080894365868502</v>
      </c>
      <c r="I35" s="19">
        <v>3.0354596881755</v>
      </c>
      <c r="J35" s="19">
        <v>-19.575831553249898</v>
      </c>
      <c r="K35" s="19">
        <v>-520.50947093402999</v>
      </c>
      <c r="L35" s="22">
        <v>-482.55872063968002</v>
      </c>
    </row>
    <row r="36" spans="1:12">
      <c r="A36" s="10" t="s">
        <v>335</v>
      </c>
      <c r="B36" s="10" t="s">
        <v>336</v>
      </c>
      <c r="C36" s="13">
        <v>0.57650332003064997</v>
      </c>
      <c r="D36" s="13">
        <v>0.67907103082982501</v>
      </c>
      <c r="E36" s="13">
        <v>0.32592434280829202</v>
      </c>
      <c r="F36" s="13">
        <v>0.378355965585156</v>
      </c>
      <c r="G36" s="13">
        <v>0.43935052531041102</v>
      </c>
      <c r="H36" s="13">
        <v>-0.42477710871493302</v>
      </c>
      <c r="I36" s="13">
        <v>9.6582808260129702E-2</v>
      </c>
      <c r="J36" s="13">
        <v>1.8309429356118401</v>
      </c>
      <c r="K36" s="13">
        <v>-1.48051382538646</v>
      </c>
      <c r="L36" s="16">
        <v>-2.4487756121938999</v>
      </c>
    </row>
    <row r="37" spans="1:12">
      <c r="A37" s="6" t="s">
        <v>337</v>
      </c>
      <c r="B37" s="6" t="s">
        <v>338</v>
      </c>
      <c r="C37" s="19">
        <v>22.504175721112599</v>
      </c>
      <c r="D37" s="19">
        <v>6.08900357644076</v>
      </c>
      <c r="E37" s="19">
        <v>4.9583244282966401</v>
      </c>
      <c r="F37" s="19">
        <v>3.4829480667564998</v>
      </c>
      <c r="G37" s="19">
        <v>5</v>
      </c>
      <c r="H37" s="19">
        <v>3.3328665453017798</v>
      </c>
      <c r="I37" s="19">
        <v>2.9388768799153699</v>
      </c>
      <c r="J37" s="19">
        <v>-21.406774488861799</v>
      </c>
      <c r="K37" s="19">
        <v>-519.02895710864402</v>
      </c>
      <c r="L37" s="22">
        <v>-480.10994502748599</v>
      </c>
    </row>
    <row r="38" spans="1:12">
      <c r="A38" s="10" t="s">
        <v>339</v>
      </c>
      <c r="B38" s="10" t="s">
        <v>340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6">
        <v>0</v>
      </c>
    </row>
    <row r="39" spans="1:12">
      <c r="A39" s="10" t="s">
        <v>341</v>
      </c>
      <c r="B39" s="10" t="s">
        <v>342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6">
        <v>0</v>
      </c>
    </row>
    <row r="40" spans="1:12">
      <c r="A40" s="6" t="s">
        <v>343</v>
      </c>
      <c r="B40" s="6" t="s">
        <v>48</v>
      </c>
      <c r="C40" s="19">
        <v>22.504175721112599</v>
      </c>
      <c r="D40" s="19">
        <v>6.08900357644076</v>
      </c>
      <c r="E40" s="19">
        <v>4.9583244282966401</v>
      </c>
      <c r="F40" s="19">
        <v>3.4829480667564998</v>
      </c>
      <c r="G40" s="19">
        <v>5</v>
      </c>
      <c r="H40" s="19">
        <v>3.3328665453017798</v>
      </c>
      <c r="I40" s="19">
        <v>2.9388768799153699</v>
      </c>
      <c r="J40" s="19">
        <v>-21.406774488861799</v>
      </c>
      <c r="K40" s="19">
        <v>-519.02895710864402</v>
      </c>
      <c r="L40" s="22">
        <v>-480.10994502748599</v>
      </c>
    </row>
    <row r="41" spans="1:12">
      <c r="A41" s="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1"/>
    </row>
    <row r="42" spans="1:12">
      <c r="A42" s="10" t="s">
        <v>345</v>
      </c>
      <c r="B42" s="10" t="s">
        <v>346</v>
      </c>
      <c r="C42" s="13">
        <v>0.309450047256352</v>
      </c>
      <c r="D42" s="13">
        <v>-1.18646725519489</v>
      </c>
      <c r="E42" s="13">
        <v>1.2271318657832899</v>
      </c>
      <c r="F42" s="13">
        <v>-1.7106354307038499E-2</v>
      </c>
      <c r="G42" s="13">
        <v>3.4675740210124199E-2</v>
      </c>
      <c r="H42" s="13">
        <v>-9.7674462026793599E-2</v>
      </c>
      <c r="I42" s="13">
        <v>-0.64659200662282101</v>
      </c>
      <c r="J42" s="13">
        <v>0</v>
      </c>
      <c r="K42" s="13">
        <v>0</v>
      </c>
      <c r="L42" s="16">
        <v>0</v>
      </c>
    </row>
    <row r="43" spans="1:12">
      <c r="A43" s="10" t="s">
        <v>347</v>
      </c>
      <c r="B43" s="10" t="s">
        <v>328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23.314006713457399</v>
      </c>
      <c r="K43" s="13">
        <v>520.09579795340699</v>
      </c>
      <c r="L43" s="16">
        <v>507.84607696151897</v>
      </c>
    </row>
    <row r="44" spans="1:12">
      <c r="A44" s="6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1"/>
    </row>
    <row r="45" spans="1:12">
      <c r="A45" s="10" t="s">
        <v>212</v>
      </c>
      <c r="B45" s="10" t="s">
        <v>71</v>
      </c>
      <c r="C45" s="13">
        <v>0.99783509394465997</v>
      </c>
      <c r="D45" s="13">
        <v>0.93441390782742495</v>
      </c>
      <c r="E45" s="13">
        <v>1.1028141061124199</v>
      </c>
      <c r="F45" s="13">
        <v>1.0697765528143499</v>
      </c>
      <c r="G45" s="13">
        <v>0.98568618958930299</v>
      </c>
      <c r="H45" s="13">
        <v>1.0894388591700499</v>
      </c>
      <c r="I45" s="13">
        <v>1.13494032332245</v>
      </c>
      <c r="J45" s="13">
        <v>3.7651827052181899</v>
      </c>
      <c r="K45" s="13">
        <v>5.6234882408012199</v>
      </c>
      <c r="L45" s="16">
        <v>6.9115442278860604</v>
      </c>
    </row>
    <row r="46" spans="1:12">
      <c r="A46" s="6" t="s">
        <v>66</v>
      </c>
      <c r="B46" s="6" t="s">
        <v>67</v>
      </c>
      <c r="C46" s="19">
        <v>1.0903043985873899E-2</v>
      </c>
      <c r="D46" s="19">
        <v>2.9500602109647301E-3</v>
      </c>
      <c r="E46" s="19">
        <v>2.40435990596281E-3</v>
      </c>
      <c r="F46" s="19">
        <v>1.6896444490515201E-3</v>
      </c>
      <c r="G46" s="19">
        <v>2.42120343839542E-3</v>
      </c>
      <c r="H46" s="19">
        <v>1.42370349624236E-3</v>
      </c>
      <c r="I46" s="19">
        <v>1.1911879685416E-3</v>
      </c>
      <c r="J46" s="19">
        <v>-8.6747848642050596E-3</v>
      </c>
      <c r="K46" s="19">
        <v>-0.20095062050947099</v>
      </c>
      <c r="L46" s="22">
        <v>-0.186309232883558</v>
      </c>
    </row>
    <row r="47" spans="1:12">
      <c r="A47" s="6" t="s">
        <v>348</v>
      </c>
      <c r="B47" s="6" t="s">
        <v>219</v>
      </c>
      <c r="C47" s="19">
        <v>1.0903043985873899E-2</v>
      </c>
      <c r="D47" s="19">
        <v>2.9500602109647301E-3</v>
      </c>
      <c r="E47" s="19">
        <v>2.40435990596281E-3</v>
      </c>
      <c r="F47" s="19">
        <v>1.6896444490515201E-3</v>
      </c>
      <c r="G47" s="19">
        <v>2.42120343839542E-3</v>
      </c>
      <c r="H47" s="19">
        <v>1.42370349624236E-3</v>
      </c>
      <c r="I47" s="19">
        <v>1.1911879685416E-3</v>
      </c>
      <c r="J47" s="19">
        <v>7.7287763198046996E-4</v>
      </c>
      <c r="K47" s="19">
        <v>4.1304593947311097E-4</v>
      </c>
      <c r="L47" s="22">
        <v>1.0042611194402799E-2</v>
      </c>
    </row>
    <row r="48" spans="1:12">
      <c r="A48" s="6" t="s">
        <v>349</v>
      </c>
      <c r="B48" s="6" t="s">
        <v>221</v>
      </c>
      <c r="C48" s="19">
        <v>1.1052969173388501E-2</v>
      </c>
      <c r="D48" s="19">
        <v>2.3752288469373901E-3</v>
      </c>
      <c r="E48" s="19">
        <v>2.9967904466766402E-3</v>
      </c>
      <c r="F48" s="19">
        <v>1.6791650253965E-3</v>
      </c>
      <c r="G48" s="19">
        <v>2.4392492836676199E-3</v>
      </c>
      <c r="H48" s="19">
        <v>1.38617140456519E-3</v>
      </c>
      <c r="I48" s="19">
        <v>9.2891505312054496E-4</v>
      </c>
      <c r="J48" s="19">
        <v>7.7287763198046996E-4</v>
      </c>
      <c r="K48" s="19">
        <v>4.1304593947311097E-4</v>
      </c>
      <c r="L48" s="22">
        <v>1.0042611194402799E-2</v>
      </c>
    </row>
    <row r="49" spans="1:12">
      <c r="A49" s="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1"/>
    </row>
    <row r="50" spans="1:12">
      <c r="A50" s="10" t="s">
        <v>211</v>
      </c>
      <c r="B50" s="10" t="s">
        <v>73</v>
      </c>
      <c r="C50" s="13">
        <v>1.04092850343606</v>
      </c>
      <c r="D50" s="13">
        <v>0.974768352573679</v>
      </c>
      <c r="E50" s="13">
        <v>1.12419690959607</v>
      </c>
      <c r="F50" s="13">
        <v>1.0697765528143499</v>
      </c>
      <c r="G50" s="13">
        <v>0.98568618958930299</v>
      </c>
      <c r="H50" s="13">
        <v>1.0894388591700499</v>
      </c>
      <c r="I50" s="13">
        <v>1.13494032332245</v>
      </c>
      <c r="J50" s="13">
        <v>3.7651827052181899</v>
      </c>
      <c r="K50" s="13">
        <v>5.6234882408012199</v>
      </c>
      <c r="L50" s="16">
        <v>6.9115442278860604</v>
      </c>
    </row>
    <row r="51" spans="1:12">
      <c r="A51" s="6" t="s">
        <v>68</v>
      </c>
      <c r="B51" s="6" t="s">
        <v>69</v>
      </c>
      <c r="C51" s="19">
        <v>1.0451668717262001E-2</v>
      </c>
      <c r="D51" s="19">
        <v>2.8279306442120498E-3</v>
      </c>
      <c r="E51" s="19">
        <v>2.3562727078435602E-3</v>
      </c>
      <c r="F51" s="19">
        <v>1.6896444490515201E-3</v>
      </c>
      <c r="G51" s="19">
        <v>2.42120343839542E-3</v>
      </c>
      <c r="H51" s="19">
        <v>1.42370349624236E-3</v>
      </c>
      <c r="I51" s="19">
        <v>1.1911879685416E-3</v>
      </c>
      <c r="J51" s="19">
        <v>-8.6747848642050596E-3</v>
      </c>
      <c r="K51" s="19">
        <v>-0.20095062050947099</v>
      </c>
      <c r="L51" s="22">
        <v>-0.186309232883558</v>
      </c>
    </row>
    <row r="52" spans="1:12">
      <c r="A52" s="6" t="s">
        <v>350</v>
      </c>
      <c r="B52" s="6" t="s">
        <v>224</v>
      </c>
      <c r="C52" s="19">
        <v>1.0451668717262001E-2</v>
      </c>
      <c r="D52" s="19">
        <v>2.8279306442120498E-3</v>
      </c>
      <c r="E52" s="19">
        <v>2.3562727078435602E-3</v>
      </c>
      <c r="F52" s="19">
        <v>1.6896444490515201E-3</v>
      </c>
      <c r="G52" s="19">
        <v>2.42120343839542E-3</v>
      </c>
      <c r="H52" s="19">
        <v>1.42370349624236E-3</v>
      </c>
      <c r="I52" s="19">
        <v>1.1911879685416E-3</v>
      </c>
      <c r="J52" s="19">
        <v>7.7287763198046996E-4</v>
      </c>
      <c r="K52" s="19">
        <v>4.1304593947311097E-4</v>
      </c>
      <c r="L52" s="22">
        <v>1.0042611194402799E-2</v>
      </c>
    </row>
    <row r="53" spans="1:12">
      <c r="A53" s="6" t="s">
        <v>351</v>
      </c>
      <c r="B53" s="6" t="s">
        <v>50</v>
      </c>
      <c r="C53" s="19">
        <v>1.05953874899988E-2</v>
      </c>
      <c r="D53" s="19">
        <v>2.2768966453891098E-3</v>
      </c>
      <c r="E53" s="19">
        <v>2.9394972216285498E-3</v>
      </c>
      <c r="F53" s="19">
        <v>1.6791650253965E-3</v>
      </c>
      <c r="G53" s="19">
        <v>2.4392492836676199E-3</v>
      </c>
      <c r="H53" s="19">
        <v>1.38617140456519E-3</v>
      </c>
      <c r="I53" s="19">
        <v>9.2891505312054496E-4</v>
      </c>
      <c r="J53" s="19">
        <v>7.7287763198046996E-4</v>
      </c>
      <c r="K53" s="19">
        <v>4.1304593947311097E-4</v>
      </c>
      <c r="L53" s="22">
        <v>1.0042611194402799E-2</v>
      </c>
    </row>
    <row r="54" spans="1:12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1"/>
    </row>
    <row r="55" spans="1:12">
      <c r="A55" s="6" t="s">
        <v>2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1"/>
    </row>
    <row r="56" spans="1:12">
      <c r="A56" s="10" t="s">
        <v>352</v>
      </c>
      <c r="B56" s="10" t="s">
        <v>353</v>
      </c>
      <c r="C56" s="12" t="s">
        <v>354</v>
      </c>
      <c r="D56" s="12" t="s">
        <v>354</v>
      </c>
      <c r="E56" s="12" t="s">
        <v>354</v>
      </c>
      <c r="F56" s="12" t="s">
        <v>354</v>
      </c>
      <c r="G56" s="12" t="s">
        <v>354</v>
      </c>
      <c r="H56" s="12" t="s">
        <v>354</v>
      </c>
      <c r="I56" s="12" t="s">
        <v>354</v>
      </c>
      <c r="J56" s="12" t="s">
        <v>354</v>
      </c>
      <c r="K56" s="12" t="s">
        <v>354</v>
      </c>
      <c r="L56" s="15"/>
    </row>
    <row r="57" spans="1:12">
      <c r="A57" s="10" t="s">
        <v>46</v>
      </c>
      <c r="B57" s="10" t="s">
        <v>46</v>
      </c>
      <c r="C57" s="13">
        <v>33.787880619094501</v>
      </c>
      <c r="D57" s="13">
        <v>37.919326361537401</v>
      </c>
      <c r="E57" s="13">
        <v>30.9628125667878</v>
      </c>
      <c r="F57" s="13">
        <v>30.7919560485125</v>
      </c>
      <c r="G57" s="13">
        <v>32.024832855778399</v>
      </c>
      <c r="H57" s="13">
        <v>33.636745553844001</v>
      </c>
      <c r="I57" s="13">
        <v>33.3900565699306</v>
      </c>
      <c r="J57" s="13">
        <v>71.116875190723206</v>
      </c>
      <c r="K57" s="13">
        <v>67.711735249292403</v>
      </c>
      <c r="L57" s="16">
        <v>12.893553223388301</v>
      </c>
    </row>
    <row r="58" spans="1:12">
      <c r="A58" s="10" t="s">
        <v>355</v>
      </c>
      <c r="B58" s="10" t="s">
        <v>356</v>
      </c>
      <c r="C58" s="13">
        <v>1.6334444925199601E-2</v>
      </c>
      <c r="D58" s="13">
        <v>1.71666105301281E-2</v>
      </c>
      <c r="E58" s="13">
        <v>1.6543499145116498E-2</v>
      </c>
      <c r="F58" s="13">
        <v>1.5959342800870701E-2</v>
      </c>
      <c r="G58" s="13">
        <v>1.5293616523400199E-2</v>
      </c>
      <c r="H58" s="13">
        <v>1.5701230453251201E-2</v>
      </c>
      <c r="I58" s="13">
        <v>1.5356692728694299E-2</v>
      </c>
      <c r="J58" s="13">
        <v>0.10850911657003399</v>
      </c>
      <c r="K58" s="13">
        <v>0.147423764424124</v>
      </c>
      <c r="L58" s="16">
        <v>3.2217774171385098E-2</v>
      </c>
    </row>
    <row r="59" spans="1:12">
      <c r="A59" s="10" t="s">
        <v>357</v>
      </c>
      <c r="B59" s="10" t="s">
        <v>357</v>
      </c>
      <c r="C59" s="13">
        <v>19.9392314739389</v>
      </c>
      <c r="D59" s="13">
        <v>20.969713432024999</v>
      </c>
      <c r="E59" s="13">
        <v>22.2162855310964</v>
      </c>
      <c r="F59" s="13">
        <v>20.902871358971701</v>
      </c>
      <c r="G59" s="13" t="s">
        <v>44</v>
      </c>
      <c r="H59" s="13" t="s">
        <v>44</v>
      </c>
      <c r="I59" s="13" t="s">
        <v>44</v>
      </c>
      <c r="J59" s="13" t="s">
        <v>44</v>
      </c>
      <c r="K59" s="13" t="s">
        <v>44</v>
      </c>
      <c r="L59" s="16"/>
    </row>
    <row r="60" spans="1:12">
      <c r="A60" s="10" t="s">
        <v>102</v>
      </c>
      <c r="B60" s="10" t="s">
        <v>102</v>
      </c>
      <c r="C60" s="13">
        <v>15.675717486783901</v>
      </c>
      <c r="D60" s="13">
        <v>8.4748064647562096</v>
      </c>
      <c r="E60" s="13">
        <v>9.7082709980765092</v>
      </c>
      <c r="F60" s="13">
        <v>10.8634808748834</v>
      </c>
      <c r="G60" s="13">
        <v>10.3677172874881</v>
      </c>
      <c r="H60" s="13">
        <v>15.819446389394599</v>
      </c>
      <c r="I60" s="13">
        <v>12.767327415720001</v>
      </c>
      <c r="J60" s="13">
        <v>6.7134574305767503</v>
      </c>
      <c r="K60" s="13">
        <v>5.2906596995427799</v>
      </c>
      <c r="L60" s="16">
        <v>-7.0214892553723098</v>
      </c>
    </row>
    <row r="61" spans="1:12">
      <c r="A61" s="10" t="s">
        <v>358</v>
      </c>
      <c r="B61" s="10" t="s">
        <v>359</v>
      </c>
      <c r="C61" s="13">
        <v>7.5782833495688902E-3</v>
      </c>
      <c r="D61" s="13">
        <v>3.8366634976685198E-3</v>
      </c>
      <c r="E61" s="13">
        <v>5.1871505663603299E-3</v>
      </c>
      <c r="F61" s="13">
        <v>5.6304970457136897E-3</v>
      </c>
      <c r="G61" s="13">
        <v>4.9511542502387804E-3</v>
      </c>
      <c r="H61" s="13">
        <v>7.3843280586285802E-3</v>
      </c>
      <c r="I61" s="13">
        <v>5.87192521731132E-3</v>
      </c>
      <c r="J61" s="13">
        <v>1.02432972230699E-2</v>
      </c>
      <c r="K61" s="13">
        <v>1.15189636403222E-2</v>
      </c>
      <c r="L61" s="16">
        <v>-1.7544950663099201E-2</v>
      </c>
    </row>
    <row r="62" spans="1:12">
      <c r="A62" s="10" t="s">
        <v>360</v>
      </c>
      <c r="B62" s="10" t="s">
        <v>361</v>
      </c>
      <c r="C62" s="13">
        <v>1.0879439982015999E-2</v>
      </c>
      <c r="D62" s="13">
        <v>2.7565774820046199E-3</v>
      </c>
      <c r="E62" s="13">
        <v>2.6492434280829202E-3</v>
      </c>
      <c r="F62" s="13">
        <v>1.8051974707162799E-3</v>
      </c>
      <c r="G62" s="13">
        <v>2.38777459407832E-3</v>
      </c>
      <c r="H62" s="13">
        <v>1.55574242636419E-3</v>
      </c>
      <c r="I62" s="13">
        <v>1.35164282757669E-3</v>
      </c>
      <c r="J62" s="13">
        <v>-3.2662151357949303E-2</v>
      </c>
      <c r="K62" s="13">
        <v>-1.13004345090355</v>
      </c>
      <c r="L62" s="16">
        <v>-1.1996750250561901</v>
      </c>
    </row>
    <row r="63" spans="1:12">
      <c r="A63" s="10" t="s">
        <v>362</v>
      </c>
      <c r="B63" s="10" t="s">
        <v>363</v>
      </c>
      <c r="C63" s="13">
        <v>3228.5142377475499</v>
      </c>
      <c r="D63" s="13">
        <v>3563.15695706415</v>
      </c>
      <c r="E63" s="13">
        <v>4088.30744071971</v>
      </c>
      <c r="F63" s="13">
        <v>5361.0679247304897</v>
      </c>
      <c r="G63" s="13" t="s">
        <v>44</v>
      </c>
      <c r="H63" s="13" t="s">
        <v>44</v>
      </c>
      <c r="I63" s="13" t="s">
        <v>44</v>
      </c>
      <c r="J63" s="13" t="s">
        <v>44</v>
      </c>
      <c r="K63" s="13" t="s">
        <v>44</v>
      </c>
      <c r="L63" s="16"/>
    </row>
    <row r="64" spans="1:12">
      <c r="A64" s="10" t="s">
        <v>364</v>
      </c>
      <c r="B64" s="10" t="s">
        <v>227</v>
      </c>
      <c r="C64" s="13">
        <v>4.1092479834469798E-4</v>
      </c>
      <c r="D64" s="13">
        <v>2.2635701027660799E-4</v>
      </c>
      <c r="E64" s="13">
        <v>1.33575550331267E-4</v>
      </c>
      <c r="F64" s="13">
        <v>1.2957396081683399E-4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6"/>
    </row>
    <row r="65" spans="1:12">
      <c r="A65" s="10" t="s">
        <v>365</v>
      </c>
      <c r="B65" s="10" t="s">
        <v>366</v>
      </c>
      <c r="C65" s="13">
        <v>0.84814878378345704</v>
      </c>
      <c r="D65" s="13">
        <v>0.46629544116981297</v>
      </c>
      <c r="E65" s="13">
        <v>0.27783714468903598</v>
      </c>
      <c r="F65" s="13">
        <v>0.269513838499015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6"/>
    </row>
    <row r="66" spans="1:12">
      <c r="A66" s="10" t="s">
        <v>367</v>
      </c>
      <c r="B66" s="10" t="s">
        <v>368</v>
      </c>
      <c r="C66" s="13">
        <v>7.2519524970933098</v>
      </c>
      <c r="D66" s="13">
        <v>6.6503689619267501</v>
      </c>
      <c r="E66" s="13">
        <v>6.8550972430006398</v>
      </c>
      <c r="F66" s="13">
        <v>6.1625375764486403</v>
      </c>
      <c r="G66" s="13">
        <v>4.8949379178605499</v>
      </c>
      <c r="H66" s="13">
        <v>4.6585445549176097</v>
      </c>
      <c r="I66" s="13">
        <v>5.1510831072069196</v>
      </c>
      <c r="J66" s="13">
        <v>6.7439731461702799</v>
      </c>
      <c r="K66" s="13">
        <v>9.29675593294143</v>
      </c>
      <c r="L66" s="16">
        <v>11.5692153923038</v>
      </c>
    </row>
    <row r="67" spans="1:12">
      <c r="A67" s="10" t="s">
        <v>369</v>
      </c>
      <c r="B67" s="10" t="s">
        <v>370</v>
      </c>
      <c r="C67" s="13" t="s">
        <v>44</v>
      </c>
      <c r="D67" s="13" t="s">
        <v>44</v>
      </c>
      <c r="E67" s="13">
        <v>5.3376789912374401</v>
      </c>
      <c r="F67" s="13" t="s">
        <v>44</v>
      </c>
      <c r="G67" s="13" t="s">
        <v>44</v>
      </c>
      <c r="H67" s="13" t="s">
        <v>44</v>
      </c>
      <c r="I67" s="13" t="s">
        <v>44</v>
      </c>
      <c r="J67" s="13" t="s">
        <v>44</v>
      </c>
      <c r="K67" s="13" t="s">
        <v>44</v>
      </c>
      <c r="L67" s="16"/>
    </row>
    <row r="68" spans="1:12">
      <c r="A68" s="10" t="s">
        <v>371</v>
      </c>
      <c r="B68" s="10" t="s">
        <v>372</v>
      </c>
      <c r="C68" s="13">
        <v>13.8486491451556</v>
      </c>
      <c r="D68" s="13">
        <v>16.949612929512401</v>
      </c>
      <c r="E68" s="13">
        <v>8.7465270356913898</v>
      </c>
      <c r="F68" s="13">
        <v>9.8890846895407893</v>
      </c>
      <c r="G68" s="13" t="s">
        <v>44</v>
      </c>
      <c r="H68" s="13" t="s">
        <v>44</v>
      </c>
      <c r="I68" s="13" t="s">
        <v>44</v>
      </c>
      <c r="J68" s="13" t="s">
        <v>44</v>
      </c>
      <c r="K68" s="13" t="s">
        <v>44</v>
      </c>
      <c r="L68" s="16"/>
    </row>
    <row r="69" spans="1:12">
      <c r="A69" s="10" t="s">
        <v>373</v>
      </c>
      <c r="B69" s="10" t="s">
        <v>374</v>
      </c>
      <c r="C69" s="13">
        <v>1.90968839814262</v>
      </c>
      <c r="D69" s="13">
        <v>1.548281950292</v>
      </c>
      <c r="E69" s="13">
        <v>1.62427869202821</v>
      </c>
      <c r="F69" s="13">
        <v>1.8865968694931099</v>
      </c>
      <c r="G69" s="13">
        <v>1.0744985673352401</v>
      </c>
      <c r="H69" s="13">
        <v>0.98492274658077805</v>
      </c>
      <c r="I69" s="13">
        <v>0.36793450765763702</v>
      </c>
      <c r="J69" s="13">
        <v>0.38144644491913299</v>
      </c>
      <c r="K69" s="13">
        <v>1.7200087089048599</v>
      </c>
      <c r="L69" s="16"/>
    </row>
    <row r="70" spans="1:12">
      <c r="A70" s="7" t="s">
        <v>57</v>
      </c>
      <c r="B70" s="7"/>
      <c r="C70" s="7" t="s">
        <v>3</v>
      </c>
      <c r="D70" s="7"/>
      <c r="E70" s="7"/>
      <c r="F70" s="7"/>
      <c r="G70" s="7"/>
      <c r="H70" s="7"/>
      <c r="I70" s="7"/>
      <c r="J70" s="7"/>
      <c r="K70" s="7"/>
      <c r="L70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L173"/>
  <sheetViews>
    <sheetView topLeftCell="A148"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687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77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0" t="s">
        <v>688</v>
      </c>
      <c r="B7" s="10" t="s">
        <v>689</v>
      </c>
      <c r="C7" s="13">
        <f>_xll.BDH("RCOM IN Equity","C&amp;CE_AND_STI_DETAILED","FY 2009","FY 2009","Currency=INR","Period=FY","BEST_FPERIOD_OVERRIDE=FY","FILING_STATUS=MR","EQY_CONSOLIDATED=Y","SCALING_FORMAT=MLN","Sort=A","Dates=H","DateFormat=P","Fill=—","Direction=H","UseDPDF=Y")</f>
        <v>109671.3</v>
      </c>
      <c r="D7" s="13">
        <f>_xll.BDH("RCOM IN Equity","C&amp;CE_AND_STI_DETAILED","FY 2010","FY 2010","Currency=INR","Period=FY","BEST_FPERIOD_OVERRIDE=FY","FILING_STATUS=MR","EQY_CONSOLIDATED=Y","SCALING_FORMAT=MLN","Sort=A","Dates=H","DateFormat=P","Fill=—","Direction=H","UseDPDF=Y")</f>
        <v>48584.800000000003</v>
      </c>
      <c r="E7" s="13">
        <f>_xll.BDH("RCOM IN Equity","C&amp;CE_AND_STI_DETAILED","FY 2011","FY 2011","Currency=INR","Period=FY","BEST_FPERIOD_OVERRIDE=FY","FILING_STATUS=MR","EQY_CONSOLIDATED=Y","SCALING_FORMAT=MLN","Sort=A","Dates=H","DateFormat=P","Fill=—","Direction=H","UseDPDF=Y")</f>
        <v>53180</v>
      </c>
      <c r="F7" s="13">
        <f>_xll.BDH("RCOM IN Equity","C&amp;CE_AND_STI_DETAILED","FY 2012","FY 2012","Currency=INR","Period=FY","BEST_FPERIOD_OVERRIDE=FY","FILING_STATUS=MR","EQY_CONSOLIDATED=Y","SCALING_FORMAT=MLN","Sort=A","Dates=H","DateFormat=P","Fill=—","Direction=H","UseDPDF=Y")</f>
        <v>10690</v>
      </c>
      <c r="G7" s="13">
        <f>_xll.BDH("RCOM IN Equity","C&amp;CE_AND_STI_DETAILED","FY 2013","FY 2013","Currency=INR","Period=FY","BEST_FPERIOD_OVERRIDE=FY","FILING_STATUS=MR","EQY_CONSOLIDATED=Y","SCALING_FORMAT=MLN","Sort=A","Dates=H","DateFormat=P","Fill=—","Direction=H","UseDPDF=Y")</f>
        <v>12820</v>
      </c>
      <c r="H7" s="13">
        <f>_xll.BDH("RCOM IN Equity","C&amp;CE_AND_STI_DETAILED","FY 2014","FY 2014","Currency=INR","Period=FY","BEST_FPERIOD_OVERRIDE=FY","FILING_STATUS=MR","EQY_CONSOLIDATED=Y","SCALING_FORMAT=MLN","Sort=A","Dates=H","DateFormat=P","Fill=—","Direction=H","UseDPDF=Y")</f>
        <v>11090</v>
      </c>
      <c r="I7" s="13">
        <f>_xll.BDH("RCOM IN Equity","C&amp;CE_AND_STI_DETAILED","FY 2015","FY 2015","Currency=INR","Period=FY","BEST_FPERIOD_OVERRIDE=FY","FILING_STATUS=MR","EQY_CONSOLIDATED=Y","SCALING_FORMAT=MLN","Sort=A","Dates=H","DateFormat=P","Fill=—","Direction=H","UseDPDF=Y")</f>
        <v>26780</v>
      </c>
      <c r="J7" s="13">
        <f>_xll.BDH("RCOM IN Equity","C&amp;CE_AND_STI_DETAILED","FY 2016","FY 2016","Currency=INR","Period=FY","BEST_FPERIOD_OVERRIDE=FY","FILING_STATUS=MR","EQY_CONSOLIDATED=Y","SCALING_FORMAT=MLN","Sort=A","Dates=H","DateFormat=P","Fill=—","Direction=H","UseDPDF=Y")</f>
        <v>15170</v>
      </c>
      <c r="K7" s="13">
        <f>_xll.BDH("RCOM IN Equity","C&amp;CE_AND_STI_DETAILED","FY 2017","FY 2017","Currency=INR","Period=FY","BEST_FPERIOD_OVERRIDE=FY","FILING_STATUS=MR","EQY_CONSOLIDATED=Y","SCALING_FORMAT=MLN","Sort=A","Dates=H","DateFormat=P","Fill=—","Direction=H","UseDPDF=Y")</f>
        <v>13140</v>
      </c>
      <c r="L7" s="13">
        <f>_xll.BDH("RCOM IN Equity","C&amp;CE_AND_STI_DETAILED","FY 2018","FY 2018","Currency=INR","Period=FY","BEST_FPERIOD_OVERRIDE=FY","FILING_STATUS=MR","EQY_CONSOLIDATED=Y","SCALING_FORMAT=MLN","Sort=A","Dates=H","DateFormat=P","Fill=—","Direction=H","UseDPDF=Y")</f>
        <v>7360</v>
      </c>
    </row>
    <row r="8" spans="1:12">
      <c r="A8" s="11" t="s">
        <v>690</v>
      </c>
      <c r="B8" s="11" t="s">
        <v>689</v>
      </c>
      <c r="C8" s="25">
        <v>10.7303130637151</v>
      </c>
      <c r="D8" s="25">
        <v>5.2485166951266304</v>
      </c>
      <c r="E8" s="25">
        <v>5.6142647509052699</v>
      </c>
      <c r="F8" s="25">
        <v>1.1586191947108899</v>
      </c>
      <c r="G8" s="25">
        <v>1.4215697145771899</v>
      </c>
      <c r="H8" s="25">
        <v>1.22218671133691</v>
      </c>
      <c r="I8" s="25">
        <v>2.8788888649996802</v>
      </c>
      <c r="J8" s="25">
        <v>1.4663521951785301</v>
      </c>
      <c r="K8" s="25">
        <v>1.31754419388154</v>
      </c>
      <c r="L8" s="25">
        <v>0.98688621309233304</v>
      </c>
    </row>
    <row r="9" spans="1:12">
      <c r="A9" s="10" t="s">
        <v>691</v>
      </c>
      <c r="B9" s="10" t="s">
        <v>692</v>
      </c>
      <c r="C9" s="13">
        <f>_xll.BDH("RCOM IN Equity","BS_CASH_NEAR_CASH_ITEM","FY 2009","FY 2009","Currency=INR","Period=FY","BEST_FPERIOD_OVERRIDE=FY","FILING_STATUS=MR","EQY_CONSOLIDATED=Y","SCALING_FORMAT=MLN","Sort=A","Dates=H","DateFormat=P","Fill=—","Direction=H","UseDPDF=Y")</f>
        <v>16829</v>
      </c>
      <c r="D9" s="13">
        <f>_xll.BDH("RCOM IN Equity","BS_CASH_NEAR_CASH_ITEM","FY 2010","FY 2010","Currency=INR","Period=FY","BEST_FPERIOD_OVERRIDE=FY","FILING_STATUS=MR","EQY_CONSOLIDATED=Y","SCALING_FORMAT=MLN","Sort=A","Dates=H","DateFormat=P","Fill=—","Direction=H","UseDPDF=Y")</f>
        <v>8185.4</v>
      </c>
      <c r="E9" s="13">
        <f>_xll.BDH("RCOM IN Equity","BS_CASH_NEAR_CASH_ITEM","FY 2011","FY 2011","Currency=INR","Period=FY","BEST_FPERIOD_OVERRIDE=FY","FILING_STATUS=MR","EQY_CONSOLIDATED=Y","SCALING_FORMAT=MLN","Sort=A","Dates=H","DateFormat=P","Fill=—","Direction=H","UseDPDF=Y")</f>
        <v>48660</v>
      </c>
      <c r="F9" s="13">
        <f>_xll.BDH("RCOM IN Equity","BS_CASH_NEAR_CASH_ITEM","FY 2012","FY 2012","Currency=INR","Period=FY","BEST_FPERIOD_OVERRIDE=FY","FILING_STATUS=MR","EQY_CONSOLIDATED=Y","SCALING_FORMAT=MLN","Sort=A","Dates=H","DateFormat=P","Fill=—","Direction=H","UseDPDF=Y")</f>
        <v>5500</v>
      </c>
      <c r="G9" s="13">
        <f>_xll.BDH("RCOM IN Equity","BS_CASH_NEAR_CASH_ITEM","FY 2013","FY 2013","Currency=INR","Period=FY","BEST_FPERIOD_OVERRIDE=FY","FILING_STATUS=MR","EQY_CONSOLIDATED=Y","SCALING_FORMAT=MLN","Sort=A","Dates=H","DateFormat=P","Fill=—","Direction=H","UseDPDF=Y")</f>
        <v>7310</v>
      </c>
      <c r="H9" s="13">
        <f>_xll.BDH("RCOM IN Equity","BS_CASH_NEAR_CASH_ITEM","FY 2014","FY 2014","Currency=INR","Period=FY","BEST_FPERIOD_OVERRIDE=FY","FILING_STATUS=MR","EQY_CONSOLIDATED=Y","SCALING_FORMAT=MLN","Sort=A","Dates=H","DateFormat=P","Fill=—","Direction=H","UseDPDF=Y")</f>
        <v>5040</v>
      </c>
      <c r="I9" s="13">
        <f>_xll.BDH("RCOM IN Equity","BS_CASH_NEAR_CASH_ITEM","FY 2015","FY 2015","Currency=INR","Period=FY","BEST_FPERIOD_OVERRIDE=FY","FILING_STATUS=MR","EQY_CONSOLIDATED=Y","SCALING_FORMAT=MLN","Sort=A","Dates=H","DateFormat=P","Fill=—","Direction=H","UseDPDF=Y")</f>
        <v>14080</v>
      </c>
      <c r="J9" s="13">
        <f>_xll.BDH("RCOM IN Equity","BS_CASH_NEAR_CASH_ITEM","FY 2016","FY 2016","Currency=INR","Period=FY","BEST_FPERIOD_OVERRIDE=FY","FILING_STATUS=MR","EQY_CONSOLIDATED=Y","SCALING_FORMAT=MLN","Sort=A","Dates=H","DateFormat=P","Fill=—","Direction=H","UseDPDF=Y")</f>
        <v>15170</v>
      </c>
      <c r="K9" s="13">
        <f>_xll.BDH("RCOM IN Equity","BS_CASH_NEAR_CASH_ITEM","FY 2017","FY 2017","Currency=INR","Period=FY","BEST_FPERIOD_OVERRIDE=FY","FILING_STATUS=MR","EQY_CONSOLIDATED=Y","SCALING_FORMAT=MLN","Sort=A","Dates=H","DateFormat=P","Fill=—","Direction=H","UseDPDF=Y")</f>
        <v>13140</v>
      </c>
      <c r="L9" s="13">
        <f>_xll.BDH("RCOM IN Equity","BS_CASH_NEAR_CASH_ITEM","FY 2018","FY 2018","Currency=INR","Period=FY","BEST_FPERIOD_OVERRIDE=FY","FILING_STATUS=MR","EQY_CONSOLIDATED=Y","SCALING_FORMAT=MLN","Sort=A","Dates=H","DateFormat=P","Fill=—","Direction=H","UseDPDF=Y")</f>
        <v>7360</v>
      </c>
    </row>
    <row r="10" spans="1:12">
      <c r="A10" s="11" t="s">
        <v>690</v>
      </c>
      <c r="B10" s="11" t="s">
        <v>692</v>
      </c>
      <c r="C10" s="25">
        <v>1.64656057281405</v>
      </c>
      <c r="D10" s="25">
        <v>0.88425204089117404</v>
      </c>
      <c r="E10" s="25">
        <v>5.1370839183725199</v>
      </c>
      <c r="F10" s="25">
        <v>0.59610903376144797</v>
      </c>
      <c r="G10" s="25">
        <v>0.81058304317934804</v>
      </c>
      <c r="H10" s="25">
        <v>0.55543922679333002</v>
      </c>
      <c r="I10" s="25">
        <v>1.5136204338758601</v>
      </c>
      <c r="J10" s="25">
        <v>1.4663521951785301</v>
      </c>
      <c r="K10" s="25">
        <v>1.31754419388154</v>
      </c>
      <c r="L10" s="25">
        <v>0.98688621309233304</v>
      </c>
    </row>
    <row r="11" spans="1:12">
      <c r="A11" s="10" t="s">
        <v>693</v>
      </c>
      <c r="B11" s="10" t="s">
        <v>694</v>
      </c>
      <c r="C11" s="13">
        <f>_xll.BDH("RCOM IN Equity","BS_MKT_SEC_OTHER_ST_INVEST","FY 2009","FY 2009","Currency=INR","Period=FY","BEST_FPERIOD_OVERRIDE=FY","FILING_STATUS=MR","EQY_CONSOLIDATED=Y","SCALING_FORMAT=MLN","Sort=A","Dates=H","DateFormat=P","Fill=—","Direction=H","UseDPDF=Y")</f>
        <v>92842.3</v>
      </c>
      <c r="D11" s="13">
        <f>_xll.BDH("RCOM IN Equity","BS_MKT_SEC_OTHER_ST_INVEST","FY 2010","FY 2010","Currency=INR","Period=FY","BEST_FPERIOD_OVERRIDE=FY","FILING_STATUS=MR","EQY_CONSOLIDATED=Y","SCALING_FORMAT=MLN","Sort=A","Dates=H","DateFormat=P","Fill=—","Direction=H","UseDPDF=Y")</f>
        <v>40399.4</v>
      </c>
      <c r="E11" s="13">
        <f>_xll.BDH("RCOM IN Equity","BS_MKT_SEC_OTHER_ST_INVEST","FY 2011","FY 2011","Currency=INR","Period=FY","BEST_FPERIOD_OVERRIDE=FY","FILING_STATUS=MR","EQY_CONSOLIDATED=Y","SCALING_FORMAT=MLN","Sort=A","Dates=H","DateFormat=P","Fill=—","Direction=H","UseDPDF=Y")</f>
        <v>4520</v>
      </c>
      <c r="F11" s="13">
        <f>_xll.BDH("RCOM IN Equity","BS_MKT_SEC_OTHER_ST_INVEST","FY 2012","FY 2012","Currency=INR","Period=FY","BEST_FPERIOD_OVERRIDE=FY","FILING_STATUS=MR","EQY_CONSOLIDATED=Y","SCALING_FORMAT=MLN","Sort=A","Dates=H","DateFormat=P","Fill=—","Direction=H","UseDPDF=Y")</f>
        <v>5190</v>
      </c>
      <c r="G11" s="13">
        <f>_xll.BDH("RCOM IN Equity","BS_MKT_SEC_OTHER_ST_INVEST","FY 2013","FY 2013","Currency=INR","Period=FY","BEST_FPERIOD_OVERRIDE=FY","FILING_STATUS=MR","EQY_CONSOLIDATED=Y","SCALING_FORMAT=MLN","Sort=A","Dates=H","DateFormat=P","Fill=—","Direction=H","UseDPDF=Y")</f>
        <v>5510</v>
      </c>
      <c r="H11" s="13">
        <f>_xll.BDH("RCOM IN Equity","BS_MKT_SEC_OTHER_ST_INVEST","FY 2014","FY 2014","Currency=INR","Period=FY","BEST_FPERIOD_OVERRIDE=FY","FILING_STATUS=MR","EQY_CONSOLIDATED=Y","SCALING_FORMAT=MLN","Sort=A","Dates=H","DateFormat=P","Fill=—","Direction=H","UseDPDF=Y")</f>
        <v>6050</v>
      </c>
      <c r="I11" s="13">
        <f>_xll.BDH("RCOM IN Equity","BS_MKT_SEC_OTHER_ST_INVEST","FY 2015","FY 2015","Currency=INR","Period=FY","BEST_FPERIOD_OVERRIDE=FY","FILING_STATUS=MR","EQY_CONSOLIDATED=Y","SCALING_FORMAT=MLN","Sort=A","Dates=H","DateFormat=P","Fill=—","Direction=H","UseDPDF=Y")</f>
        <v>12700</v>
      </c>
      <c r="J11" s="13">
        <f>_xll.BDH("RCOM IN Equity","BS_MKT_SEC_OTHER_ST_INVEST","FY 2016","FY 2016","Currency=INR","Period=FY","BEST_FPERIOD_OVERRIDE=FY","FILING_STATUS=MR","EQY_CONSOLIDATED=Y","SCALING_FORMAT=MLN","Sort=A","Dates=H","DateFormat=P","Fill=—","Direction=H","UseDPDF=Y")</f>
        <v>0</v>
      </c>
      <c r="K11" s="13">
        <f>_xll.BDH("RCOM IN Equity","BS_MKT_SEC_OTHER_ST_INVEST","FY 2017","FY 2017","Currency=INR","Period=FY","BEST_FPERIOD_OVERRIDE=FY","FILING_STATUS=MR","EQY_CONSOLIDATED=Y","SCALING_FORMAT=MLN","Sort=A","Dates=H","DateFormat=P","Fill=—","Direction=H","UseDPDF=Y")</f>
        <v>0</v>
      </c>
      <c r="L11" s="13">
        <f>_xll.BDH("RCOM IN Equity","BS_MKT_SEC_OTHER_ST_INVEST","FY 2018","FY 2018","Currency=INR","Period=FY","BEST_FPERIOD_OVERRIDE=FY","FILING_STATUS=MR","EQY_CONSOLIDATED=Y","SCALING_FORMAT=MLN","Sort=A","Dates=H","DateFormat=P","Fill=—","Direction=H","UseDPDF=Y")</f>
        <v>0</v>
      </c>
    </row>
    <row r="12" spans="1:12">
      <c r="A12" s="11" t="s">
        <v>690</v>
      </c>
      <c r="B12" s="11" t="s">
        <v>694</v>
      </c>
      <c r="C12" s="25">
        <v>9.0837524909010607</v>
      </c>
      <c r="D12" s="25">
        <v>4.36426465423546</v>
      </c>
      <c r="E12" s="25">
        <v>0.47718083253275301</v>
      </c>
      <c r="F12" s="25">
        <v>0.56251016094943895</v>
      </c>
      <c r="G12" s="25">
        <v>0.61098667139784002</v>
      </c>
      <c r="H12" s="25">
        <v>0.66674748454358101</v>
      </c>
      <c r="I12" s="25">
        <v>1.3652684311238199</v>
      </c>
      <c r="J12" s="25">
        <v>0</v>
      </c>
      <c r="K12" s="25">
        <v>0</v>
      </c>
      <c r="L12" s="25">
        <v>0</v>
      </c>
    </row>
    <row r="13" spans="1:12">
      <c r="A13" s="10" t="s">
        <v>695</v>
      </c>
      <c r="B13" s="10" t="s">
        <v>696</v>
      </c>
      <c r="C13" s="13">
        <f>_xll.BDH("RCOM IN Equity","BS_ACCT_NOTE_RCV","FY 2009","FY 2009","Currency=INR","Period=FY","BEST_FPERIOD_OVERRIDE=FY","FILING_STATUS=MR","EQY_CONSOLIDATED=Y","SCALING_FORMAT=MLN","Sort=A","Dates=H","DateFormat=P","Fill=—","Direction=H","UseDPDF=Y")</f>
        <v>8512.7999999999993</v>
      </c>
      <c r="D13" s="13">
        <f>_xll.BDH("RCOM IN Equity","BS_ACCT_NOTE_RCV","FY 2010","FY 2010","Currency=INR","Period=FY","BEST_FPERIOD_OVERRIDE=FY","FILING_STATUS=MR","EQY_CONSOLIDATED=Y","SCALING_FORMAT=MLN","Sort=A","Dates=H","DateFormat=P","Fill=—","Direction=H","UseDPDF=Y")</f>
        <v>9904.4</v>
      </c>
      <c r="E13" s="13">
        <f>_xll.BDH("RCOM IN Equity","BS_ACCT_NOTE_RCV","FY 2011","FY 2011","Currency=INR","Period=FY","BEST_FPERIOD_OVERRIDE=FY","FILING_STATUS=MR","EQY_CONSOLIDATED=Y","SCALING_FORMAT=MLN","Sort=A","Dates=H","DateFormat=P","Fill=—","Direction=H","UseDPDF=Y")</f>
        <v>13380</v>
      </c>
      <c r="F13" s="13">
        <f>_xll.BDH("RCOM IN Equity","BS_ACCT_NOTE_RCV","FY 2012","FY 2012","Currency=INR","Period=FY","BEST_FPERIOD_OVERRIDE=FY","FILING_STATUS=MR","EQY_CONSOLIDATED=Y","SCALING_FORMAT=MLN","Sort=A","Dates=H","DateFormat=P","Fill=—","Direction=H","UseDPDF=Y")</f>
        <v>18420</v>
      </c>
      <c r="G13" s="13">
        <f>_xll.BDH("RCOM IN Equity","BS_ACCT_NOTE_RCV","FY 2013","FY 2013","Currency=INR","Period=FY","BEST_FPERIOD_OVERRIDE=FY","FILING_STATUS=MR","EQY_CONSOLIDATED=Y","SCALING_FORMAT=MLN","Sort=A","Dates=H","DateFormat=P","Fill=—","Direction=H","UseDPDF=Y")</f>
        <v>15740</v>
      </c>
      <c r="H13" s="13">
        <f>_xll.BDH("RCOM IN Equity","BS_ACCT_NOTE_RCV","FY 2014","FY 2014","Currency=INR","Period=FY","BEST_FPERIOD_OVERRIDE=FY","FILING_STATUS=MR","EQY_CONSOLIDATED=Y","SCALING_FORMAT=MLN","Sort=A","Dates=H","DateFormat=P","Fill=—","Direction=H","UseDPDF=Y")</f>
        <v>11270</v>
      </c>
      <c r="I13" s="13">
        <f>_xll.BDH("RCOM IN Equity","BS_ACCT_NOTE_RCV","FY 2015","FY 2015","Currency=INR","Period=FY","BEST_FPERIOD_OVERRIDE=FY","FILING_STATUS=MR","EQY_CONSOLIDATED=Y","SCALING_FORMAT=MLN","Sort=A","Dates=H","DateFormat=P","Fill=—","Direction=H","UseDPDF=Y")</f>
        <v>11940</v>
      </c>
      <c r="J13" s="13">
        <f>_xll.BDH("RCOM IN Equity","BS_ACCT_NOTE_RCV","FY 2016","FY 2016","Currency=INR","Period=FY","BEST_FPERIOD_OVERRIDE=FY","FILING_STATUS=MR","EQY_CONSOLIDATED=Y","SCALING_FORMAT=MLN","Sort=A","Dates=H","DateFormat=P","Fill=—","Direction=H","UseDPDF=Y")</f>
        <v>29810</v>
      </c>
      <c r="K13" s="13">
        <f>_xll.BDH("RCOM IN Equity","BS_ACCT_NOTE_RCV","FY 2017","FY 2017","Currency=INR","Period=FY","BEST_FPERIOD_OVERRIDE=FY","FILING_STATUS=MR","EQY_CONSOLIDATED=Y","SCALING_FORMAT=MLN","Sort=A","Dates=H","DateFormat=P","Fill=—","Direction=H","UseDPDF=Y")</f>
        <v>32510</v>
      </c>
      <c r="L13" s="13">
        <f>_xll.BDH("RCOM IN Equity","BS_ACCT_NOTE_RCV","FY 2018","FY 2018","Currency=INR","Period=FY","BEST_FPERIOD_OVERRIDE=FY","FILING_STATUS=MR","EQY_CONSOLIDATED=Y","SCALING_FORMAT=MLN","Sort=A","Dates=H","DateFormat=P","Fill=—","Direction=H","UseDPDF=Y")</f>
        <v>21330</v>
      </c>
    </row>
    <row r="14" spans="1:12">
      <c r="A14" s="11" t="s">
        <v>690</v>
      </c>
      <c r="B14" s="11" t="s">
        <v>696</v>
      </c>
      <c r="C14" s="25">
        <v>0.83289802390227896</v>
      </c>
      <c r="D14" s="25">
        <v>1.0699520993235001</v>
      </c>
      <c r="E14" s="25">
        <v>1.4125397210814701</v>
      </c>
      <c r="F14" s="25">
        <v>1.9964233457974301</v>
      </c>
      <c r="G14" s="25">
        <v>1.74535938435608</v>
      </c>
      <c r="H14" s="25">
        <v>1.24202382657953</v>
      </c>
      <c r="I14" s="25">
        <v>1.2835673281589299</v>
      </c>
      <c r="J14" s="25">
        <v>2.8814738917779898</v>
      </c>
      <c r="K14" s="25">
        <v>3.2597687780128499</v>
      </c>
      <c r="L14" s="25">
        <v>2.86009278875808</v>
      </c>
    </row>
    <row r="15" spans="1:12">
      <c r="A15" s="10" t="s">
        <v>697</v>
      </c>
      <c r="B15" s="10" t="s">
        <v>698</v>
      </c>
      <c r="C15" s="13">
        <f>_xll.BDH("RCOM IN Equity","BS_ACCTS_REC_EXCL_NOTES_REC","FY 2009","FY 2009","Currency=INR","Period=FY","BEST_FPERIOD_OVERRIDE=FY","FILING_STATUS=MR","EQY_CONSOLIDATED=Y","SCALING_FORMAT=MLN","Sort=A","Dates=H","DateFormat=P","Fill=—","Direction=H","UseDPDF=Y")</f>
        <v>8512.7999999999993</v>
      </c>
      <c r="D15" s="13">
        <f>_xll.BDH("RCOM IN Equity","BS_ACCTS_REC_EXCL_NOTES_REC","FY 2010","FY 2010","Currency=INR","Period=FY","BEST_FPERIOD_OVERRIDE=FY","FILING_STATUS=MR","EQY_CONSOLIDATED=Y","SCALING_FORMAT=MLN","Sort=A","Dates=H","DateFormat=P","Fill=—","Direction=H","UseDPDF=Y")</f>
        <v>9904.4</v>
      </c>
      <c r="E15" s="13">
        <f>_xll.BDH("RCOM IN Equity","BS_ACCTS_REC_EXCL_NOTES_REC","FY 2011","FY 2011","Currency=INR","Period=FY","BEST_FPERIOD_OVERRIDE=FY","FILING_STATUS=MR","EQY_CONSOLIDATED=Y","SCALING_FORMAT=MLN","Sort=A","Dates=H","DateFormat=P","Fill=—","Direction=H","UseDPDF=Y")</f>
        <v>13380</v>
      </c>
      <c r="F15" s="13">
        <f>_xll.BDH("RCOM IN Equity","BS_ACCTS_REC_EXCL_NOTES_REC","FY 2012","FY 2012","Currency=INR","Period=FY","BEST_FPERIOD_OVERRIDE=FY","FILING_STATUS=MR","EQY_CONSOLIDATED=Y","SCALING_FORMAT=MLN","Sort=A","Dates=H","DateFormat=P","Fill=—","Direction=H","UseDPDF=Y")</f>
        <v>18420</v>
      </c>
      <c r="G15" s="13">
        <f>_xll.BDH("RCOM IN Equity","BS_ACCTS_REC_EXCL_NOTES_REC","FY 2013","FY 2013","Currency=INR","Period=FY","BEST_FPERIOD_OVERRIDE=FY","FILING_STATUS=MR","EQY_CONSOLIDATED=Y","SCALING_FORMAT=MLN","Sort=A","Dates=H","DateFormat=P","Fill=—","Direction=H","UseDPDF=Y")</f>
        <v>15740</v>
      </c>
      <c r="H15" s="13">
        <f>_xll.BDH("RCOM IN Equity","BS_ACCTS_REC_EXCL_NOTES_REC","FY 2014","FY 2014","Currency=INR","Period=FY","BEST_FPERIOD_OVERRIDE=FY","FILING_STATUS=MR","EQY_CONSOLIDATED=Y","SCALING_FORMAT=MLN","Sort=A","Dates=H","DateFormat=P","Fill=—","Direction=H","UseDPDF=Y")</f>
        <v>11270</v>
      </c>
      <c r="I15" s="13">
        <f>_xll.BDH("RCOM IN Equity","BS_ACCTS_REC_EXCL_NOTES_REC","FY 2015","FY 2015","Currency=INR","Period=FY","BEST_FPERIOD_OVERRIDE=FY","FILING_STATUS=MR","EQY_CONSOLIDATED=Y","SCALING_FORMAT=MLN","Sort=A","Dates=H","DateFormat=P","Fill=—","Direction=H","UseDPDF=Y")</f>
        <v>11940</v>
      </c>
      <c r="J15" s="13">
        <f>_xll.BDH("RCOM IN Equity","BS_ACCTS_REC_EXCL_NOTES_REC","FY 2016","FY 2016","Currency=INR","Period=FY","BEST_FPERIOD_OVERRIDE=FY","FILING_STATUS=MR","EQY_CONSOLIDATED=Y","SCALING_FORMAT=MLN","Sort=A","Dates=H","DateFormat=P","Fill=—","Direction=H","UseDPDF=Y")</f>
        <v>29810</v>
      </c>
      <c r="K15" s="13">
        <f>_xll.BDH("RCOM IN Equity","BS_ACCTS_REC_EXCL_NOTES_REC","FY 2017","FY 2017","Currency=INR","Period=FY","BEST_FPERIOD_OVERRIDE=FY","FILING_STATUS=MR","EQY_CONSOLIDATED=Y","SCALING_FORMAT=MLN","Sort=A","Dates=H","DateFormat=P","Fill=—","Direction=H","UseDPDF=Y")</f>
        <v>32510</v>
      </c>
      <c r="L15" s="13">
        <f>_xll.BDH("RCOM IN Equity","BS_ACCTS_REC_EXCL_NOTES_REC","FY 2018","FY 2018","Currency=INR","Period=FY","BEST_FPERIOD_OVERRIDE=FY","FILING_STATUS=MR","EQY_CONSOLIDATED=Y","SCALING_FORMAT=MLN","Sort=A","Dates=H","DateFormat=P","Fill=—","Direction=H","UseDPDF=Y")</f>
        <v>21330</v>
      </c>
    </row>
    <row r="16" spans="1:12">
      <c r="A16" s="11" t="s">
        <v>690</v>
      </c>
      <c r="B16" s="11" t="s">
        <v>698</v>
      </c>
      <c r="C16" s="25">
        <v>0.83289802390227896</v>
      </c>
      <c r="D16" s="25">
        <v>1.0699520993235001</v>
      </c>
      <c r="E16" s="25">
        <v>1.4125397210814701</v>
      </c>
      <c r="F16" s="25">
        <v>1.9964233457974301</v>
      </c>
      <c r="G16" s="25">
        <v>1.74535938435608</v>
      </c>
      <c r="H16" s="25">
        <v>1.24202382657953</v>
      </c>
      <c r="I16" s="25">
        <v>1.2835673281589299</v>
      </c>
      <c r="J16" s="25">
        <v>2.8814738917779898</v>
      </c>
      <c r="K16" s="25">
        <v>3.2597687780128499</v>
      </c>
      <c r="L16" s="25">
        <v>2.86009278875808</v>
      </c>
    </row>
    <row r="17" spans="1:12">
      <c r="A17" s="10" t="s">
        <v>699</v>
      </c>
      <c r="B17" s="10" t="s">
        <v>700</v>
      </c>
      <c r="C17" s="13">
        <f>_xll.BDH("RCOM IN Equity","NOTES_RECEIVABLE","FY 2009","FY 2009","Currency=INR","Period=FY","BEST_FPERIOD_OVERRIDE=FY","FILING_STATUS=MR","EQY_CONSOLIDATED=Y","SCALING_FORMAT=MLN","Sort=A","Dates=H","DateFormat=P","Fill=—","Direction=H","UseDPDF=Y")</f>
        <v>0</v>
      </c>
      <c r="D17" s="13">
        <f>_xll.BDH("RCOM IN Equity","NOTES_RECEIVABLE","FY 2010","FY 2010","Currency=INR","Period=FY","BEST_FPERIOD_OVERRIDE=FY","FILING_STATUS=MR","EQY_CONSOLIDATED=Y","SCALING_FORMAT=MLN","Sort=A","Dates=H","DateFormat=P","Fill=—","Direction=H","UseDPDF=Y")</f>
        <v>0</v>
      </c>
      <c r="E17" s="13">
        <f>_xll.BDH("RCOM IN Equity","NOTES_RECEIVABLE","FY 2011","FY 2011","Currency=INR","Period=FY","BEST_FPERIOD_OVERRIDE=FY","FILING_STATUS=MR","EQY_CONSOLIDATED=Y","SCALING_FORMAT=MLN","Sort=A","Dates=H","DateFormat=P","Fill=—","Direction=H","UseDPDF=Y")</f>
        <v>0</v>
      </c>
      <c r="F17" s="13">
        <f>_xll.BDH("RCOM IN Equity","NOTES_RECEIVABLE","FY 2012","FY 2012","Currency=INR","Period=FY","BEST_FPERIOD_OVERRIDE=FY","FILING_STATUS=MR","EQY_CONSOLIDATED=Y","SCALING_FORMAT=MLN","Sort=A","Dates=H","DateFormat=P","Fill=—","Direction=H","UseDPDF=Y")</f>
        <v>0</v>
      </c>
      <c r="G17" s="13">
        <f>_xll.BDH("RCOM IN Equity","NOTES_RECEIVABLE","FY 2013","FY 2013","Currency=INR","Period=FY","BEST_FPERIOD_OVERRIDE=FY","FILING_STATUS=MR","EQY_CONSOLIDATED=Y","SCALING_FORMAT=MLN","Sort=A","Dates=H","DateFormat=P","Fill=—","Direction=H","UseDPDF=Y")</f>
        <v>0</v>
      </c>
      <c r="H17" s="13">
        <f>_xll.BDH("RCOM IN Equity","NOTES_RECEIVABLE","FY 2014","FY 2014","Currency=INR","Period=FY","BEST_FPERIOD_OVERRIDE=FY","FILING_STATUS=MR","EQY_CONSOLIDATED=Y","SCALING_FORMAT=MLN","Sort=A","Dates=H","DateFormat=P","Fill=—","Direction=H","UseDPDF=Y")</f>
        <v>0</v>
      </c>
      <c r="I17" s="13">
        <f>_xll.BDH("RCOM IN Equity","NOTES_RECEIVABLE","FY 2015","FY 2015","Currency=INR","Period=FY","BEST_FPERIOD_OVERRIDE=FY","FILING_STATUS=MR","EQY_CONSOLIDATED=Y","SCALING_FORMAT=MLN","Sort=A","Dates=H","DateFormat=P","Fill=—","Direction=H","UseDPDF=Y")</f>
        <v>0</v>
      </c>
      <c r="J17" s="13">
        <f>_xll.BDH("RCOM IN Equity","NOTES_RECEIVABLE","FY 2016","FY 2016","Currency=INR","Period=FY","BEST_FPERIOD_OVERRIDE=FY","FILING_STATUS=MR","EQY_CONSOLIDATED=Y","SCALING_FORMAT=MLN","Sort=A","Dates=H","DateFormat=P","Fill=—","Direction=H","UseDPDF=Y")</f>
        <v>0</v>
      </c>
      <c r="K17" s="13">
        <f>_xll.BDH("RCOM IN Equity","NOTES_RECEIVABLE","FY 2017","FY 2017","Currency=INR","Period=FY","BEST_FPERIOD_OVERRIDE=FY","FILING_STATUS=MR","EQY_CONSOLIDATED=Y","SCALING_FORMAT=MLN","Sort=A","Dates=H","DateFormat=P","Fill=—","Direction=H","UseDPDF=Y")</f>
        <v>0</v>
      </c>
      <c r="L17" s="13">
        <f>_xll.BDH("RCOM IN Equity","NOTES_RECEIVABLE","FY 2018","FY 2018","Currency=INR","Period=FY","BEST_FPERIOD_OVERRIDE=FY","FILING_STATUS=MR","EQY_CONSOLIDATED=Y","SCALING_FORMAT=MLN","Sort=A","Dates=H","DateFormat=P","Fill=—","Direction=H","UseDPDF=Y")</f>
        <v>0</v>
      </c>
    </row>
    <row r="18" spans="1:12">
      <c r="A18" s="11" t="s">
        <v>690</v>
      </c>
      <c r="B18" s="11" t="s">
        <v>700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</row>
    <row r="19" spans="1:12">
      <c r="A19" s="10" t="s">
        <v>701</v>
      </c>
      <c r="B19" s="10" t="s">
        <v>702</v>
      </c>
      <c r="C19" s="13" t="str">
        <f>_xll.BDH("RCOM IN Equity","BS_UNBILLED_REVENUES","FY 2009","FY 2009","Currency=INR","Period=FY","BEST_FPERIOD_OVERRIDE=FY","FILING_STATUS=MR","EQY_CONSOLIDATED=Y","SCALING_FORMAT=MLN","Sort=A","Dates=H","DateFormat=P","Fill=—","Direction=H","UseDPDF=Y")</f>
        <v>—</v>
      </c>
      <c r="D19" s="13" t="str">
        <f>_xll.BDH("RCOM IN Equity","BS_UNBILLED_REVENUES","FY 2010","FY 2010","Currency=INR","Period=FY","BEST_FPERIOD_OVERRIDE=FY","FILING_STATUS=MR","EQY_CONSOLIDATED=Y","SCALING_FORMAT=MLN","Sort=A","Dates=H","DateFormat=P","Fill=—","Direction=H","UseDPDF=Y")</f>
        <v>—</v>
      </c>
      <c r="E19" s="13" t="str">
        <f>_xll.BDH("RCOM IN Equity","BS_UNBILLED_REVENUES","FY 2011","FY 2011","Currency=INR","Period=FY","BEST_FPERIOD_OVERRIDE=FY","FILING_STATUS=MR","EQY_CONSOLIDATED=Y","SCALING_FORMAT=MLN","Sort=A","Dates=H","DateFormat=P","Fill=—","Direction=H","UseDPDF=Y")</f>
        <v>—</v>
      </c>
      <c r="F19" s="13" t="str">
        <f>_xll.BDH("RCOM IN Equity","BS_UNBILLED_REVENUES","FY 2012","FY 2012","Currency=INR","Period=FY","BEST_FPERIOD_OVERRIDE=FY","FILING_STATUS=MR","EQY_CONSOLIDATED=Y","SCALING_FORMAT=MLN","Sort=A","Dates=H","DateFormat=P","Fill=—","Direction=H","UseDPDF=Y")</f>
        <v>—</v>
      </c>
      <c r="G19" s="13" t="str">
        <f>_xll.BDH("RCOM IN Equity","BS_UNBILLED_REVENUES","FY 2013","FY 2013","Currency=INR","Period=FY","BEST_FPERIOD_OVERRIDE=FY","FILING_STATUS=MR","EQY_CONSOLIDATED=Y","SCALING_FORMAT=MLN","Sort=A","Dates=H","DateFormat=P","Fill=—","Direction=H","UseDPDF=Y")</f>
        <v>—</v>
      </c>
      <c r="H19" s="13" t="str">
        <f>_xll.BDH("RCOM IN Equity","BS_UNBILLED_REVENUES","FY 2014","FY 2014","Currency=INR","Period=FY","BEST_FPERIOD_OVERRIDE=FY","FILING_STATUS=MR","EQY_CONSOLIDATED=Y","SCALING_FORMAT=MLN","Sort=A","Dates=H","DateFormat=P","Fill=—","Direction=H","UseDPDF=Y")</f>
        <v>—</v>
      </c>
      <c r="I19" s="13" t="str">
        <f>_xll.BDH("RCOM IN Equity","BS_UNBILLED_REVENUES","FY 2015","FY 2015","Currency=INR","Period=FY","BEST_FPERIOD_OVERRIDE=FY","FILING_STATUS=MR","EQY_CONSOLIDATED=Y","SCALING_FORMAT=MLN","Sort=A","Dates=H","DateFormat=P","Fill=—","Direction=H","UseDPDF=Y")</f>
        <v>—</v>
      </c>
      <c r="J19" s="13">
        <f>_xll.BDH("RCOM IN Equity","BS_UNBILLED_REVENUES","FY 2016","FY 2016","Currency=INR","Period=FY","BEST_FPERIOD_OVERRIDE=FY","FILING_STATUS=MR","EQY_CONSOLIDATED=Y","SCALING_FORMAT=MLN","Sort=A","Dates=H","DateFormat=P","Fill=—","Direction=H","UseDPDF=Y")</f>
        <v>2720</v>
      </c>
      <c r="K19" s="13">
        <f>_xll.BDH("RCOM IN Equity","BS_UNBILLED_REVENUES","FY 2017","FY 2017","Currency=INR","Period=FY","BEST_FPERIOD_OVERRIDE=FY","FILING_STATUS=MR","EQY_CONSOLIDATED=Y","SCALING_FORMAT=MLN","Sort=A","Dates=H","DateFormat=P","Fill=—","Direction=H","UseDPDF=Y")</f>
        <v>6120</v>
      </c>
      <c r="L19" s="13">
        <f>_xll.BDH("RCOM IN Equity","BS_UNBILLED_REVENUES","FY 2018","FY 2018","Currency=INR","Period=FY","BEST_FPERIOD_OVERRIDE=FY","FILING_STATUS=MR","EQY_CONSOLIDATED=Y","SCALING_FORMAT=MLN","Sort=A","Dates=H","DateFormat=P","Fill=—","Direction=H","UseDPDF=Y")</f>
        <v>850</v>
      </c>
    </row>
    <row r="20" spans="1:12">
      <c r="A20" s="11" t="s">
        <v>690</v>
      </c>
      <c r="B20" s="11" t="s">
        <v>702</v>
      </c>
      <c r="C20" s="25" t="s">
        <v>44</v>
      </c>
      <c r="D20" s="25" t="s">
        <v>44</v>
      </c>
      <c r="E20" s="25" t="s">
        <v>44</v>
      </c>
      <c r="F20" s="25" t="s">
        <v>44</v>
      </c>
      <c r="G20" s="25" t="s">
        <v>44</v>
      </c>
      <c r="H20" s="25" t="s">
        <v>44</v>
      </c>
      <c r="I20" s="25" t="s">
        <v>44</v>
      </c>
      <c r="J20" s="25">
        <v>0.262918785160554</v>
      </c>
      <c r="K20" s="25">
        <v>0.61365072043797797</v>
      </c>
      <c r="L20" s="25">
        <v>0.113974630588109</v>
      </c>
    </row>
    <row r="21" spans="1:12">
      <c r="A21" s="10" t="s">
        <v>703</v>
      </c>
      <c r="B21" s="10" t="s">
        <v>704</v>
      </c>
      <c r="C21" s="13">
        <f>_xll.BDH("RCOM IN Equity","BS_INVENTORIES","FY 2009","FY 2009","Currency=INR","Period=FY","BEST_FPERIOD_OVERRIDE=FY","FILING_STATUS=MR","EQY_CONSOLIDATED=Y","SCALING_FORMAT=MLN","Sort=A","Dates=H","DateFormat=P","Fill=—","Direction=H","UseDPDF=Y")</f>
        <v>5427.2</v>
      </c>
      <c r="D21" s="13">
        <f>_xll.BDH("RCOM IN Equity","BS_INVENTORIES","FY 2010","FY 2010","Currency=INR","Period=FY","BEST_FPERIOD_OVERRIDE=FY","FILING_STATUS=MR","EQY_CONSOLIDATED=Y","SCALING_FORMAT=MLN","Sort=A","Dates=H","DateFormat=P","Fill=—","Direction=H","UseDPDF=Y")</f>
        <v>5446.3</v>
      </c>
      <c r="E21" s="13">
        <f>_xll.BDH("RCOM IN Equity","BS_INVENTORIES","FY 2011","FY 2011","Currency=INR","Period=FY","BEST_FPERIOD_OVERRIDE=FY","FILING_STATUS=MR","EQY_CONSOLIDATED=Y","SCALING_FORMAT=MLN","Sort=A","Dates=H","DateFormat=P","Fill=—","Direction=H","UseDPDF=Y")</f>
        <v>5170</v>
      </c>
      <c r="F21" s="13">
        <f>_xll.BDH("RCOM IN Equity","BS_INVENTORIES","FY 2012","FY 2012","Currency=INR","Period=FY","BEST_FPERIOD_OVERRIDE=FY","FILING_STATUS=MR","EQY_CONSOLIDATED=Y","SCALING_FORMAT=MLN","Sort=A","Dates=H","DateFormat=P","Fill=—","Direction=H","UseDPDF=Y")</f>
        <v>5660</v>
      </c>
      <c r="G21" s="13">
        <f>_xll.BDH("RCOM IN Equity","BS_INVENTORIES","FY 2013","FY 2013","Currency=INR","Period=FY","BEST_FPERIOD_OVERRIDE=FY","FILING_STATUS=MR","EQY_CONSOLIDATED=Y","SCALING_FORMAT=MLN","Sort=A","Dates=H","DateFormat=P","Fill=—","Direction=H","UseDPDF=Y")</f>
        <v>4970</v>
      </c>
      <c r="H21" s="13">
        <f>_xll.BDH("RCOM IN Equity","BS_INVENTORIES","FY 2014","FY 2014","Currency=INR","Period=FY","BEST_FPERIOD_OVERRIDE=FY","FILING_STATUS=MR","EQY_CONSOLIDATED=Y","SCALING_FORMAT=MLN","Sort=A","Dates=H","DateFormat=P","Fill=—","Direction=H","UseDPDF=Y")</f>
        <v>4150</v>
      </c>
      <c r="I21" s="13">
        <f>_xll.BDH("RCOM IN Equity","BS_INVENTORIES","FY 2015","FY 2015","Currency=INR","Period=FY","BEST_FPERIOD_OVERRIDE=FY","FILING_STATUS=MR","EQY_CONSOLIDATED=Y","SCALING_FORMAT=MLN","Sort=A","Dates=H","DateFormat=P","Fill=—","Direction=H","UseDPDF=Y")</f>
        <v>4010</v>
      </c>
      <c r="J21" s="13">
        <f>_xll.BDH("RCOM IN Equity","BS_INVENTORIES","FY 2016","FY 2016","Currency=INR","Period=FY","BEST_FPERIOD_OVERRIDE=FY","FILING_STATUS=MR","EQY_CONSOLIDATED=Y","SCALING_FORMAT=MLN","Sort=A","Dates=H","DateFormat=P","Fill=—","Direction=H","UseDPDF=Y")</f>
        <v>2080</v>
      </c>
      <c r="K21" s="13">
        <f>_xll.BDH("RCOM IN Equity","BS_INVENTORIES","FY 2017","FY 2017","Currency=INR","Period=FY","BEST_FPERIOD_OVERRIDE=FY","FILING_STATUS=MR","EQY_CONSOLIDATED=Y","SCALING_FORMAT=MLN","Sort=A","Dates=H","DateFormat=P","Fill=—","Direction=H","UseDPDF=Y")</f>
        <v>2350</v>
      </c>
      <c r="L21" s="13">
        <f>_xll.BDH("RCOM IN Equity","BS_INVENTORIES","FY 2018","FY 2018","Currency=INR","Period=FY","BEST_FPERIOD_OVERRIDE=FY","FILING_STATUS=MR","EQY_CONSOLIDATED=Y","SCALING_FORMAT=MLN","Sort=A","Dates=H","DateFormat=P","Fill=—","Direction=H","UseDPDF=Y")</f>
        <v>790</v>
      </c>
    </row>
    <row r="22" spans="1:12">
      <c r="A22" s="11" t="s">
        <v>690</v>
      </c>
      <c r="B22" s="11" t="s">
        <v>704</v>
      </c>
      <c r="C22" s="25">
        <v>0.53100086403092395</v>
      </c>
      <c r="D22" s="25">
        <v>0.58835266331585601</v>
      </c>
      <c r="E22" s="25">
        <v>0.54580196995449903</v>
      </c>
      <c r="F22" s="25">
        <v>0.61345038747087199</v>
      </c>
      <c r="G22" s="25">
        <v>0.551107759863387</v>
      </c>
      <c r="H22" s="25">
        <v>0.45735571253815899</v>
      </c>
      <c r="I22" s="25">
        <v>0.43108081959106398</v>
      </c>
      <c r="J22" s="25">
        <v>0.201055541593365</v>
      </c>
      <c r="K22" s="25">
        <v>0.23563385507013901</v>
      </c>
      <c r="L22" s="25">
        <v>0.105929362546596</v>
      </c>
    </row>
    <row r="23" spans="1:12">
      <c r="A23" s="10" t="s">
        <v>705</v>
      </c>
      <c r="B23" s="10" t="s">
        <v>706</v>
      </c>
      <c r="C23" s="13" t="str">
        <f>_xll.BDH("RCOM IN Equity","INVTRY_RAW_MATERIALS","FY 2009","FY 2009","Currency=INR","Period=FY","BEST_FPERIOD_OVERRIDE=FY","FILING_STATUS=MR","EQY_CONSOLIDATED=Y","SCALING_FORMAT=MLN","Sort=A","Dates=H","DateFormat=P","Fill=—","Direction=H","UseDPDF=Y")</f>
        <v>—</v>
      </c>
      <c r="D23" s="13" t="str">
        <f>_xll.BDH("RCOM IN Equity","INVTRY_RAW_MATERIALS","FY 2010","FY 2010","Currency=INR","Period=FY","BEST_FPERIOD_OVERRIDE=FY","FILING_STATUS=MR","EQY_CONSOLIDATED=Y","SCALING_FORMAT=MLN","Sort=A","Dates=H","DateFormat=P","Fill=—","Direction=H","UseDPDF=Y")</f>
        <v>—</v>
      </c>
      <c r="E23" s="13" t="str">
        <f>_xll.BDH("RCOM IN Equity","INVTRY_RAW_MATERIALS","FY 2011","FY 2011","Currency=INR","Period=FY","BEST_FPERIOD_OVERRIDE=FY","FILING_STATUS=MR","EQY_CONSOLIDATED=Y","SCALING_FORMAT=MLN","Sort=A","Dates=H","DateFormat=P","Fill=—","Direction=H","UseDPDF=Y")</f>
        <v>—</v>
      </c>
      <c r="F23" s="13" t="str">
        <f>_xll.BDH("RCOM IN Equity","INVTRY_RAW_MATERIALS","FY 2012","FY 2012","Currency=INR","Period=FY","BEST_FPERIOD_OVERRIDE=FY","FILING_STATUS=MR","EQY_CONSOLIDATED=Y","SCALING_FORMAT=MLN","Sort=A","Dates=H","DateFormat=P","Fill=—","Direction=H","UseDPDF=Y")</f>
        <v>—</v>
      </c>
      <c r="G23" s="13" t="str">
        <f>_xll.BDH("RCOM IN Equity","INVTRY_RAW_MATERIALS","FY 2013","FY 2013","Currency=INR","Period=FY","BEST_FPERIOD_OVERRIDE=FY","FILING_STATUS=MR","EQY_CONSOLIDATED=Y","SCALING_FORMAT=MLN","Sort=A","Dates=H","DateFormat=P","Fill=—","Direction=H","UseDPDF=Y")</f>
        <v>—</v>
      </c>
      <c r="H23" s="13" t="str">
        <f>_xll.BDH("RCOM IN Equity","INVTRY_RAW_MATERIALS","FY 2014","FY 2014","Currency=INR","Period=FY","BEST_FPERIOD_OVERRIDE=FY","FILING_STATUS=MR","EQY_CONSOLIDATED=Y","SCALING_FORMAT=MLN","Sort=A","Dates=H","DateFormat=P","Fill=—","Direction=H","UseDPDF=Y")</f>
        <v>—</v>
      </c>
      <c r="I23" s="13">
        <f>_xll.BDH("RCOM IN Equity","INVTRY_RAW_MATERIALS","FY 2015","FY 2015","Currency=INR","Period=FY","BEST_FPERIOD_OVERRIDE=FY","FILING_STATUS=MR","EQY_CONSOLIDATED=Y","SCALING_FORMAT=MLN","Sort=A","Dates=H","DateFormat=P","Fill=—","Direction=H","UseDPDF=Y")</f>
        <v>0</v>
      </c>
      <c r="J23" s="13">
        <f>_xll.BDH("RCOM IN Equity","INVTRY_RAW_MATERIALS","FY 2016","FY 2016","Currency=INR","Period=FY","BEST_FPERIOD_OVERRIDE=FY","FILING_STATUS=MR","EQY_CONSOLIDATED=Y","SCALING_FORMAT=MLN","Sort=A","Dates=H","DateFormat=P","Fill=—","Direction=H","UseDPDF=Y")</f>
        <v>0</v>
      </c>
      <c r="K23" s="13">
        <f>_xll.BDH("RCOM IN Equity","INVTRY_RAW_MATERIALS","FY 2017","FY 2017","Currency=INR","Period=FY","BEST_FPERIOD_OVERRIDE=FY","FILING_STATUS=MR","EQY_CONSOLIDATED=Y","SCALING_FORMAT=MLN","Sort=A","Dates=H","DateFormat=P","Fill=—","Direction=H","UseDPDF=Y")</f>
        <v>0</v>
      </c>
      <c r="L23" s="13">
        <f>_xll.BDH("RCOM IN Equity","INVTRY_RAW_MATERIALS","FY 2018","FY 2018","Currency=INR","Period=FY","BEST_FPERIOD_OVERRIDE=FY","FILING_STATUS=MR","EQY_CONSOLIDATED=Y","SCALING_FORMAT=MLN","Sort=A","Dates=H","DateFormat=P","Fill=—","Direction=H","UseDPDF=Y")</f>
        <v>0</v>
      </c>
    </row>
    <row r="24" spans="1:12">
      <c r="A24" s="11" t="s">
        <v>690</v>
      </c>
      <c r="B24" s="11" t="s">
        <v>706</v>
      </c>
      <c r="C24" s="25" t="s">
        <v>44</v>
      </c>
      <c r="D24" s="25" t="s">
        <v>44</v>
      </c>
      <c r="E24" s="25" t="s">
        <v>44</v>
      </c>
      <c r="F24" s="25" t="s">
        <v>44</v>
      </c>
      <c r="G24" s="25" t="s">
        <v>44</v>
      </c>
      <c r="H24" s="25" t="s">
        <v>44</v>
      </c>
      <c r="I24" s="25">
        <v>0</v>
      </c>
      <c r="J24" s="25">
        <v>0</v>
      </c>
      <c r="K24" s="25">
        <v>0</v>
      </c>
      <c r="L24" s="25">
        <v>0</v>
      </c>
    </row>
    <row r="25" spans="1:12">
      <c r="A25" s="10" t="s">
        <v>707</v>
      </c>
      <c r="B25" s="10" t="s">
        <v>708</v>
      </c>
      <c r="C25" s="13" t="str">
        <f>_xll.BDH("RCOM IN Equity","INVTRY_IN_PROGRESS","FY 2009","FY 2009","Currency=INR","Period=FY","BEST_FPERIOD_OVERRIDE=FY","FILING_STATUS=MR","EQY_CONSOLIDATED=Y","SCALING_FORMAT=MLN","Sort=A","Dates=H","DateFormat=P","Fill=—","Direction=H","UseDPDF=Y")</f>
        <v>—</v>
      </c>
      <c r="D25" s="13" t="str">
        <f>_xll.BDH("RCOM IN Equity","INVTRY_IN_PROGRESS","FY 2010","FY 2010","Currency=INR","Period=FY","BEST_FPERIOD_OVERRIDE=FY","FILING_STATUS=MR","EQY_CONSOLIDATED=Y","SCALING_FORMAT=MLN","Sort=A","Dates=H","DateFormat=P","Fill=—","Direction=H","UseDPDF=Y")</f>
        <v>—</v>
      </c>
      <c r="E25" s="13" t="str">
        <f>_xll.BDH("RCOM IN Equity","INVTRY_IN_PROGRESS","FY 2011","FY 2011","Currency=INR","Period=FY","BEST_FPERIOD_OVERRIDE=FY","FILING_STATUS=MR","EQY_CONSOLIDATED=Y","SCALING_FORMAT=MLN","Sort=A","Dates=H","DateFormat=P","Fill=—","Direction=H","UseDPDF=Y")</f>
        <v>—</v>
      </c>
      <c r="F25" s="13" t="str">
        <f>_xll.BDH("RCOM IN Equity","INVTRY_IN_PROGRESS","FY 2012","FY 2012","Currency=INR","Period=FY","BEST_FPERIOD_OVERRIDE=FY","FILING_STATUS=MR","EQY_CONSOLIDATED=Y","SCALING_FORMAT=MLN","Sort=A","Dates=H","DateFormat=P","Fill=—","Direction=H","UseDPDF=Y")</f>
        <v>—</v>
      </c>
      <c r="G25" s="13" t="str">
        <f>_xll.BDH("RCOM IN Equity","INVTRY_IN_PROGRESS","FY 2013","FY 2013","Currency=INR","Period=FY","BEST_FPERIOD_OVERRIDE=FY","FILING_STATUS=MR","EQY_CONSOLIDATED=Y","SCALING_FORMAT=MLN","Sort=A","Dates=H","DateFormat=P","Fill=—","Direction=H","UseDPDF=Y")</f>
        <v>—</v>
      </c>
      <c r="H25" s="13" t="str">
        <f>_xll.BDH("RCOM IN Equity","INVTRY_IN_PROGRESS","FY 2014","FY 2014","Currency=INR","Period=FY","BEST_FPERIOD_OVERRIDE=FY","FILING_STATUS=MR","EQY_CONSOLIDATED=Y","SCALING_FORMAT=MLN","Sort=A","Dates=H","DateFormat=P","Fill=—","Direction=H","UseDPDF=Y")</f>
        <v>—</v>
      </c>
      <c r="I25" s="13">
        <f>_xll.BDH("RCOM IN Equity","INVTRY_IN_PROGRESS","FY 2015","FY 2015","Currency=INR","Period=FY","BEST_FPERIOD_OVERRIDE=FY","FILING_STATUS=MR","EQY_CONSOLIDATED=Y","SCALING_FORMAT=MLN","Sort=A","Dates=H","DateFormat=P","Fill=—","Direction=H","UseDPDF=Y")</f>
        <v>0</v>
      </c>
      <c r="J25" s="13">
        <f>_xll.BDH("RCOM IN Equity","INVTRY_IN_PROGRESS","FY 2016","FY 2016","Currency=INR","Period=FY","BEST_FPERIOD_OVERRIDE=FY","FILING_STATUS=MR","EQY_CONSOLIDATED=Y","SCALING_FORMAT=MLN","Sort=A","Dates=H","DateFormat=P","Fill=—","Direction=H","UseDPDF=Y")</f>
        <v>0</v>
      </c>
      <c r="K25" s="13">
        <f>_xll.BDH("RCOM IN Equity","INVTRY_IN_PROGRESS","FY 2017","FY 2017","Currency=INR","Period=FY","BEST_FPERIOD_OVERRIDE=FY","FILING_STATUS=MR","EQY_CONSOLIDATED=Y","SCALING_FORMAT=MLN","Sort=A","Dates=H","DateFormat=P","Fill=—","Direction=H","UseDPDF=Y")</f>
        <v>0</v>
      </c>
      <c r="L25" s="13">
        <f>_xll.BDH("RCOM IN Equity","INVTRY_IN_PROGRESS","FY 2018","FY 2018","Currency=INR","Period=FY","BEST_FPERIOD_OVERRIDE=FY","FILING_STATUS=MR","EQY_CONSOLIDATED=Y","SCALING_FORMAT=MLN","Sort=A","Dates=H","DateFormat=P","Fill=—","Direction=H","UseDPDF=Y")</f>
        <v>0</v>
      </c>
    </row>
    <row r="26" spans="1:12">
      <c r="A26" s="11" t="s">
        <v>690</v>
      </c>
      <c r="B26" s="11" t="s">
        <v>708</v>
      </c>
      <c r="C26" s="25" t="s">
        <v>44</v>
      </c>
      <c r="D26" s="25" t="s">
        <v>44</v>
      </c>
      <c r="E26" s="25" t="s">
        <v>44</v>
      </c>
      <c r="F26" s="25" t="s">
        <v>44</v>
      </c>
      <c r="G26" s="25" t="s">
        <v>44</v>
      </c>
      <c r="H26" s="25" t="s">
        <v>44</v>
      </c>
      <c r="I26" s="25">
        <v>0</v>
      </c>
      <c r="J26" s="25">
        <v>0</v>
      </c>
      <c r="K26" s="25">
        <v>0</v>
      </c>
      <c r="L26" s="25">
        <v>0</v>
      </c>
    </row>
    <row r="27" spans="1:12">
      <c r="A27" s="10" t="s">
        <v>709</v>
      </c>
      <c r="B27" s="10" t="s">
        <v>710</v>
      </c>
      <c r="C27" s="13" t="str">
        <f>_xll.BDH("RCOM IN Equity","INVTRY_FINISHED_GOODS","FY 2009","FY 2009","Currency=INR","Period=FY","BEST_FPERIOD_OVERRIDE=FY","FILING_STATUS=MR","EQY_CONSOLIDATED=Y","SCALING_FORMAT=MLN","Sort=A","Dates=H","DateFormat=P","Fill=—","Direction=H","UseDPDF=Y")</f>
        <v>—</v>
      </c>
      <c r="D27" s="13" t="str">
        <f>_xll.BDH("RCOM IN Equity","INVTRY_FINISHED_GOODS","FY 2010","FY 2010","Currency=INR","Period=FY","BEST_FPERIOD_OVERRIDE=FY","FILING_STATUS=MR","EQY_CONSOLIDATED=Y","SCALING_FORMAT=MLN","Sort=A","Dates=H","DateFormat=P","Fill=—","Direction=H","UseDPDF=Y")</f>
        <v>—</v>
      </c>
      <c r="E27" s="13" t="str">
        <f>_xll.BDH("RCOM IN Equity","INVTRY_FINISHED_GOODS","FY 2011","FY 2011","Currency=INR","Period=FY","BEST_FPERIOD_OVERRIDE=FY","FILING_STATUS=MR","EQY_CONSOLIDATED=Y","SCALING_FORMAT=MLN","Sort=A","Dates=H","DateFormat=P","Fill=—","Direction=H","UseDPDF=Y")</f>
        <v>—</v>
      </c>
      <c r="F27" s="13" t="str">
        <f>_xll.BDH("RCOM IN Equity","INVTRY_FINISHED_GOODS","FY 2012","FY 2012","Currency=INR","Period=FY","BEST_FPERIOD_OVERRIDE=FY","FILING_STATUS=MR","EQY_CONSOLIDATED=Y","SCALING_FORMAT=MLN","Sort=A","Dates=H","DateFormat=P","Fill=—","Direction=H","UseDPDF=Y")</f>
        <v>—</v>
      </c>
      <c r="G27" s="13" t="str">
        <f>_xll.BDH("RCOM IN Equity","INVTRY_FINISHED_GOODS","FY 2013","FY 2013","Currency=INR","Period=FY","BEST_FPERIOD_OVERRIDE=FY","FILING_STATUS=MR","EQY_CONSOLIDATED=Y","SCALING_FORMAT=MLN","Sort=A","Dates=H","DateFormat=P","Fill=—","Direction=H","UseDPDF=Y")</f>
        <v>—</v>
      </c>
      <c r="H27" s="13" t="str">
        <f>_xll.BDH("RCOM IN Equity","INVTRY_FINISHED_GOODS","FY 2014","FY 2014","Currency=INR","Period=FY","BEST_FPERIOD_OVERRIDE=FY","FILING_STATUS=MR","EQY_CONSOLIDATED=Y","SCALING_FORMAT=MLN","Sort=A","Dates=H","DateFormat=P","Fill=—","Direction=H","UseDPDF=Y")</f>
        <v>—</v>
      </c>
      <c r="I27" s="13">
        <f>_xll.BDH("RCOM IN Equity","INVTRY_FINISHED_GOODS","FY 2015","FY 2015","Currency=INR","Period=FY","BEST_FPERIOD_OVERRIDE=FY","FILING_STATUS=MR","EQY_CONSOLIDATED=Y","SCALING_FORMAT=MLN","Sort=A","Dates=H","DateFormat=P","Fill=—","Direction=H","UseDPDF=Y")</f>
        <v>1560</v>
      </c>
      <c r="J27" s="13">
        <f>_xll.BDH("RCOM IN Equity","INVTRY_FINISHED_GOODS","FY 2016","FY 2016","Currency=INR","Period=FY","BEST_FPERIOD_OVERRIDE=FY","FILING_STATUS=MR","EQY_CONSOLIDATED=Y","SCALING_FORMAT=MLN","Sort=A","Dates=H","DateFormat=P","Fill=—","Direction=H","UseDPDF=Y")</f>
        <v>520</v>
      </c>
      <c r="K27" s="13">
        <f>_xll.BDH("RCOM IN Equity","INVTRY_FINISHED_GOODS","FY 2017","FY 2017","Currency=INR","Period=FY","BEST_FPERIOD_OVERRIDE=FY","FILING_STATUS=MR","EQY_CONSOLIDATED=Y","SCALING_FORMAT=MLN","Sort=A","Dates=H","DateFormat=P","Fill=—","Direction=H","UseDPDF=Y")</f>
        <v>1120</v>
      </c>
      <c r="L27" s="13">
        <f>_xll.BDH("RCOM IN Equity","INVTRY_FINISHED_GOODS","FY 2018","FY 2018","Currency=INR","Period=FY","BEST_FPERIOD_OVERRIDE=FY","FILING_STATUS=MR","EQY_CONSOLIDATED=Y","SCALING_FORMAT=MLN","Sort=A","Dates=H","DateFormat=P","Fill=—","Direction=H","UseDPDF=Y")</f>
        <v>20</v>
      </c>
    </row>
    <row r="28" spans="1:12">
      <c r="A28" s="11" t="s">
        <v>690</v>
      </c>
      <c r="B28" s="11" t="s">
        <v>710</v>
      </c>
      <c r="C28" s="25" t="s">
        <v>44</v>
      </c>
      <c r="D28" s="25" t="s">
        <v>44</v>
      </c>
      <c r="E28" s="25" t="s">
        <v>44</v>
      </c>
      <c r="F28" s="25" t="s">
        <v>44</v>
      </c>
      <c r="G28" s="25" t="s">
        <v>44</v>
      </c>
      <c r="H28" s="25" t="s">
        <v>44</v>
      </c>
      <c r="I28" s="25">
        <v>0.16770226398056401</v>
      </c>
      <c r="J28" s="25">
        <v>5.0263885398341299E-2</v>
      </c>
      <c r="K28" s="25">
        <v>0.112302092629172</v>
      </c>
      <c r="L28" s="25">
        <v>2.6817560138378601E-3</v>
      </c>
    </row>
    <row r="29" spans="1:12">
      <c r="A29" s="10" t="s">
        <v>711</v>
      </c>
      <c r="B29" s="10" t="s">
        <v>712</v>
      </c>
      <c r="C29" s="13" t="str">
        <f>_xll.BDH("RCOM IN Equity","BS_OTHER_INV","FY 2009","FY 2009","Currency=INR","Period=FY","BEST_FPERIOD_OVERRIDE=FY","FILING_STATUS=MR","EQY_CONSOLIDATED=Y","SCALING_FORMAT=MLN","Sort=A","Dates=H","DateFormat=P","Fill=—","Direction=H","UseDPDF=Y")</f>
        <v>—</v>
      </c>
      <c r="D29" s="13" t="str">
        <f>_xll.BDH("RCOM IN Equity","BS_OTHER_INV","FY 2010","FY 2010","Currency=INR","Period=FY","BEST_FPERIOD_OVERRIDE=FY","FILING_STATUS=MR","EQY_CONSOLIDATED=Y","SCALING_FORMAT=MLN","Sort=A","Dates=H","DateFormat=P","Fill=—","Direction=H","UseDPDF=Y")</f>
        <v>—</v>
      </c>
      <c r="E29" s="13" t="str">
        <f>_xll.BDH("RCOM IN Equity","BS_OTHER_INV","FY 2011","FY 2011","Currency=INR","Period=FY","BEST_FPERIOD_OVERRIDE=FY","FILING_STATUS=MR","EQY_CONSOLIDATED=Y","SCALING_FORMAT=MLN","Sort=A","Dates=H","DateFormat=P","Fill=—","Direction=H","UseDPDF=Y")</f>
        <v>—</v>
      </c>
      <c r="F29" s="13" t="str">
        <f>_xll.BDH("RCOM IN Equity","BS_OTHER_INV","FY 2012","FY 2012","Currency=INR","Period=FY","BEST_FPERIOD_OVERRIDE=FY","FILING_STATUS=MR","EQY_CONSOLIDATED=Y","SCALING_FORMAT=MLN","Sort=A","Dates=H","DateFormat=P","Fill=—","Direction=H","UseDPDF=Y")</f>
        <v>—</v>
      </c>
      <c r="G29" s="13" t="str">
        <f>_xll.BDH("RCOM IN Equity","BS_OTHER_INV","FY 2013","FY 2013","Currency=INR","Period=FY","BEST_FPERIOD_OVERRIDE=FY","FILING_STATUS=MR","EQY_CONSOLIDATED=Y","SCALING_FORMAT=MLN","Sort=A","Dates=H","DateFormat=P","Fill=—","Direction=H","UseDPDF=Y")</f>
        <v>—</v>
      </c>
      <c r="H29" s="13" t="str">
        <f>_xll.BDH("RCOM IN Equity","BS_OTHER_INV","FY 2014","FY 2014","Currency=INR","Period=FY","BEST_FPERIOD_OVERRIDE=FY","FILING_STATUS=MR","EQY_CONSOLIDATED=Y","SCALING_FORMAT=MLN","Sort=A","Dates=H","DateFormat=P","Fill=—","Direction=H","UseDPDF=Y")</f>
        <v>—</v>
      </c>
      <c r="I29" s="13">
        <f>_xll.BDH("RCOM IN Equity","BS_OTHER_INV","FY 2015","FY 2015","Currency=INR","Period=FY","BEST_FPERIOD_OVERRIDE=FY","FILING_STATUS=MR","EQY_CONSOLIDATED=Y","SCALING_FORMAT=MLN","Sort=A","Dates=H","DateFormat=P","Fill=—","Direction=H","UseDPDF=Y")</f>
        <v>2450</v>
      </c>
      <c r="J29" s="13">
        <f>_xll.BDH("RCOM IN Equity","BS_OTHER_INV","FY 2016","FY 2016","Currency=INR","Period=FY","BEST_FPERIOD_OVERRIDE=FY","FILING_STATUS=MR","EQY_CONSOLIDATED=Y","SCALING_FORMAT=MLN","Sort=A","Dates=H","DateFormat=P","Fill=—","Direction=H","UseDPDF=Y")</f>
        <v>1560</v>
      </c>
      <c r="K29" s="13">
        <f>_xll.BDH("RCOM IN Equity","BS_OTHER_INV","FY 2017","FY 2017","Currency=INR","Period=FY","BEST_FPERIOD_OVERRIDE=FY","FILING_STATUS=MR","EQY_CONSOLIDATED=Y","SCALING_FORMAT=MLN","Sort=A","Dates=H","DateFormat=P","Fill=—","Direction=H","UseDPDF=Y")</f>
        <v>1230</v>
      </c>
      <c r="L29" s="13">
        <f>_xll.BDH("RCOM IN Equity","BS_OTHER_INV","FY 2018","FY 2018","Currency=INR","Period=FY","BEST_FPERIOD_OVERRIDE=FY","FILING_STATUS=MR","EQY_CONSOLIDATED=Y","SCALING_FORMAT=MLN","Sort=A","Dates=H","DateFormat=P","Fill=—","Direction=H","UseDPDF=Y")</f>
        <v>770</v>
      </c>
    </row>
    <row r="30" spans="1:12">
      <c r="A30" s="11" t="s">
        <v>690</v>
      </c>
      <c r="B30" s="11" t="s">
        <v>712</v>
      </c>
      <c r="C30" s="25" t="s">
        <v>44</v>
      </c>
      <c r="D30" s="25" t="s">
        <v>44</v>
      </c>
      <c r="E30" s="25" t="s">
        <v>44</v>
      </c>
      <c r="F30" s="25" t="s">
        <v>44</v>
      </c>
      <c r="G30" s="25" t="s">
        <v>44</v>
      </c>
      <c r="H30" s="25" t="s">
        <v>44</v>
      </c>
      <c r="I30" s="25">
        <v>0.263378555610501</v>
      </c>
      <c r="J30" s="25">
        <v>0.15079165619502399</v>
      </c>
      <c r="K30" s="25">
        <v>0.123331762440966</v>
      </c>
      <c r="L30" s="25">
        <v>0.103247606532758</v>
      </c>
    </row>
    <row r="31" spans="1:12">
      <c r="A31" s="10" t="s">
        <v>713</v>
      </c>
      <c r="B31" s="10" t="s">
        <v>714</v>
      </c>
      <c r="C31" s="13">
        <f>_xll.BDH("RCOM IN Equity","OTHER_CURRENT_ASSETS_DETAILED","FY 2009","FY 2009","Currency=INR","Period=FY","BEST_FPERIOD_OVERRIDE=FY","FILING_STATUS=MR","EQY_CONSOLIDATED=Y","SCALING_FORMAT=MLN","Sort=A","Dates=H","DateFormat=P","Fill=—","Direction=H","UseDPDF=Y")</f>
        <v>116375.7</v>
      </c>
      <c r="D31" s="13">
        <f>_xll.BDH("RCOM IN Equity","OTHER_CURRENT_ASSETS_DETAILED","FY 2010","FY 2010","Currency=INR","Period=FY","BEST_FPERIOD_OVERRIDE=FY","FILING_STATUS=MR","EQY_CONSOLIDATED=Y","SCALING_FORMAT=MLN","Sort=A","Dates=H","DateFormat=P","Fill=—","Direction=H","UseDPDF=Y")</f>
        <v>98036.800000000003</v>
      </c>
      <c r="E31" s="13">
        <f>_xll.BDH("RCOM IN Equity","OTHER_CURRENT_ASSETS_DETAILED","FY 2011","FY 2011","Currency=INR","Period=FY","BEST_FPERIOD_OVERRIDE=FY","FILING_STATUS=MR","EQY_CONSOLIDATED=Y","SCALING_FORMAT=MLN","Sort=A","Dates=H","DateFormat=P","Fill=—","Direction=H","UseDPDF=Y")</f>
        <v>92750</v>
      </c>
      <c r="F31" s="13">
        <f>_xll.BDH("RCOM IN Equity","OTHER_CURRENT_ASSETS_DETAILED","FY 2012","FY 2012","Currency=INR","Period=FY","BEST_FPERIOD_OVERRIDE=FY","FILING_STATUS=MR","EQY_CONSOLIDATED=Y","SCALING_FORMAT=MLN","Sort=A","Dates=H","DateFormat=P","Fill=—","Direction=H","UseDPDF=Y")</f>
        <v>90680</v>
      </c>
      <c r="G31" s="13">
        <f>_xll.BDH("RCOM IN Equity","OTHER_CURRENT_ASSETS_DETAILED","FY 2013","FY 2013","Currency=INR","Period=FY","BEST_FPERIOD_OVERRIDE=FY","FILING_STATUS=MR","EQY_CONSOLIDATED=Y","SCALING_FORMAT=MLN","Sort=A","Dates=H","DateFormat=P","Fill=—","Direction=H","UseDPDF=Y")</f>
        <v>89080</v>
      </c>
      <c r="H31" s="13">
        <f>_xll.BDH("RCOM IN Equity","OTHER_CURRENT_ASSETS_DETAILED","FY 2014","FY 2014","Currency=INR","Period=FY","BEST_FPERIOD_OVERRIDE=FY","FILING_STATUS=MR","EQY_CONSOLIDATED=Y","SCALING_FORMAT=MLN","Sort=A","Dates=H","DateFormat=P","Fill=—","Direction=H","UseDPDF=Y")</f>
        <v>107260</v>
      </c>
      <c r="I31" s="13">
        <f>_xll.BDH("RCOM IN Equity","OTHER_CURRENT_ASSETS_DETAILED","FY 2015","FY 2015","Currency=INR","Period=FY","BEST_FPERIOD_OVERRIDE=FY","FILING_STATUS=MR","EQY_CONSOLIDATED=Y","SCALING_FORMAT=MLN","Sort=A","Dates=H","DateFormat=P","Fill=—","Direction=H","UseDPDF=Y")</f>
        <v>145170</v>
      </c>
      <c r="J31" s="13">
        <f>_xll.BDH("RCOM IN Equity","OTHER_CURRENT_ASSETS_DETAILED","FY 2016","FY 2016","Currency=INR","Period=FY","BEST_FPERIOD_OVERRIDE=FY","FILING_STATUS=MR","EQY_CONSOLIDATED=Y","SCALING_FORMAT=MLN","Sort=A","Dates=H","DateFormat=P","Fill=—","Direction=H","UseDPDF=Y")</f>
        <v>67830</v>
      </c>
      <c r="K31" s="13">
        <f>_xll.BDH("RCOM IN Equity","OTHER_CURRENT_ASSETS_DETAILED","FY 2017","FY 2017","Currency=INR","Period=FY","BEST_FPERIOD_OVERRIDE=FY","FILING_STATUS=MR","EQY_CONSOLIDATED=Y","SCALING_FORMAT=MLN","Sort=A","Dates=H","DateFormat=P","Fill=—","Direction=H","UseDPDF=Y")</f>
        <v>75950</v>
      </c>
      <c r="L31" s="13">
        <f>_xll.BDH("RCOM IN Equity","OTHER_CURRENT_ASSETS_DETAILED","FY 2018","FY 2018","Currency=INR","Period=FY","BEST_FPERIOD_OVERRIDE=FY","FILING_STATUS=MR","EQY_CONSOLIDATED=Y","SCALING_FORMAT=MLN","Sort=A","Dates=H","DateFormat=P","Fill=—","Direction=H","UseDPDF=Y")</f>
        <v>424260</v>
      </c>
    </row>
    <row r="32" spans="1:12">
      <c r="A32" s="11" t="s">
        <v>690</v>
      </c>
      <c r="B32" s="11" t="s">
        <v>714</v>
      </c>
      <c r="C32" s="25">
        <v>11.3862760267179</v>
      </c>
      <c r="D32" s="25">
        <v>10.5907152347399</v>
      </c>
      <c r="E32" s="25">
        <v>9.7917084551798403</v>
      </c>
      <c r="F32" s="25">
        <v>9.8282122148160198</v>
      </c>
      <c r="G32" s="25">
        <v>9.8778026657204308</v>
      </c>
      <c r="H32" s="25">
        <v>11.820716560685</v>
      </c>
      <c r="I32" s="25">
        <v>15.6059856808067</v>
      </c>
      <c r="J32" s="25">
        <v>6.5565372049413302</v>
      </c>
      <c r="K32" s="25">
        <v>7.6154856564157596</v>
      </c>
      <c r="L32" s="25">
        <v>56.888090321542499</v>
      </c>
    </row>
    <row r="33" spans="1:12">
      <c r="A33" s="10" t="s">
        <v>715</v>
      </c>
      <c r="B33" s="10" t="s">
        <v>716</v>
      </c>
      <c r="C33" s="13" t="str">
        <f>_xll.BDH("RCOM IN Equity","BS_PREPAY","FY 2009","FY 2009","Currency=INR","Period=FY","BEST_FPERIOD_OVERRIDE=FY","FILING_STATUS=MR","EQY_CONSOLIDATED=Y","SCALING_FORMAT=MLN","Sort=A","Dates=H","DateFormat=P","Fill=—","Direction=H","UseDPDF=Y")</f>
        <v>—</v>
      </c>
      <c r="D33" s="13" t="str">
        <f>_xll.BDH("RCOM IN Equity","BS_PREPAY","FY 2010","FY 2010","Currency=INR","Period=FY","BEST_FPERIOD_OVERRIDE=FY","FILING_STATUS=MR","EQY_CONSOLIDATED=Y","SCALING_FORMAT=MLN","Sort=A","Dates=H","DateFormat=P","Fill=—","Direction=H","UseDPDF=Y")</f>
        <v>—</v>
      </c>
      <c r="E33" s="13" t="str">
        <f>_xll.BDH("RCOM IN Equity","BS_PREPAY","FY 2011","FY 2011","Currency=INR","Period=FY","BEST_FPERIOD_OVERRIDE=FY","FILING_STATUS=MR","EQY_CONSOLIDATED=Y","SCALING_FORMAT=MLN","Sort=A","Dates=H","DateFormat=P","Fill=—","Direction=H","UseDPDF=Y")</f>
        <v>—</v>
      </c>
      <c r="F33" s="13" t="str">
        <f>_xll.BDH("RCOM IN Equity","BS_PREPAY","FY 2012","FY 2012","Currency=INR","Period=FY","BEST_FPERIOD_OVERRIDE=FY","FILING_STATUS=MR","EQY_CONSOLIDATED=Y","SCALING_FORMAT=MLN","Sort=A","Dates=H","DateFormat=P","Fill=—","Direction=H","UseDPDF=Y")</f>
        <v>—</v>
      </c>
      <c r="G33" s="13" t="str">
        <f>_xll.BDH("RCOM IN Equity","BS_PREPAY","FY 2013","FY 2013","Currency=INR","Period=FY","BEST_FPERIOD_OVERRIDE=FY","FILING_STATUS=MR","EQY_CONSOLIDATED=Y","SCALING_FORMAT=MLN","Sort=A","Dates=H","DateFormat=P","Fill=—","Direction=H","UseDPDF=Y")</f>
        <v>—</v>
      </c>
      <c r="H33" s="13" t="str">
        <f>_xll.BDH("RCOM IN Equity","BS_PREPAY","FY 2014","FY 2014","Currency=INR","Period=FY","BEST_FPERIOD_OVERRIDE=FY","FILING_STATUS=MR","EQY_CONSOLIDATED=Y","SCALING_FORMAT=MLN","Sort=A","Dates=H","DateFormat=P","Fill=—","Direction=H","UseDPDF=Y")</f>
        <v>—</v>
      </c>
      <c r="I33" s="13" t="str">
        <f>_xll.BDH("RCOM IN Equity","BS_PREPAY","FY 2015","FY 2015","Currency=INR","Period=FY","BEST_FPERIOD_OVERRIDE=FY","FILING_STATUS=MR","EQY_CONSOLIDATED=Y","SCALING_FORMAT=MLN","Sort=A","Dates=H","DateFormat=P","Fill=—","Direction=H","UseDPDF=Y")</f>
        <v>—</v>
      </c>
      <c r="J33" s="13">
        <f>_xll.BDH("RCOM IN Equity","BS_PREPAY","FY 2016","FY 2016","Currency=INR","Period=FY","BEST_FPERIOD_OVERRIDE=FY","FILING_STATUS=MR","EQY_CONSOLIDATED=Y","SCALING_FORMAT=MLN","Sort=A","Dates=H","DateFormat=P","Fill=—","Direction=H","UseDPDF=Y")</f>
        <v>42720</v>
      </c>
      <c r="K33" s="13">
        <f>_xll.BDH("RCOM IN Equity","BS_PREPAY","FY 2017","FY 2017","Currency=INR","Period=FY","BEST_FPERIOD_OVERRIDE=FY","FILING_STATUS=MR","EQY_CONSOLIDATED=Y","SCALING_FORMAT=MLN","Sort=A","Dates=H","DateFormat=P","Fill=—","Direction=H","UseDPDF=Y")</f>
        <v>50300</v>
      </c>
      <c r="L33" s="13">
        <f>_xll.BDH("RCOM IN Equity","BS_PREPAY","FY 2018","FY 2018","Currency=INR","Period=FY","BEST_FPERIOD_OVERRIDE=FY","FILING_STATUS=MR","EQY_CONSOLIDATED=Y","SCALING_FORMAT=MLN","Sort=A","Dates=H","DateFormat=P","Fill=—","Direction=H","UseDPDF=Y")</f>
        <v>31060</v>
      </c>
    </row>
    <row r="34" spans="1:12">
      <c r="A34" s="11" t="s">
        <v>690</v>
      </c>
      <c r="B34" s="11" t="s">
        <v>716</v>
      </c>
      <c r="C34" s="25" t="s">
        <v>44</v>
      </c>
      <c r="D34" s="25" t="s">
        <v>44</v>
      </c>
      <c r="E34" s="25" t="s">
        <v>44</v>
      </c>
      <c r="F34" s="25" t="s">
        <v>44</v>
      </c>
      <c r="G34" s="25" t="s">
        <v>44</v>
      </c>
      <c r="H34" s="25" t="s">
        <v>44</v>
      </c>
      <c r="I34" s="25" t="s">
        <v>44</v>
      </c>
      <c r="J34" s="25">
        <v>4.1293715081098803</v>
      </c>
      <c r="K34" s="25">
        <v>5.04356719575659</v>
      </c>
      <c r="L34" s="25">
        <v>4.1647670894901996</v>
      </c>
    </row>
    <row r="35" spans="1:12">
      <c r="A35" s="10" t="s">
        <v>717</v>
      </c>
      <c r="B35" s="10" t="s">
        <v>718</v>
      </c>
      <c r="C35" s="13" t="str">
        <f>_xll.BDH("RCOM IN Equity","BS_ASSETS_HELD_FOR_SALE_ST","FY 2009","FY 2009","Currency=INR","Period=FY","BEST_FPERIOD_OVERRIDE=FY","FILING_STATUS=MR","EQY_CONSOLIDATED=Y","SCALING_FORMAT=MLN","Sort=A","Dates=H","DateFormat=P","Fill=—","Direction=H","UseDPDF=Y")</f>
        <v>—</v>
      </c>
      <c r="D35" s="13" t="str">
        <f>_xll.BDH("RCOM IN Equity","BS_ASSETS_HELD_FOR_SALE_ST","FY 2010","FY 2010","Currency=INR","Period=FY","BEST_FPERIOD_OVERRIDE=FY","FILING_STATUS=MR","EQY_CONSOLIDATED=Y","SCALING_FORMAT=MLN","Sort=A","Dates=H","DateFormat=P","Fill=—","Direction=H","UseDPDF=Y")</f>
        <v>—</v>
      </c>
      <c r="E35" s="13" t="str">
        <f>_xll.BDH("RCOM IN Equity","BS_ASSETS_HELD_FOR_SALE_ST","FY 2011","FY 2011","Currency=INR","Period=FY","BEST_FPERIOD_OVERRIDE=FY","FILING_STATUS=MR","EQY_CONSOLIDATED=Y","SCALING_FORMAT=MLN","Sort=A","Dates=H","DateFormat=P","Fill=—","Direction=H","UseDPDF=Y")</f>
        <v>—</v>
      </c>
      <c r="F35" s="13" t="str">
        <f>_xll.BDH("RCOM IN Equity","BS_ASSETS_HELD_FOR_SALE_ST","FY 2012","FY 2012","Currency=INR","Period=FY","BEST_FPERIOD_OVERRIDE=FY","FILING_STATUS=MR","EQY_CONSOLIDATED=Y","SCALING_FORMAT=MLN","Sort=A","Dates=H","DateFormat=P","Fill=—","Direction=H","UseDPDF=Y")</f>
        <v>—</v>
      </c>
      <c r="G35" s="13" t="str">
        <f>_xll.BDH("RCOM IN Equity","BS_ASSETS_HELD_FOR_SALE_ST","FY 2013","FY 2013","Currency=INR","Period=FY","BEST_FPERIOD_OVERRIDE=FY","FILING_STATUS=MR","EQY_CONSOLIDATED=Y","SCALING_FORMAT=MLN","Sort=A","Dates=H","DateFormat=P","Fill=—","Direction=H","UseDPDF=Y")</f>
        <v>—</v>
      </c>
      <c r="H35" s="13" t="str">
        <f>_xll.BDH("RCOM IN Equity","BS_ASSETS_HELD_FOR_SALE_ST","FY 2014","FY 2014","Currency=INR","Period=FY","BEST_FPERIOD_OVERRIDE=FY","FILING_STATUS=MR","EQY_CONSOLIDATED=Y","SCALING_FORMAT=MLN","Sort=A","Dates=H","DateFormat=P","Fill=—","Direction=H","UseDPDF=Y")</f>
        <v>—</v>
      </c>
      <c r="I35" s="13" t="str">
        <f>_xll.BDH("RCOM IN Equity","BS_ASSETS_HELD_FOR_SALE_ST","FY 2015","FY 2015","Currency=INR","Period=FY","BEST_FPERIOD_OVERRIDE=FY","FILING_STATUS=MR","EQY_CONSOLIDATED=Y","SCALING_FORMAT=MLN","Sort=A","Dates=H","DateFormat=P","Fill=—","Direction=H","UseDPDF=Y")</f>
        <v>—</v>
      </c>
      <c r="J35" s="13" t="str">
        <f>_xll.BDH("RCOM IN Equity","BS_ASSETS_HELD_FOR_SALE_ST","FY 2016","FY 2016","Currency=INR","Period=FY","BEST_FPERIOD_OVERRIDE=FY","FILING_STATUS=MR","EQY_CONSOLIDATED=Y","SCALING_FORMAT=MLN","Sort=A","Dates=H","DateFormat=P","Fill=—","Direction=H","UseDPDF=Y")</f>
        <v>—</v>
      </c>
      <c r="K35" s="13" t="str">
        <f>_xll.BDH("RCOM IN Equity","BS_ASSETS_HELD_FOR_SALE_ST","FY 2017","FY 2017","Currency=INR","Period=FY","BEST_FPERIOD_OVERRIDE=FY","FILING_STATUS=MR","EQY_CONSOLIDATED=Y","SCALING_FORMAT=MLN","Sort=A","Dates=H","DateFormat=P","Fill=—","Direction=H","UseDPDF=Y")</f>
        <v>—</v>
      </c>
      <c r="L35" s="13">
        <f>_xll.BDH("RCOM IN Equity","BS_ASSETS_HELD_FOR_SALE_ST","FY 2018","FY 2018","Currency=INR","Period=FY","BEST_FPERIOD_OVERRIDE=FY","FILING_STATUS=MR","EQY_CONSOLIDATED=Y","SCALING_FORMAT=MLN","Sort=A","Dates=H","DateFormat=P","Fill=—","Direction=H","UseDPDF=Y")</f>
        <v>368340</v>
      </c>
    </row>
    <row r="36" spans="1:12">
      <c r="A36" s="11" t="s">
        <v>690</v>
      </c>
      <c r="B36" s="11" t="s">
        <v>718</v>
      </c>
      <c r="C36" s="25" t="s">
        <v>44</v>
      </c>
      <c r="D36" s="25" t="s">
        <v>44</v>
      </c>
      <c r="E36" s="25" t="s">
        <v>44</v>
      </c>
      <c r="F36" s="25" t="s">
        <v>44</v>
      </c>
      <c r="G36" s="25" t="s">
        <v>44</v>
      </c>
      <c r="H36" s="25" t="s">
        <v>44</v>
      </c>
      <c r="I36" s="25" t="s">
        <v>44</v>
      </c>
      <c r="J36" s="25" t="s">
        <v>44</v>
      </c>
      <c r="K36" s="25" t="s">
        <v>44</v>
      </c>
      <c r="L36" s="25">
        <v>49.389900506851902</v>
      </c>
    </row>
    <row r="37" spans="1:12">
      <c r="A37" s="10" t="s">
        <v>719</v>
      </c>
      <c r="B37" s="10" t="s">
        <v>720</v>
      </c>
      <c r="C37" s="13" t="str">
        <f>_xll.BDH("RCOM IN Equity","BS_TAXES_RECEIVABLE_SHORT_TERM","FY 2009","FY 2009","Currency=INR","Period=FY","BEST_FPERIOD_OVERRIDE=FY","FILING_STATUS=MR","EQY_CONSOLIDATED=Y","SCALING_FORMAT=MLN","Sort=A","Dates=H","DateFormat=P","Fill=—","Direction=H","UseDPDF=Y")</f>
        <v>—</v>
      </c>
      <c r="D37" s="13" t="str">
        <f>_xll.BDH("RCOM IN Equity","BS_TAXES_RECEIVABLE_SHORT_TERM","FY 2010","FY 2010","Currency=INR","Period=FY","BEST_FPERIOD_OVERRIDE=FY","FILING_STATUS=MR","EQY_CONSOLIDATED=Y","SCALING_FORMAT=MLN","Sort=A","Dates=H","DateFormat=P","Fill=—","Direction=H","UseDPDF=Y")</f>
        <v>—</v>
      </c>
      <c r="E37" s="13" t="str">
        <f>_xll.BDH("RCOM IN Equity","BS_TAXES_RECEIVABLE_SHORT_TERM","FY 2011","FY 2011","Currency=INR","Period=FY","BEST_FPERIOD_OVERRIDE=FY","FILING_STATUS=MR","EQY_CONSOLIDATED=Y","SCALING_FORMAT=MLN","Sort=A","Dates=H","DateFormat=P","Fill=—","Direction=H","UseDPDF=Y")</f>
        <v>—</v>
      </c>
      <c r="F37" s="13" t="str">
        <f>_xll.BDH("RCOM IN Equity","BS_TAXES_RECEIVABLE_SHORT_TERM","FY 2012","FY 2012","Currency=INR","Period=FY","BEST_FPERIOD_OVERRIDE=FY","FILING_STATUS=MR","EQY_CONSOLIDATED=Y","SCALING_FORMAT=MLN","Sort=A","Dates=H","DateFormat=P","Fill=—","Direction=H","UseDPDF=Y")</f>
        <v>—</v>
      </c>
      <c r="G37" s="13" t="str">
        <f>_xll.BDH("RCOM IN Equity","BS_TAXES_RECEIVABLE_SHORT_TERM","FY 2013","FY 2013","Currency=INR","Period=FY","BEST_FPERIOD_OVERRIDE=FY","FILING_STATUS=MR","EQY_CONSOLIDATED=Y","SCALING_FORMAT=MLN","Sort=A","Dates=H","DateFormat=P","Fill=—","Direction=H","UseDPDF=Y")</f>
        <v>—</v>
      </c>
      <c r="H37" s="13" t="str">
        <f>_xll.BDH("RCOM IN Equity","BS_TAXES_RECEIVABLE_SHORT_TERM","FY 2014","FY 2014","Currency=INR","Period=FY","BEST_FPERIOD_OVERRIDE=FY","FILING_STATUS=MR","EQY_CONSOLIDATED=Y","SCALING_FORMAT=MLN","Sort=A","Dates=H","DateFormat=P","Fill=—","Direction=H","UseDPDF=Y")</f>
        <v>—</v>
      </c>
      <c r="I37" s="13" t="str">
        <f>_xll.BDH("RCOM IN Equity","BS_TAXES_RECEIVABLE_SHORT_TERM","FY 2015","FY 2015","Currency=INR","Period=FY","BEST_FPERIOD_OVERRIDE=FY","FILING_STATUS=MR","EQY_CONSOLIDATED=Y","SCALING_FORMAT=MLN","Sort=A","Dates=H","DateFormat=P","Fill=—","Direction=H","UseDPDF=Y")</f>
        <v>—</v>
      </c>
      <c r="J37" s="13">
        <f>_xll.BDH("RCOM IN Equity","BS_TAXES_RECEIVABLE_SHORT_TERM","FY 2016","FY 2016","Currency=INR","Period=FY","BEST_FPERIOD_OVERRIDE=FY","FILING_STATUS=MR","EQY_CONSOLIDATED=Y","SCALING_FORMAT=MLN","Sort=A","Dates=H","DateFormat=P","Fill=—","Direction=H","UseDPDF=Y")</f>
        <v>7430</v>
      </c>
      <c r="K37" s="13">
        <f>_xll.BDH("RCOM IN Equity","BS_TAXES_RECEIVABLE_SHORT_TERM","FY 2017","FY 2017","Currency=INR","Period=FY","BEST_FPERIOD_OVERRIDE=FY","FILING_STATUS=MR","EQY_CONSOLIDATED=Y","SCALING_FORMAT=MLN","Sort=A","Dates=H","DateFormat=P","Fill=—","Direction=H","UseDPDF=Y")</f>
        <v>7700</v>
      </c>
      <c r="L37" s="13">
        <f>_xll.BDH("RCOM IN Equity","BS_TAXES_RECEIVABLE_SHORT_TERM","FY 2018","FY 2018","Currency=INR","Period=FY","BEST_FPERIOD_OVERRIDE=FY","FILING_STATUS=MR","EQY_CONSOLIDATED=Y","SCALING_FORMAT=MLN","Sort=A","Dates=H","DateFormat=P","Fill=—","Direction=H","UseDPDF=Y")</f>
        <v>7030</v>
      </c>
    </row>
    <row r="38" spans="1:12">
      <c r="A38" s="11" t="s">
        <v>690</v>
      </c>
      <c r="B38" s="11" t="s">
        <v>720</v>
      </c>
      <c r="C38" s="25" t="s">
        <v>44</v>
      </c>
      <c r="D38" s="25" t="s">
        <v>44</v>
      </c>
      <c r="E38" s="25" t="s">
        <v>44</v>
      </c>
      <c r="F38" s="25" t="s">
        <v>44</v>
      </c>
      <c r="G38" s="25" t="s">
        <v>44</v>
      </c>
      <c r="H38" s="25" t="s">
        <v>44</v>
      </c>
      <c r="I38" s="25" t="s">
        <v>44</v>
      </c>
      <c r="J38" s="25">
        <v>0.71819359328783805</v>
      </c>
      <c r="K38" s="25">
        <v>0.77207688682556097</v>
      </c>
      <c r="L38" s="25">
        <v>0.94263723886400796</v>
      </c>
    </row>
    <row r="39" spans="1:12">
      <c r="A39" s="10" t="s">
        <v>721</v>
      </c>
      <c r="B39" s="10" t="s">
        <v>722</v>
      </c>
      <c r="C39" s="13">
        <f>_xll.BDH("RCOM IN Equity","BS_OTHER_CUR_ASSET_LESS_PREPAY","FY 2009","FY 2009","Currency=INR","Period=FY","BEST_FPERIOD_OVERRIDE=FY","FILING_STATUS=MR","EQY_CONSOLIDATED=Y","SCALING_FORMAT=MLN","Sort=A","Dates=H","DateFormat=P","Fill=—","Direction=H","UseDPDF=Y")</f>
        <v>116375.7</v>
      </c>
      <c r="D39" s="13">
        <f>_xll.BDH("RCOM IN Equity","BS_OTHER_CUR_ASSET_LESS_PREPAY","FY 2010","FY 2010","Currency=INR","Period=FY","BEST_FPERIOD_OVERRIDE=FY","FILING_STATUS=MR","EQY_CONSOLIDATED=Y","SCALING_FORMAT=MLN","Sort=A","Dates=H","DateFormat=P","Fill=—","Direction=H","UseDPDF=Y")</f>
        <v>98036.800000000003</v>
      </c>
      <c r="E39" s="13">
        <f>_xll.BDH("RCOM IN Equity","BS_OTHER_CUR_ASSET_LESS_PREPAY","FY 2011","FY 2011","Currency=INR","Period=FY","BEST_FPERIOD_OVERRIDE=FY","FILING_STATUS=MR","EQY_CONSOLIDATED=Y","SCALING_FORMAT=MLN","Sort=A","Dates=H","DateFormat=P","Fill=—","Direction=H","UseDPDF=Y")</f>
        <v>92750</v>
      </c>
      <c r="F39" s="13">
        <f>_xll.BDH("RCOM IN Equity","BS_OTHER_CUR_ASSET_LESS_PREPAY","FY 2012","FY 2012","Currency=INR","Period=FY","BEST_FPERIOD_OVERRIDE=FY","FILING_STATUS=MR","EQY_CONSOLIDATED=Y","SCALING_FORMAT=MLN","Sort=A","Dates=H","DateFormat=P","Fill=—","Direction=H","UseDPDF=Y")</f>
        <v>90680</v>
      </c>
      <c r="G39" s="13">
        <f>_xll.BDH("RCOM IN Equity","BS_OTHER_CUR_ASSET_LESS_PREPAY","FY 2013","FY 2013","Currency=INR","Period=FY","BEST_FPERIOD_OVERRIDE=FY","FILING_STATUS=MR","EQY_CONSOLIDATED=Y","SCALING_FORMAT=MLN","Sort=A","Dates=H","DateFormat=P","Fill=—","Direction=H","UseDPDF=Y")</f>
        <v>89080</v>
      </c>
      <c r="H39" s="13">
        <f>_xll.BDH("RCOM IN Equity","BS_OTHER_CUR_ASSET_LESS_PREPAY","FY 2014","FY 2014","Currency=INR","Period=FY","BEST_FPERIOD_OVERRIDE=FY","FILING_STATUS=MR","EQY_CONSOLIDATED=Y","SCALING_FORMAT=MLN","Sort=A","Dates=H","DateFormat=P","Fill=—","Direction=H","UseDPDF=Y")</f>
        <v>107260</v>
      </c>
      <c r="I39" s="13">
        <f>_xll.BDH("RCOM IN Equity","BS_OTHER_CUR_ASSET_LESS_PREPAY","FY 2015","FY 2015","Currency=INR","Period=FY","BEST_FPERIOD_OVERRIDE=FY","FILING_STATUS=MR","EQY_CONSOLIDATED=Y","SCALING_FORMAT=MLN","Sort=A","Dates=H","DateFormat=P","Fill=—","Direction=H","UseDPDF=Y")</f>
        <v>145170</v>
      </c>
      <c r="J39" s="13">
        <f>_xll.BDH("RCOM IN Equity","BS_OTHER_CUR_ASSET_LESS_PREPAY","FY 2016","FY 2016","Currency=INR","Period=FY","BEST_FPERIOD_OVERRIDE=FY","FILING_STATUS=MR","EQY_CONSOLIDATED=Y","SCALING_FORMAT=MLN","Sort=A","Dates=H","DateFormat=P","Fill=—","Direction=H","UseDPDF=Y")</f>
        <v>17680</v>
      </c>
      <c r="K39" s="13">
        <f>_xll.BDH("RCOM IN Equity","BS_OTHER_CUR_ASSET_LESS_PREPAY","FY 2017","FY 2017","Currency=INR","Period=FY","BEST_FPERIOD_OVERRIDE=FY","FILING_STATUS=MR","EQY_CONSOLIDATED=Y","SCALING_FORMAT=MLN","Sort=A","Dates=H","DateFormat=P","Fill=—","Direction=H","UseDPDF=Y")</f>
        <v>17950</v>
      </c>
      <c r="L39" s="13">
        <f>_xll.BDH("RCOM IN Equity","BS_OTHER_CUR_ASSET_LESS_PREPAY","FY 2018","FY 2018","Currency=INR","Period=FY","BEST_FPERIOD_OVERRIDE=FY","FILING_STATUS=MR","EQY_CONSOLIDATED=Y","SCALING_FORMAT=MLN","Sort=A","Dates=H","DateFormat=P","Fill=—","Direction=H","UseDPDF=Y")</f>
        <v>17830</v>
      </c>
    </row>
    <row r="40" spans="1:12">
      <c r="A40" s="11" t="s">
        <v>690</v>
      </c>
      <c r="B40" s="11" t="s">
        <v>722</v>
      </c>
      <c r="C40" s="25">
        <v>11.3862760267179</v>
      </c>
      <c r="D40" s="25">
        <v>10.5907152347399</v>
      </c>
      <c r="E40" s="25">
        <v>9.7917084551798403</v>
      </c>
      <c r="F40" s="25">
        <v>9.8282122148160198</v>
      </c>
      <c r="G40" s="25">
        <v>9.8778026657204308</v>
      </c>
      <c r="H40" s="25">
        <v>11.820716560685</v>
      </c>
      <c r="I40" s="25">
        <v>15.6059856808067</v>
      </c>
      <c r="J40" s="25">
        <v>1.7089721035436001</v>
      </c>
      <c r="K40" s="25">
        <v>1.79984157383361</v>
      </c>
      <c r="L40" s="25">
        <v>2.3907854863364499</v>
      </c>
    </row>
    <row r="41" spans="1:12">
      <c r="A41" s="6" t="s">
        <v>75</v>
      </c>
      <c r="B41" s="6" t="s">
        <v>76</v>
      </c>
      <c r="C41" s="19">
        <f>_xll.BDH("RCOM IN Equity","BS_CUR_ASSET_REPORT","FY 2009","FY 2009","Currency=INR","Period=FY","BEST_FPERIOD_OVERRIDE=FY","FILING_STATUS=MR","EQY_CONSOLIDATED=Y","SCALING_FORMAT=MLN","Sort=A","Dates=H","DateFormat=P","Fill=—","Direction=H","UseDPDF=Y")</f>
        <v>239987</v>
      </c>
      <c r="D41" s="19">
        <f>_xll.BDH("RCOM IN Equity","BS_CUR_ASSET_REPORT","FY 2010","FY 2010","Currency=INR","Period=FY","BEST_FPERIOD_OVERRIDE=FY","FILING_STATUS=MR","EQY_CONSOLIDATED=Y","SCALING_FORMAT=MLN","Sort=A","Dates=H","DateFormat=P","Fill=—","Direction=H","UseDPDF=Y")</f>
        <v>161972.29999999999</v>
      </c>
      <c r="E41" s="19">
        <f>_xll.BDH("RCOM IN Equity","BS_CUR_ASSET_REPORT","FY 2011","FY 2011","Currency=INR","Period=FY","BEST_FPERIOD_OVERRIDE=FY","FILING_STATUS=MR","EQY_CONSOLIDATED=Y","SCALING_FORMAT=MLN","Sort=A","Dates=H","DateFormat=P","Fill=—","Direction=H","UseDPDF=Y")</f>
        <v>164480</v>
      </c>
      <c r="F41" s="19">
        <f>_xll.BDH("RCOM IN Equity","BS_CUR_ASSET_REPORT","FY 2012","FY 2012","Currency=INR","Period=FY","BEST_FPERIOD_OVERRIDE=FY","FILING_STATUS=MR","EQY_CONSOLIDATED=Y","SCALING_FORMAT=MLN","Sort=A","Dates=H","DateFormat=P","Fill=—","Direction=H","UseDPDF=Y")</f>
        <v>125450</v>
      </c>
      <c r="G41" s="19">
        <f>_xll.BDH("RCOM IN Equity","BS_CUR_ASSET_REPORT","FY 2013","FY 2013","Currency=INR","Period=FY","BEST_FPERIOD_OVERRIDE=FY","FILING_STATUS=MR","EQY_CONSOLIDATED=Y","SCALING_FORMAT=MLN","Sort=A","Dates=H","DateFormat=P","Fill=—","Direction=H","UseDPDF=Y")</f>
        <v>122610</v>
      </c>
      <c r="H41" s="19">
        <f>_xll.BDH("RCOM IN Equity","BS_CUR_ASSET_REPORT","FY 2014","FY 2014","Currency=INR","Period=FY","BEST_FPERIOD_OVERRIDE=FY","FILING_STATUS=MR","EQY_CONSOLIDATED=Y","SCALING_FORMAT=MLN","Sort=A","Dates=H","DateFormat=P","Fill=—","Direction=H","UseDPDF=Y")</f>
        <v>133770</v>
      </c>
      <c r="I41" s="19">
        <f>_xll.BDH("RCOM IN Equity","BS_CUR_ASSET_REPORT","FY 2015","FY 2015","Currency=INR","Period=FY","BEST_FPERIOD_OVERRIDE=FY","FILING_STATUS=MR","EQY_CONSOLIDATED=Y","SCALING_FORMAT=MLN","Sort=A","Dates=H","DateFormat=P","Fill=—","Direction=H","UseDPDF=Y")</f>
        <v>187900</v>
      </c>
      <c r="J41" s="19">
        <f>_xll.BDH("RCOM IN Equity","BS_CUR_ASSET_REPORT","FY 2016","FY 2016","Currency=INR","Period=FY","BEST_FPERIOD_OVERRIDE=FY","FILING_STATUS=MR","EQY_CONSOLIDATED=Y","SCALING_FORMAT=MLN","Sort=A","Dates=H","DateFormat=P","Fill=—","Direction=H","UseDPDF=Y")</f>
        <v>117610</v>
      </c>
      <c r="K41" s="19">
        <f>_xll.BDH("RCOM IN Equity","BS_CUR_ASSET_REPORT","FY 2017","FY 2017","Currency=INR","Period=FY","BEST_FPERIOD_OVERRIDE=FY","FILING_STATUS=MR","EQY_CONSOLIDATED=Y","SCALING_FORMAT=MLN","Sort=A","Dates=H","DateFormat=P","Fill=—","Direction=H","UseDPDF=Y")</f>
        <v>130070</v>
      </c>
      <c r="L41" s="19">
        <f>_xll.BDH("RCOM IN Equity","BS_CUR_ASSET_REPORT","FY 2018","FY 2018","Currency=INR","Period=FY","BEST_FPERIOD_OVERRIDE=FY","FILING_STATUS=MR","EQY_CONSOLIDATED=Y","SCALING_FORMAT=MLN","Sort=A","Dates=H","DateFormat=P","Fill=—","Direction=H","UseDPDF=Y")</f>
        <v>454590</v>
      </c>
    </row>
    <row r="42" spans="1:12">
      <c r="A42" s="11" t="s">
        <v>690</v>
      </c>
      <c r="B42" s="11" t="s">
        <v>76</v>
      </c>
      <c r="C42" s="25">
        <v>23.480487978366298</v>
      </c>
      <c r="D42" s="25">
        <v>17.4975366925059</v>
      </c>
      <c r="E42" s="25">
        <v>17.364314897121101</v>
      </c>
      <c r="F42" s="25">
        <v>13.5967051427952</v>
      </c>
      <c r="G42" s="25">
        <v>13.5958395245171</v>
      </c>
      <c r="H42" s="25">
        <v>14.742282811139599</v>
      </c>
      <c r="I42" s="25">
        <v>20.1995226935564</v>
      </c>
      <c r="J42" s="25">
        <v>11.3683376186518</v>
      </c>
      <c r="K42" s="25">
        <v>13.042083203818301</v>
      </c>
      <c r="L42" s="25">
        <v>60.954973316527699</v>
      </c>
    </row>
    <row r="43" spans="1:12">
      <c r="A43" s="10" t="s">
        <v>723</v>
      </c>
      <c r="B43" s="10" t="s">
        <v>724</v>
      </c>
      <c r="C43" s="13">
        <f>_xll.BDH("RCOM IN Equity","BS_NET_FIX_ASSET","FY 2009","FY 2009","Currency=INR","Period=FY","BEST_FPERIOD_OVERRIDE=FY","FILING_STATUS=MR","EQY_CONSOLIDATED=Y","SCALING_FORMAT=MLN","Sort=A","Dates=H","DateFormat=P","Fill=—","Direction=H","UseDPDF=Y")</f>
        <v>531168</v>
      </c>
      <c r="D43" s="13">
        <f>_xll.BDH("RCOM IN Equity","BS_NET_FIX_ASSET","FY 2010","FY 2010","Currency=INR","Period=FY","BEST_FPERIOD_OVERRIDE=FY","FILING_STATUS=MR","EQY_CONSOLIDATED=Y","SCALING_FORMAT=MLN","Sort=A","Dates=H","DateFormat=P","Fill=—","Direction=H","UseDPDF=Y")</f>
        <v>534138.9</v>
      </c>
      <c r="E43" s="13">
        <f>_xll.BDH("RCOM IN Equity","BS_NET_FIX_ASSET","FY 2011","FY 2011","Currency=INR","Period=FY","BEST_FPERIOD_OVERRIDE=FY","FILING_STATUS=MR","EQY_CONSOLIDATED=Y","SCALING_FORMAT=MLN","Sort=A","Dates=H","DateFormat=P","Fill=—","Direction=H","UseDPDF=Y")</f>
        <v>558870</v>
      </c>
      <c r="F43" s="13">
        <f>_xll.BDH("RCOM IN Equity","BS_NET_FIX_ASSET","FY 2012","FY 2012","Currency=INR","Period=FY","BEST_FPERIOD_OVERRIDE=FY","FILING_STATUS=MR","EQY_CONSOLIDATED=Y","SCALING_FORMAT=MLN","Sort=A","Dates=H","DateFormat=P","Fill=—","Direction=H","UseDPDF=Y")</f>
        <v>485770</v>
      </c>
      <c r="G43" s="13">
        <f>_xll.BDH("RCOM IN Equity","BS_NET_FIX_ASSET","FY 2013","FY 2013","Currency=INR","Period=FY","BEST_FPERIOD_OVERRIDE=FY","FILING_STATUS=MR","EQY_CONSOLIDATED=Y","SCALING_FORMAT=MLN","Sort=A","Dates=H","DateFormat=P","Fill=—","Direction=H","UseDPDF=Y")</f>
        <v>482030</v>
      </c>
      <c r="H43" s="13">
        <f>_xll.BDH("RCOM IN Equity","BS_NET_FIX_ASSET","FY 2014","FY 2014","Currency=INR","Period=FY","BEST_FPERIOD_OVERRIDE=FY","FILING_STATUS=MR","EQY_CONSOLIDATED=Y","SCALING_FORMAT=MLN","Sort=A","Dates=H","DateFormat=P","Fill=—","Direction=H","UseDPDF=Y")</f>
        <v>471240</v>
      </c>
      <c r="I43" s="13">
        <f>_xll.BDH("RCOM IN Equity","BS_NET_FIX_ASSET","FY 2015","FY 2015","Currency=INR","Period=FY","BEST_FPERIOD_OVERRIDE=FY","FILING_STATUS=MR","EQY_CONSOLIDATED=Y","SCALING_FORMAT=MLN","Sort=A","Dates=H","DateFormat=P","Fill=—","Direction=H","UseDPDF=Y")</f>
        <v>452780</v>
      </c>
      <c r="J43" s="13">
        <f>_xll.BDH("RCOM IN Equity","BS_NET_FIX_ASSET","FY 2016","FY 2016","Currency=INR","Period=FY","BEST_FPERIOD_OVERRIDE=FY","FILING_STATUS=MR","EQY_CONSOLIDATED=Y","SCALING_FORMAT=MLN","Sort=A","Dates=H","DateFormat=P","Fill=—","Direction=H","UseDPDF=Y")</f>
        <v>525280</v>
      </c>
      <c r="K43" s="13">
        <f>_xll.BDH("RCOM IN Equity","BS_NET_FIX_ASSET","FY 2017","FY 2017","Currency=INR","Period=FY","BEST_FPERIOD_OVERRIDE=FY","FILING_STATUS=MR","EQY_CONSOLIDATED=Y","SCALING_FORMAT=MLN","Sort=A","Dates=H","DateFormat=P","Fill=—","Direction=H","UseDPDF=Y")</f>
        <v>517100</v>
      </c>
      <c r="L43" s="13">
        <f>_xll.BDH("RCOM IN Equity","BS_NET_FIX_ASSET","FY 2018","FY 2018","Currency=INR","Period=FY","BEST_FPERIOD_OVERRIDE=FY","FILING_STATUS=MR","EQY_CONSOLIDATED=Y","SCALING_FORMAT=MLN","Sort=A","Dates=H","DateFormat=P","Fill=—","Direction=H","UseDPDF=Y")</f>
        <v>167660</v>
      </c>
    </row>
    <row r="44" spans="1:12">
      <c r="A44" s="11" t="s">
        <v>690</v>
      </c>
      <c r="B44" s="11" t="s">
        <v>724</v>
      </c>
      <c r="C44" s="25">
        <v>51.969831026234097</v>
      </c>
      <c r="D44" s="25">
        <v>57.701934229770899</v>
      </c>
      <c r="E44" s="25">
        <v>59.000453955216798</v>
      </c>
      <c r="F44" s="25">
        <v>52.649433696417901</v>
      </c>
      <c r="G44" s="25">
        <v>53.450799494355898</v>
      </c>
      <c r="H44" s="25">
        <v>51.933567705176401</v>
      </c>
      <c r="I44" s="25">
        <v>48.674507105845898</v>
      </c>
      <c r="J44" s="25">
        <v>50.774257157770599</v>
      </c>
      <c r="K44" s="25">
        <v>51.849475087986697</v>
      </c>
      <c r="L44" s="25">
        <v>22.4811606640028</v>
      </c>
    </row>
    <row r="45" spans="1:12">
      <c r="A45" s="10" t="s">
        <v>725</v>
      </c>
      <c r="B45" s="10" t="s">
        <v>726</v>
      </c>
      <c r="C45" s="13">
        <f>_xll.BDH("RCOM IN Equity","BS_GROSS_FIX_ASSET","FY 2009","FY 2009","Currency=INR","Period=FY","BEST_FPERIOD_OVERRIDE=FY","FILING_STATUS=MR","EQY_CONSOLIDATED=Y","SCALING_FORMAT=MLN","Sort=A","Dates=H","DateFormat=P","Fill=—","Direction=H","UseDPDF=Y")</f>
        <v>659522.19999999995</v>
      </c>
      <c r="D45" s="13">
        <f>_xll.BDH("RCOM IN Equity","BS_GROSS_FIX_ASSET","FY 2010","FY 2010","Currency=INR","Period=FY","BEST_FPERIOD_OVERRIDE=FY","FILING_STATUS=MR","EQY_CONSOLIDATED=Y","SCALING_FORMAT=MLN","Sort=A","Dates=H","DateFormat=P","Fill=—","Direction=H","UseDPDF=Y")</f>
        <v>694871.6</v>
      </c>
      <c r="E45" s="13">
        <f>_xll.BDH("RCOM IN Equity","BS_GROSS_FIX_ASSET","FY 2011","FY 2011","Currency=INR","Period=FY","BEST_FPERIOD_OVERRIDE=FY","FILING_STATUS=MR","EQY_CONSOLIDATED=Y","SCALING_FORMAT=MLN","Sort=A","Dates=H","DateFormat=P","Fill=—","Direction=H","UseDPDF=Y")</f>
        <v>775610</v>
      </c>
      <c r="F45" s="13">
        <f>_xll.BDH("RCOM IN Equity","BS_GROSS_FIX_ASSET","FY 2012","FY 2012","Currency=INR","Period=FY","BEST_FPERIOD_OVERRIDE=FY","FILING_STATUS=MR","EQY_CONSOLIDATED=Y","SCALING_FORMAT=MLN","Sort=A","Dates=H","DateFormat=P","Fill=—","Direction=H","UseDPDF=Y")</f>
        <v>738580</v>
      </c>
      <c r="G45" s="13">
        <f>_xll.BDH("RCOM IN Equity","BS_GROSS_FIX_ASSET","FY 2013","FY 2013","Currency=INR","Period=FY","BEST_FPERIOD_OVERRIDE=FY","FILING_STATUS=MR","EQY_CONSOLIDATED=Y","SCALING_FORMAT=MLN","Sort=A","Dates=H","DateFormat=P","Fill=—","Direction=H","UseDPDF=Y")</f>
        <v>775310</v>
      </c>
      <c r="H45" s="13">
        <f>_xll.BDH("RCOM IN Equity","BS_GROSS_FIX_ASSET","FY 2014","FY 2014","Currency=INR","Period=FY","BEST_FPERIOD_OVERRIDE=FY","FILING_STATUS=MR","EQY_CONSOLIDATED=Y","SCALING_FORMAT=MLN","Sort=A","Dates=H","DateFormat=P","Fill=—","Direction=H","UseDPDF=Y")</f>
        <v>816320</v>
      </c>
      <c r="I45" s="13">
        <f>_xll.BDH("RCOM IN Equity","BS_GROSS_FIX_ASSET","FY 2015","FY 2015","Currency=INR","Period=FY","BEST_FPERIOD_OVERRIDE=FY","FILING_STATUS=MR","EQY_CONSOLIDATED=Y","SCALING_FORMAT=MLN","Sort=A","Dates=H","DateFormat=P","Fill=—","Direction=H","UseDPDF=Y")</f>
        <v>832640</v>
      </c>
      <c r="J45" s="13">
        <f>_xll.BDH("RCOM IN Equity","BS_GROSS_FIX_ASSET","FY 2016","FY 2016","Currency=INR","Period=FY","BEST_FPERIOD_OVERRIDE=FY","FILING_STATUS=MR","EQY_CONSOLIDATED=Y","SCALING_FORMAT=MLN","Sort=A","Dates=H","DateFormat=P","Fill=—","Direction=H","UseDPDF=Y")</f>
        <v>787250</v>
      </c>
      <c r="K45" s="13">
        <f>_xll.BDH("RCOM IN Equity","BS_GROSS_FIX_ASSET","FY 2017","FY 2017","Currency=INR","Period=FY","BEST_FPERIOD_OVERRIDE=FY","FILING_STATUS=MR","EQY_CONSOLIDATED=Y","SCALING_FORMAT=MLN","Sort=A","Dates=H","DateFormat=P","Fill=—","Direction=H","UseDPDF=Y")</f>
        <v>804450</v>
      </c>
      <c r="L45" s="13">
        <f>_xll.BDH("RCOM IN Equity","BS_GROSS_FIX_ASSET","FY 2018","FY 2018","Currency=INR","Period=FY","BEST_FPERIOD_OVERRIDE=FY","FILING_STATUS=MR","EQY_CONSOLIDATED=Y","SCALING_FORMAT=MLN","Sort=A","Dates=H","DateFormat=P","Fill=—","Direction=H","UseDPDF=Y")</f>
        <v>409150</v>
      </c>
    </row>
    <row r="46" spans="1:12">
      <c r="A46" s="11" t="s">
        <v>690</v>
      </c>
      <c r="B46" s="11" t="s">
        <v>726</v>
      </c>
      <c r="C46" s="25">
        <v>64.528091473978407</v>
      </c>
      <c r="D46" s="25">
        <v>75.065559466527702</v>
      </c>
      <c r="E46" s="25">
        <v>81.881908301046195</v>
      </c>
      <c r="F46" s="25">
        <v>80.049856391914602</v>
      </c>
      <c r="G46" s="25">
        <v>85.971701669956303</v>
      </c>
      <c r="H46" s="25">
        <v>89.963521749192694</v>
      </c>
      <c r="I46" s="25">
        <v>89.510008385113196</v>
      </c>
      <c r="J46" s="25">
        <v>76.096622653546504</v>
      </c>
      <c r="K46" s="25">
        <v>80.661980728158696</v>
      </c>
      <c r="L46" s="25">
        <v>54.862023653088002</v>
      </c>
    </row>
    <row r="47" spans="1:12">
      <c r="A47" s="10" t="s">
        <v>727</v>
      </c>
      <c r="B47" s="10" t="s">
        <v>728</v>
      </c>
      <c r="C47" s="13">
        <f>_xll.BDH("RCOM IN Equity","BS_ACCUM_DEPR","FY 2009","FY 2009","Currency=INR","Period=FY","BEST_FPERIOD_OVERRIDE=FY","FILING_STATUS=MR","EQY_CONSOLIDATED=Y","SCALING_FORMAT=MLN","Sort=A","Dates=H","DateFormat=P","Fill=—","Direction=H","UseDPDF=Y")</f>
        <v>128354.2</v>
      </c>
      <c r="D47" s="13">
        <f>_xll.BDH("RCOM IN Equity","BS_ACCUM_DEPR","FY 2010","FY 2010","Currency=INR","Period=FY","BEST_FPERIOD_OVERRIDE=FY","FILING_STATUS=MR","EQY_CONSOLIDATED=Y","SCALING_FORMAT=MLN","Sort=A","Dates=H","DateFormat=P","Fill=—","Direction=H","UseDPDF=Y")</f>
        <v>160732.70000000001</v>
      </c>
      <c r="E47" s="13">
        <f>_xll.BDH("RCOM IN Equity","BS_ACCUM_DEPR","FY 2011","FY 2011","Currency=INR","Period=FY","BEST_FPERIOD_OVERRIDE=FY","FILING_STATUS=MR","EQY_CONSOLIDATED=Y","SCALING_FORMAT=MLN","Sort=A","Dates=H","DateFormat=P","Fill=—","Direction=H","UseDPDF=Y")</f>
        <v>216740</v>
      </c>
      <c r="F47" s="13">
        <f>_xll.BDH("RCOM IN Equity","BS_ACCUM_DEPR","FY 2012","FY 2012","Currency=INR","Period=FY","BEST_FPERIOD_OVERRIDE=FY","FILING_STATUS=MR","EQY_CONSOLIDATED=Y","SCALING_FORMAT=MLN","Sort=A","Dates=H","DateFormat=P","Fill=—","Direction=H","UseDPDF=Y")</f>
        <v>252810</v>
      </c>
      <c r="G47" s="13">
        <f>_xll.BDH("RCOM IN Equity","BS_ACCUM_DEPR","FY 2013","FY 2013","Currency=INR","Period=FY","BEST_FPERIOD_OVERRIDE=FY","FILING_STATUS=MR","EQY_CONSOLIDATED=Y","SCALING_FORMAT=MLN","Sort=A","Dates=H","DateFormat=P","Fill=—","Direction=H","UseDPDF=Y")</f>
        <v>293280</v>
      </c>
      <c r="H47" s="13">
        <f>_xll.BDH("RCOM IN Equity","BS_ACCUM_DEPR","FY 2014","FY 2014","Currency=INR","Period=FY","BEST_FPERIOD_OVERRIDE=FY","FILING_STATUS=MR","EQY_CONSOLIDATED=Y","SCALING_FORMAT=MLN","Sort=A","Dates=H","DateFormat=P","Fill=—","Direction=H","UseDPDF=Y")</f>
        <v>345080</v>
      </c>
      <c r="I47" s="13">
        <f>_xll.BDH("RCOM IN Equity","BS_ACCUM_DEPR","FY 2015","FY 2015","Currency=INR","Period=FY","BEST_FPERIOD_OVERRIDE=FY","FILING_STATUS=MR","EQY_CONSOLIDATED=Y","SCALING_FORMAT=MLN","Sort=A","Dates=H","DateFormat=P","Fill=—","Direction=H","UseDPDF=Y")</f>
        <v>379860</v>
      </c>
      <c r="J47" s="13">
        <f>_xll.BDH("RCOM IN Equity","BS_ACCUM_DEPR","FY 2016","FY 2016","Currency=INR","Period=FY","BEST_FPERIOD_OVERRIDE=FY","FILING_STATUS=MR","EQY_CONSOLIDATED=Y","SCALING_FORMAT=MLN","Sort=A","Dates=H","DateFormat=P","Fill=—","Direction=H","UseDPDF=Y")</f>
        <v>261970</v>
      </c>
      <c r="K47" s="13">
        <f>_xll.BDH("RCOM IN Equity","BS_ACCUM_DEPR","FY 2017","FY 2017","Currency=INR","Period=FY","BEST_FPERIOD_OVERRIDE=FY","FILING_STATUS=MR","EQY_CONSOLIDATED=Y","SCALING_FORMAT=MLN","Sort=A","Dates=H","DateFormat=P","Fill=—","Direction=H","UseDPDF=Y")</f>
        <v>287350</v>
      </c>
      <c r="L47" s="13">
        <f>_xll.BDH("RCOM IN Equity","BS_ACCUM_DEPR","FY 2018","FY 2018","Currency=INR","Period=FY","BEST_FPERIOD_OVERRIDE=FY","FILING_STATUS=MR","EQY_CONSOLIDATED=Y","SCALING_FORMAT=MLN","Sort=A","Dates=H","DateFormat=P","Fill=—","Direction=H","UseDPDF=Y")</f>
        <v>241490</v>
      </c>
    </row>
    <row r="48" spans="1:12">
      <c r="A48" s="11" t="s">
        <v>690</v>
      </c>
      <c r="B48" s="11" t="s">
        <v>728</v>
      </c>
      <c r="C48" s="25">
        <v>12.558260447744299</v>
      </c>
      <c r="D48" s="25">
        <v>17.3636252367568</v>
      </c>
      <c r="E48" s="25">
        <v>22.8814543458294</v>
      </c>
      <c r="F48" s="25">
        <v>27.400422695496701</v>
      </c>
      <c r="G48" s="25">
        <v>32.520902175600497</v>
      </c>
      <c r="H48" s="25">
        <v>38.029954044016399</v>
      </c>
      <c r="I48" s="25">
        <v>40.835501279267298</v>
      </c>
      <c r="J48" s="25">
        <v>25.322365495775902</v>
      </c>
      <c r="K48" s="25">
        <v>28.812505640172098</v>
      </c>
      <c r="L48" s="25">
        <v>32.380862989085301</v>
      </c>
    </row>
    <row r="49" spans="1:12">
      <c r="A49" s="10" t="s">
        <v>729</v>
      </c>
      <c r="B49" s="10" t="s">
        <v>730</v>
      </c>
      <c r="C49" s="13">
        <f>_xll.BDH("RCOM IN Equity","BS_LT_INVEST","FY 2009","FY 2009","Currency=INR","Period=FY","BEST_FPERIOD_OVERRIDE=FY","FILING_STATUS=MR","EQY_CONSOLIDATED=Y","SCALING_FORMAT=MLN","Sort=A","Dates=H","DateFormat=P","Fill=—","Direction=H","UseDPDF=Y")</f>
        <v>2762.3</v>
      </c>
      <c r="D49" s="13">
        <f>_xll.BDH("RCOM IN Equity","BS_LT_INVEST","FY 2010","FY 2010","Currency=INR","Period=FY","BEST_FPERIOD_OVERRIDE=FY","FILING_STATUS=MR","EQY_CONSOLIDATED=Y","SCALING_FORMAT=MLN","Sort=A","Dates=H","DateFormat=P","Fill=—","Direction=H","UseDPDF=Y")</f>
        <v>1147.3</v>
      </c>
      <c r="E49" s="13">
        <f>_xll.BDH("RCOM IN Equity","BS_LT_INVEST","FY 2011","FY 2011","Currency=INR","Period=FY","BEST_FPERIOD_OVERRIDE=FY","FILING_STATUS=MR","EQY_CONSOLIDATED=Y","SCALING_FORMAT=MLN","Sort=A","Dates=H","DateFormat=P","Fill=—","Direction=H","UseDPDF=Y")</f>
        <v>15720</v>
      </c>
      <c r="F49" s="13">
        <f>_xll.BDH("RCOM IN Equity","BS_LT_INVEST","FY 2012","FY 2012","Currency=INR","Period=FY","BEST_FPERIOD_OVERRIDE=FY","FILING_STATUS=MR","EQY_CONSOLIDATED=Y","SCALING_FORMAT=MLN","Sort=A","Dates=H","DateFormat=P","Fill=—","Direction=H","UseDPDF=Y")</f>
        <v>14150</v>
      </c>
      <c r="G49" s="13">
        <f>_xll.BDH("RCOM IN Equity","BS_LT_INVEST","FY 2013","FY 2013","Currency=INR","Period=FY","BEST_FPERIOD_OVERRIDE=FY","FILING_STATUS=MR","EQY_CONSOLIDATED=Y","SCALING_FORMAT=MLN","Sort=A","Dates=H","DateFormat=P","Fill=—","Direction=H","UseDPDF=Y")</f>
        <v>20700</v>
      </c>
      <c r="H49" s="13">
        <f>_xll.BDH("RCOM IN Equity","BS_LT_INVEST","FY 2014","FY 2014","Currency=INR","Period=FY","BEST_FPERIOD_OVERRIDE=FY","FILING_STATUS=MR","EQY_CONSOLIDATED=Y","SCALING_FORMAT=MLN","Sort=A","Dates=H","DateFormat=P","Fill=—","Direction=H","UseDPDF=Y")</f>
        <v>24490</v>
      </c>
      <c r="I49" s="13">
        <f>_xll.BDH("RCOM IN Equity","BS_LT_INVEST","FY 2015","FY 2015","Currency=INR","Period=FY","BEST_FPERIOD_OVERRIDE=FY","FILING_STATUS=MR","EQY_CONSOLIDATED=Y","SCALING_FORMAT=MLN","Sort=A","Dates=H","DateFormat=P","Fill=—","Direction=H","UseDPDF=Y")</f>
        <v>1250</v>
      </c>
      <c r="J49" s="13">
        <f>_xll.BDH("RCOM IN Equity","BS_LT_INVEST","FY 2016","FY 2016","Currency=INR","Period=FY","BEST_FPERIOD_OVERRIDE=FY","FILING_STATUS=MR","EQY_CONSOLIDATED=Y","SCALING_FORMAT=MLN","Sort=A","Dates=H","DateFormat=P","Fill=—","Direction=H","UseDPDF=Y")</f>
        <v>0</v>
      </c>
      <c r="K49" s="13">
        <f>_xll.BDH("RCOM IN Equity","BS_LT_INVEST","FY 2017","FY 2017","Currency=INR","Period=FY","BEST_FPERIOD_OVERRIDE=FY","FILING_STATUS=MR","EQY_CONSOLIDATED=Y","SCALING_FORMAT=MLN","Sort=A","Dates=H","DateFormat=P","Fill=—","Direction=H","UseDPDF=Y")</f>
        <v>0</v>
      </c>
      <c r="L49" s="13">
        <f>_xll.BDH("RCOM IN Equity","BS_LT_INVEST","FY 2018","FY 2018","Currency=INR","Period=FY","BEST_FPERIOD_OVERRIDE=FY","FILING_STATUS=MR","EQY_CONSOLIDATED=Y","SCALING_FORMAT=MLN","Sort=A","Dates=H","DateFormat=P","Fill=—","Direction=H","UseDPDF=Y")</f>
        <v>320</v>
      </c>
    </row>
    <row r="50" spans="1:12">
      <c r="A50" s="11" t="s">
        <v>690</v>
      </c>
      <c r="B50" s="11" t="s">
        <v>730</v>
      </c>
      <c r="C50" s="25">
        <v>0.27026527246326298</v>
      </c>
      <c r="D50" s="25">
        <v>0.123940475299246</v>
      </c>
      <c r="E50" s="25">
        <v>1.65957581579975</v>
      </c>
      <c r="F50" s="25">
        <v>1.53362596867718</v>
      </c>
      <c r="G50" s="25">
        <v>2.2953582754873501</v>
      </c>
      <c r="H50" s="25">
        <v>2.6989497349541001</v>
      </c>
      <c r="I50" s="25">
        <v>0.13437681408699001</v>
      </c>
      <c r="J50" s="25">
        <v>0</v>
      </c>
      <c r="K50" s="25">
        <v>0</v>
      </c>
      <c r="L50" s="25">
        <v>4.2908096221405803E-2</v>
      </c>
    </row>
    <row r="51" spans="1:12">
      <c r="A51" s="10" t="s">
        <v>731</v>
      </c>
      <c r="B51" s="10" t="s">
        <v>732</v>
      </c>
      <c r="C51" s="13">
        <f>_xll.BDH("RCOM IN Equity","BS_LONG_TERM_INVESTMENTS","FY 2009","FY 2009","Currency=INR","Period=FY","BEST_FPERIOD_OVERRIDE=FY","FILING_STATUS=MR","EQY_CONSOLIDATED=Y","SCALING_FORMAT=MLN","Sort=A","Dates=H","DateFormat=P","Fill=—","Direction=H","UseDPDF=Y")</f>
        <v>2762.3</v>
      </c>
      <c r="D51" s="13">
        <f>_xll.BDH("RCOM IN Equity","BS_LONG_TERM_INVESTMENTS","FY 2010","FY 2010","Currency=INR","Period=FY","BEST_FPERIOD_OVERRIDE=FY","FILING_STATUS=MR","EQY_CONSOLIDATED=Y","SCALING_FORMAT=MLN","Sort=A","Dates=H","DateFormat=P","Fill=—","Direction=H","UseDPDF=Y")</f>
        <v>1147.3</v>
      </c>
      <c r="E51" s="13">
        <f>_xll.BDH("RCOM IN Equity","BS_LONG_TERM_INVESTMENTS","FY 2011","FY 2011","Currency=INR","Period=FY","BEST_FPERIOD_OVERRIDE=FY","FILING_STATUS=MR","EQY_CONSOLIDATED=Y","SCALING_FORMAT=MLN","Sort=A","Dates=H","DateFormat=P","Fill=—","Direction=H","UseDPDF=Y")</f>
        <v>15720</v>
      </c>
      <c r="F51" s="13">
        <f>_xll.BDH("RCOM IN Equity","BS_LONG_TERM_INVESTMENTS","FY 2012","FY 2012","Currency=INR","Period=FY","BEST_FPERIOD_OVERRIDE=FY","FILING_STATUS=MR","EQY_CONSOLIDATED=Y","SCALING_FORMAT=MLN","Sort=A","Dates=H","DateFormat=P","Fill=—","Direction=H","UseDPDF=Y")</f>
        <v>14150</v>
      </c>
      <c r="G51" s="13">
        <f>_xll.BDH("RCOM IN Equity","BS_LONG_TERM_INVESTMENTS","FY 2013","FY 2013","Currency=INR","Period=FY","BEST_FPERIOD_OVERRIDE=FY","FILING_STATUS=MR","EQY_CONSOLIDATED=Y","SCALING_FORMAT=MLN","Sort=A","Dates=H","DateFormat=P","Fill=—","Direction=H","UseDPDF=Y")</f>
        <v>20700</v>
      </c>
      <c r="H51" s="13">
        <f>_xll.BDH("RCOM IN Equity","BS_LONG_TERM_INVESTMENTS","FY 2014","FY 2014","Currency=INR","Period=FY","BEST_FPERIOD_OVERRIDE=FY","FILING_STATUS=MR","EQY_CONSOLIDATED=Y","SCALING_FORMAT=MLN","Sort=A","Dates=H","DateFormat=P","Fill=—","Direction=H","UseDPDF=Y")</f>
        <v>24490</v>
      </c>
      <c r="I51" s="13">
        <f>_xll.BDH("RCOM IN Equity","BS_LONG_TERM_INVESTMENTS","FY 2015","FY 2015","Currency=INR","Period=FY","BEST_FPERIOD_OVERRIDE=FY","FILING_STATUS=MR","EQY_CONSOLIDATED=Y","SCALING_FORMAT=MLN","Sort=A","Dates=H","DateFormat=P","Fill=—","Direction=H","UseDPDF=Y")</f>
        <v>1250</v>
      </c>
      <c r="J51" s="13">
        <f>_xll.BDH("RCOM IN Equity","BS_LONG_TERM_INVESTMENTS","FY 2016","FY 2016","Currency=INR","Period=FY","BEST_FPERIOD_OVERRIDE=FY","FILING_STATUS=MR","EQY_CONSOLIDATED=Y","SCALING_FORMAT=MLN","Sort=A","Dates=H","DateFormat=P","Fill=—","Direction=H","UseDPDF=Y")</f>
        <v>0</v>
      </c>
      <c r="K51" s="13">
        <f>_xll.BDH("RCOM IN Equity","BS_LONG_TERM_INVESTMENTS","FY 2017","FY 2017","Currency=INR","Period=FY","BEST_FPERIOD_OVERRIDE=FY","FILING_STATUS=MR","EQY_CONSOLIDATED=Y","SCALING_FORMAT=MLN","Sort=A","Dates=H","DateFormat=P","Fill=—","Direction=H","UseDPDF=Y")</f>
        <v>0</v>
      </c>
      <c r="L51" s="13">
        <f>_xll.BDH("RCOM IN Equity","BS_LONG_TERM_INVESTMENTS","FY 2018","FY 2018","Currency=INR","Period=FY","BEST_FPERIOD_OVERRIDE=FY","FILING_STATUS=MR","EQY_CONSOLIDATED=Y","SCALING_FORMAT=MLN","Sort=A","Dates=H","DateFormat=P","Fill=—","Direction=H","UseDPDF=Y")</f>
        <v>320</v>
      </c>
    </row>
    <row r="52" spans="1:12">
      <c r="A52" s="11" t="s">
        <v>690</v>
      </c>
      <c r="B52" s="11" t="s">
        <v>732</v>
      </c>
      <c r="C52" s="25">
        <v>0.27026527246326298</v>
      </c>
      <c r="D52" s="25">
        <v>0.123940475299246</v>
      </c>
      <c r="E52" s="25">
        <v>1.65957581579975</v>
      </c>
      <c r="F52" s="25">
        <v>1.53362596867718</v>
      </c>
      <c r="G52" s="25">
        <v>2.2953582754873501</v>
      </c>
      <c r="H52" s="25">
        <v>2.6989497349541001</v>
      </c>
      <c r="I52" s="25">
        <v>0.13437681408699001</v>
      </c>
      <c r="J52" s="25">
        <v>0</v>
      </c>
      <c r="K52" s="25">
        <v>0</v>
      </c>
      <c r="L52" s="25">
        <v>4.2908096221405803E-2</v>
      </c>
    </row>
    <row r="53" spans="1:12">
      <c r="A53" s="10" t="s">
        <v>733</v>
      </c>
      <c r="B53" s="10" t="s">
        <v>734</v>
      </c>
      <c r="C53" s="13">
        <f>_xll.BDH("RCOM IN Equity","BS_OTHER_ASSETS_DEF_CHRG_OTHER","FY 2009","FY 2009","Currency=INR","Period=FY","BEST_FPERIOD_OVERRIDE=FY","FILING_STATUS=MR","EQY_CONSOLIDATED=Y","SCALING_FORMAT=MLN","Sort=A","Dates=H","DateFormat=P","Fill=—","Direction=H","UseDPDF=Y")</f>
        <v>248152.6</v>
      </c>
      <c r="D53" s="13">
        <f>_xll.BDH("RCOM IN Equity","BS_OTHER_ASSETS_DEF_CHRG_OTHER","FY 2010","FY 2010","Currency=INR","Period=FY","BEST_FPERIOD_OVERRIDE=FY","FILING_STATUS=MR","EQY_CONSOLIDATED=Y","SCALING_FORMAT=MLN","Sort=A","Dates=H","DateFormat=P","Fill=—","Direction=H","UseDPDF=Y")</f>
        <v>228427.8</v>
      </c>
      <c r="E53" s="13">
        <f>_xll.BDH("RCOM IN Equity","BS_OTHER_ASSETS_DEF_CHRG_OTHER","FY 2011","FY 2011","Currency=INR","Period=FY","BEST_FPERIOD_OVERRIDE=FY","FILING_STATUS=MR","EQY_CONSOLIDATED=Y","SCALING_FORMAT=MLN","Sort=A","Dates=H","DateFormat=P","Fill=—","Direction=H","UseDPDF=Y")</f>
        <v>208160</v>
      </c>
      <c r="F53" s="13">
        <f>_xll.BDH("RCOM IN Equity","BS_OTHER_ASSETS_DEF_CHRG_OTHER","FY 2012","FY 2012","Currency=INR","Period=FY","BEST_FPERIOD_OVERRIDE=FY","FILING_STATUS=MR","EQY_CONSOLIDATED=Y","SCALING_FORMAT=MLN","Sort=A","Dates=H","DateFormat=P","Fill=—","Direction=H","UseDPDF=Y")</f>
        <v>297280</v>
      </c>
      <c r="G53" s="13">
        <f>_xll.BDH("RCOM IN Equity","BS_OTHER_ASSETS_DEF_CHRG_OTHER","FY 2013","FY 2013","Currency=INR","Period=FY","BEST_FPERIOD_OVERRIDE=FY","FILING_STATUS=MR","EQY_CONSOLIDATED=Y","SCALING_FORMAT=MLN","Sort=A","Dates=H","DateFormat=P","Fill=—","Direction=H","UseDPDF=Y")</f>
        <v>276480</v>
      </c>
      <c r="H53" s="13">
        <f>_xll.BDH("RCOM IN Equity","BS_OTHER_ASSETS_DEF_CHRG_OTHER","FY 2014","FY 2014","Currency=INR","Period=FY","BEST_FPERIOD_OVERRIDE=FY","FILING_STATUS=MR","EQY_CONSOLIDATED=Y","SCALING_FORMAT=MLN","Sort=A","Dates=H","DateFormat=P","Fill=—","Direction=H","UseDPDF=Y")</f>
        <v>277890</v>
      </c>
      <c r="I53" s="13">
        <f>_xll.BDH("RCOM IN Equity","BS_OTHER_ASSETS_DEF_CHRG_OTHER","FY 2015","FY 2015","Currency=INR","Period=FY","BEST_FPERIOD_OVERRIDE=FY","FILING_STATUS=MR","EQY_CONSOLIDATED=Y","SCALING_FORMAT=MLN","Sort=A","Dates=H","DateFormat=P","Fill=—","Direction=H","UseDPDF=Y")</f>
        <v>288290</v>
      </c>
      <c r="J53" s="13">
        <f>_xll.BDH("RCOM IN Equity","BS_OTHER_ASSETS_DEF_CHRG_OTHER","FY 2016","FY 2016","Currency=INR","Period=FY","BEST_FPERIOD_OVERRIDE=FY","FILING_STATUS=MR","EQY_CONSOLIDATED=Y","SCALING_FORMAT=MLN","Sort=A","Dates=H","DateFormat=P","Fill=—","Direction=H","UseDPDF=Y")</f>
        <v>391650</v>
      </c>
      <c r="K53" s="13">
        <f>_xll.BDH("RCOM IN Equity","BS_OTHER_ASSETS_DEF_CHRG_OTHER","FY 2017","FY 2017","Currency=INR","Period=FY","BEST_FPERIOD_OVERRIDE=FY","FILING_STATUS=MR","EQY_CONSOLIDATED=Y","SCALING_FORMAT=MLN","Sort=A","Dates=H","DateFormat=P","Fill=—","Direction=H","UseDPDF=Y")</f>
        <v>350140</v>
      </c>
      <c r="L53" s="13">
        <f>_xll.BDH("RCOM IN Equity","BS_OTHER_ASSETS_DEF_CHRG_OTHER","FY 2018","FY 2018","Currency=INR","Period=FY","BEST_FPERIOD_OVERRIDE=FY","FILING_STATUS=MR","EQY_CONSOLIDATED=Y","SCALING_FORMAT=MLN","Sort=A","Dates=H","DateFormat=P","Fill=—","Direction=H","UseDPDF=Y")</f>
        <v>123210</v>
      </c>
    </row>
    <row r="54" spans="1:12">
      <c r="A54" s="11" t="s">
        <v>690</v>
      </c>
      <c r="B54" s="11" t="s">
        <v>734</v>
      </c>
      <c r="C54" s="25">
        <v>24.279415722936399</v>
      </c>
      <c r="D54" s="25">
        <v>24.676588602424001</v>
      </c>
      <c r="E54" s="25">
        <v>21.975655331862399</v>
      </c>
      <c r="F54" s="25">
        <v>32.220235192109698</v>
      </c>
      <c r="G54" s="25">
        <v>30.658002705639699</v>
      </c>
      <c r="H54" s="25">
        <v>30.625199748729901</v>
      </c>
      <c r="I54" s="25">
        <v>30.991593386510701</v>
      </c>
      <c r="J54" s="25">
        <v>37.857405223577601</v>
      </c>
      <c r="K54" s="25">
        <v>35.108441708195002</v>
      </c>
      <c r="L54" s="25">
        <v>16.520957923248101</v>
      </c>
    </row>
    <row r="55" spans="1:12">
      <c r="A55" s="10" t="s">
        <v>735</v>
      </c>
      <c r="B55" s="10" t="s">
        <v>736</v>
      </c>
      <c r="C55" s="13">
        <f>_xll.BDH("RCOM IN Equity","BS_DISCLOSED_INTANGIBLES","FY 2009","FY 2009","Currency=INR","Period=FY","BEST_FPERIOD_OVERRIDE=FY","FILING_STATUS=MR","EQY_CONSOLIDATED=Y","SCALING_FORMAT=MLN","Sort=A","Dates=H","DateFormat=P","Fill=—","Direction=H","UseDPDF=Y")</f>
        <v>248100.2</v>
      </c>
      <c r="D55" s="13">
        <f>_xll.BDH("RCOM IN Equity","BS_DISCLOSED_INTANGIBLES","FY 2010","FY 2010","Currency=INR","Period=FY","BEST_FPERIOD_OVERRIDE=FY","FILING_STATUS=MR","EQY_CONSOLIDATED=Y","SCALING_FORMAT=MLN","Sort=A","Dates=H","DateFormat=P","Fill=—","Direction=H","UseDPDF=Y")</f>
        <v>228375.6</v>
      </c>
      <c r="E55" s="13">
        <f>_xll.BDH("RCOM IN Equity","BS_DISCLOSED_INTANGIBLES","FY 2011","FY 2011","Currency=INR","Period=FY","BEST_FPERIOD_OVERRIDE=FY","FILING_STATUS=MR","EQY_CONSOLIDATED=Y","SCALING_FORMAT=MLN","Sort=A","Dates=H","DateFormat=P","Fill=—","Direction=H","UseDPDF=Y")</f>
        <v>202110</v>
      </c>
      <c r="F55" s="13">
        <f>_xll.BDH("RCOM IN Equity","BS_DISCLOSED_INTANGIBLES","FY 2012","FY 2012","Currency=INR","Period=FY","BEST_FPERIOD_OVERRIDE=FY","FILING_STATUS=MR","EQY_CONSOLIDATED=Y","SCALING_FORMAT=MLN","Sort=A","Dates=H","DateFormat=P","Fill=—","Direction=H","UseDPDF=Y")</f>
        <v>279100</v>
      </c>
      <c r="G55" s="13">
        <f>_xll.BDH("RCOM IN Equity","BS_DISCLOSED_INTANGIBLES","FY 2013","FY 2013","Currency=INR","Period=FY","BEST_FPERIOD_OVERRIDE=FY","FILING_STATUS=MR","EQY_CONSOLIDATED=Y","SCALING_FORMAT=MLN","Sort=A","Dates=H","DateFormat=P","Fill=—","Direction=H","UseDPDF=Y")</f>
        <v>261740</v>
      </c>
      <c r="H55" s="13">
        <f>_xll.BDH("RCOM IN Equity","BS_DISCLOSED_INTANGIBLES","FY 2014","FY 2014","Currency=INR","Period=FY","BEST_FPERIOD_OVERRIDE=FY","FILING_STATUS=MR","EQY_CONSOLIDATED=Y","SCALING_FORMAT=MLN","Sort=A","Dates=H","DateFormat=P","Fill=—","Direction=H","UseDPDF=Y")</f>
        <v>246190</v>
      </c>
      <c r="I55" s="13">
        <f>_xll.BDH("RCOM IN Equity","BS_DISCLOSED_INTANGIBLES","FY 2015","FY 2015","Currency=INR","Period=FY","BEST_FPERIOD_OVERRIDE=FY","FILING_STATUS=MR","EQY_CONSOLIDATED=Y","SCALING_FORMAT=MLN","Sort=A","Dates=H","DateFormat=P","Fill=—","Direction=H","UseDPDF=Y")</f>
        <v>224470</v>
      </c>
      <c r="J55" s="13">
        <f>_xll.BDH("RCOM IN Equity","BS_DISCLOSED_INTANGIBLES","FY 2016","FY 2016","Currency=INR","Period=FY","BEST_FPERIOD_OVERRIDE=FY","FILING_STATUS=MR","EQY_CONSOLIDATED=Y","SCALING_FORMAT=MLN","Sort=A","Dates=H","DateFormat=P","Fill=—","Direction=H","UseDPDF=Y")</f>
        <v>270240</v>
      </c>
      <c r="K55" s="13">
        <f>_xll.BDH("RCOM IN Equity","BS_DISCLOSED_INTANGIBLES","FY 2017","FY 2017","Currency=INR","Period=FY","BEST_FPERIOD_OVERRIDE=FY","FILING_STATUS=MR","EQY_CONSOLIDATED=Y","SCALING_FORMAT=MLN","Sort=A","Dates=H","DateFormat=P","Fill=—","Direction=H","UseDPDF=Y")</f>
        <v>220230</v>
      </c>
      <c r="L55" s="13">
        <f>_xll.BDH("RCOM IN Equity","BS_DISCLOSED_INTANGIBLES","FY 2018","FY 2018","Currency=INR","Period=FY","BEST_FPERIOD_OVERRIDE=FY","FILING_STATUS=MR","EQY_CONSOLIDATED=Y","SCALING_FORMAT=MLN","Sort=A","Dates=H","DateFormat=P","Fill=—","Direction=H","UseDPDF=Y")</f>
        <v>43380</v>
      </c>
    </row>
    <row r="56" spans="1:12">
      <c r="A56" s="11" t="s">
        <v>690</v>
      </c>
      <c r="B56" s="11" t="s">
        <v>736</v>
      </c>
      <c r="C56" s="25">
        <v>24.274288872023298</v>
      </c>
      <c r="D56" s="25">
        <v>24.670949543057901</v>
      </c>
      <c r="E56" s="25">
        <v>21.336950898936902</v>
      </c>
      <c r="F56" s="25">
        <v>30.249823876876398</v>
      </c>
      <c r="G56" s="25">
        <v>29.023530194495599</v>
      </c>
      <c r="H56" s="25">
        <v>27.1316633421131</v>
      </c>
      <c r="I56" s="25">
        <v>24.130850766485299</v>
      </c>
      <c r="J56" s="25">
        <v>26.121754596245701</v>
      </c>
      <c r="K56" s="25">
        <v>22.082401660466701</v>
      </c>
      <c r="L56" s="25">
        <v>5.8167287940143204</v>
      </c>
    </row>
    <row r="57" spans="1:12">
      <c r="A57" s="11" t="s">
        <v>737</v>
      </c>
      <c r="B57" s="11" t="s">
        <v>738</v>
      </c>
      <c r="C57" s="25">
        <f>_xll.BDH("RCOM IN Equity","BS_GOODWILL","FY 2009","FY 2009","Currency=INR","Period=FY","BEST_FPERIOD_OVERRIDE=FY","FILING_STATUS=MR","EQY_CONSOLIDATED=Y","SCALING_FORMAT=MLN","Sort=A","Dates=H","DateFormat=P","Fill=—","Direction=H","UseDPDF=Y")</f>
        <v>52215.3</v>
      </c>
      <c r="D57" s="25">
        <f>_xll.BDH("RCOM IN Equity","BS_GOODWILL","FY 2010","FY 2010","Currency=INR","Period=FY","BEST_FPERIOD_OVERRIDE=FY","FILING_STATUS=MR","EQY_CONSOLIDATED=Y","SCALING_FORMAT=MLN","Sort=A","Dates=H","DateFormat=P","Fill=—","Direction=H","UseDPDF=Y")</f>
        <v>49975.6</v>
      </c>
      <c r="E57" s="25">
        <f>_xll.BDH("RCOM IN Equity","BS_GOODWILL","FY 2011","FY 2011","Currency=INR","Period=FY","BEST_FPERIOD_OVERRIDE=FY","FILING_STATUS=MR","EQY_CONSOLIDATED=Y","SCALING_FORMAT=MLN","Sort=A","Dates=H","DateFormat=P","Fill=—","Direction=H","UseDPDF=Y")</f>
        <v>47470</v>
      </c>
      <c r="F57" s="25">
        <f>_xll.BDH("RCOM IN Equity","BS_GOODWILL","FY 2012","FY 2012","Currency=INR","Period=FY","BEST_FPERIOD_OVERRIDE=FY","FILING_STATUS=MR","EQY_CONSOLIDATED=Y","SCALING_FORMAT=MLN","Sort=A","Dates=H","DateFormat=P","Fill=—","Direction=H","UseDPDF=Y")</f>
        <v>50090</v>
      </c>
      <c r="G57" s="25">
        <f>_xll.BDH("RCOM IN Equity","BS_GOODWILL","FY 2013","FY 2013","Currency=INR","Period=FY","BEST_FPERIOD_OVERRIDE=FY","FILING_STATUS=MR","EQY_CONSOLIDATED=Y","SCALING_FORMAT=MLN","Sort=A","Dates=H","DateFormat=P","Fill=—","Direction=H","UseDPDF=Y")</f>
        <v>51250</v>
      </c>
      <c r="H57" s="25">
        <f>_xll.BDH("RCOM IN Equity","BS_GOODWILL","FY 2014","FY 2014","Currency=INR","Period=FY","BEST_FPERIOD_OVERRIDE=FY","FILING_STATUS=MR","EQY_CONSOLIDATED=Y","SCALING_FORMAT=MLN","Sort=A","Dates=H","DateFormat=P","Fill=—","Direction=H","UseDPDF=Y")</f>
        <v>53000</v>
      </c>
      <c r="I57" s="25">
        <f>_xll.BDH("RCOM IN Equity","BS_GOODWILL","FY 2015","FY 2015","Currency=INR","Period=FY","BEST_FPERIOD_OVERRIDE=FY","FILING_STATUS=MR","EQY_CONSOLIDATED=Y","SCALING_FORMAT=MLN","Sort=A","Dates=H","DateFormat=P","Fill=—","Direction=H","UseDPDF=Y")</f>
        <v>54230</v>
      </c>
      <c r="J57" s="25">
        <f>_xll.BDH("RCOM IN Equity","BS_GOODWILL","FY 2016","FY 2016","Currency=INR","Period=FY","BEST_FPERIOD_OVERRIDE=FY","FILING_STATUS=MR","EQY_CONSOLIDATED=Y","SCALING_FORMAT=MLN","Sort=A","Dates=H","DateFormat=P","Fill=—","Direction=H","UseDPDF=Y")</f>
        <v>35510</v>
      </c>
      <c r="K57" s="25">
        <f>_xll.BDH("RCOM IN Equity","BS_GOODWILL","FY 2017","FY 2017","Currency=INR","Period=FY","BEST_FPERIOD_OVERRIDE=FY","FILING_STATUS=MR","EQY_CONSOLIDATED=Y","SCALING_FORMAT=MLN","Sort=A","Dates=H","DateFormat=P","Fill=—","Direction=H","UseDPDF=Y")</f>
        <v>35480</v>
      </c>
      <c r="L57" s="25">
        <f>_xll.BDH("RCOM IN Equity","BS_GOODWILL","FY 2018","FY 2018","Currency=INR","Period=FY","BEST_FPERIOD_OVERRIDE=FY","FILING_STATUS=MR","EQY_CONSOLIDATED=Y","SCALING_FORMAT=MLN","Sort=A","Dates=H","DateFormat=P","Fill=—","Direction=H","UseDPDF=Y")</f>
        <v>35490</v>
      </c>
    </row>
    <row r="58" spans="1:12">
      <c r="A58" s="11" t="s">
        <v>690</v>
      </c>
      <c r="B58" s="11" t="s">
        <v>738</v>
      </c>
      <c r="C58" s="25">
        <v>5.10877974197264</v>
      </c>
      <c r="D58" s="25">
        <v>5.3987619780048597</v>
      </c>
      <c r="E58" s="25">
        <v>5.0114544514004002</v>
      </c>
      <c r="F58" s="25">
        <v>5.4289275456565296</v>
      </c>
      <c r="G58" s="25">
        <v>5.6829522521123996</v>
      </c>
      <c r="H58" s="25">
        <v>5.8409283769933502</v>
      </c>
      <c r="I58" s="25">
        <v>5.82980370234998</v>
      </c>
      <c r="J58" s="25">
        <v>3.4324434047982701</v>
      </c>
      <c r="K58" s="25">
        <v>3.55756986293129</v>
      </c>
      <c r="L58" s="25">
        <v>4.7587760465552797</v>
      </c>
    </row>
    <row r="59" spans="1:12">
      <c r="A59" s="11" t="s">
        <v>739</v>
      </c>
      <c r="B59" s="11" t="s">
        <v>740</v>
      </c>
      <c r="C59" s="25">
        <f>_xll.BDH("RCOM IN Equity","OTHER_INTANGIBLE_ASSETS_DETAILED","FY 2009","FY 2009","Currency=INR","Period=FY","BEST_FPERIOD_OVERRIDE=FY","FILING_STATUS=MR","EQY_CONSOLIDATED=Y","SCALING_FORMAT=MLN","Sort=A","Dates=H","DateFormat=P","Fill=—","Direction=H","UseDPDF=Y")</f>
        <v>195884.9</v>
      </c>
      <c r="D59" s="25">
        <f>_xll.BDH("RCOM IN Equity","OTHER_INTANGIBLE_ASSETS_DETAILED","FY 2010","FY 2010","Currency=INR","Period=FY","BEST_FPERIOD_OVERRIDE=FY","FILING_STATUS=MR","EQY_CONSOLIDATED=Y","SCALING_FORMAT=MLN","Sort=A","Dates=H","DateFormat=P","Fill=—","Direction=H","UseDPDF=Y")</f>
        <v>178400</v>
      </c>
      <c r="E59" s="25">
        <f>_xll.BDH("RCOM IN Equity","OTHER_INTANGIBLE_ASSETS_DETAILED","FY 2011","FY 2011","Currency=INR","Period=FY","BEST_FPERIOD_OVERRIDE=FY","FILING_STATUS=MR","EQY_CONSOLIDATED=Y","SCALING_FORMAT=MLN","Sort=A","Dates=H","DateFormat=P","Fill=—","Direction=H","UseDPDF=Y")</f>
        <v>154640</v>
      </c>
      <c r="F59" s="25">
        <f>_xll.BDH("RCOM IN Equity","OTHER_INTANGIBLE_ASSETS_DETAILED","FY 2012","FY 2012","Currency=INR","Period=FY","BEST_FPERIOD_OVERRIDE=FY","FILING_STATUS=MR","EQY_CONSOLIDATED=Y","SCALING_FORMAT=MLN","Sort=A","Dates=H","DateFormat=P","Fill=—","Direction=H","UseDPDF=Y")</f>
        <v>229010</v>
      </c>
      <c r="G59" s="25">
        <f>_xll.BDH("RCOM IN Equity","OTHER_INTANGIBLE_ASSETS_DETAILED","FY 2013","FY 2013","Currency=INR","Period=FY","BEST_FPERIOD_OVERRIDE=FY","FILING_STATUS=MR","EQY_CONSOLIDATED=Y","SCALING_FORMAT=MLN","Sort=A","Dates=H","DateFormat=P","Fill=—","Direction=H","UseDPDF=Y")</f>
        <v>210490</v>
      </c>
      <c r="H59" s="25">
        <f>_xll.BDH("RCOM IN Equity","OTHER_INTANGIBLE_ASSETS_DETAILED","FY 2014","FY 2014","Currency=INR","Period=FY","BEST_FPERIOD_OVERRIDE=FY","FILING_STATUS=MR","EQY_CONSOLIDATED=Y","SCALING_FORMAT=MLN","Sort=A","Dates=H","DateFormat=P","Fill=—","Direction=H","UseDPDF=Y")</f>
        <v>193190</v>
      </c>
      <c r="I59" s="25">
        <f>_xll.BDH("RCOM IN Equity","OTHER_INTANGIBLE_ASSETS_DETAILED","FY 2015","FY 2015","Currency=INR","Period=FY","BEST_FPERIOD_OVERRIDE=FY","FILING_STATUS=MR","EQY_CONSOLIDATED=Y","SCALING_FORMAT=MLN","Sort=A","Dates=H","DateFormat=P","Fill=—","Direction=H","UseDPDF=Y")</f>
        <v>170240</v>
      </c>
      <c r="J59" s="25">
        <f>_xll.BDH("RCOM IN Equity","OTHER_INTANGIBLE_ASSETS_DETAILED","FY 2016","FY 2016","Currency=INR","Period=FY","BEST_FPERIOD_OVERRIDE=FY","FILING_STATUS=MR","EQY_CONSOLIDATED=Y","SCALING_FORMAT=MLN","Sort=A","Dates=H","DateFormat=P","Fill=—","Direction=H","UseDPDF=Y")</f>
        <v>234730</v>
      </c>
      <c r="K59" s="25">
        <f>_xll.BDH("RCOM IN Equity","OTHER_INTANGIBLE_ASSETS_DETAILED","FY 2017","FY 2017","Currency=INR","Period=FY","BEST_FPERIOD_OVERRIDE=FY","FILING_STATUS=MR","EQY_CONSOLIDATED=Y","SCALING_FORMAT=MLN","Sort=A","Dates=H","DateFormat=P","Fill=—","Direction=H","UseDPDF=Y")</f>
        <v>184750</v>
      </c>
      <c r="L59" s="25">
        <f>_xll.BDH("RCOM IN Equity","OTHER_INTANGIBLE_ASSETS_DETAILED","FY 2018","FY 2018","Currency=INR","Period=FY","BEST_FPERIOD_OVERRIDE=FY","FILING_STATUS=MR","EQY_CONSOLIDATED=Y","SCALING_FORMAT=MLN","Sort=A","Dates=H","DateFormat=P","Fill=—","Direction=H","UseDPDF=Y")</f>
        <v>7890</v>
      </c>
    </row>
    <row r="60" spans="1:12">
      <c r="A60" s="11" t="s">
        <v>690</v>
      </c>
      <c r="B60" s="11" t="s">
        <v>740</v>
      </c>
      <c r="C60" s="25">
        <v>19.165509130050701</v>
      </c>
      <c r="D60" s="25">
        <v>19.272187565053098</v>
      </c>
      <c r="E60" s="25">
        <v>16.325496447536501</v>
      </c>
      <c r="F60" s="25">
        <v>24.820896331219899</v>
      </c>
      <c r="G60" s="25">
        <v>23.340577942383199</v>
      </c>
      <c r="H60" s="25">
        <v>21.2907349651197</v>
      </c>
      <c r="I60" s="25">
        <v>18.3010470641354</v>
      </c>
      <c r="J60" s="25">
        <v>22.689311191447398</v>
      </c>
      <c r="K60" s="25">
        <v>18.524831797535398</v>
      </c>
      <c r="L60" s="25">
        <v>1.05795274745904</v>
      </c>
    </row>
    <row r="61" spans="1:12">
      <c r="A61" s="10" t="s">
        <v>741</v>
      </c>
      <c r="B61" s="10" t="s">
        <v>742</v>
      </c>
      <c r="C61" s="13" t="str">
        <f>_xll.BDH("RCOM IN Equity","BS_PREPAID_EXPENSE_LT","FY 2009","FY 2009","Currency=INR","Period=FY","BEST_FPERIOD_OVERRIDE=FY","FILING_STATUS=MR","EQY_CONSOLIDATED=Y","SCALING_FORMAT=MLN","Sort=A","Dates=H","DateFormat=P","Fill=—","Direction=H","UseDPDF=Y")</f>
        <v>—</v>
      </c>
      <c r="D61" s="13" t="str">
        <f>_xll.BDH("RCOM IN Equity","BS_PREPAID_EXPENSE_LT","FY 2010","FY 2010","Currency=INR","Period=FY","BEST_FPERIOD_OVERRIDE=FY","FILING_STATUS=MR","EQY_CONSOLIDATED=Y","SCALING_FORMAT=MLN","Sort=A","Dates=H","DateFormat=P","Fill=—","Direction=H","UseDPDF=Y")</f>
        <v>—</v>
      </c>
      <c r="E61" s="13">
        <f>_xll.BDH("RCOM IN Equity","BS_PREPAID_EXPENSE_LT","FY 2011","FY 2011","Currency=INR","Period=FY","BEST_FPERIOD_OVERRIDE=FY","FILING_STATUS=MR","EQY_CONSOLIDATED=Y","SCALING_FORMAT=MLN","Sort=A","Dates=H","DateFormat=P","Fill=—","Direction=H","UseDPDF=Y")</f>
        <v>340</v>
      </c>
      <c r="F61" s="13">
        <f>_xll.BDH("RCOM IN Equity","BS_PREPAID_EXPENSE_LT","FY 2012","FY 2012","Currency=INR","Period=FY","BEST_FPERIOD_OVERRIDE=FY","FILING_STATUS=MR","EQY_CONSOLIDATED=Y","SCALING_FORMAT=MLN","Sort=A","Dates=H","DateFormat=P","Fill=—","Direction=H","UseDPDF=Y")</f>
        <v>1130</v>
      </c>
      <c r="G61" s="13">
        <f>_xll.BDH("RCOM IN Equity","BS_PREPAID_EXPENSE_LT","FY 2013","FY 2013","Currency=INR","Period=FY","BEST_FPERIOD_OVERRIDE=FY","FILING_STATUS=MR","EQY_CONSOLIDATED=Y","SCALING_FORMAT=MLN","Sort=A","Dates=H","DateFormat=P","Fill=—","Direction=H","UseDPDF=Y")</f>
        <v>1230</v>
      </c>
      <c r="H61" s="13">
        <f>_xll.BDH("RCOM IN Equity","BS_PREPAID_EXPENSE_LT","FY 2014","FY 2014","Currency=INR","Period=FY","BEST_FPERIOD_OVERRIDE=FY","FILING_STATUS=MR","EQY_CONSOLIDATED=Y","SCALING_FORMAT=MLN","Sort=A","Dates=H","DateFormat=P","Fill=—","Direction=H","UseDPDF=Y")</f>
        <v>1120</v>
      </c>
      <c r="I61" s="13">
        <f>_xll.BDH("RCOM IN Equity","BS_PREPAID_EXPENSE_LT","FY 2015","FY 2015","Currency=INR","Period=FY","BEST_FPERIOD_OVERRIDE=FY","FILING_STATUS=MR","EQY_CONSOLIDATED=Y","SCALING_FORMAT=MLN","Sort=A","Dates=H","DateFormat=P","Fill=—","Direction=H","UseDPDF=Y")</f>
        <v>1460</v>
      </c>
      <c r="J61" s="13">
        <f>_xll.BDH("RCOM IN Equity","BS_PREPAID_EXPENSE_LT","FY 2016","FY 2016","Currency=INR","Period=FY","BEST_FPERIOD_OVERRIDE=FY","FILING_STATUS=MR","EQY_CONSOLIDATED=Y","SCALING_FORMAT=MLN","Sort=A","Dates=H","DateFormat=P","Fill=—","Direction=H","UseDPDF=Y")</f>
        <v>1540</v>
      </c>
      <c r="K61" s="13">
        <f>_xll.BDH("RCOM IN Equity","BS_PREPAID_EXPENSE_LT","FY 2017","FY 2017","Currency=INR","Period=FY","BEST_FPERIOD_OVERRIDE=FY","FILING_STATUS=MR","EQY_CONSOLIDATED=Y","SCALING_FORMAT=MLN","Sort=A","Dates=H","DateFormat=P","Fill=—","Direction=H","UseDPDF=Y")</f>
        <v>1420</v>
      </c>
      <c r="L61" s="13">
        <f>_xll.BDH("RCOM IN Equity","BS_PREPAID_EXPENSE_LT","FY 2018","FY 2018","Currency=INR","Period=FY","BEST_FPERIOD_OVERRIDE=FY","FILING_STATUS=MR","EQY_CONSOLIDATED=Y","SCALING_FORMAT=MLN","Sort=A","Dates=H","DateFormat=P","Fill=—","Direction=H","UseDPDF=Y")</f>
        <v>1030</v>
      </c>
    </row>
    <row r="62" spans="1:12">
      <c r="A62" s="11" t="s">
        <v>690</v>
      </c>
      <c r="B62" s="11" t="s">
        <v>742</v>
      </c>
      <c r="C62" s="25" t="s">
        <v>44</v>
      </c>
      <c r="D62" s="25" t="s">
        <v>44</v>
      </c>
      <c r="E62" s="25">
        <v>3.5894133420605302E-2</v>
      </c>
      <c r="F62" s="25">
        <v>0.122473310572807</v>
      </c>
      <c r="G62" s="25">
        <v>0.13639085405069701</v>
      </c>
      <c r="H62" s="25">
        <v>0.123430939287407</v>
      </c>
      <c r="I62" s="25">
        <v>0.15695211885360499</v>
      </c>
      <c r="J62" s="25">
        <v>0.14885842983354899</v>
      </c>
      <c r="K62" s="25">
        <v>0.14238301029770101</v>
      </c>
      <c r="L62" s="25">
        <v>0.13811043471265</v>
      </c>
    </row>
    <row r="63" spans="1:12">
      <c r="A63" s="10" t="s">
        <v>743</v>
      </c>
      <c r="B63" s="10" t="s">
        <v>744</v>
      </c>
      <c r="C63" s="13" t="str">
        <f>_xll.BDH("RCOM IN Equity","BS_DEFERRED_TAX_ASSETS_LT","FY 2009","FY 2009","Currency=INR","Period=FY","BEST_FPERIOD_OVERRIDE=FY","FILING_STATUS=MR","EQY_CONSOLIDATED=Y","SCALING_FORMAT=MLN","Sort=A","Dates=H","DateFormat=P","Fill=—","Direction=H","UseDPDF=Y")</f>
        <v>—</v>
      </c>
      <c r="D63" s="13" t="str">
        <f>_xll.BDH("RCOM IN Equity","BS_DEFERRED_TAX_ASSETS_LT","FY 2010","FY 2010","Currency=INR","Period=FY","BEST_FPERIOD_OVERRIDE=FY","FILING_STATUS=MR","EQY_CONSOLIDATED=Y","SCALING_FORMAT=MLN","Sort=A","Dates=H","DateFormat=P","Fill=—","Direction=H","UseDPDF=Y")</f>
        <v>—</v>
      </c>
      <c r="E63" s="13" t="str">
        <f>_xll.BDH("RCOM IN Equity","BS_DEFERRED_TAX_ASSETS_LT","FY 2011","FY 2011","Currency=INR","Period=FY","BEST_FPERIOD_OVERRIDE=FY","FILING_STATUS=MR","EQY_CONSOLIDATED=Y","SCALING_FORMAT=MLN","Sort=A","Dates=H","DateFormat=P","Fill=—","Direction=H","UseDPDF=Y")</f>
        <v>—</v>
      </c>
      <c r="F63" s="13" t="str">
        <f>_xll.BDH("RCOM IN Equity","BS_DEFERRED_TAX_ASSETS_LT","FY 2012","FY 2012","Currency=INR","Period=FY","BEST_FPERIOD_OVERRIDE=FY","FILING_STATUS=MR","EQY_CONSOLIDATED=Y","SCALING_FORMAT=MLN","Sort=A","Dates=H","DateFormat=P","Fill=—","Direction=H","UseDPDF=Y")</f>
        <v>—</v>
      </c>
      <c r="G63" s="13" t="str">
        <f>_xll.BDH("RCOM IN Equity","BS_DEFERRED_TAX_ASSETS_LT","FY 2013","FY 2013","Currency=INR","Period=FY","BEST_FPERIOD_OVERRIDE=FY","FILING_STATUS=MR","EQY_CONSOLIDATED=Y","SCALING_FORMAT=MLN","Sort=A","Dates=H","DateFormat=P","Fill=—","Direction=H","UseDPDF=Y")</f>
        <v>—</v>
      </c>
      <c r="H63" s="13">
        <f>_xll.BDH("RCOM IN Equity","BS_DEFERRED_TAX_ASSETS_LT","FY 2014","FY 2014","Currency=INR","Period=FY","BEST_FPERIOD_OVERRIDE=FY","FILING_STATUS=MR","EQY_CONSOLIDATED=Y","SCALING_FORMAT=MLN","Sort=A","Dates=H","DateFormat=P","Fill=—","Direction=H","UseDPDF=Y")</f>
        <v>14880</v>
      </c>
      <c r="I63" s="13">
        <f>_xll.BDH("RCOM IN Equity","BS_DEFERRED_TAX_ASSETS_LT","FY 2015","FY 2015","Currency=INR","Period=FY","BEST_FPERIOD_OVERRIDE=FY","FILING_STATUS=MR","EQY_CONSOLIDATED=Y","SCALING_FORMAT=MLN","Sort=A","Dates=H","DateFormat=P","Fill=—","Direction=H","UseDPDF=Y")</f>
        <v>0</v>
      </c>
      <c r="J63" s="13">
        <f>_xll.BDH("RCOM IN Equity","BS_DEFERRED_TAX_ASSETS_LT","FY 2016","FY 2016","Currency=INR","Period=FY","BEST_FPERIOD_OVERRIDE=FY","FILING_STATUS=MR","EQY_CONSOLIDATED=Y","SCALING_FORMAT=MLN","Sort=A","Dates=H","DateFormat=P","Fill=—","Direction=H","UseDPDF=Y")</f>
        <v>19280</v>
      </c>
      <c r="K63" s="13">
        <f>_xll.BDH("RCOM IN Equity","BS_DEFERRED_TAX_ASSETS_LT","FY 2017","FY 2017","Currency=INR","Period=FY","BEST_FPERIOD_OVERRIDE=FY","FILING_STATUS=MR","EQY_CONSOLIDATED=Y","SCALING_FORMAT=MLN","Sort=A","Dates=H","DateFormat=P","Fill=—","Direction=H","UseDPDF=Y")</f>
        <v>36700</v>
      </c>
      <c r="L63" s="13">
        <f>_xll.BDH("RCOM IN Equity","BS_DEFERRED_TAX_ASSETS_LT","FY 2018","FY 2018","Currency=INR","Period=FY","BEST_FPERIOD_OVERRIDE=FY","FILING_STATUS=MR","EQY_CONSOLIDATED=Y","SCALING_FORMAT=MLN","Sort=A","Dates=H","DateFormat=P","Fill=—","Direction=H","UseDPDF=Y")</f>
        <v>35740</v>
      </c>
    </row>
    <row r="64" spans="1:12">
      <c r="A64" s="11" t="s">
        <v>690</v>
      </c>
      <c r="B64" s="11" t="s">
        <v>744</v>
      </c>
      <c r="C64" s="25" t="s">
        <v>44</v>
      </c>
      <c r="D64" s="25" t="s">
        <v>44</v>
      </c>
      <c r="E64" s="25" t="s">
        <v>44</v>
      </c>
      <c r="F64" s="25" t="s">
        <v>44</v>
      </c>
      <c r="G64" s="25" t="s">
        <v>44</v>
      </c>
      <c r="H64" s="25">
        <v>1.63986819338983</v>
      </c>
      <c r="I64" s="25">
        <v>0</v>
      </c>
      <c r="J64" s="25">
        <v>1.86363021246158</v>
      </c>
      <c r="K64" s="25">
        <v>3.6798989281166299</v>
      </c>
      <c r="L64" s="25">
        <v>4.7922979967282604</v>
      </c>
    </row>
    <row r="65" spans="1:12">
      <c r="A65" s="10" t="s">
        <v>745</v>
      </c>
      <c r="B65" s="10" t="s">
        <v>746</v>
      </c>
      <c r="C65" s="13">
        <f>_xll.BDH("RCOM IN Equity","BS_INVEST_IN_ASSOC_CO","FY 2009","FY 2009","Currency=INR","Period=FY","BEST_FPERIOD_OVERRIDE=FY","FILING_STATUS=MR","EQY_CONSOLIDATED=Y","SCALING_FORMAT=MLN","Sort=A","Dates=H","DateFormat=P","Fill=—","Direction=H","UseDPDF=Y")</f>
        <v>52.4</v>
      </c>
      <c r="D65" s="13">
        <f>_xll.BDH("RCOM IN Equity","BS_INVEST_IN_ASSOC_CO","FY 2010","FY 2010","Currency=INR","Period=FY","BEST_FPERIOD_OVERRIDE=FY","FILING_STATUS=MR","EQY_CONSOLIDATED=Y","SCALING_FORMAT=MLN","Sort=A","Dates=H","DateFormat=P","Fill=—","Direction=H","UseDPDF=Y")</f>
        <v>52.2</v>
      </c>
      <c r="E65" s="13">
        <f>_xll.BDH("RCOM IN Equity","BS_INVEST_IN_ASSOC_CO","FY 2011","FY 2011","Currency=INR","Period=FY","BEST_FPERIOD_OVERRIDE=FY","FILING_STATUS=MR","EQY_CONSOLIDATED=Y","SCALING_FORMAT=MLN","Sort=A","Dates=H","DateFormat=P","Fill=—","Direction=H","UseDPDF=Y")</f>
        <v>50</v>
      </c>
      <c r="F65" s="13">
        <f>_xll.BDH("RCOM IN Equity","BS_INVEST_IN_ASSOC_CO","FY 2012","FY 2012","Currency=INR","Period=FY","BEST_FPERIOD_OVERRIDE=FY","FILING_STATUS=MR","EQY_CONSOLIDATED=Y","SCALING_FORMAT=MLN","Sort=A","Dates=H","DateFormat=P","Fill=—","Direction=H","UseDPDF=Y")</f>
        <v>50</v>
      </c>
      <c r="G65" s="13">
        <f>_xll.BDH("RCOM IN Equity","BS_INVEST_IN_ASSOC_CO","FY 2013","FY 2013","Currency=INR","Period=FY","BEST_FPERIOD_OVERRIDE=FY","FILING_STATUS=MR","EQY_CONSOLIDATED=Y","SCALING_FORMAT=MLN","Sort=A","Dates=H","DateFormat=P","Fill=—","Direction=H","UseDPDF=Y")</f>
        <v>50</v>
      </c>
      <c r="H65" s="13">
        <f>_xll.BDH("RCOM IN Equity","BS_INVEST_IN_ASSOC_CO","FY 2014","FY 2014","Currency=INR","Period=FY","BEST_FPERIOD_OVERRIDE=FY","FILING_STATUS=MR","EQY_CONSOLIDATED=Y","SCALING_FORMAT=MLN","Sort=A","Dates=H","DateFormat=P","Fill=—","Direction=H","UseDPDF=Y")</f>
        <v>0</v>
      </c>
      <c r="I65" s="13">
        <f>_xll.BDH("RCOM IN Equity","BS_INVEST_IN_ASSOC_CO","FY 2015","FY 2015","Currency=INR","Period=FY","BEST_FPERIOD_OVERRIDE=FY","FILING_STATUS=MR","EQY_CONSOLIDATED=Y","SCALING_FORMAT=MLN","Sort=A","Dates=H","DateFormat=P","Fill=—","Direction=H","UseDPDF=Y")</f>
        <v>0</v>
      </c>
      <c r="J65" s="13">
        <f>_xll.BDH("RCOM IN Equity","BS_INVEST_IN_ASSOC_CO","FY 2016","FY 2016","Currency=INR","Period=FY","BEST_FPERIOD_OVERRIDE=FY","FILING_STATUS=MR","EQY_CONSOLIDATED=Y","SCALING_FORMAT=MLN","Sort=A","Dates=H","DateFormat=P","Fill=—","Direction=H","UseDPDF=Y")</f>
        <v>300</v>
      </c>
      <c r="K65" s="13">
        <f>_xll.BDH("RCOM IN Equity","BS_INVEST_IN_ASSOC_CO","FY 2017","FY 2017","Currency=INR","Period=FY","BEST_FPERIOD_OVERRIDE=FY","FILING_STATUS=MR","EQY_CONSOLIDATED=Y","SCALING_FORMAT=MLN","Sort=A","Dates=H","DateFormat=P","Fill=—","Direction=H","UseDPDF=Y")</f>
        <v>320</v>
      </c>
      <c r="L65" s="13" t="str">
        <f>_xll.BDH("RCOM IN Equity","BS_INVEST_IN_ASSOC_CO","FY 2018","FY 2018","Currency=INR","Period=FY","BEST_FPERIOD_OVERRIDE=FY","FILING_STATUS=MR","EQY_CONSOLIDATED=Y","SCALING_FORMAT=MLN","Sort=A","Dates=H","DateFormat=P","Fill=—","Direction=H","UseDPDF=Y")</f>
        <v>—</v>
      </c>
    </row>
    <row r="66" spans="1:12">
      <c r="A66" s="11" t="s">
        <v>690</v>
      </c>
      <c r="B66" s="11" t="s">
        <v>746</v>
      </c>
      <c r="C66" s="25">
        <v>5.1268509130344203E-3</v>
      </c>
      <c r="D66" s="25">
        <v>5.6390593660076904E-3</v>
      </c>
      <c r="E66" s="25">
        <v>5.2785490324419601E-3</v>
      </c>
      <c r="F66" s="25">
        <v>5.4191730341949804E-3</v>
      </c>
      <c r="G66" s="25">
        <v>5.5443436605974597E-3</v>
      </c>
      <c r="H66" s="25">
        <v>0</v>
      </c>
      <c r="I66" s="25">
        <v>0</v>
      </c>
      <c r="J66" s="25">
        <v>2.8998395422119998E-2</v>
      </c>
      <c r="K66" s="25">
        <v>3.2086312179763599E-2</v>
      </c>
      <c r="L66" s="25" t="s">
        <v>44</v>
      </c>
    </row>
    <row r="67" spans="1:12">
      <c r="A67" s="10" t="s">
        <v>747</v>
      </c>
      <c r="B67" s="10" t="s">
        <v>748</v>
      </c>
      <c r="C67" s="13">
        <f>_xll.BDH("RCOM IN Equity","OTHER_NONCURRENT_ASSETS_DETAILED","FY 2009","FY 2009","Currency=INR","Period=FY","BEST_FPERIOD_OVERRIDE=FY","FILING_STATUS=MR","EQY_CONSOLIDATED=Y","SCALING_FORMAT=MLN","Sort=A","Dates=H","DateFormat=P","Fill=—","Direction=H","UseDPDF=Y")</f>
        <v>0</v>
      </c>
      <c r="D67" s="13">
        <f>_xll.BDH("RCOM IN Equity","OTHER_NONCURRENT_ASSETS_DETAILED","FY 2010","FY 2010","Currency=INR","Period=FY","BEST_FPERIOD_OVERRIDE=FY","FILING_STATUS=MR","EQY_CONSOLIDATED=Y","SCALING_FORMAT=MLN","Sort=A","Dates=H","DateFormat=P","Fill=—","Direction=H","UseDPDF=Y")</f>
        <v>0</v>
      </c>
      <c r="E67" s="13">
        <f>_xll.BDH("RCOM IN Equity","OTHER_NONCURRENT_ASSETS_DETAILED","FY 2011","FY 2011","Currency=INR","Period=FY","BEST_FPERIOD_OVERRIDE=FY","FILING_STATUS=MR","EQY_CONSOLIDATED=Y","SCALING_FORMAT=MLN","Sort=A","Dates=H","DateFormat=P","Fill=—","Direction=H","UseDPDF=Y")</f>
        <v>5660</v>
      </c>
      <c r="F67" s="13">
        <f>_xll.BDH("RCOM IN Equity","OTHER_NONCURRENT_ASSETS_DETAILED","FY 2012","FY 2012","Currency=INR","Period=FY","BEST_FPERIOD_OVERRIDE=FY","FILING_STATUS=MR","EQY_CONSOLIDATED=Y","SCALING_FORMAT=MLN","Sort=A","Dates=H","DateFormat=P","Fill=—","Direction=H","UseDPDF=Y")</f>
        <v>17000</v>
      </c>
      <c r="G67" s="13">
        <f>_xll.BDH("RCOM IN Equity","OTHER_NONCURRENT_ASSETS_DETAILED","FY 2013","FY 2013","Currency=INR","Period=FY","BEST_FPERIOD_OVERRIDE=FY","FILING_STATUS=MR","EQY_CONSOLIDATED=Y","SCALING_FORMAT=MLN","Sort=A","Dates=H","DateFormat=P","Fill=—","Direction=H","UseDPDF=Y")</f>
        <v>13460</v>
      </c>
      <c r="H67" s="13">
        <f>_xll.BDH("RCOM IN Equity","OTHER_NONCURRENT_ASSETS_DETAILED","FY 2014","FY 2014","Currency=INR","Period=FY","BEST_FPERIOD_OVERRIDE=FY","FILING_STATUS=MR","EQY_CONSOLIDATED=Y","SCALING_FORMAT=MLN","Sort=A","Dates=H","DateFormat=P","Fill=—","Direction=H","UseDPDF=Y")</f>
        <v>15700</v>
      </c>
      <c r="I67" s="13">
        <f>_xll.BDH("RCOM IN Equity","OTHER_NONCURRENT_ASSETS_DETAILED","FY 2015","FY 2015","Currency=INR","Period=FY","BEST_FPERIOD_OVERRIDE=FY","FILING_STATUS=MR","EQY_CONSOLIDATED=Y","SCALING_FORMAT=MLN","Sort=A","Dates=H","DateFormat=P","Fill=—","Direction=H","UseDPDF=Y")</f>
        <v>62360</v>
      </c>
      <c r="J67" s="13">
        <f>_xll.BDH("RCOM IN Equity","OTHER_NONCURRENT_ASSETS_DETAILED","FY 2016","FY 2016","Currency=INR","Period=FY","BEST_FPERIOD_OVERRIDE=FY","FILING_STATUS=MR","EQY_CONSOLIDATED=Y","SCALING_FORMAT=MLN","Sort=A","Dates=H","DateFormat=P","Fill=—","Direction=H","UseDPDF=Y")</f>
        <v>100290</v>
      </c>
      <c r="K67" s="13">
        <f>_xll.BDH("RCOM IN Equity","OTHER_NONCURRENT_ASSETS_DETAILED","FY 2017","FY 2017","Currency=INR","Period=FY","BEST_FPERIOD_OVERRIDE=FY","FILING_STATUS=MR","EQY_CONSOLIDATED=Y","SCALING_FORMAT=MLN","Sort=A","Dates=H","DateFormat=P","Fill=—","Direction=H","UseDPDF=Y")</f>
        <v>91470</v>
      </c>
      <c r="L67" s="13">
        <f>_xll.BDH("RCOM IN Equity","OTHER_NONCURRENT_ASSETS_DETAILED","FY 2018","FY 2018","Currency=INR","Period=FY","BEST_FPERIOD_OVERRIDE=FY","FILING_STATUS=MR","EQY_CONSOLIDATED=Y","SCALING_FORMAT=MLN","Sort=A","Dates=H","DateFormat=P","Fill=—","Direction=H","UseDPDF=Y")</f>
        <v>43060</v>
      </c>
    </row>
    <row r="68" spans="1:12">
      <c r="A68" s="11" t="s">
        <v>690</v>
      </c>
      <c r="B68" s="11" t="s">
        <v>748</v>
      </c>
      <c r="C68" s="25">
        <v>0</v>
      </c>
      <c r="D68" s="25">
        <v>0</v>
      </c>
      <c r="E68" s="25">
        <v>0.59753175047243001</v>
      </c>
      <c r="F68" s="25">
        <v>1.8425188316262899</v>
      </c>
      <c r="G68" s="25">
        <v>1.4925373134328399</v>
      </c>
      <c r="H68" s="25">
        <v>1.73023727393954</v>
      </c>
      <c r="I68" s="25">
        <v>6.7037905011717704</v>
      </c>
      <c r="J68" s="25">
        <v>9.6941635896147105</v>
      </c>
      <c r="K68" s="25">
        <v>9.1716717971342892</v>
      </c>
      <c r="L68" s="25">
        <v>5.7738206977929103</v>
      </c>
    </row>
    <row r="69" spans="1:12">
      <c r="A69" s="6" t="s">
        <v>749</v>
      </c>
      <c r="B69" s="6" t="s">
        <v>750</v>
      </c>
      <c r="C69" s="19">
        <f>_xll.BDH("RCOM IN Equity","BS_TOT_NON_CUR_ASSET","FY 2009","FY 2009","Currency=INR","Period=FY","BEST_FPERIOD_OVERRIDE=FY","FILING_STATUS=MR","EQY_CONSOLIDATED=Y","SCALING_FORMAT=MLN","Sort=A","Dates=H","DateFormat=P","Fill=—","Direction=H","UseDPDF=Y")</f>
        <v>782082.9</v>
      </c>
      <c r="D69" s="19">
        <f>_xll.BDH("RCOM IN Equity","BS_TOT_NON_CUR_ASSET","FY 2010","FY 2010","Currency=INR","Period=FY","BEST_FPERIOD_OVERRIDE=FY","FILING_STATUS=MR","EQY_CONSOLIDATED=Y","SCALING_FORMAT=MLN","Sort=A","Dates=H","DateFormat=P","Fill=—","Direction=H","UseDPDF=Y")</f>
        <v>763714</v>
      </c>
      <c r="E69" s="19">
        <f>_xll.BDH("RCOM IN Equity","BS_TOT_NON_CUR_ASSET","FY 2011","FY 2011","Currency=INR","Period=FY","BEST_FPERIOD_OVERRIDE=FY","FILING_STATUS=MR","EQY_CONSOLIDATED=Y","SCALING_FORMAT=MLN","Sort=A","Dates=H","DateFormat=P","Fill=—","Direction=H","UseDPDF=Y")</f>
        <v>782750</v>
      </c>
      <c r="F69" s="19">
        <f>_xll.BDH("RCOM IN Equity","BS_TOT_NON_CUR_ASSET","FY 2012","FY 2012","Currency=INR","Period=FY","BEST_FPERIOD_OVERRIDE=FY","FILING_STATUS=MR","EQY_CONSOLIDATED=Y","SCALING_FORMAT=MLN","Sort=A","Dates=H","DateFormat=P","Fill=—","Direction=H","UseDPDF=Y")</f>
        <v>797200</v>
      </c>
      <c r="G69" s="19">
        <f>_xll.BDH("RCOM IN Equity","BS_TOT_NON_CUR_ASSET","FY 2013","FY 2013","Currency=INR","Period=FY","BEST_FPERIOD_OVERRIDE=FY","FILING_STATUS=MR","EQY_CONSOLIDATED=Y","SCALING_FORMAT=MLN","Sort=A","Dates=H","DateFormat=P","Fill=—","Direction=H","UseDPDF=Y")</f>
        <v>779210</v>
      </c>
      <c r="H69" s="19">
        <f>_xll.BDH("RCOM IN Equity","BS_TOT_NON_CUR_ASSET","FY 2014","FY 2014","Currency=INR","Period=FY","BEST_FPERIOD_OVERRIDE=FY","FILING_STATUS=MR","EQY_CONSOLIDATED=Y","SCALING_FORMAT=MLN","Sort=A","Dates=H","DateFormat=P","Fill=—","Direction=H","UseDPDF=Y")</f>
        <v>773620</v>
      </c>
      <c r="I69" s="19">
        <f>_xll.BDH("RCOM IN Equity","BS_TOT_NON_CUR_ASSET","FY 2015","FY 2015","Currency=INR","Period=FY","BEST_FPERIOD_OVERRIDE=FY","FILING_STATUS=MR","EQY_CONSOLIDATED=Y","SCALING_FORMAT=MLN","Sort=A","Dates=H","DateFormat=P","Fill=—","Direction=H","UseDPDF=Y")</f>
        <v>742320</v>
      </c>
      <c r="J69" s="19">
        <f>_xll.BDH("RCOM IN Equity","BS_TOT_NON_CUR_ASSET","FY 2016","FY 2016","Currency=INR","Period=FY","BEST_FPERIOD_OVERRIDE=FY","FILING_STATUS=MR","EQY_CONSOLIDATED=Y","SCALING_FORMAT=MLN","Sort=A","Dates=H","DateFormat=P","Fill=—","Direction=H","UseDPDF=Y")</f>
        <v>916930</v>
      </c>
      <c r="K69" s="19">
        <f>_xll.BDH("RCOM IN Equity","BS_TOT_NON_CUR_ASSET","FY 2017","FY 2017","Currency=INR","Period=FY","BEST_FPERIOD_OVERRIDE=FY","FILING_STATUS=MR","EQY_CONSOLIDATED=Y","SCALING_FORMAT=MLN","Sort=A","Dates=H","DateFormat=P","Fill=—","Direction=H","UseDPDF=Y")</f>
        <v>867240</v>
      </c>
      <c r="L69" s="19">
        <f>_xll.BDH("RCOM IN Equity","BS_TOT_NON_CUR_ASSET","FY 2018","FY 2018","Currency=INR","Period=FY","BEST_FPERIOD_OVERRIDE=FY","FILING_STATUS=MR","EQY_CONSOLIDATED=Y","SCALING_FORMAT=MLN","Sort=A","Dates=H","DateFormat=P","Fill=—","Direction=H","UseDPDF=Y")</f>
        <v>291190</v>
      </c>
    </row>
    <row r="70" spans="1:12">
      <c r="A70" s="11" t="s">
        <v>690</v>
      </c>
      <c r="B70" s="11" t="s">
        <v>750</v>
      </c>
      <c r="C70" s="25">
        <v>76.519512021633702</v>
      </c>
      <c r="D70" s="25">
        <v>82.502463307494097</v>
      </c>
      <c r="E70" s="25">
        <v>82.635685102878895</v>
      </c>
      <c r="F70" s="25">
        <v>86.403294857204799</v>
      </c>
      <c r="G70" s="25">
        <v>86.404160475482897</v>
      </c>
      <c r="H70" s="25">
        <v>85.257717188860397</v>
      </c>
      <c r="I70" s="25">
        <v>79.800477306443597</v>
      </c>
      <c r="J70" s="25">
        <v>88.631662381348207</v>
      </c>
      <c r="K70" s="25">
        <v>86.957916796181706</v>
      </c>
      <c r="L70" s="25">
        <v>39.045026683472301</v>
      </c>
    </row>
    <row r="71" spans="1:12">
      <c r="A71" s="6" t="s">
        <v>77</v>
      </c>
      <c r="B71" s="6" t="s">
        <v>78</v>
      </c>
      <c r="C71" s="19">
        <f>_xll.BDH("RCOM IN Equity","BS_TOT_ASSET","FY 2009","FY 2009","Currency=INR","Period=FY","BEST_FPERIOD_OVERRIDE=FY","FILING_STATUS=MR","EQY_CONSOLIDATED=Y","SCALING_FORMAT=MLN","Sort=A","Dates=H","DateFormat=P","Fill=—","Direction=H","UseDPDF=Y")</f>
        <v>1022069.9</v>
      </c>
      <c r="D71" s="19">
        <f>_xll.BDH("RCOM IN Equity","BS_TOT_ASSET","FY 2010","FY 2010","Currency=INR","Period=FY","BEST_FPERIOD_OVERRIDE=FY","FILING_STATUS=MR","EQY_CONSOLIDATED=Y","SCALING_FORMAT=MLN","Sort=A","Dates=H","DateFormat=P","Fill=—","Direction=H","UseDPDF=Y")</f>
        <v>925686.3</v>
      </c>
      <c r="E71" s="19">
        <f>_xll.BDH("RCOM IN Equity","BS_TOT_ASSET","FY 2011","FY 2011","Currency=INR","Period=FY","BEST_FPERIOD_OVERRIDE=FY","FILING_STATUS=MR","EQY_CONSOLIDATED=Y","SCALING_FORMAT=MLN","Sort=A","Dates=H","DateFormat=P","Fill=—","Direction=H","UseDPDF=Y")</f>
        <v>947230</v>
      </c>
      <c r="F71" s="19">
        <f>_xll.BDH("RCOM IN Equity","BS_TOT_ASSET","FY 2012","FY 2012","Currency=INR","Period=FY","BEST_FPERIOD_OVERRIDE=FY","FILING_STATUS=MR","EQY_CONSOLIDATED=Y","SCALING_FORMAT=MLN","Sort=A","Dates=H","DateFormat=P","Fill=—","Direction=H","UseDPDF=Y")</f>
        <v>922650</v>
      </c>
      <c r="G71" s="19">
        <f>_xll.BDH("RCOM IN Equity","BS_TOT_ASSET","FY 2013","FY 2013","Currency=INR","Period=FY","BEST_FPERIOD_OVERRIDE=FY","FILING_STATUS=MR","EQY_CONSOLIDATED=Y","SCALING_FORMAT=MLN","Sort=A","Dates=H","DateFormat=P","Fill=—","Direction=H","UseDPDF=Y")</f>
        <v>901820</v>
      </c>
      <c r="H71" s="19">
        <f>_xll.BDH("RCOM IN Equity","BS_TOT_ASSET","FY 2014","FY 2014","Currency=INR","Period=FY","BEST_FPERIOD_OVERRIDE=FY","FILING_STATUS=MR","EQY_CONSOLIDATED=Y","SCALING_FORMAT=MLN","Sort=A","Dates=H","DateFormat=P","Fill=—","Direction=H","UseDPDF=Y")</f>
        <v>907390</v>
      </c>
      <c r="I71" s="19">
        <f>_xll.BDH("RCOM IN Equity","BS_TOT_ASSET","FY 2015","FY 2015","Currency=INR","Period=FY","BEST_FPERIOD_OVERRIDE=FY","FILING_STATUS=MR","EQY_CONSOLIDATED=Y","SCALING_FORMAT=MLN","Sort=A","Dates=H","DateFormat=P","Fill=—","Direction=H","UseDPDF=Y")</f>
        <v>930220</v>
      </c>
      <c r="J71" s="19">
        <f>_xll.BDH("RCOM IN Equity","BS_TOT_ASSET","FY 2016","FY 2016","Currency=INR","Period=FY","BEST_FPERIOD_OVERRIDE=FY","FILING_STATUS=MR","EQY_CONSOLIDATED=Y","SCALING_FORMAT=MLN","Sort=A","Dates=H","DateFormat=P","Fill=—","Direction=H","UseDPDF=Y")</f>
        <v>1034540</v>
      </c>
      <c r="K71" s="19">
        <f>_xll.BDH("RCOM IN Equity","BS_TOT_ASSET","FY 2017","FY 2017","Currency=INR","Period=FY","BEST_FPERIOD_OVERRIDE=FY","FILING_STATUS=MR","EQY_CONSOLIDATED=Y","SCALING_FORMAT=MLN","Sort=A","Dates=H","DateFormat=P","Fill=—","Direction=H","UseDPDF=Y")</f>
        <v>997310</v>
      </c>
      <c r="L71" s="19">
        <f>_xll.BDH("RCOM IN Equity","BS_TOT_ASSET","FY 2018","FY 2018","Currency=INR","Period=FY","BEST_FPERIOD_OVERRIDE=FY","FILING_STATUS=MR","EQY_CONSOLIDATED=Y","SCALING_FORMAT=MLN","Sort=A","Dates=H","DateFormat=P","Fill=—","Direction=H","UseDPDF=Y")</f>
        <v>745780</v>
      </c>
    </row>
    <row r="72" spans="1:12">
      <c r="A72" s="11" t="s">
        <v>690</v>
      </c>
      <c r="B72" s="11" t="s">
        <v>78</v>
      </c>
      <c r="C72" s="25">
        <v>100</v>
      </c>
      <c r="D72" s="25">
        <v>100</v>
      </c>
      <c r="E72" s="25">
        <v>100</v>
      </c>
      <c r="F72" s="25">
        <v>100</v>
      </c>
      <c r="G72" s="25">
        <v>100</v>
      </c>
      <c r="H72" s="25">
        <v>100</v>
      </c>
      <c r="I72" s="25">
        <v>100</v>
      </c>
      <c r="J72" s="25">
        <v>100</v>
      </c>
      <c r="K72" s="25">
        <v>100</v>
      </c>
      <c r="L72" s="25">
        <v>100</v>
      </c>
    </row>
    <row r="73" spans="1:12">
      <c r="A73" s="6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</row>
    <row r="74" spans="1:12">
      <c r="A74" s="6" t="s">
        <v>751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</row>
    <row r="75" spans="1:12">
      <c r="A75" s="10" t="s">
        <v>752</v>
      </c>
      <c r="B75" s="10" t="s">
        <v>753</v>
      </c>
      <c r="C75" s="13">
        <f>_xll.BDH("RCOM IN Equity","ACCT_PAYABLE_&amp;_ACCRUALS_DETAILED","FY 2009","FY 2009","Currency=INR","Period=FY","BEST_FPERIOD_OVERRIDE=FY","FILING_STATUS=MR","EQY_CONSOLIDATED=Y","SCALING_FORMAT=MLN","Sort=A","Dates=H","DateFormat=P","Fill=—","Direction=H","UseDPDF=Y")</f>
        <v>53139</v>
      </c>
      <c r="D75" s="13">
        <f>_xll.BDH("RCOM IN Equity","ACCT_PAYABLE_&amp;_ACCRUALS_DETAILED","FY 2010","FY 2010","Currency=INR","Period=FY","BEST_FPERIOD_OVERRIDE=FY","FILING_STATUS=MR","EQY_CONSOLIDATED=Y","SCALING_FORMAT=MLN","Sort=A","Dates=H","DateFormat=P","Fill=—","Direction=H","UseDPDF=Y")</f>
        <v>49536.1</v>
      </c>
      <c r="E75" s="13">
        <f>_xll.BDH("RCOM IN Equity","ACCT_PAYABLE_&amp;_ACCRUALS_DETAILED","FY 2011","FY 2011","Currency=INR","Period=FY","BEST_FPERIOD_OVERRIDE=FY","FILING_STATUS=MR","EQY_CONSOLIDATED=Y","SCALING_FORMAT=MLN","Sort=A","Dates=H","DateFormat=P","Fill=—","Direction=H","UseDPDF=Y")</f>
        <v>59920</v>
      </c>
      <c r="F75" s="13">
        <f>_xll.BDH("RCOM IN Equity","ACCT_PAYABLE_&amp;_ACCRUALS_DETAILED","FY 2012","FY 2012","Currency=INR","Period=FY","BEST_FPERIOD_OVERRIDE=FY","FILING_STATUS=MR","EQY_CONSOLIDATED=Y","SCALING_FORMAT=MLN","Sort=A","Dates=H","DateFormat=P","Fill=—","Direction=H","UseDPDF=Y")</f>
        <v>81870</v>
      </c>
      <c r="G75" s="13">
        <f>_xll.BDH("RCOM IN Equity","ACCT_PAYABLE_&amp;_ACCRUALS_DETAILED","FY 2013","FY 2013","Currency=INR","Period=FY","BEST_FPERIOD_OVERRIDE=FY","FILING_STATUS=MR","EQY_CONSOLIDATED=Y","SCALING_FORMAT=MLN","Sort=A","Dates=H","DateFormat=P","Fill=—","Direction=H","UseDPDF=Y")</f>
        <v>67560</v>
      </c>
      <c r="H75" s="13">
        <f>_xll.BDH("RCOM IN Equity","ACCT_PAYABLE_&amp;_ACCRUALS_DETAILED","FY 2014","FY 2014","Currency=INR","Period=FY","BEST_FPERIOD_OVERRIDE=FY","FILING_STATUS=MR","EQY_CONSOLIDATED=Y","SCALING_FORMAT=MLN","Sort=A","Dates=H","DateFormat=P","Fill=—","Direction=H","UseDPDF=Y")</f>
        <v>84340</v>
      </c>
      <c r="I75" s="13">
        <f>_xll.BDH("RCOM IN Equity","ACCT_PAYABLE_&amp;_ACCRUALS_DETAILED","FY 2015","FY 2015","Currency=INR","Period=FY","BEST_FPERIOD_OVERRIDE=FY","FILING_STATUS=MR","EQY_CONSOLIDATED=Y","SCALING_FORMAT=MLN","Sort=A","Dates=H","DateFormat=P","Fill=—","Direction=H","UseDPDF=Y")</f>
        <v>85800</v>
      </c>
      <c r="J75" s="13">
        <f>_xll.BDH("RCOM IN Equity","ACCT_PAYABLE_&amp;_ACCRUALS_DETAILED","FY 2016","FY 2016","Currency=INR","Period=FY","BEST_FPERIOD_OVERRIDE=FY","FILING_STATUS=MR","EQY_CONSOLIDATED=Y","SCALING_FORMAT=MLN","Sort=A","Dates=H","DateFormat=P","Fill=—","Direction=H","UseDPDF=Y")</f>
        <v>60960</v>
      </c>
      <c r="K75" s="13">
        <f>_xll.BDH("RCOM IN Equity","ACCT_PAYABLE_&amp;_ACCRUALS_DETAILED","FY 2017","FY 2017","Currency=INR","Period=FY","BEST_FPERIOD_OVERRIDE=FY","FILING_STATUS=MR","EQY_CONSOLIDATED=Y","SCALING_FORMAT=MLN","Sort=A","Dates=H","DateFormat=P","Fill=—","Direction=H","UseDPDF=Y")</f>
        <v>60870</v>
      </c>
      <c r="L75" s="13">
        <f>_xll.BDH("RCOM IN Equity","ACCT_PAYABLE_&amp;_ACCRUALS_DETAILED","FY 2018","FY 2018","Currency=INR","Period=FY","BEST_FPERIOD_OVERRIDE=FY","FILING_STATUS=MR","EQY_CONSOLIDATED=Y","SCALING_FORMAT=MLN","Sort=A","Dates=H","DateFormat=P","Fill=—","Direction=H","UseDPDF=Y")</f>
        <v>53810</v>
      </c>
    </row>
    <row r="76" spans="1:12">
      <c r="A76" s="11" t="s">
        <v>754</v>
      </c>
      <c r="B76" s="11" t="s">
        <v>753</v>
      </c>
      <c r="C76" s="25">
        <v>5.19915516541481</v>
      </c>
      <c r="D76" s="25">
        <v>5.35128369081405</v>
      </c>
      <c r="E76" s="25">
        <v>6.3258131604784502</v>
      </c>
      <c r="F76" s="25">
        <v>8.8733539261908607</v>
      </c>
      <c r="G76" s="25">
        <v>7.4915171541992898</v>
      </c>
      <c r="H76" s="25">
        <v>9.2947905531248995</v>
      </c>
      <c r="I76" s="25">
        <v>9.2236245189310093</v>
      </c>
      <c r="J76" s="25">
        <v>5.8924739497747796</v>
      </c>
      <c r="K76" s="25">
        <v>6.1034181949443997</v>
      </c>
      <c r="L76" s="25">
        <v>7.2152645552307604</v>
      </c>
    </row>
    <row r="77" spans="1:12">
      <c r="A77" s="10" t="s">
        <v>755</v>
      </c>
      <c r="B77" s="10" t="s">
        <v>756</v>
      </c>
      <c r="C77" s="13">
        <f>_xll.BDH("RCOM IN Equity","BS_ACCT_PAYABLE","FY 2009","FY 2009","Currency=INR","Period=FY","BEST_FPERIOD_OVERRIDE=FY","FILING_STATUS=MR","EQY_CONSOLIDATED=Y","SCALING_FORMAT=MLN","Sort=A","Dates=H","DateFormat=P","Fill=—","Direction=H","UseDPDF=Y")</f>
        <v>4765.3999999999996</v>
      </c>
      <c r="D77" s="13">
        <f>_xll.BDH("RCOM IN Equity","BS_ACCT_PAYABLE","FY 2010","FY 2010","Currency=INR","Period=FY","BEST_FPERIOD_OVERRIDE=FY","FILING_STATUS=MR","EQY_CONSOLIDATED=Y","SCALING_FORMAT=MLN","Sort=A","Dates=H","DateFormat=P","Fill=—","Direction=H","UseDPDF=Y")</f>
        <v>19290.099999999999</v>
      </c>
      <c r="E77" s="13">
        <f>_xll.BDH("RCOM IN Equity","BS_ACCT_PAYABLE","FY 2011","FY 2011","Currency=INR","Period=FY","BEST_FPERIOD_OVERRIDE=FY","FILING_STATUS=MR","EQY_CONSOLIDATED=Y","SCALING_FORMAT=MLN","Sort=A","Dates=H","DateFormat=P","Fill=—","Direction=H","UseDPDF=Y")</f>
        <v>18890</v>
      </c>
      <c r="F77" s="13">
        <f>_xll.BDH("RCOM IN Equity","BS_ACCT_PAYABLE","FY 2012","FY 2012","Currency=INR","Period=FY","BEST_FPERIOD_OVERRIDE=FY","FILING_STATUS=MR","EQY_CONSOLIDATED=Y","SCALING_FORMAT=MLN","Sort=A","Dates=H","DateFormat=P","Fill=—","Direction=H","UseDPDF=Y")</f>
        <v>23180</v>
      </c>
      <c r="G77" s="13">
        <f>_xll.BDH("RCOM IN Equity","BS_ACCT_PAYABLE","FY 2013","FY 2013","Currency=INR","Period=FY","BEST_FPERIOD_OVERRIDE=FY","FILING_STATUS=MR","EQY_CONSOLIDATED=Y","SCALING_FORMAT=MLN","Sort=A","Dates=H","DateFormat=P","Fill=—","Direction=H","UseDPDF=Y")</f>
        <v>23640</v>
      </c>
      <c r="H77" s="13">
        <f>_xll.BDH("RCOM IN Equity","BS_ACCT_PAYABLE","FY 2014","FY 2014","Currency=INR","Period=FY","BEST_FPERIOD_OVERRIDE=FY","FILING_STATUS=MR","EQY_CONSOLIDATED=Y","SCALING_FORMAT=MLN","Sort=A","Dates=H","DateFormat=P","Fill=—","Direction=H","UseDPDF=Y")</f>
        <v>35160</v>
      </c>
      <c r="I77" s="13">
        <f>_xll.BDH("RCOM IN Equity","BS_ACCT_PAYABLE","FY 2015","FY 2015","Currency=INR","Period=FY","BEST_FPERIOD_OVERRIDE=FY","FILING_STATUS=MR","EQY_CONSOLIDATED=Y","SCALING_FORMAT=MLN","Sort=A","Dates=H","DateFormat=P","Fill=—","Direction=H","UseDPDF=Y")</f>
        <v>62060</v>
      </c>
      <c r="J77" s="13">
        <f>_xll.BDH("RCOM IN Equity","BS_ACCT_PAYABLE","FY 2016","FY 2016","Currency=INR","Period=FY","BEST_FPERIOD_OVERRIDE=FY","FILING_STATUS=MR","EQY_CONSOLIDATED=Y","SCALING_FORMAT=MLN","Sort=A","Dates=H","DateFormat=P","Fill=—","Direction=H","UseDPDF=Y")</f>
        <v>57750</v>
      </c>
      <c r="K77" s="13">
        <f>_xll.BDH("RCOM IN Equity","BS_ACCT_PAYABLE","FY 2017","FY 2017","Currency=INR","Period=FY","BEST_FPERIOD_OVERRIDE=FY","FILING_STATUS=MR","EQY_CONSOLIDATED=Y","SCALING_FORMAT=MLN","Sort=A","Dates=H","DateFormat=P","Fill=—","Direction=H","UseDPDF=Y")</f>
        <v>47460</v>
      </c>
      <c r="L77" s="13">
        <f>_xll.BDH("RCOM IN Equity","BS_ACCT_PAYABLE","FY 2018","FY 2018","Currency=INR","Period=FY","BEST_FPERIOD_OVERRIDE=FY","FILING_STATUS=MR","EQY_CONSOLIDATED=Y","SCALING_FORMAT=MLN","Sort=A","Dates=H","DateFormat=P","Fill=—","Direction=H","UseDPDF=Y")</f>
        <v>48680</v>
      </c>
    </row>
    <row r="78" spans="1:12">
      <c r="A78" s="11" t="s">
        <v>754</v>
      </c>
      <c r="B78" s="11" t="s">
        <v>756</v>
      </c>
      <c r="C78" s="25">
        <v>0.46624991108729502</v>
      </c>
      <c r="D78" s="25">
        <v>2.0838700972456898</v>
      </c>
      <c r="E78" s="25">
        <v>1.9942358244565701</v>
      </c>
      <c r="F78" s="25">
        <v>2.51232861865279</v>
      </c>
      <c r="G78" s="25">
        <v>2.6213656827304801</v>
      </c>
      <c r="H78" s="25">
        <v>3.8748498440582302</v>
      </c>
      <c r="I78" s="25">
        <v>6.6715400657908903</v>
      </c>
      <c r="J78" s="25">
        <v>5.5821911187580904</v>
      </c>
      <c r="K78" s="25">
        <v>4.7588011751611798</v>
      </c>
      <c r="L78" s="25">
        <v>6.52739413768135</v>
      </c>
    </row>
    <row r="79" spans="1:12">
      <c r="A79" s="10" t="s">
        <v>757</v>
      </c>
      <c r="B79" s="10" t="s">
        <v>758</v>
      </c>
      <c r="C79" s="13">
        <f>_xll.BDH("RCOM IN Equity","BS_TAXES_PAYABLE","FY 2009","FY 2009","Currency=INR","Period=FY","BEST_FPERIOD_OVERRIDE=FY","FILING_STATUS=MR","EQY_CONSOLIDATED=Y","SCALING_FORMAT=MLN","Sort=A","Dates=H","DateFormat=P","Fill=—","Direction=H","UseDPDF=Y")</f>
        <v>2438.9</v>
      </c>
      <c r="D79" s="13">
        <f>_xll.BDH("RCOM IN Equity","BS_TAXES_PAYABLE","FY 2010","FY 2010","Currency=INR","Period=FY","BEST_FPERIOD_OVERRIDE=FY","FILING_STATUS=MR","EQY_CONSOLIDATED=Y","SCALING_FORMAT=MLN","Sort=A","Dates=H","DateFormat=P","Fill=—","Direction=H","UseDPDF=Y")</f>
        <v>5016.8999999999996</v>
      </c>
      <c r="E79" s="13">
        <f>_xll.BDH("RCOM IN Equity","BS_TAXES_PAYABLE","FY 2011","FY 2011","Currency=INR","Period=FY","BEST_FPERIOD_OVERRIDE=FY","FILING_STATUS=MR","EQY_CONSOLIDATED=Y","SCALING_FORMAT=MLN","Sort=A","Dates=H","DateFormat=P","Fill=—","Direction=H","UseDPDF=Y")</f>
        <v>2360</v>
      </c>
      <c r="F79" s="13">
        <f>_xll.BDH("RCOM IN Equity","BS_TAXES_PAYABLE","FY 2012","FY 2012","Currency=INR","Period=FY","BEST_FPERIOD_OVERRIDE=FY","FILING_STATUS=MR","EQY_CONSOLIDATED=Y","SCALING_FORMAT=MLN","Sort=A","Dates=H","DateFormat=P","Fill=—","Direction=H","UseDPDF=Y")</f>
        <v>620</v>
      </c>
      <c r="G79" s="13">
        <f>_xll.BDH("RCOM IN Equity","BS_TAXES_PAYABLE","FY 2013","FY 2013","Currency=INR","Period=FY","BEST_FPERIOD_OVERRIDE=FY","FILING_STATUS=MR","EQY_CONSOLIDATED=Y","SCALING_FORMAT=MLN","Sort=A","Dates=H","DateFormat=P","Fill=—","Direction=H","UseDPDF=Y")</f>
        <v>900</v>
      </c>
      <c r="H79" s="13">
        <f>_xll.BDH("RCOM IN Equity","BS_TAXES_PAYABLE","FY 2014","FY 2014","Currency=INR","Period=FY","BEST_FPERIOD_OVERRIDE=FY","FILING_STATUS=MR","EQY_CONSOLIDATED=Y","SCALING_FORMAT=MLN","Sort=A","Dates=H","DateFormat=P","Fill=—","Direction=H","UseDPDF=Y")</f>
        <v>80</v>
      </c>
      <c r="I79" s="13">
        <f>_xll.BDH("RCOM IN Equity","BS_TAXES_PAYABLE","FY 2015","FY 2015","Currency=INR","Period=FY","BEST_FPERIOD_OVERRIDE=FY","FILING_STATUS=MR","EQY_CONSOLIDATED=Y","SCALING_FORMAT=MLN","Sort=A","Dates=H","DateFormat=P","Fill=—","Direction=H","UseDPDF=Y")</f>
        <v>280</v>
      </c>
      <c r="J79" s="13">
        <f>_xll.BDH("RCOM IN Equity","BS_TAXES_PAYABLE","FY 2016","FY 2016","Currency=INR","Period=FY","BEST_FPERIOD_OVERRIDE=FY","FILING_STATUS=MR","EQY_CONSOLIDATED=Y","SCALING_FORMAT=MLN","Sort=A","Dates=H","DateFormat=P","Fill=—","Direction=H","UseDPDF=Y")</f>
        <v>250</v>
      </c>
      <c r="K79" s="13">
        <f>_xll.BDH("RCOM IN Equity","BS_TAXES_PAYABLE","FY 2017","FY 2017","Currency=INR","Period=FY","BEST_FPERIOD_OVERRIDE=FY","FILING_STATUS=MR","EQY_CONSOLIDATED=Y","SCALING_FORMAT=MLN","Sort=A","Dates=H","DateFormat=P","Fill=—","Direction=H","UseDPDF=Y")</f>
        <v>120</v>
      </c>
      <c r="L79" s="13">
        <f>_xll.BDH("RCOM IN Equity","BS_TAXES_PAYABLE","FY 2018","FY 2018","Currency=INR","Period=FY","BEST_FPERIOD_OVERRIDE=FY","FILING_STATUS=MR","EQY_CONSOLIDATED=Y","SCALING_FORMAT=MLN","Sort=A","Dates=H","DateFormat=P","Fill=—","Direction=H","UseDPDF=Y")</f>
        <v>130</v>
      </c>
    </row>
    <row r="80" spans="1:12">
      <c r="A80" s="11" t="s">
        <v>754</v>
      </c>
      <c r="B80" s="11" t="s">
        <v>758</v>
      </c>
      <c r="C80" s="25">
        <v>0.23862360098854299</v>
      </c>
      <c r="D80" s="25">
        <v>0.54196545849279598</v>
      </c>
      <c r="E80" s="25">
        <v>0.24914751433126101</v>
      </c>
      <c r="F80" s="25">
        <v>6.7197745624017799E-2</v>
      </c>
      <c r="G80" s="25">
        <v>9.9798185890754301E-2</v>
      </c>
      <c r="H80" s="25">
        <v>8.8164956633862007E-3</v>
      </c>
      <c r="I80" s="25">
        <v>3.01004063554858E-2</v>
      </c>
      <c r="J80" s="25">
        <v>2.4165329518433299E-2</v>
      </c>
      <c r="K80" s="25">
        <v>1.2032367067411299E-2</v>
      </c>
      <c r="L80" s="25">
        <v>1.7431414089946098E-2</v>
      </c>
    </row>
    <row r="81" spans="1:12">
      <c r="A81" s="10" t="s">
        <v>759</v>
      </c>
      <c r="B81" s="10" t="s">
        <v>760</v>
      </c>
      <c r="C81" s="13">
        <f>_xll.BDH("RCOM IN Equity","BS_INTEREST_&amp;_DIVIDENDS_PAYABLE","FY 2009","FY 2009","Currency=INR","Period=FY","BEST_FPERIOD_OVERRIDE=FY","FILING_STATUS=MR","EQY_CONSOLIDATED=Y","SCALING_FORMAT=MLN","Sort=A","Dates=H","DateFormat=P","Fill=—","Direction=H","UseDPDF=Y")</f>
        <v>2780.6</v>
      </c>
      <c r="D81" s="13">
        <f>_xll.BDH("RCOM IN Equity","BS_INTEREST_&amp;_DIVIDENDS_PAYABLE","FY 2010","FY 2010","Currency=INR","Period=FY","BEST_FPERIOD_OVERRIDE=FY","FILING_STATUS=MR","EQY_CONSOLIDATED=Y","SCALING_FORMAT=MLN","Sort=A","Dates=H","DateFormat=P","Fill=—","Direction=H","UseDPDF=Y")</f>
        <v>2453.6999999999998</v>
      </c>
      <c r="E81" s="13">
        <f>_xll.BDH("RCOM IN Equity","BS_INTEREST_&amp;_DIVIDENDS_PAYABLE","FY 2011","FY 2011","Currency=INR","Period=FY","BEST_FPERIOD_OVERRIDE=FY","FILING_STATUS=MR","EQY_CONSOLIDATED=Y","SCALING_FORMAT=MLN","Sort=A","Dates=H","DateFormat=P","Fill=—","Direction=H","UseDPDF=Y")</f>
        <v>1840</v>
      </c>
      <c r="F81" s="13">
        <f>_xll.BDH("RCOM IN Equity","BS_INTEREST_&amp;_DIVIDENDS_PAYABLE","FY 2012","FY 2012","Currency=INR","Period=FY","BEST_FPERIOD_OVERRIDE=FY","FILING_STATUS=MR","EQY_CONSOLIDATED=Y","SCALING_FORMAT=MLN","Sort=A","Dates=H","DateFormat=P","Fill=—","Direction=H","UseDPDF=Y")</f>
        <v>1800</v>
      </c>
      <c r="G81" s="13">
        <f>_xll.BDH("RCOM IN Equity","BS_INTEREST_&amp;_DIVIDENDS_PAYABLE","FY 2013","FY 2013","Currency=INR","Period=FY","BEST_FPERIOD_OVERRIDE=FY","FILING_STATUS=MR","EQY_CONSOLIDATED=Y","SCALING_FORMAT=MLN","Sort=A","Dates=H","DateFormat=P","Fill=—","Direction=H","UseDPDF=Y")</f>
        <v>2140</v>
      </c>
      <c r="H81" s="13">
        <f>_xll.BDH("RCOM IN Equity","BS_INTEREST_&amp;_DIVIDENDS_PAYABLE","FY 2014","FY 2014","Currency=INR","Period=FY","BEST_FPERIOD_OVERRIDE=FY","FILING_STATUS=MR","EQY_CONSOLIDATED=Y","SCALING_FORMAT=MLN","Sort=A","Dates=H","DateFormat=P","Fill=—","Direction=H","UseDPDF=Y")</f>
        <v>1720</v>
      </c>
      <c r="I81" s="13">
        <f>_xll.BDH("RCOM IN Equity","BS_INTEREST_&amp;_DIVIDENDS_PAYABLE","FY 2015","FY 2015","Currency=INR","Period=FY","BEST_FPERIOD_OVERRIDE=FY","FILING_STATUS=MR","EQY_CONSOLIDATED=Y","SCALING_FORMAT=MLN","Sort=A","Dates=H","DateFormat=P","Fill=—","Direction=H","UseDPDF=Y")</f>
        <v>1930</v>
      </c>
      <c r="J81" s="13">
        <f>_xll.BDH("RCOM IN Equity","BS_INTEREST_&amp;_DIVIDENDS_PAYABLE","FY 2016","FY 2016","Currency=INR","Period=FY","BEST_FPERIOD_OVERRIDE=FY","FILING_STATUS=MR","EQY_CONSOLIDATED=Y","SCALING_FORMAT=MLN","Sort=A","Dates=H","DateFormat=P","Fill=—","Direction=H","UseDPDF=Y")</f>
        <v>2690</v>
      </c>
      <c r="K81" s="13">
        <f>_xll.BDH("RCOM IN Equity","BS_INTEREST_&amp;_DIVIDENDS_PAYABLE","FY 2017","FY 2017","Currency=INR","Period=FY","BEST_FPERIOD_OVERRIDE=FY","FILING_STATUS=MR","EQY_CONSOLIDATED=Y","SCALING_FORMAT=MLN","Sort=A","Dates=H","DateFormat=P","Fill=—","Direction=H","UseDPDF=Y")</f>
        <v>13000</v>
      </c>
      <c r="L81" s="13">
        <f>_xll.BDH("RCOM IN Equity","BS_INTEREST_&amp;_DIVIDENDS_PAYABLE","FY 2018","FY 2018","Currency=INR","Period=FY","BEST_FPERIOD_OVERRIDE=FY","FILING_STATUS=MR","EQY_CONSOLIDATED=Y","SCALING_FORMAT=MLN","Sort=A","Dates=H","DateFormat=P","Fill=—","Direction=H","UseDPDF=Y")</f>
        <v>4790</v>
      </c>
    </row>
    <row r="82" spans="1:12">
      <c r="A82" s="11" t="s">
        <v>754</v>
      </c>
      <c r="B82" s="11" t="s">
        <v>760</v>
      </c>
      <c r="C82" s="25">
        <v>0.27205575665617399</v>
      </c>
      <c r="D82" s="25">
        <v>0.26506819858952202</v>
      </c>
      <c r="E82" s="25">
        <v>0.19425060439386399</v>
      </c>
      <c r="F82" s="25">
        <v>0.19509022923101901</v>
      </c>
      <c r="G82" s="25">
        <v>0.23729790867357101</v>
      </c>
      <c r="H82" s="25">
        <v>0.189554656762803</v>
      </c>
      <c r="I82" s="25">
        <v>0.20747780095031301</v>
      </c>
      <c r="J82" s="25">
        <v>0.26001894561834199</v>
      </c>
      <c r="K82" s="25">
        <v>1.30350643230289</v>
      </c>
      <c r="L82" s="25">
        <v>0.64228056531416799</v>
      </c>
    </row>
    <row r="83" spans="1:12">
      <c r="A83" s="10" t="s">
        <v>761</v>
      </c>
      <c r="B83" s="10" t="s">
        <v>762</v>
      </c>
      <c r="C83" s="13">
        <f>_xll.BDH("RCOM IN Equity","BS_ACCRUAL","FY 2009","FY 2009","Currency=INR","Period=FY","BEST_FPERIOD_OVERRIDE=FY","FILING_STATUS=MR","EQY_CONSOLIDATED=Y","SCALING_FORMAT=MLN","Sort=A","Dates=H","DateFormat=P","Fill=—","Direction=H","UseDPDF=Y")</f>
        <v>43154.1</v>
      </c>
      <c r="D83" s="13">
        <f>_xll.BDH("RCOM IN Equity","BS_ACCRUAL","FY 2010","FY 2010","Currency=INR","Period=FY","BEST_FPERIOD_OVERRIDE=FY","FILING_STATUS=MR","EQY_CONSOLIDATED=Y","SCALING_FORMAT=MLN","Sort=A","Dates=H","DateFormat=P","Fill=—","Direction=H","UseDPDF=Y")</f>
        <v>22775.4</v>
      </c>
      <c r="E83" s="13">
        <f>_xll.BDH("RCOM IN Equity","BS_ACCRUAL","FY 2011","FY 2011","Currency=INR","Period=FY","BEST_FPERIOD_OVERRIDE=FY","FILING_STATUS=MR","EQY_CONSOLIDATED=Y","SCALING_FORMAT=MLN","Sort=A","Dates=H","DateFormat=P","Fill=—","Direction=H","UseDPDF=Y")</f>
        <v>36830</v>
      </c>
      <c r="F83" s="13">
        <f>_xll.BDH("RCOM IN Equity","BS_ACCRUAL","FY 2012","FY 2012","Currency=INR","Period=FY","BEST_FPERIOD_OVERRIDE=FY","FILING_STATUS=MR","EQY_CONSOLIDATED=Y","SCALING_FORMAT=MLN","Sort=A","Dates=H","DateFormat=P","Fill=—","Direction=H","UseDPDF=Y")</f>
        <v>56270</v>
      </c>
      <c r="G83" s="13">
        <f>_xll.BDH("RCOM IN Equity","BS_ACCRUAL","FY 2013","FY 2013","Currency=INR","Period=FY","BEST_FPERIOD_OVERRIDE=FY","FILING_STATUS=MR","EQY_CONSOLIDATED=Y","SCALING_FORMAT=MLN","Sort=A","Dates=H","DateFormat=P","Fill=—","Direction=H","UseDPDF=Y")</f>
        <v>40880</v>
      </c>
      <c r="H83" s="13">
        <f>_xll.BDH("RCOM IN Equity","BS_ACCRUAL","FY 2014","FY 2014","Currency=INR","Period=FY","BEST_FPERIOD_OVERRIDE=FY","FILING_STATUS=MR","EQY_CONSOLIDATED=Y","SCALING_FORMAT=MLN","Sort=A","Dates=H","DateFormat=P","Fill=—","Direction=H","UseDPDF=Y")</f>
        <v>47380</v>
      </c>
      <c r="I83" s="13">
        <f>_xll.BDH("RCOM IN Equity","BS_ACCRUAL","FY 2015","FY 2015","Currency=INR","Period=FY","BEST_FPERIOD_OVERRIDE=FY","FILING_STATUS=MR","EQY_CONSOLIDATED=Y","SCALING_FORMAT=MLN","Sort=A","Dates=H","DateFormat=P","Fill=—","Direction=H","UseDPDF=Y")</f>
        <v>21530</v>
      </c>
      <c r="J83" s="13">
        <f>_xll.BDH("RCOM IN Equity","BS_ACCRUAL","FY 2016","FY 2016","Currency=INR","Period=FY","BEST_FPERIOD_OVERRIDE=FY","FILING_STATUS=MR","EQY_CONSOLIDATED=Y","SCALING_FORMAT=MLN","Sort=A","Dates=H","DateFormat=P","Fill=—","Direction=H","UseDPDF=Y")</f>
        <v>270</v>
      </c>
      <c r="K83" s="13">
        <f>_xll.BDH("RCOM IN Equity","BS_ACCRUAL","FY 2017","FY 2017","Currency=INR","Period=FY","BEST_FPERIOD_OVERRIDE=FY","FILING_STATUS=MR","EQY_CONSOLIDATED=Y","SCALING_FORMAT=MLN","Sort=A","Dates=H","DateFormat=P","Fill=—","Direction=H","UseDPDF=Y")</f>
        <v>290</v>
      </c>
      <c r="L83" s="13">
        <f>_xll.BDH("RCOM IN Equity","BS_ACCRUAL","FY 2018","FY 2018","Currency=INR","Period=FY","BEST_FPERIOD_OVERRIDE=FY","FILING_STATUS=MR","EQY_CONSOLIDATED=Y","SCALING_FORMAT=MLN","Sort=A","Dates=H","DateFormat=P","Fill=—","Direction=H","UseDPDF=Y")</f>
        <v>210</v>
      </c>
    </row>
    <row r="84" spans="1:12">
      <c r="A84" s="11" t="s">
        <v>754</v>
      </c>
      <c r="B84" s="11" t="s">
        <v>762</v>
      </c>
      <c r="C84" s="25">
        <v>4.2222258966827999</v>
      </c>
      <c r="D84" s="25">
        <v>2.4603799364860399</v>
      </c>
      <c r="E84" s="25">
        <v>3.88817921729675</v>
      </c>
      <c r="F84" s="25">
        <v>6.0987373326830303</v>
      </c>
      <c r="G84" s="25">
        <v>4.5330553769044801</v>
      </c>
      <c r="H84" s="25">
        <v>5.2215695566404703</v>
      </c>
      <c r="I84" s="25">
        <v>2.3145062458343202</v>
      </c>
      <c r="J84" s="25">
        <v>2.6098555879908E-2</v>
      </c>
      <c r="K84" s="25">
        <v>2.9078220412910701E-2</v>
      </c>
      <c r="L84" s="25">
        <v>2.8158438145297501E-2</v>
      </c>
    </row>
    <row r="85" spans="1:12">
      <c r="A85" s="10" t="s">
        <v>763</v>
      </c>
      <c r="B85" s="10" t="s">
        <v>764</v>
      </c>
      <c r="C85" s="13">
        <f>_xll.BDH("RCOM IN Equity","BS_ST_BORROW","FY 2009","FY 2009","Currency=INR","Period=FY","BEST_FPERIOD_OVERRIDE=FY","FILING_STATUS=MR","EQY_CONSOLIDATED=Y","SCALING_FORMAT=MLN","Sort=A","Dates=H","DateFormat=P","Fill=—","Direction=H","UseDPDF=Y")</f>
        <v>118716.2</v>
      </c>
      <c r="D85" s="13">
        <f>_xll.BDH("RCOM IN Equity","BS_ST_BORROW","FY 2010","FY 2010","Currency=INR","Period=FY","BEST_FPERIOD_OVERRIDE=FY","FILING_STATUS=MR","EQY_CONSOLIDATED=Y","SCALING_FORMAT=MLN","Sort=A","Dates=H","DateFormat=P","Fill=—","Direction=H","UseDPDF=Y")</f>
        <v>104636</v>
      </c>
      <c r="E85" s="13">
        <f>_xll.BDH("RCOM IN Equity","BS_ST_BORROW","FY 2011","FY 2011","Currency=INR","Period=FY","BEST_FPERIOD_OVERRIDE=FY","FILING_STATUS=MR","EQY_CONSOLIDATED=Y","SCALING_FORMAT=MLN","Sort=A","Dates=H","DateFormat=P","Fill=—","Direction=H","UseDPDF=Y")</f>
        <v>197580</v>
      </c>
      <c r="F85" s="13">
        <f>_xll.BDH("RCOM IN Equity","BS_ST_BORROW","FY 2012","FY 2012","Currency=INR","Period=FY","BEST_FPERIOD_OVERRIDE=FY","FILING_STATUS=MR","EQY_CONSOLIDATED=Y","SCALING_FORMAT=MLN","Sort=A","Dates=H","DateFormat=P","Fill=—","Direction=H","UseDPDF=Y")</f>
        <v>86570</v>
      </c>
      <c r="G85" s="13">
        <f>_xll.BDH("RCOM IN Equity","BS_ST_BORROW","FY 2013","FY 2013","Currency=INR","Period=FY","BEST_FPERIOD_OVERRIDE=FY","FILING_STATUS=MR","EQY_CONSOLIDATED=Y","SCALING_FORMAT=MLN","Sort=A","Dates=H","DateFormat=P","Fill=—","Direction=H","UseDPDF=Y")</f>
        <v>128690</v>
      </c>
      <c r="H85" s="13">
        <f>_xll.BDH("RCOM IN Equity","BS_ST_BORROW","FY 2014","FY 2014","Currency=INR","Period=FY","BEST_FPERIOD_OVERRIDE=FY","FILING_STATUS=MR","EQY_CONSOLIDATED=Y","SCALING_FORMAT=MLN","Sort=A","Dates=H","DateFormat=P","Fill=—","Direction=H","UseDPDF=Y")</f>
        <v>140850</v>
      </c>
      <c r="I85" s="13">
        <f>_xll.BDH("RCOM IN Equity","BS_ST_BORROW","FY 2015","FY 2015","Currency=INR","Period=FY","BEST_FPERIOD_OVERRIDE=FY","FILING_STATUS=MR","EQY_CONSOLIDATED=Y","SCALING_FORMAT=MLN","Sort=A","Dates=H","DateFormat=P","Fill=—","Direction=H","UseDPDF=Y")</f>
        <v>94830</v>
      </c>
      <c r="J85" s="13">
        <f>_xll.BDH("RCOM IN Equity","BS_ST_BORROW","FY 2016","FY 2016","Currency=INR","Period=FY","BEST_FPERIOD_OVERRIDE=FY","FILING_STATUS=MR","EQY_CONSOLIDATED=Y","SCALING_FORMAT=MLN","Sort=A","Dates=H","DateFormat=P","Fill=—","Direction=H","UseDPDF=Y")</f>
        <v>145030</v>
      </c>
      <c r="K85" s="13">
        <f>_xll.BDH("RCOM IN Equity","BS_ST_BORROW","FY 2017","FY 2017","Currency=INR","Period=FY","BEST_FPERIOD_OVERRIDE=FY","FILING_STATUS=MR","EQY_CONSOLIDATED=Y","SCALING_FORMAT=MLN","Sort=A","Dates=H","DateFormat=P","Fill=—","Direction=H","UseDPDF=Y")</f>
        <v>231830</v>
      </c>
      <c r="L85" s="13">
        <f>_xll.BDH("RCOM IN Equity","BS_ST_BORROW","FY 2018","FY 2018","Currency=INR","Period=FY","BEST_FPERIOD_OVERRIDE=FY","FILING_STATUS=MR","EQY_CONSOLIDATED=Y","SCALING_FORMAT=MLN","Sort=A","Dates=H","DateFormat=P","Fill=—","Direction=H","UseDPDF=Y")</f>
        <v>342130</v>
      </c>
    </row>
    <row r="86" spans="1:12">
      <c r="A86" s="11" t="s">
        <v>754</v>
      </c>
      <c r="B86" s="11" t="s">
        <v>764</v>
      </c>
      <c r="C86" s="25">
        <v>11.6152721061446</v>
      </c>
      <c r="D86" s="25">
        <v>11.303613329915301</v>
      </c>
      <c r="E86" s="25">
        <v>20.858714356597702</v>
      </c>
      <c r="F86" s="25">
        <v>9.3827561914051891</v>
      </c>
      <c r="G86" s="25">
        <v>14.2700317136457</v>
      </c>
      <c r="H86" s="25">
        <v>15.5225426773493</v>
      </c>
      <c r="I86" s="25">
        <v>10.194362623895399</v>
      </c>
      <c r="J86" s="25">
        <v>14.018790960233501</v>
      </c>
      <c r="K86" s="25">
        <v>23.245530476983099</v>
      </c>
      <c r="L86" s="25">
        <v>45.875459250717398</v>
      </c>
    </row>
    <row r="87" spans="1:12">
      <c r="A87" s="10" t="s">
        <v>765</v>
      </c>
      <c r="B87" s="10" t="s">
        <v>766</v>
      </c>
      <c r="C87" s="13">
        <f>_xll.BDH("RCOM IN Equity","SHORT_TERM_DEBT_DETAILED","FY 2009","FY 2009","Currency=INR","Period=FY","BEST_FPERIOD_OVERRIDE=FY","FILING_STATUS=MR","EQY_CONSOLIDATED=Y","SCALING_FORMAT=MLN","Sort=A","Dates=H","DateFormat=P","Fill=—","Direction=H","UseDPDF=Y")</f>
        <v>0</v>
      </c>
      <c r="D87" s="13">
        <f>_xll.BDH("RCOM IN Equity","SHORT_TERM_DEBT_DETAILED","FY 2010","FY 2010","Currency=INR","Period=FY","BEST_FPERIOD_OVERRIDE=FY","FILING_STATUS=MR","EQY_CONSOLIDATED=Y","SCALING_FORMAT=MLN","Sort=A","Dates=H","DateFormat=P","Fill=—","Direction=H","UseDPDF=Y")</f>
        <v>0</v>
      </c>
      <c r="E87" s="13">
        <f>_xll.BDH("RCOM IN Equity","SHORT_TERM_DEBT_DETAILED","FY 2011","FY 2011","Currency=INR","Period=FY","BEST_FPERIOD_OVERRIDE=FY","FILING_STATUS=MR","EQY_CONSOLIDATED=Y","SCALING_FORMAT=MLN","Sort=A","Dates=H","DateFormat=P","Fill=—","Direction=H","UseDPDF=Y")</f>
        <v>106820</v>
      </c>
      <c r="F87" s="13">
        <f>_xll.BDH("RCOM IN Equity","SHORT_TERM_DEBT_DETAILED","FY 2012","FY 2012","Currency=INR","Period=FY","BEST_FPERIOD_OVERRIDE=FY","FILING_STATUS=MR","EQY_CONSOLIDATED=Y","SCALING_FORMAT=MLN","Sort=A","Dates=H","DateFormat=P","Fill=—","Direction=H","UseDPDF=Y")</f>
        <v>55390</v>
      </c>
      <c r="G87" s="13">
        <f>_xll.BDH("RCOM IN Equity","SHORT_TERM_DEBT_DETAILED","FY 2013","FY 2013","Currency=INR","Period=FY","BEST_FPERIOD_OVERRIDE=FY","FILING_STATUS=MR","EQY_CONSOLIDATED=Y","SCALING_FORMAT=MLN","Sort=A","Dates=H","DateFormat=P","Fill=—","Direction=H","UseDPDF=Y")</f>
        <v>88000</v>
      </c>
      <c r="H87" s="13">
        <f>_xll.BDH("RCOM IN Equity","SHORT_TERM_DEBT_DETAILED","FY 2014","FY 2014","Currency=INR","Period=FY","BEST_FPERIOD_OVERRIDE=FY","FILING_STATUS=MR","EQY_CONSOLIDATED=Y","SCALING_FORMAT=MLN","Sort=A","Dates=H","DateFormat=P","Fill=—","Direction=H","UseDPDF=Y")</f>
        <v>89090</v>
      </c>
      <c r="I87" s="13">
        <f>_xll.BDH("RCOM IN Equity","SHORT_TERM_DEBT_DETAILED","FY 2015","FY 2015","Currency=INR","Period=FY","BEST_FPERIOD_OVERRIDE=FY","FILING_STATUS=MR","EQY_CONSOLIDATED=Y","SCALING_FORMAT=MLN","Sort=A","Dates=H","DateFormat=P","Fill=—","Direction=H","UseDPDF=Y")</f>
        <v>15870</v>
      </c>
      <c r="J87" s="13">
        <f>_xll.BDH("RCOM IN Equity","SHORT_TERM_DEBT_DETAILED","FY 2016","FY 2016","Currency=INR","Period=FY","BEST_FPERIOD_OVERRIDE=FY","FILING_STATUS=MR","EQY_CONSOLIDATED=Y","SCALING_FORMAT=MLN","Sort=A","Dates=H","DateFormat=P","Fill=—","Direction=H","UseDPDF=Y")</f>
        <v>43640</v>
      </c>
      <c r="K87" s="13">
        <f>_xll.BDH("RCOM IN Equity","SHORT_TERM_DEBT_DETAILED","FY 2017","FY 2017","Currency=INR","Period=FY","BEST_FPERIOD_OVERRIDE=FY","FILING_STATUS=MR","EQY_CONSOLIDATED=Y","SCALING_FORMAT=MLN","Sort=A","Dates=H","DateFormat=P","Fill=—","Direction=H","UseDPDF=Y")</f>
        <v>94970</v>
      </c>
      <c r="L87" s="13">
        <f>_xll.BDH("RCOM IN Equity","SHORT_TERM_DEBT_DETAILED","FY 2018","FY 2018","Currency=INR","Period=FY","BEST_FPERIOD_OVERRIDE=FY","FILING_STATUS=MR","EQY_CONSOLIDATED=Y","SCALING_FORMAT=MLN","Sort=A","Dates=H","DateFormat=P","Fill=—","Direction=H","UseDPDF=Y")</f>
        <v>233000</v>
      </c>
    </row>
    <row r="88" spans="1:12">
      <c r="A88" s="11" t="s">
        <v>754</v>
      </c>
      <c r="B88" s="11" t="s">
        <v>766</v>
      </c>
      <c r="C88" s="25">
        <v>0</v>
      </c>
      <c r="D88" s="25">
        <v>0</v>
      </c>
      <c r="E88" s="25">
        <v>11.277092152909001</v>
      </c>
      <c r="F88" s="25">
        <v>6.0033598872812002</v>
      </c>
      <c r="G88" s="25">
        <v>9.7580448426515307</v>
      </c>
      <c r="H88" s="25">
        <v>9.8182699831384497</v>
      </c>
      <c r="I88" s="25">
        <v>1.7060480316484301</v>
      </c>
      <c r="J88" s="25">
        <v>4.2182999207377199</v>
      </c>
      <c r="K88" s="25">
        <v>9.5226158366004494</v>
      </c>
      <c r="L88" s="25">
        <v>31.242457561211101</v>
      </c>
    </row>
    <row r="89" spans="1:12">
      <c r="A89" s="10" t="s">
        <v>767</v>
      </c>
      <c r="B89" s="10" t="s">
        <v>768</v>
      </c>
      <c r="C89" s="13">
        <f>_xll.BDH("RCOM IN Equity","ST_CAPITAL_LEASE_OBLIGATIONS","FY 2009","FY 2009","Currency=INR","Period=FY","BEST_FPERIOD_OVERRIDE=FY","FILING_STATUS=MR","EQY_CONSOLIDATED=Y","SCALING_FORMAT=MLN","Sort=A","Dates=H","DateFormat=P","Fill=—","Direction=H","UseDPDF=Y")</f>
        <v>0</v>
      </c>
      <c r="D89" s="13">
        <f>_xll.BDH("RCOM IN Equity","ST_CAPITAL_LEASE_OBLIGATIONS","FY 2010","FY 2010","Currency=INR","Period=FY","BEST_FPERIOD_OVERRIDE=FY","FILING_STATUS=MR","EQY_CONSOLIDATED=Y","SCALING_FORMAT=MLN","Sort=A","Dates=H","DateFormat=P","Fill=—","Direction=H","UseDPDF=Y")</f>
        <v>0</v>
      </c>
      <c r="E89" s="13">
        <f>_xll.BDH("RCOM IN Equity","ST_CAPITAL_LEASE_OBLIGATIONS","FY 2011","FY 2011","Currency=INR","Period=FY","BEST_FPERIOD_OVERRIDE=FY","FILING_STATUS=MR","EQY_CONSOLIDATED=Y","SCALING_FORMAT=MLN","Sort=A","Dates=H","DateFormat=P","Fill=—","Direction=H","UseDPDF=Y")</f>
        <v>0</v>
      </c>
      <c r="F89" s="13">
        <f>_xll.BDH("RCOM IN Equity","ST_CAPITAL_LEASE_OBLIGATIONS","FY 2012","FY 2012","Currency=INR","Period=FY","BEST_FPERIOD_OVERRIDE=FY","FILING_STATUS=MR","EQY_CONSOLIDATED=Y","SCALING_FORMAT=MLN","Sort=A","Dates=H","DateFormat=P","Fill=—","Direction=H","UseDPDF=Y")</f>
        <v>0</v>
      </c>
      <c r="G89" s="13">
        <f>_xll.BDH("RCOM IN Equity","ST_CAPITAL_LEASE_OBLIGATIONS","FY 2013","FY 2013","Currency=INR","Period=FY","BEST_FPERIOD_OVERRIDE=FY","FILING_STATUS=MR","EQY_CONSOLIDATED=Y","SCALING_FORMAT=MLN","Sort=A","Dates=H","DateFormat=P","Fill=—","Direction=H","UseDPDF=Y")</f>
        <v>0</v>
      </c>
      <c r="H89" s="13">
        <f>_xll.BDH("RCOM IN Equity","ST_CAPITAL_LEASE_OBLIGATIONS","FY 2014","FY 2014","Currency=INR","Period=FY","BEST_FPERIOD_OVERRIDE=FY","FILING_STATUS=MR","EQY_CONSOLIDATED=Y","SCALING_FORMAT=MLN","Sort=A","Dates=H","DateFormat=P","Fill=—","Direction=H","UseDPDF=Y")</f>
        <v>200</v>
      </c>
      <c r="I89" s="13">
        <f>_xll.BDH("RCOM IN Equity","ST_CAPITAL_LEASE_OBLIGATIONS","FY 2015","FY 2015","Currency=INR","Period=FY","BEST_FPERIOD_OVERRIDE=FY","FILING_STATUS=MR","EQY_CONSOLIDATED=Y","SCALING_FORMAT=MLN","Sort=A","Dates=H","DateFormat=P","Fill=—","Direction=H","UseDPDF=Y")</f>
        <v>110</v>
      </c>
      <c r="J89" s="13">
        <f>_xll.BDH("RCOM IN Equity","ST_CAPITAL_LEASE_OBLIGATIONS","FY 2016","FY 2016","Currency=INR","Period=FY","BEST_FPERIOD_OVERRIDE=FY","FILING_STATUS=MR","EQY_CONSOLIDATED=Y","SCALING_FORMAT=MLN","Sort=A","Dates=H","DateFormat=P","Fill=—","Direction=H","UseDPDF=Y")</f>
        <v>100</v>
      </c>
      <c r="K89" s="13">
        <f>_xll.BDH("RCOM IN Equity","ST_CAPITAL_LEASE_OBLIGATIONS","FY 2017","FY 2017","Currency=INR","Period=FY","BEST_FPERIOD_OVERRIDE=FY","FILING_STATUS=MR","EQY_CONSOLIDATED=Y","SCALING_FORMAT=MLN","Sort=A","Dates=H","DateFormat=P","Fill=—","Direction=H","UseDPDF=Y")</f>
        <v>20</v>
      </c>
      <c r="L89" s="13">
        <f>_xll.BDH("RCOM IN Equity","ST_CAPITAL_LEASE_OBLIGATIONS","FY 2018","FY 2018","Currency=INR","Period=FY","BEST_FPERIOD_OVERRIDE=FY","FILING_STATUS=MR","EQY_CONSOLIDATED=Y","SCALING_FORMAT=MLN","Sort=A","Dates=H","DateFormat=P","Fill=—","Direction=H","UseDPDF=Y")</f>
        <v>0</v>
      </c>
    </row>
    <row r="90" spans="1:12">
      <c r="A90" s="11" t="s">
        <v>754</v>
      </c>
      <c r="B90" s="11" t="s">
        <v>768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2.2041239158465498E-2</v>
      </c>
      <c r="I90" s="25">
        <v>1.18251596396551E-2</v>
      </c>
      <c r="J90" s="25">
        <v>9.6661318073733207E-3</v>
      </c>
      <c r="K90" s="25">
        <v>2.0053945112352201E-3</v>
      </c>
      <c r="L90" s="25">
        <v>0</v>
      </c>
    </row>
    <row r="91" spans="1:12">
      <c r="A91" s="10" t="s">
        <v>769</v>
      </c>
      <c r="B91" s="10" t="s">
        <v>770</v>
      </c>
      <c r="C91" s="13">
        <f>_xll.BDH("RCOM IN Equity","BS_CURR_PORTION_LT_DEBT","FY 2009","FY 2009","Currency=INR","Period=FY","BEST_FPERIOD_OVERRIDE=FY","FILING_STATUS=MR","EQY_CONSOLIDATED=Y","SCALING_FORMAT=MLN","Sort=A","Dates=H","DateFormat=P","Fill=—","Direction=H","UseDPDF=Y")</f>
        <v>118716.2</v>
      </c>
      <c r="D91" s="13">
        <f>_xll.BDH("RCOM IN Equity","BS_CURR_PORTION_LT_DEBT","FY 2010","FY 2010","Currency=INR","Period=FY","BEST_FPERIOD_OVERRIDE=FY","FILING_STATUS=MR","EQY_CONSOLIDATED=Y","SCALING_FORMAT=MLN","Sort=A","Dates=H","DateFormat=P","Fill=—","Direction=H","UseDPDF=Y")</f>
        <v>104636</v>
      </c>
      <c r="E91" s="13">
        <f>_xll.BDH("RCOM IN Equity","BS_CURR_PORTION_LT_DEBT","FY 2011","FY 2011","Currency=INR","Period=FY","BEST_FPERIOD_OVERRIDE=FY","FILING_STATUS=MR","EQY_CONSOLIDATED=Y","SCALING_FORMAT=MLN","Sort=A","Dates=H","DateFormat=P","Fill=—","Direction=H","UseDPDF=Y")</f>
        <v>90760</v>
      </c>
      <c r="F91" s="13">
        <f>_xll.BDH("RCOM IN Equity","BS_CURR_PORTION_LT_DEBT","FY 2012","FY 2012","Currency=INR","Period=FY","BEST_FPERIOD_OVERRIDE=FY","FILING_STATUS=MR","EQY_CONSOLIDATED=Y","SCALING_FORMAT=MLN","Sort=A","Dates=H","DateFormat=P","Fill=—","Direction=H","UseDPDF=Y")</f>
        <v>31180</v>
      </c>
      <c r="G91" s="13">
        <f>_xll.BDH("RCOM IN Equity","BS_CURR_PORTION_LT_DEBT","FY 2013","FY 2013","Currency=INR","Period=FY","BEST_FPERIOD_OVERRIDE=FY","FILING_STATUS=MR","EQY_CONSOLIDATED=Y","SCALING_FORMAT=MLN","Sort=A","Dates=H","DateFormat=P","Fill=—","Direction=H","UseDPDF=Y")</f>
        <v>40690</v>
      </c>
      <c r="H91" s="13">
        <f>_xll.BDH("RCOM IN Equity","BS_CURR_PORTION_LT_DEBT","FY 2014","FY 2014","Currency=INR","Period=FY","BEST_FPERIOD_OVERRIDE=FY","FILING_STATUS=MR","EQY_CONSOLIDATED=Y","SCALING_FORMAT=MLN","Sort=A","Dates=H","DateFormat=P","Fill=—","Direction=H","UseDPDF=Y")</f>
        <v>51560</v>
      </c>
      <c r="I91" s="13">
        <f>_xll.BDH("RCOM IN Equity","BS_CURR_PORTION_LT_DEBT","FY 2015","FY 2015","Currency=INR","Period=FY","BEST_FPERIOD_OVERRIDE=FY","FILING_STATUS=MR","EQY_CONSOLIDATED=Y","SCALING_FORMAT=MLN","Sort=A","Dates=H","DateFormat=P","Fill=—","Direction=H","UseDPDF=Y")</f>
        <v>78850</v>
      </c>
      <c r="J91" s="13">
        <f>_xll.BDH("RCOM IN Equity","BS_CURR_PORTION_LT_DEBT","FY 2016","FY 2016","Currency=INR","Period=FY","BEST_FPERIOD_OVERRIDE=FY","FILING_STATUS=MR","EQY_CONSOLIDATED=Y","SCALING_FORMAT=MLN","Sort=A","Dates=H","DateFormat=P","Fill=—","Direction=H","UseDPDF=Y")</f>
        <v>101290</v>
      </c>
      <c r="K91" s="13">
        <f>_xll.BDH("RCOM IN Equity","BS_CURR_PORTION_LT_DEBT","FY 2017","FY 2017","Currency=INR","Period=FY","BEST_FPERIOD_OVERRIDE=FY","FILING_STATUS=MR","EQY_CONSOLIDATED=Y","SCALING_FORMAT=MLN","Sort=A","Dates=H","DateFormat=P","Fill=—","Direction=H","UseDPDF=Y")</f>
        <v>136840</v>
      </c>
      <c r="L91" s="13">
        <f>_xll.BDH("RCOM IN Equity","BS_CURR_PORTION_LT_DEBT","FY 2018","FY 2018","Currency=INR","Period=FY","BEST_FPERIOD_OVERRIDE=FY","FILING_STATUS=MR","EQY_CONSOLIDATED=Y","SCALING_FORMAT=MLN","Sort=A","Dates=H","DateFormat=P","Fill=—","Direction=H","UseDPDF=Y")</f>
        <v>109130</v>
      </c>
    </row>
    <row r="92" spans="1:12">
      <c r="A92" s="11" t="s">
        <v>754</v>
      </c>
      <c r="B92" s="11" t="s">
        <v>770</v>
      </c>
      <c r="C92" s="25">
        <v>11.6152721061446</v>
      </c>
      <c r="D92" s="25">
        <v>11.303613329915301</v>
      </c>
      <c r="E92" s="25">
        <v>9.5816222036886494</v>
      </c>
      <c r="F92" s="25">
        <v>3.3793963041239898</v>
      </c>
      <c r="G92" s="25">
        <v>4.5119868709942104</v>
      </c>
      <c r="H92" s="25">
        <v>5.6822314550524</v>
      </c>
      <c r="I92" s="25">
        <v>8.4764894326073392</v>
      </c>
      <c r="J92" s="25">
        <v>9.7908249076884406</v>
      </c>
      <c r="K92" s="25">
        <v>13.7209092458714</v>
      </c>
      <c r="L92" s="25">
        <v>14.633001689506299</v>
      </c>
    </row>
    <row r="93" spans="1:12">
      <c r="A93" s="10" t="s">
        <v>771</v>
      </c>
      <c r="B93" s="10" t="s">
        <v>772</v>
      </c>
      <c r="C93" s="13">
        <f>_xll.BDH("RCOM IN Equity","OTHER_CURRENT_LIABS_SUB_DETAILED","FY 2009","FY 2009","Currency=INR","Period=FY","BEST_FPERIOD_OVERRIDE=FY","FILING_STATUS=MR","EQY_CONSOLIDATED=Y","SCALING_FORMAT=MLN","Sort=A","Dates=H","DateFormat=P","Fill=—","Direction=H","UseDPDF=Y")</f>
        <v>147675</v>
      </c>
      <c r="D93" s="13">
        <f>_xll.BDH("RCOM IN Equity","OTHER_CURRENT_LIABS_SUB_DETAILED","FY 2010","FY 2010","Currency=INR","Period=FY","BEST_FPERIOD_OVERRIDE=FY","FILING_STATUS=MR","EQY_CONSOLIDATED=Y","SCALING_FORMAT=MLN","Sort=A","Dates=H","DateFormat=P","Fill=—","Direction=H","UseDPDF=Y")</f>
        <v>137815.20000000001</v>
      </c>
      <c r="E93" s="13">
        <f>_xll.BDH("RCOM IN Equity","OTHER_CURRENT_LIABS_SUB_DETAILED","FY 2011","FY 2011","Currency=INR","Period=FY","BEST_FPERIOD_OVERRIDE=FY","FILING_STATUS=MR","EQY_CONSOLIDATED=Y","SCALING_FORMAT=MLN","Sort=A","Dates=H","DateFormat=P","Fill=—","Direction=H","UseDPDF=Y")</f>
        <v>65520</v>
      </c>
      <c r="F93" s="13">
        <f>_xll.BDH("RCOM IN Equity","OTHER_CURRENT_LIABS_SUB_DETAILED","FY 2012","FY 2012","Currency=INR","Period=FY","BEST_FPERIOD_OVERRIDE=FY","FILING_STATUS=MR","EQY_CONSOLIDATED=Y","SCALING_FORMAT=MLN","Sort=A","Dates=H","DateFormat=P","Fill=—","Direction=H","UseDPDF=Y")</f>
        <v>55600</v>
      </c>
      <c r="G93" s="13">
        <f>_xll.BDH("RCOM IN Equity","OTHER_CURRENT_LIABS_SUB_DETAILED","FY 2013","FY 2013","Currency=INR","Period=FY","BEST_FPERIOD_OVERRIDE=FY","FILING_STATUS=MR","EQY_CONSOLIDATED=Y","SCALING_FORMAT=MLN","Sort=A","Dates=H","DateFormat=P","Fill=—","Direction=H","UseDPDF=Y")</f>
        <v>38140</v>
      </c>
      <c r="H93" s="13">
        <f>_xll.BDH("RCOM IN Equity","OTHER_CURRENT_LIABS_SUB_DETAILED","FY 2014","FY 2014","Currency=INR","Period=FY","BEST_FPERIOD_OVERRIDE=FY","FILING_STATUS=MR","EQY_CONSOLIDATED=Y","SCALING_FORMAT=MLN","Sort=A","Dates=H","DateFormat=P","Fill=—","Direction=H","UseDPDF=Y")</f>
        <v>30190</v>
      </c>
      <c r="I93" s="13">
        <f>_xll.BDH("RCOM IN Equity","OTHER_CURRENT_LIABS_SUB_DETAILED","FY 2015","FY 2015","Currency=INR","Period=FY","BEST_FPERIOD_OVERRIDE=FY","FILING_STATUS=MR","EQY_CONSOLIDATED=Y","SCALING_FORMAT=MLN","Sort=A","Dates=H","DateFormat=P","Fill=—","Direction=H","UseDPDF=Y")</f>
        <v>28600</v>
      </c>
      <c r="J93" s="13">
        <f>_xll.BDH("RCOM IN Equity","OTHER_CURRENT_LIABS_SUB_DETAILED","FY 2016","FY 2016","Currency=INR","Period=FY","BEST_FPERIOD_OVERRIDE=FY","FILING_STATUS=MR","EQY_CONSOLIDATED=Y","SCALING_FORMAT=MLN","Sort=A","Dates=H","DateFormat=P","Fill=—","Direction=H","UseDPDF=Y")</f>
        <v>70770</v>
      </c>
      <c r="K93" s="13">
        <f>_xll.BDH("RCOM IN Equity","OTHER_CURRENT_LIABS_SUB_DETAILED","FY 2017","FY 2017","Currency=INR","Period=FY","BEST_FPERIOD_OVERRIDE=FY","FILING_STATUS=MR","EQY_CONSOLIDATED=Y","SCALING_FORMAT=MLN","Sort=A","Dates=H","DateFormat=P","Fill=—","Direction=H","UseDPDF=Y")</f>
        <v>67640</v>
      </c>
      <c r="L93" s="13">
        <f>_xll.BDH("RCOM IN Equity","OTHER_CURRENT_LIABS_SUB_DETAILED","FY 2018","FY 2018","Currency=INR","Period=FY","BEST_FPERIOD_OVERRIDE=FY","FILING_STATUS=MR","EQY_CONSOLIDATED=Y","SCALING_FORMAT=MLN","Sort=A","Dates=H","DateFormat=P","Fill=—","Direction=H","UseDPDF=Y")</f>
        <v>128840</v>
      </c>
    </row>
    <row r="94" spans="1:12">
      <c r="A94" s="11" t="s">
        <v>754</v>
      </c>
      <c r="B94" s="11" t="s">
        <v>772</v>
      </c>
      <c r="C94" s="25">
        <v>14.448620392793099</v>
      </c>
      <c r="D94" s="25">
        <v>14.8878945275522</v>
      </c>
      <c r="E94" s="25">
        <v>6.9170106521119497</v>
      </c>
      <c r="F94" s="25">
        <v>6.0261204140248203</v>
      </c>
      <c r="G94" s="25">
        <v>4.2292253443037398</v>
      </c>
      <c r="H94" s="25">
        <v>3.3271250509703698</v>
      </c>
      <c r="I94" s="25">
        <v>3.0745415063103398</v>
      </c>
      <c r="J94" s="25">
        <v>6.8407214800781002</v>
      </c>
      <c r="K94" s="25">
        <v>6.7822442369975198</v>
      </c>
      <c r="L94" s="25">
        <v>17.2758722411435</v>
      </c>
    </row>
    <row r="95" spans="1:12">
      <c r="A95" s="10" t="s">
        <v>773</v>
      </c>
      <c r="B95" s="10" t="s">
        <v>774</v>
      </c>
      <c r="C95" s="13">
        <f>_xll.BDH("RCOM IN Equity","ST_DEFERRED_REVENUE","FY 2009","FY 2009","Currency=INR","Period=FY","BEST_FPERIOD_OVERRIDE=FY","FILING_STATUS=MR","EQY_CONSOLIDATED=Y","SCALING_FORMAT=MLN","Sort=A","Dates=H","DateFormat=P","Fill=—","Direction=H","UseDPDF=Y")</f>
        <v>0</v>
      </c>
      <c r="D95" s="13">
        <f>_xll.BDH("RCOM IN Equity","ST_DEFERRED_REVENUE","FY 2010","FY 2010","Currency=INR","Period=FY","BEST_FPERIOD_OVERRIDE=FY","FILING_STATUS=MR","EQY_CONSOLIDATED=Y","SCALING_FORMAT=MLN","Sort=A","Dates=H","DateFormat=P","Fill=—","Direction=H","UseDPDF=Y")</f>
        <v>0</v>
      </c>
      <c r="E95" s="13">
        <f>_xll.BDH("RCOM IN Equity","ST_DEFERRED_REVENUE","FY 2011","FY 2011","Currency=INR","Period=FY","BEST_FPERIOD_OVERRIDE=FY","FILING_STATUS=MR","EQY_CONSOLIDATED=Y","SCALING_FORMAT=MLN","Sort=A","Dates=H","DateFormat=P","Fill=—","Direction=H","UseDPDF=Y")</f>
        <v>0</v>
      </c>
      <c r="F95" s="13">
        <f>_xll.BDH("RCOM IN Equity","ST_DEFERRED_REVENUE","FY 2012","FY 2012","Currency=INR","Period=FY","BEST_FPERIOD_OVERRIDE=FY","FILING_STATUS=MR","EQY_CONSOLIDATED=Y","SCALING_FORMAT=MLN","Sort=A","Dates=H","DateFormat=P","Fill=—","Direction=H","UseDPDF=Y")</f>
        <v>0</v>
      </c>
      <c r="G95" s="13">
        <f>_xll.BDH("RCOM IN Equity","ST_DEFERRED_REVENUE","FY 2013","FY 2013","Currency=INR","Period=FY","BEST_FPERIOD_OVERRIDE=FY","FILING_STATUS=MR","EQY_CONSOLIDATED=Y","SCALING_FORMAT=MLN","Sort=A","Dates=H","DateFormat=P","Fill=—","Direction=H","UseDPDF=Y")</f>
        <v>0</v>
      </c>
      <c r="H95" s="13">
        <f>_xll.BDH("RCOM IN Equity","ST_DEFERRED_REVENUE","FY 2014","FY 2014","Currency=INR","Period=FY","BEST_FPERIOD_OVERRIDE=FY","FILING_STATUS=MR","EQY_CONSOLIDATED=Y","SCALING_FORMAT=MLN","Sort=A","Dates=H","DateFormat=P","Fill=—","Direction=H","UseDPDF=Y")</f>
        <v>0</v>
      </c>
      <c r="I95" s="13">
        <f>_xll.BDH("RCOM IN Equity","ST_DEFERRED_REVENUE","FY 2015","FY 2015","Currency=INR","Period=FY","BEST_FPERIOD_OVERRIDE=FY","FILING_STATUS=MR","EQY_CONSOLIDATED=Y","SCALING_FORMAT=MLN","Sort=A","Dates=H","DateFormat=P","Fill=—","Direction=H","UseDPDF=Y")</f>
        <v>0</v>
      </c>
      <c r="J95" s="13">
        <f>_xll.BDH("RCOM IN Equity","ST_DEFERRED_REVENUE","FY 2016","FY 2016","Currency=INR","Period=FY","BEST_FPERIOD_OVERRIDE=FY","FILING_STATUS=MR","EQY_CONSOLIDATED=Y","SCALING_FORMAT=MLN","Sort=A","Dates=H","DateFormat=P","Fill=—","Direction=H","UseDPDF=Y")</f>
        <v>14860</v>
      </c>
      <c r="K95" s="13">
        <f>_xll.BDH("RCOM IN Equity","ST_DEFERRED_REVENUE","FY 2017","FY 2017","Currency=INR","Period=FY","BEST_FPERIOD_OVERRIDE=FY","FILING_STATUS=MR","EQY_CONSOLIDATED=Y","SCALING_FORMAT=MLN","Sort=A","Dates=H","DateFormat=P","Fill=—","Direction=H","UseDPDF=Y")</f>
        <v>13770</v>
      </c>
      <c r="L95" s="13">
        <f>_xll.BDH("RCOM IN Equity","ST_DEFERRED_REVENUE","FY 2018","FY 2018","Currency=INR","Period=FY","BEST_FPERIOD_OVERRIDE=FY","FILING_STATUS=MR","EQY_CONSOLIDATED=Y","SCALING_FORMAT=MLN","Sort=A","Dates=H","DateFormat=P","Fill=—","Direction=H","UseDPDF=Y")</f>
        <v>23530</v>
      </c>
    </row>
    <row r="96" spans="1:12">
      <c r="A96" s="11" t="s">
        <v>754</v>
      </c>
      <c r="B96" s="11" t="s">
        <v>774</v>
      </c>
      <c r="C96" s="25">
        <v>0</v>
      </c>
      <c r="D96" s="25">
        <v>0</v>
      </c>
      <c r="E96" s="25">
        <v>0</v>
      </c>
      <c r="F96" s="25">
        <v>0</v>
      </c>
      <c r="G96" s="25">
        <v>0</v>
      </c>
      <c r="H96" s="25">
        <v>0</v>
      </c>
      <c r="I96" s="25">
        <v>0</v>
      </c>
      <c r="J96" s="25">
        <v>1.4363871865756801</v>
      </c>
      <c r="K96" s="25">
        <v>1.3807141209854501</v>
      </c>
      <c r="L96" s="25">
        <v>3.15508595028024</v>
      </c>
    </row>
    <row r="97" spans="1:12">
      <c r="A97" s="10" t="s">
        <v>775</v>
      </c>
      <c r="B97" s="10" t="s">
        <v>776</v>
      </c>
      <c r="C97" s="13" t="str">
        <f>_xll.BDH("RCOM IN Equity","BS_DERIVATIVE_&amp;_HEDGING_LIABS_ST","FY 2009","FY 2009","Currency=INR","Period=FY","BEST_FPERIOD_OVERRIDE=FY","FILING_STATUS=MR","EQY_CONSOLIDATED=Y","SCALING_FORMAT=MLN","Sort=A","Dates=H","DateFormat=P","Fill=—","Direction=H","UseDPDF=Y")</f>
        <v>—</v>
      </c>
      <c r="D97" s="13" t="str">
        <f>_xll.BDH("RCOM IN Equity","BS_DERIVATIVE_&amp;_HEDGING_LIABS_ST","FY 2010","FY 2010","Currency=INR","Period=FY","BEST_FPERIOD_OVERRIDE=FY","FILING_STATUS=MR","EQY_CONSOLIDATED=Y","SCALING_FORMAT=MLN","Sort=A","Dates=H","DateFormat=P","Fill=—","Direction=H","UseDPDF=Y")</f>
        <v>—</v>
      </c>
      <c r="E97" s="13" t="str">
        <f>_xll.BDH("RCOM IN Equity","BS_DERIVATIVE_&amp;_HEDGING_LIABS_ST","FY 2011","FY 2011","Currency=INR","Period=FY","BEST_FPERIOD_OVERRIDE=FY","FILING_STATUS=MR","EQY_CONSOLIDATED=Y","SCALING_FORMAT=MLN","Sort=A","Dates=H","DateFormat=P","Fill=—","Direction=H","UseDPDF=Y")</f>
        <v>—</v>
      </c>
      <c r="F97" s="13" t="str">
        <f>_xll.BDH("RCOM IN Equity","BS_DERIVATIVE_&amp;_HEDGING_LIABS_ST","FY 2012","FY 2012","Currency=INR","Period=FY","BEST_FPERIOD_OVERRIDE=FY","FILING_STATUS=MR","EQY_CONSOLIDATED=Y","SCALING_FORMAT=MLN","Sort=A","Dates=H","DateFormat=P","Fill=—","Direction=H","UseDPDF=Y")</f>
        <v>—</v>
      </c>
      <c r="G97" s="13" t="str">
        <f>_xll.BDH("RCOM IN Equity","BS_DERIVATIVE_&amp;_HEDGING_LIABS_ST","FY 2013","FY 2013","Currency=INR","Period=FY","BEST_FPERIOD_OVERRIDE=FY","FILING_STATUS=MR","EQY_CONSOLIDATED=Y","SCALING_FORMAT=MLN","Sort=A","Dates=H","DateFormat=P","Fill=—","Direction=H","UseDPDF=Y")</f>
        <v>—</v>
      </c>
      <c r="H97" s="13" t="str">
        <f>_xll.BDH("RCOM IN Equity","BS_DERIVATIVE_&amp;_HEDGING_LIABS_ST","FY 2014","FY 2014","Currency=INR","Period=FY","BEST_FPERIOD_OVERRIDE=FY","FILING_STATUS=MR","EQY_CONSOLIDATED=Y","SCALING_FORMAT=MLN","Sort=A","Dates=H","DateFormat=P","Fill=—","Direction=H","UseDPDF=Y")</f>
        <v>—</v>
      </c>
      <c r="I97" s="13" t="str">
        <f>_xll.BDH("RCOM IN Equity","BS_DERIVATIVE_&amp;_HEDGING_LIABS_ST","FY 2015","FY 2015","Currency=INR","Period=FY","BEST_FPERIOD_OVERRIDE=FY","FILING_STATUS=MR","EQY_CONSOLIDATED=Y","SCALING_FORMAT=MLN","Sort=A","Dates=H","DateFormat=P","Fill=—","Direction=H","UseDPDF=Y")</f>
        <v>—</v>
      </c>
      <c r="J97" s="13" t="str">
        <f>_xll.BDH("RCOM IN Equity","BS_DERIVATIVE_&amp;_HEDGING_LIABS_ST","FY 2016","FY 2016","Currency=INR","Period=FY","BEST_FPERIOD_OVERRIDE=FY","FILING_STATUS=MR","EQY_CONSOLIDATED=Y","SCALING_FORMAT=MLN","Sort=A","Dates=H","DateFormat=P","Fill=—","Direction=H","UseDPDF=Y")</f>
        <v>—</v>
      </c>
      <c r="K97" s="13">
        <f>_xll.BDH("RCOM IN Equity","BS_DERIVATIVE_&amp;_HEDGING_LIABS_ST","FY 2017","FY 2017","Currency=INR","Period=FY","BEST_FPERIOD_OVERRIDE=FY","FILING_STATUS=MR","EQY_CONSOLIDATED=Y","SCALING_FORMAT=MLN","Sort=A","Dates=H","DateFormat=P","Fill=—","Direction=H","UseDPDF=Y")</f>
        <v>0</v>
      </c>
      <c r="L97" s="13">
        <f>_xll.BDH("RCOM IN Equity","BS_DERIVATIVE_&amp;_HEDGING_LIABS_ST","FY 2018","FY 2018","Currency=INR","Period=FY","BEST_FPERIOD_OVERRIDE=FY","FILING_STATUS=MR","EQY_CONSOLIDATED=Y","SCALING_FORMAT=MLN","Sort=A","Dates=H","DateFormat=P","Fill=—","Direction=H","UseDPDF=Y")</f>
        <v>0</v>
      </c>
    </row>
    <row r="98" spans="1:12">
      <c r="A98" s="11" t="s">
        <v>754</v>
      </c>
      <c r="B98" s="11" t="s">
        <v>776</v>
      </c>
      <c r="C98" s="25" t="s">
        <v>44</v>
      </c>
      <c r="D98" s="25" t="s">
        <v>44</v>
      </c>
      <c r="E98" s="25" t="s">
        <v>44</v>
      </c>
      <c r="F98" s="25" t="s">
        <v>44</v>
      </c>
      <c r="G98" s="25" t="s">
        <v>44</v>
      </c>
      <c r="H98" s="25" t="s">
        <v>44</v>
      </c>
      <c r="I98" s="25" t="s">
        <v>44</v>
      </c>
      <c r="J98" s="25" t="s">
        <v>44</v>
      </c>
      <c r="K98" s="25">
        <v>0</v>
      </c>
      <c r="L98" s="25">
        <v>0</v>
      </c>
    </row>
    <row r="99" spans="1:12">
      <c r="A99" s="10" t="s">
        <v>777</v>
      </c>
      <c r="B99" s="10" t="s">
        <v>778</v>
      </c>
      <c r="C99" s="13">
        <f>_xll.BDH("RCOM IN Equity","OTHER_CURRENT_LIABS_DETAILED","FY 2009","FY 2009","Currency=INR","Period=FY","BEST_FPERIOD_OVERRIDE=FY","FILING_STATUS=MR","EQY_CONSOLIDATED=Y","SCALING_FORMAT=MLN","Sort=A","Dates=H","DateFormat=P","Fill=—","Direction=H","UseDPDF=Y")</f>
        <v>147675</v>
      </c>
      <c r="D99" s="13">
        <f>_xll.BDH("RCOM IN Equity","OTHER_CURRENT_LIABS_DETAILED","FY 2010","FY 2010","Currency=INR","Period=FY","BEST_FPERIOD_OVERRIDE=FY","FILING_STATUS=MR","EQY_CONSOLIDATED=Y","SCALING_FORMAT=MLN","Sort=A","Dates=H","DateFormat=P","Fill=—","Direction=H","UseDPDF=Y")</f>
        <v>137815.20000000001</v>
      </c>
      <c r="E99" s="13">
        <f>_xll.BDH("RCOM IN Equity","OTHER_CURRENT_LIABS_DETAILED","FY 2011","FY 2011","Currency=INR","Period=FY","BEST_FPERIOD_OVERRIDE=FY","FILING_STATUS=MR","EQY_CONSOLIDATED=Y","SCALING_FORMAT=MLN","Sort=A","Dates=H","DateFormat=P","Fill=—","Direction=H","UseDPDF=Y")</f>
        <v>65520</v>
      </c>
      <c r="F99" s="13">
        <f>_xll.BDH("RCOM IN Equity","OTHER_CURRENT_LIABS_DETAILED","FY 2012","FY 2012","Currency=INR","Period=FY","BEST_FPERIOD_OVERRIDE=FY","FILING_STATUS=MR","EQY_CONSOLIDATED=Y","SCALING_FORMAT=MLN","Sort=A","Dates=H","DateFormat=P","Fill=—","Direction=H","UseDPDF=Y")</f>
        <v>55600</v>
      </c>
      <c r="G99" s="13">
        <f>_xll.BDH("RCOM IN Equity","OTHER_CURRENT_LIABS_DETAILED","FY 2013","FY 2013","Currency=INR","Period=FY","BEST_FPERIOD_OVERRIDE=FY","FILING_STATUS=MR","EQY_CONSOLIDATED=Y","SCALING_FORMAT=MLN","Sort=A","Dates=H","DateFormat=P","Fill=—","Direction=H","UseDPDF=Y")</f>
        <v>38140</v>
      </c>
      <c r="H99" s="13">
        <f>_xll.BDH("RCOM IN Equity","OTHER_CURRENT_LIABS_DETAILED","FY 2014","FY 2014","Currency=INR","Period=FY","BEST_FPERIOD_OVERRIDE=FY","FILING_STATUS=MR","EQY_CONSOLIDATED=Y","SCALING_FORMAT=MLN","Sort=A","Dates=H","DateFormat=P","Fill=—","Direction=H","UseDPDF=Y")</f>
        <v>30190</v>
      </c>
      <c r="I99" s="13">
        <f>_xll.BDH("RCOM IN Equity","OTHER_CURRENT_LIABS_DETAILED","FY 2015","FY 2015","Currency=INR","Period=FY","BEST_FPERIOD_OVERRIDE=FY","FILING_STATUS=MR","EQY_CONSOLIDATED=Y","SCALING_FORMAT=MLN","Sort=A","Dates=H","DateFormat=P","Fill=—","Direction=H","UseDPDF=Y")</f>
        <v>28600</v>
      </c>
      <c r="J99" s="13">
        <f>_xll.BDH("RCOM IN Equity","OTHER_CURRENT_LIABS_DETAILED","FY 2016","FY 2016","Currency=INR","Period=FY","BEST_FPERIOD_OVERRIDE=FY","FILING_STATUS=MR","EQY_CONSOLIDATED=Y","SCALING_FORMAT=MLN","Sort=A","Dates=H","DateFormat=P","Fill=—","Direction=H","UseDPDF=Y")</f>
        <v>55910</v>
      </c>
      <c r="K99" s="13">
        <f>_xll.BDH("RCOM IN Equity","OTHER_CURRENT_LIABS_DETAILED","FY 2017","FY 2017","Currency=INR","Period=FY","BEST_FPERIOD_OVERRIDE=FY","FILING_STATUS=MR","EQY_CONSOLIDATED=Y","SCALING_FORMAT=MLN","Sort=A","Dates=H","DateFormat=P","Fill=—","Direction=H","UseDPDF=Y")</f>
        <v>53870</v>
      </c>
      <c r="L99" s="13">
        <f>_xll.BDH("RCOM IN Equity","OTHER_CURRENT_LIABS_DETAILED","FY 2018","FY 2018","Currency=INR","Period=FY","BEST_FPERIOD_OVERRIDE=FY","FILING_STATUS=MR","EQY_CONSOLIDATED=Y","SCALING_FORMAT=MLN","Sort=A","Dates=H","DateFormat=P","Fill=—","Direction=H","UseDPDF=Y")</f>
        <v>105310</v>
      </c>
    </row>
    <row r="100" spans="1:12">
      <c r="A100" s="11" t="s">
        <v>754</v>
      </c>
      <c r="B100" s="11" t="s">
        <v>778</v>
      </c>
      <c r="C100" s="25">
        <v>14.448620392793099</v>
      </c>
      <c r="D100" s="25">
        <v>14.8878945275522</v>
      </c>
      <c r="E100" s="25">
        <v>6.9170106521119497</v>
      </c>
      <c r="F100" s="25">
        <v>6.0261204140248203</v>
      </c>
      <c r="G100" s="25">
        <v>4.2292253443037398</v>
      </c>
      <c r="H100" s="25">
        <v>3.3271250509703698</v>
      </c>
      <c r="I100" s="25">
        <v>3.0745415063103398</v>
      </c>
      <c r="J100" s="25">
        <v>5.4043342935024299</v>
      </c>
      <c r="K100" s="25">
        <v>5.4015301160120703</v>
      </c>
      <c r="L100" s="25">
        <v>14.1207862908633</v>
      </c>
    </row>
    <row r="101" spans="1:12">
      <c r="A101" s="6" t="s">
        <v>79</v>
      </c>
      <c r="B101" s="6" t="s">
        <v>80</v>
      </c>
      <c r="C101" s="19">
        <f>_xll.BDH("RCOM IN Equity","BS_CUR_LIAB","FY 2009","FY 2009","Currency=INR","Period=FY","BEST_FPERIOD_OVERRIDE=FY","FILING_STATUS=MR","EQY_CONSOLIDATED=Y","SCALING_FORMAT=MLN","Sort=A","Dates=H","DateFormat=P","Fill=—","Direction=H","UseDPDF=Y")</f>
        <v>319530.2</v>
      </c>
      <c r="D101" s="19">
        <f>_xll.BDH("RCOM IN Equity","BS_CUR_LIAB","FY 2010","FY 2010","Currency=INR","Period=FY","BEST_FPERIOD_OVERRIDE=FY","FILING_STATUS=MR","EQY_CONSOLIDATED=Y","SCALING_FORMAT=MLN","Sort=A","Dates=H","DateFormat=P","Fill=—","Direction=H","UseDPDF=Y")</f>
        <v>291987.3</v>
      </c>
      <c r="E101" s="19">
        <f>_xll.BDH("RCOM IN Equity","BS_CUR_LIAB","FY 2011","FY 2011","Currency=INR","Period=FY","BEST_FPERIOD_OVERRIDE=FY","FILING_STATUS=MR","EQY_CONSOLIDATED=Y","SCALING_FORMAT=MLN","Sort=A","Dates=H","DateFormat=P","Fill=—","Direction=H","UseDPDF=Y")</f>
        <v>323020</v>
      </c>
      <c r="F101" s="19">
        <f>_xll.BDH("RCOM IN Equity","BS_CUR_LIAB","FY 2012","FY 2012","Currency=INR","Period=FY","BEST_FPERIOD_OVERRIDE=FY","FILING_STATUS=MR","EQY_CONSOLIDATED=Y","SCALING_FORMAT=MLN","Sort=A","Dates=H","DateFormat=P","Fill=—","Direction=H","UseDPDF=Y")</f>
        <v>224040</v>
      </c>
      <c r="G101" s="19">
        <f>_xll.BDH("RCOM IN Equity","BS_CUR_LIAB","FY 2013","FY 2013","Currency=INR","Period=FY","BEST_FPERIOD_OVERRIDE=FY","FILING_STATUS=MR","EQY_CONSOLIDATED=Y","SCALING_FORMAT=MLN","Sort=A","Dates=H","DateFormat=P","Fill=—","Direction=H","UseDPDF=Y")</f>
        <v>234390</v>
      </c>
      <c r="H101" s="19">
        <f>_xll.BDH("RCOM IN Equity","BS_CUR_LIAB","FY 2014","FY 2014","Currency=INR","Period=FY","BEST_FPERIOD_OVERRIDE=FY","FILING_STATUS=MR","EQY_CONSOLIDATED=Y","SCALING_FORMAT=MLN","Sort=A","Dates=H","DateFormat=P","Fill=—","Direction=H","UseDPDF=Y")</f>
        <v>255380</v>
      </c>
      <c r="I101" s="19">
        <f>_xll.BDH("RCOM IN Equity","BS_CUR_LIAB","FY 2015","FY 2015","Currency=INR","Period=FY","BEST_FPERIOD_OVERRIDE=FY","FILING_STATUS=MR","EQY_CONSOLIDATED=Y","SCALING_FORMAT=MLN","Sort=A","Dates=H","DateFormat=P","Fill=—","Direction=H","UseDPDF=Y")</f>
        <v>209230</v>
      </c>
      <c r="J101" s="19">
        <f>_xll.BDH("RCOM IN Equity","BS_CUR_LIAB","FY 2016","FY 2016","Currency=INR","Period=FY","BEST_FPERIOD_OVERRIDE=FY","FILING_STATUS=MR","EQY_CONSOLIDATED=Y","SCALING_FORMAT=MLN","Sort=A","Dates=H","DateFormat=P","Fill=—","Direction=H","UseDPDF=Y")</f>
        <v>276760</v>
      </c>
      <c r="K101" s="19">
        <f>_xll.BDH("RCOM IN Equity","BS_CUR_LIAB","FY 2017","FY 2017","Currency=INR","Period=FY","BEST_FPERIOD_OVERRIDE=FY","FILING_STATUS=MR","EQY_CONSOLIDATED=Y","SCALING_FORMAT=MLN","Sort=A","Dates=H","DateFormat=P","Fill=—","Direction=H","UseDPDF=Y")</f>
        <v>360340</v>
      </c>
      <c r="L101" s="19">
        <f>_xll.BDH("RCOM IN Equity","BS_CUR_LIAB","FY 2018","FY 2018","Currency=INR","Period=FY","BEST_FPERIOD_OVERRIDE=FY","FILING_STATUS=MR","EQY_CONSOLIDATED=Y","SCALING_FORMAT=MLN","Sort=A","Dates=H","DateFormat=P","Fill=—","Direction=H","UseDPDF=Y")</f>
        <v>524780</v>
      </c>
    </row>
    <row r="102" spans="1:12">
      <c r="A102" s="11" t="s">
        <v>754</v>
      </c>
      <c r="B102" s="11" t="s">
        <v>80</v>
      </c>
      <c r="C102" s="25">
        <v>31.263047664352499</v>
      </c>
      <c r="D102" s="25">
        <v>31.5427915482815</v>
      </c>
      <c r="E102" s="25">
        <v>34.101538169188103</v>
      </c>
      <c r="F102" s="25">
        <v>24.2822305316209</v>
      </c>
      <c r="G102" s="25">
        <v>25.9907742121488</v>
      </c>
      <c r="H102" s="25">
        <v>28.144458281444599</v>
      </c>
      <c r="I102" s="25">
        <v>22.492528649136801</v>
      </c>
      <c r="J102" s="25">
        <v>26.751986390086401</v>
      </c>
      <c r="K102" s="25">
        <v>36.131192908925001</v>
      </c>
      <c r="L102" s="25">
        <v>70.366596047091605</v>
      </c>
    </row>
    <row r="103" spans="1:12">
      <c r="A103" s="10" t="s">
        <v>779</v>
      </c>
      <c r="B103" s="10" t="s">
        <v>780</v>
      </c>
      <c r="C103" s="13">
        <f>_xll.BDH("RCOM IN Equity","BS_LT_BORROW","FY 2009","FY 2009","Currency=INR","Period=FY","BEST_FPERIOD_OVERRIDE=FY","FILING_STATUS=MR","EQY_CONSOLIDATED=Y","SCALING_FORMAT=MLN","Sort=A","Dates=H","DateFormat=P","Fill=—","Direction=H","UseDPDF=Y")</f>
        <v>272906.3</v>
      </c>
      <c r="D103" s="13">
        <f>_xll.BDH("RCOM IN Equity","BS_LT_BORROW","FY 2010","FY 2010","Currency=INR","Period=FY","BEST_FPERIOD_OVERRIDE=FY","FILING_STATUS=MR","EQY_CONSOLIDATED=Y","SCALING_FORMAT=MLN","Sort=A","Dates=H","DateFormat=P","Fill=—","Direction=H","UseDPDF=Y")</f>
        <v>192518.2</v>
      </c>
      <c r="E103" s="13">
        <f>_xll.BDH("RCOM IN Equity","BS_LT_BORROW","FY 2011","FY 2011","Currency=INR","Period=FY","BEST_FPERIOD_OVERRIDE=FY","FILING_STATUS=MR","EQY_CONSOLIDATED=Y","SCALING_FORMAT=MLN","Sort=A","Dates=H","DateFormat=P","Fill=—","Direction=H","UseDPDF=Y")</f>
        <v>193130</v>
      </c>
      <c r="F103" s="13">
        <f>_xll.BDH("RCOM IN Equity","BS_LT_BORROW","FY 2012","FY 2012","Currency=INR","Period=FY","BEST_FPERIOD_OVERRIDE=FY","FILING_STATUS=MR","EQY_CONSOLIDATED=Y","SCALING_FORMAT=MLN","Sort=A","Dates=H","DateFormat=P","Fill=—","Direction=H","UseDPDF=Y")</f>
        <v>296460</v>
      </c>
      <c r="G103" s="13">
        <f>_xll.BDH("RCOM IN Equity","BS_LT_BORROW","FY 2013","FY 2013","Currency=INR","Period=FY","BEST_FPERIOD_OVERRIDE=FY","FILING_STATUS=MR","EQY_CONSOLIDATED=Y","SCALING_FORMAT=MLN","Sort=A","Dates=H","DateFormat=P","Fill=—","Direction=H","UseDPDF=Y")</f>
        <v>286780</v>
      </c>
      <c r="H103" s="13">
        <f>_xll.BDH("RCOM IN Equity","BS_LT_BORROW","FY 2014","FY 2014","Currency=INR","Period=FY","BEST_FPERIOD_OVERRIDE=FY","FILING_STATUS=MR","EQY_CONSOLIDATED=Y","SCALING_FORMAT=MLN","Sort=A","Dates=H","DateFormat=P","Fill=—","Direction=H","UseDPDF=Y")</f>
        <v>281830</v>
      </c>
      <c r="I103" s="13">
        <f>_xll.BDH("RCOM IN Equity","BS_LT_BORROW","FY 2015","FY 2015","Currency=INR","Period=FY","BEST_FPERIOD_OVERRIDE=FY","FILING_STATUS=MR","EQY_CONSOLIDATED=Y","SCALING_FORMAT=MLN","Sort=A","Dates=H","DateFormat=P","Fill=—","Direction=H","UseDPDF=Y")</f>
        <v>304810</v>
      </c>
      <c r="J103" s="13">
        <f>_xll.BDH("RCOM IN Equity","BS_LT_BORROW","FY 2016","FY 2016","Currency=INR","Period=FY","BEST_FPERIOD_OVERRIDE=FY","FILING_STATUS=MR","EQY_CONSOLIDATED=Y","SCALING_FORMAT=MLN","Sort=A","Dates=H","DateFormat=P","Fill=—","Direction=H","UseDPDF=Y")</f>
        <v>291140</v>
      </c>
      <c r="K103" s="13">
        <f>_xll.BDH("RCOM IN Equity","BS_LT_BORROW","FY 2017","FY 2017","Currency=INR","Period=FY","BEST_FPERIOD_OVERRIDE=FY","FILING_STATUS=MR","EQY_CONSOLIDATED=Y","SCALING_FORMAT=MLN","Sort=A","Dates=H","DateFormat=P","Fill=—","Direction=H","UseDPDF=Y")</f>
        <v>225500</v>
      </c>
      <c r="L103" s="13">
        <f>_xll.BDH("RCOM IN Equity","BS_LT_BORROW","FY 2018","FY 2018","Currency=INR","Period=FY","BEST_FPERIOD_OVERRIDE=FY","FILING_STATUS=MR","EQY_CONSOLIDATED=Y","SCALING_FORMAT=MLN","Sort=A","Dates=H","DateFormat=P","Fill=—","Direction=H","UseDPDF=Y")</f>
        <v>130700</v>
      </c>
    </row>
    <row r="104" spans="1:12">
      <c r="A104" s="11" t="s">
        <v>754</v>
      </c>
      <c r="B104" s="11" t="s">
        <v>780</v>
      </c>
      <c r="C104" s="25">
        <v>26.701334223813799</v>
      </c>
      <c r="D104" s="25">
        <v>20.797347870439499</v>
      </c>
      <c r="E104" s="25">
        <v>20.388923492710301</v>
      </c>
      <c r="F104" s="25">
        <v>32.131360754348897</v>
      </c>
      <c r="G104" s="25">
        <v>31.800137499722801</v>
      </c>
      <c r="H104" s="25">
        <v>31.059412160151599</v>
      </c>
      <c r="I104" s="25">
        <v>32.767517361484401</v>
      </c>
      <c r="J104" s="25">
        <v>28.1419761439867</v>
      </c>
      <c r="K104" s="25">
        <v>22.610823114177101</v>
      </c>
      <c r="L104" s="25">
        <v>17.525275550430401</v>
      </c>
    </row>
    <row r="105" spans="1:12">
      <c r="A105" s="10" t="s">
        <v>781</v>
      </c>
      <c r="B105" s="10" t="s">
        <v>782</v>
      </c>
      <c r="C105" s="13">
        <f>_xll.BDH("RCOM IN Equity","LONG_TERM_BORROWINGS_DETAILED","FY 2009","FY 2009","Currency=INR","Period=FY","BEST_FPERIOD_OVERRIDE=FY","FILING_STATUS=MR","EQY_CONSOLIDATED=Y","SCALING_FORMAT=MLN","Sort=A","Dates=H","DateFormat=P","Fill=—","Direction=H","UseDPDF=Y")</f>
        <v>272906.3</v>
      </c>
      <c r="D105" s="13">
        <f>_xll.BDH("RCOM IN Equity","LONG_TERM_BORROWINGS_DETAILED","FY 2010","FY 2010","Currency=INR","Period=FY","BEST_FPERIOD_OVERRIDE=FY","FILING_STATUS=MR","EQY_CONSOLIDATED=Y","SCALING_FORMAT=MLN","Sort=A","Dates=H","DateFormat=P","Fill=—","Direction=H","UseDPDF=Y")</f>
        <v>192518.2</v>
      </c>
      <c r="E105" s="13">
        <f>_xll.BDH("RCOM IN Equity","LONG_TERM_BORROWINGS_DETAILED","FY 2011","FY 2011","Currency=INR","Period=FY","BEST_FPERIOD_OVERRIDE=FY","FILING_STATUS=MR","EQY_CONSOLIDATED=Y","SCALING_FORMAT=MLN","Sort=A","Dates=H","DateFormat=P","Fill=—","Direction=H","UseDPDF=Y")</f>
        <v>193130</v>
      </c>
      <c r="F105" s="13">
        <f>_xll.BDH("RCOM IN Equity","LONG_TERM_BORROWINGS_DETAILED","FY 2012","FY 2012","Currency=INR","Period=FY","BEST_FPERIOD_OVERRIDE=FY","FILING_STATUS=MR","EQY_CONSOLIDATED=Y","SCALING_FORMAT=MLN","Sort=A","Dates=H","DateFormat=P","Fill=—","Direction=H","UseDPDF=Y")</f>
        <v>296460</v>
      </c>
      <c r="G105" s="13">
        <f>_xll.BDH("RCOM IN Equity","LONG_TERM_BORROWINGS_DETAILED","FY 2013","FY 2013","Currency=INR","Period=FY","BEST_FPERIOD_OVERRIDE=FY","FILING_STATUS=MR","EQY_CONSOLIDATED=Y","SCALING_FORMAT=MLN","Sort=A","Dates=H","DateFormat=P","Fill=—","Direction=H","UseDPDF=Y")</f>
        <v>286780</v>
      </c>
      <c r="H105" s="13">
        <f>_xll.BDH("RCOM IN Equity","LONG_TERM_BORROWINGS_DETAILED","FY 2014","FY 2014","Currency=INR","Period=FY","BEST_FPERIOD_OVERRIDE=FY","FILING_STATUS=MR","EQY_CONSOLIDATED=Y","SCALING_FORMAT=MLN","Sort=A","Dates=H","DateFormat=P","Fill=—","Direction=H","UseDPDF=Y")</f>
        <v>279130</v>
      </c>
      <c r="I105" s="13">
        <f>_xll.BDH("RCOM IN Equity","LONG_TERM_BORROWINGS_DETAILED","FY 2015","FY 2015","Currency=INR","Period=FY","BEST_FPERIOD_OVERRIDE=FY","FILING_STATUS=MR","EQY_CONSOLIDATED=Y","SCALING_FORMAT=MLN","Sort=A","Dates=H","DateFormat=P","Fill=—","Direction=H","UseDPDF=Y")</f>
        <v>303560</v>
      </c>
      <c r="J105" s="13">
        <f>_xll.BDH("RCOM IN Equity","LONG_TERM_BORROWINGS_DETAILED","FY 2016","FY 2016","Currency=INR","Period=FY","BEST_FPERIOD_OVERRIDE=FY","FILING_STATUS=MR","EQY_CONSOLIDATED=Y","SCALING_FORMAT=MLN","Sort=A","Dates=H","DateFormat=P","Fill=—","Direction=H","UseDPDF=Y")</f>
        <v>290130</v>
      </c>
      <c r="K105" s="13">
        <f>_xll.BDH("RCOM IN Equity","LONG_TERM_BORROWINGS_DETAILED","FY 2017","FY 2017","Currency=INR","Period=FY","BEST_FPERIOD_OVERRIDE=FY","FILING_STATUS=MR","EQY_CONSOLIDATED=Y","SCALING_FORMAT=MLN","Sort=A","Dates=H","DateFormat=P","Fill=—","Direction=H","UseDPDF=Y")</f>
        <v>224620</v>
      </c>
      <c r="L105" s="13">
        <f>_xll.BDH("RCOM IN Equity","LONG_TERM_BORROWINGS_DETAILED","FY 2018","FY 2018","Currency=INR","Period=FY","BEST_FPERIOD_OVERRIDE=FY","FILING_STATUS=MR","EQY_CONSOLIDATED=Y","SCALING_FORMAT=MLN","Sort=A","Dates=H","DateFormat=P","Fill=—","Direction=H","UseDPDF=Y")</f>
        <v>130700</v>
      </c>
    </row>
    <row r="106" spans="1:12">
      <c r="A106" s="11" t="s">
        <v>754</v>
      </c>
      <c r="B106" s="11" t="s">
        <v>782</v>
      </c>
      <c r="C106" s="25">
        <v>26.701334223813799</v>
      </c>
      <c r="D106" s="25">
        <v>20.797347870439499</v>
      </c>
      <c r="E106" s="25">
        <v>20.388923492710301</v>
      </c>
      <c r="F106" s="25">
        <v>32.131360754348897</v>
      </c>
      <c r="G106" s="25">
        <v>31.800137499722801</v>
      </c>
      <c r="H106" s="25">
        <v>30.761855431512402</v>
      </c>
      <c r="I106" s="25">
        <v>32.633140547397403</v>
      </c>
      <c r="J106" s="25">
        <v>28.044348212732199</v>
      </c>
      <c r="K106" s="25">
        <v>22.522585755682801</v>
      </c>
      <c r="L106" s="25">
        <v>17.525275550430401</v>
      </c>
    </row>
    <row r="107" spans="1:12">
      <c r="A107" s="10" t="s">
        <v>783</v>
      </c>
      <c r="B107" s="10" t="s">
        <v>784</v>
      </c>
      <c r="C107" s="13">
        <f>_xll.BDH("RCOM IN Equity","LT_CAPITAL_LEASE_OBLIGATIONS","FY 2009","FY 2009","Currency=INR","Period=FY","BEST_FPERIOD_OVERRIDE=FY","FILING_STATUS=MR","EQY_CONSOLIDATED=Y","SCALING_FORMAT=MLN","Sort=A","Dates=H","DateFormat=P","Fill=—","Direction=H","UseDPDF=Y")</f>
        <v>0</v>
      </c>
      <c r="D107" s="13">
        <f>_xll.BDH("RCOM IN Equity","LT_CAPITAL_LEASE_OBLIGATIONS","FY 2010","FY 2010","Currency=INR","Period=FY","BEST_FPERIOD_OVERRIDE=FY","FILING_STATUS=MR","EQY_CONSOLIDATED=Y","SCALING_FORMAT=MLN","Sort=A","Dates=H","DateFormat=P","Fill=—","Direction=H","UseDPDF=Y")</f>
        <v>0</v>
      </c>
      <c r="E107" s="13">
        <f>_xll.BDH("RCOM IN Equity","LT_CAPITAL_LEASE_OBLIGATIONS","FY 2011","FY 2011","Currency=INR","Period=FY","BEST_FPERIOD_OVERRIDE=FY","FILING_STATUS=MR","EQY_CONSOLIDATED=Y","SCALING_FORMAT=MLN","Sort=A","Dates=H","DateFormat=P","Fill=—","Direction=H","UseDPDF=Y")</f>
        <v>0</v>
      </c>
      <c r="F107" s="13">
        <f>_xll.BDH("RCOM IN Equity","LT_CAPITAL_LEASE_OBLIGATIONS","FY 2012","FY 2012","Currency=INR","Period=FY","BEST_FPERIOD_OVERRIDE=FY","FILING_STATUS=MR","EQY_CONSOLIDATED=Y","SCALING_FORMAT=MLN","Sort=A","Dates=H","DateFormat=P","Fill=—","Direction=H","UseDPDF=Y")</f>
        <v>0</v>
      </c>
      <c r="G107" s="13">
        <f>_xll.BDH("RCOM IN Equity","LT_CAPITAL_LEASE_OBLIGATIONS","FY 2013","FY 2013","Currency=INR","Period=FY","BEST_FPERIOD_OVERRIDE=FY","FILING_STATUS=MR","EQY_CONSOLIDATED=Y","SCALING_FORMAT=MLN","Sort=A","Dates=H","DateFormat=P","Fill=—","Direction=H","UseDPDF=Y")</f>
        <v>0</v>
      </c>
      <c r="H107" s="13">
        <f>_xll.BDH("RCOM IN Equity","LT_CAPITAL_LEASE_OBLIGATIONS","FY 2014","FY 2014","Currency=INR","Period=FY","BEST_FPERIOD_OVERRIDE=FY","FILING_STATUS=MR","EQY_CONSOLIDATED=Y","SCALING_FORMAT=MLN","Sort=A","Dates=H","DateFormat=P","Fill=—","Direction=H","UseDPDF=Y")</f>
        <v>2700</v>
      </c>
      <c r="I107" s="13">
        <f>_xll.BDH("RCOM IN Equity","LT_CAPITAL_LEASE_OBLIGATIONS","FY 2015","FY 2015","Currency=INR","Period=FY","BEST_FPERIOD_OVERRIDE=FY","FILING_STATUS=MR","EQY_CONSOLIDATED=Y","SCALING_FORMAT=MLN","Sort=A","Dates=H","DateFormat=P","Fill=—","Direction=H","UseDPDF=Y")</f>
        <v>1250</v>
      </c>
      <c r="J107" s="13">
        <f>_xll.BDH("RCOM IN Equity","LT_CAPITAL_LEASE_OBLIGATIONS","FY 2016","FY 2016","Currency=INR","Period=FY","BEST_FPERIOD_OVERRIDE=FY","FILING_STATUS=MR","EQY_CONSOLIDATED=Y","SCALING_FORMAT=MLN","Sort=A","Dates=H","DateFormat=P","Fill=—","Direction=H","UseDPDF=Y")</f>
        <v>1010</v>
      </c>
      <c r="K107" s="13">
        <f>_xll.BDH("RCOM IN Equity","LT_CAPITAL_LEASE_OBLIGATIONS","FY 2017","FY 2017","Currency=INR","Period=FY","BEST_FPERIOD_OVERRIDE=FY","FILING_STATUS=MR","EQY_CONSOLIDATED=Y","SCALING_FORMAT=MLN","Sort=A","Dates=H","DateFormat=P","Fill=—","Direction=H","UseDPDF=Y")</f>
        <v>880</v>
      </c>
      <c r="L107" s="13">
        <f>_xll.BDH("RCOM IN Equity","LT_CAPITAL_LEASE_OBLIGATIONS","FY 2018","FY 2018","Currency=INR","Period=FY","BEST_FPERIOD_OVERRIDE=FY","FILING_STATUS=MR","EQY_CONSOLIDATED=Y","SCALING_FORMAT=MLN","Sort=A","Dates=H","DateFormat=P","Fill=—","Direction=H","UseDPDF=Y")</f>
        <v>0</v>
      </c>
    </row>
    <row r="108" spans="1:12">
      <c r="A108" s="11" t="s">
        <v>754</v>
      </c>
      <c r="B108" s="11" t="s">
        <v>784</v>
      </c>
      <c r="C108" s="25">
        <v>0</v>
      </c>
      <c r="D108" s="25">
        <v>0</v>
      </c>
      <c r="E108" s="25">
        <v>0</v>
      </c>
      <c r="F108" s="25">
        <v>0</v>
      </c>
      <c r="G108" s="25">
        <v>0</v>
      </c>
      <c r="H108" s="25">
        <v>0.29755672863928401</v>
      </c>
      <c r="I108" s="25">
        <v>0.13437681408699001</v>
      </c>
      <c r="J108" s="25">
        <v>9.7627931254470598E-2</v>
      </c>
      <c r="K108" s="25">
        <v>8.8237358494349799E-2</v>
      </c>
      <c r="L108" s="25">
        <v>0</v>
      </c>
    </row>
    <row r="109" spans="1:12">
      <c r="A109" s="10" t="s">
        <v>785</v>
      </c>
      <c r="B109" s="10" t="s">
        <v>786</v>
      </c>
      <c r="C109" s="13">
        <f>_xll.BDH("RCOM IN Equity","OTHER_NONCUR_LIABS_SUB_DETAILED","FY 2009","FY 2009","Currency=INR","Period=FY","BEST_FPERIOD_OVERRIDE=FY","FILING_STATUS=MR","EQY_CONSOLIDATED=Y","SCALING_FORMAT=MLN","Sort=A","Dates=H","DateFormat=P","Fill=—","Direction=H","UseDPDF=Y")</f>
        <v>281</v>
      </c>
      <c r="D109" s="13">
        <f>_xll.BDH("RCOM IN Equity","OTHER_NONCUR_LIABS_SUB_DETAILED","FY 2010","FY 2010","Currency=INR","Period=FY","BEST_FPERIOD_OVERRIDE=FY","FILING_STATUS=MR","EQY_CONSOLIDATED=Y","SCALING_FORMAT=MLN","Sort=A","Dates=H","DateFormat=P","Fill=—","Direction=H","UseDPDF=Y")</f>
        <v>990.5</v>
      </c>
      <c r="E109" s="13">
        <f>_xll.BDH("RCOM IN Equity","OTHER_NONCUR_LIABS_SUB_DETAILED","FY 2011","FY 2011","Currency=INR","Period=FY","BEST_FPERIOD_OVERRIDE=FY","FILING_STATUS=MR","EQY_CONSOLIDATED=Y","SCALING_FORMAT=MLN","Sort=A","Dates=H","DateFormat=P","Fill=—","Direction=H","UseDPDF=Y")</f>
        <v>17850</v>
      </c>
      <c r="F109" s="13">
        <f>_xll.BDH("RCOM IN Equity","OTHER_NONCUR_LIABS_SUB_DETAILED","FY 2012","FY 2012","Currency=INR","Period=FY","BEST_FPERIOD_OVERRIDE=FY","FILING_STATUS=MR","EQY_CONSOLIDATED=Y","SCALING_FORMAT=MLN","Sort=A","Dates=H","DateFormat=P","Fill=—","Direction=H","UseDPDF=Y")</f>
        <v>30590</v>
      </c>
      <c r="G109" s="13">
        <f>_xll.BDH("RCOM IN Equity","OTHER_NONCUR_LIABS_SUB_DETAILED","FY 2013","FY 2013","Currency=INR","Period=FY","BEST_FPERIOD_OVERRIDE=FY","FILING_STATUS=MR","EQY_CONSOLIDATED=Y","SCALING_FORMAT=MLN","Sort=A","Dates=H","DateFormat=P","Fill=—","Direction=H","UseDPDF=Y")</f>
        <v>34900</v>
      </c>
      <c r="H109" s="13">
        <f>_xll.BDH("RCOM IN Equity","OTHER_NONCUR_LIABS_SUB_DETAILED","FY 2014","FY 2014","Currency=INR","Period=FY","BEST_FPERIOD_OVERRIDE=FY","FILING_STATUS=MR","EQY_CONSOLIDATED=Y","SCALING_FORMAT=MLN","Sort=A","Dates=H","DateFormat=P","Fill=—","Direction=H","UseDPDF=Y")</f>
        <v>34790</v>
      </c>
      <c r="I109" s="13">
        <f>_xll.BDH("RCOM IN Equity","OTHER_NONCUR_LIABS_SUB_DETAILED","FY 2015","FY 2015","Currency=INR","Period=FY","BEST_FPERIOD_OVERRIDE=FY","FILING_STATUS=MR","EQY_CONSOLIDATED=Y","SCALING_FORMAT=MLN","Sort=A","Dates=H","DateFormat=P","Fill=—","Direction=H","UseDPDF=Y")</f>
        <v>14320</v>
      </c>
      <c r="J109" s="13">
        <f>_xll.BDH("RCOM IN Equity","OTHER_NONCUR_LIABS_SUB_DETAILED","FY 2016","FY 2016","Currency=INR","Period=FY","BEST_FPERIOD_OVERRIDE=FY","FILING_STATUS=MR","EQY_CONSOLIDATED=Y","SCALING_FORMAT=MLN","Sort=A","Dates=H","DateFormat=P","Fill=—","Direction=H","UseDPDF=Y")</f>
        <v>147990</v>
      </c>
      <c r="K109" s="13">
        <f>_xll.BDH("RCOM IN Equity","OTHER_NONCUR_LIABS_SUB_DETAILED","FY 2017","FY 2017","Currency=INR","Period=FY","BEST_FPERIOD_OVERRIDE=FY","FILING_STATUS=MR","EQY_CONSOLIDATED=Y","SCALING_FORMAT=MLN","Sort=A","Dates=H","DateFormat=P","Fill=—","Direction=H","UseDPDF=Y")</f>
        <v>121780</v>
      </c>
      <c r="L109" s="13">
        <f>_xll.BDH("RCOM IN Equity","OTHER_NONCUR_LIABS_SUB_DETAILED","FY 2018","FY 2018","Currency=INR","Period=FY","BEST_FPERIOD_OVERRIDE=FY","FILING_STATUS=MR","EQY_CONSOLIDATED=Y","SCALING_FORMAT=MLN","Sort=A","Dates=H","DateFormat=P","Fill=—","Direction=H","UseDPDF=Y")</f>
        <v>59150</v>
      </c>
    </row>
    <row r="110" spans="1:12">
      <c r="A110" s="11" t="s">
        <v>754</v>
      </c>
      <c r="B110" s="11" t="s">
        <v>786</v>
      </c>
      <c r="C110" s="25">
        <v>2.74932272244785E-2</v>
      </c>
      <c r="D110" s="25">
        <v>0.107001691609782</v>
      </c>
      <c r="E110" s="25">
        <v>1.88444200458178</v>
      </c>
      <c r="F110" s="25">
        <v>3.3154500623204899</v>
      </c>
      <c r="G110" s="25">
        <v>3.8699518750970299</v>
      </c>
      <c r="H110" s="25">
        <v>3.8340735516150701</v>
      </c>
      <c r="I110" s="25">
        <v>1.5394207821805601</v>
      </c>
      <c r="J110" s="25">
        <v>14.304908461731801</v>
      </c>
      <c r="K110" s="25">
        <v>12.210847178911299</v>
      </c>
      <c r="L110" s="25">
        <v>7.9312934109254698</v>
      </c>
    </row>
    <row r="111" spans="1:12">
      <c r="A111" s="10" t="s">
        <v>787</v>
      </c>
      <c r="B111" s="10" t="s">
        <v>788</v>
      </c>
      <c r="C111" s="13">
        <f>_xll.BDH("RCOM IN Equity","BS_ACCRUED_LIABILITIES","FY 2009","FY 2009","Currency=INR","Period=FY","BEST_FPERIOD_OVERRIDE=FY","FILING_STATUS=MR","EQY_CONSOLIDATED=Y","SCALING_FORMAT=MLN","Sort=A","Dates=H","DateFormat=P","Fill=—","Direction=H","UseDPDF=Y")</f>
        <v>0</v>
      </c>
      <c r="D111" s="13">
        <f>_xll.BDH("RCOM IN Equity","BS_ACCRUED_LIABILITIES","FY 2010","FY 2010","Currency=INR","Period=FY","BEST_FPERIOD_OVERRIDE=FY","FILING_STATUS=MR","EQY_CONSOLIDATED=Y","SCALING_FORMAT=MLN","Sort=A","Dates=H","DateFormat=P","Fill=—","Direction=H","UseDPDF=Y")</f>
        <v>0</v>
      </c>
      <c r="E111" s="13">
        <f>_xll.BDH("RCOM IN Equity","BS_ACCRUED_LIABILITIES","FY 2011","FY 2011","Currency=INR","Period=FY","BEST_FPERIOD_OVERRIDE=FY","FILING_STATUS=MR","EQY_CONSOLIDATED=Y","SCALING_FORMAT=MLN","Sort=A","Dates=H","DateFormat=P","Fill=—","Direction=H","UseDPDF=Y")</f>
        <v>0</v>
      </c>
      <c r="F111" s="13">
        <f>_xll.BDH("RCOM IN Equity","BS_ACCRUED_LIABILITIES","FY 2012","FY 2012","Currency=INR","Period=FY","BEST_FPERIOD_OVERRIDE=FY","FILING_STATUS=MR","EQY_CONSOLIDATED=Y","SCALING_FORMAT=MLN","Sort=A","Dates=H","DateFormat=P","Fill=—","Direction=H","UseDPDF=Y")</f>
        <v>0</v>
      </c>
      <c r="G111" s="13">
        <f>_xll.BDH("RCOM IN Equity","BS_ACCRUED_LIABILITIES","FY 2013","FY 2013","Currency=INR","Period=FY","BEST_FPERIOD_OVERRIDE=FY","FILING_STATUS=MR","EQY_CONSOLIDATED=Y","SCALING_FORMAT=MLN","Sort=A","Dates=H","DateFormat=P","Fill=—","Direction=H","UseDPDF=Y")</f>
        <v>0</v>
      </c>
      <c r="H111" s="13">
        <f>_xll.BDH("RCOM IN Equity","BS_ACCRUED_LIABILITIES","FY 2014","FY 2014","Currency=INR","Period=FY","BEST_FPERIOD_OVERRIDE=FY","FILING_STATUS=MR","EQY_CONSOLIDATED=Y","SCALING_FORMAT=MLN","Sort=A","Dates=H","DateFormat=P","Fill=—","Direction=H","UseDPDF=Y")</f>
        <v>0</v>
      </c>
      <c r="I111" s="13">
        <f>_xll.BDH("RCOM IN Equity","BS_ACCRUED_LIABILITIES","FY 2015","FY 2015","Currency=INR","Period=FY","BEST_FPERIOD_OVERRIDE=FY","FILING_STATUS=MR","EQY_CONSOLIDATED=Y","SCALING_FORMAT=MLN","Sort=A","Dates=H","DateFormat=P","Fill=—","Direction=H","UseDPDF=Y")</f>
        <v>0</v>
      </c>
      <c r="J111" s="13">
        <f>_xll.BDH("RCOM IN Equity","BS_ACCRUED_LIABILITIES","FY 2016","FY 2016","Currency=INR","Period=FY","BEST_FPERIOD_OVERRIDE=FY","FILING_STATUS=MR","EQY_CONSOLIDATED=Y","SCALING_FORMAT=MLN","Sort=A","Dates=H","DateFormat=P","Fill=—","Direction=H","UseDPDF=Y")</f>
        <v>0</v>
      </c>
      <c r="K111" s="13">
        <f>_xll.BDH("RCOM IN Equity","BS_ACCRUED_LIABILITIES","FY 2017","FY 2017","Currency=INR","Period=FY","BEST_FPERIOD_OVERRIDE=FY","FILING_STATUS=MR","EQY_CONSOLIDATED=Y","SCALING_FORMAT=MLN","Sort=A","Dates=H","DateFormat=P","Fill=—","Direction=H","UseDPDF=Y")</f>
        <v>0</v>
      </c>
      <c r="L111" s="13">
        <f>_xll.BDH("RCOM IN Equity","BS_ACCRUED_LIABILITIES","FY 2018","FY 2018","Currency=INR","Period=FY","BEST_FPERIOD_OVERRIDE=FY","FILING_STATUS=MR","EQY_CONSOLIDATED=Y","SCALING_FORMAT=MLN","Sort=A","Dates=H","DateFormat=P","Fill=—","Direction=H","UseDPDF=Y")</f>
        <v>0</v>
      </c>
    </row>
    <row r="112" spans="1:12">
      <c r="A112" s="11" t="s">
        <v>754</v>
      </c>
      <c r="B112" s="11" t="s">
        <v>788</v>
      </c>
      <c r="C112" s="25">
        <v>0</v>
      </c>
      <c r="D112" s="25">
        <v>0</v>
      </c>
      <c r="E112" s="25">
        <v>0</v>
      </c>
      <c r="F112" s="25">
        <v>0</v>
      </c>
      <c r="G112" s="25">
        <v>0</v>
      </c>
      <c r="H112" s="25">
        <v>0</v>
      </c>
      <c r="I112" s="25">
        <v>0</v>
      </c>
      <c r="J112" s="25">
        <v>0</v>
      </c>
      <c r="K112" s="25">
        <v>0</v>
      </c>
      <c r="L112" s="25">
        <v>0</v>
      </c>
    </row>
    <row r="113" spans="1:12">
      <c r="A113" s="10" t="s">
        <v>789</v>
      </c>
      <c r="B113" s="10" t="s">
        <v>790</v>
      </c>
      <c r="C113" s="13" t="str">
        <f>_xll.BDH("RCOM IN Equity","PENSION_LIABILITIES","FY 2009","FY 2009","Currency=INR","Period=FY","BEST_FPERIOD_OVERRIDE=FY","FILING_STATUS=MR","EQY_CONSOLIDATED=Y","SCALING_FORMAT=MLN","Sort=A","Dates=H","DateFormat=P","Fill=—","Direction=H","UseDPDF=Y")</f>
        <v>—</v>
      </c>
      <c r="D113" s="13" t="str">
        <f>_xll.BDH("RCOM IN Equity","PENSION_LIABILITIES","FY 2010","FY 2010","Currency=INR","Period=FY","BEST_FPERIOD_OVERRIDE=FY","FILING_STATUS=MR","EQY_CONSOLIDATED=Y","SCALING_FORMAT=MLN","Sort=A","Dates=H","DateFormat=P","Fill=—","Direction=H","UseDPDF=Y")</f>
        <v>—</v>
      </c>
      <c r="E113" s="13" t="str">
        <f>_xll.BDH("RCOM IN Equity","PENSION_LIABILITIES","FY 2011","FY 2011","Currency=INR","Period=FY","BEST_FPERIOD_OVERRIDE=FY","FILING_STATUS=MR","EQY_CONSOLIDATED=Y","SCALING_FORMAT=MLN","Sort=A","Dates=H","DateFormat=P","Fill=—","Direction=H","UseDPDF=Y")</f>
        <v>—</v>
      </c>
      <c r="F113" s="13" t="str">
        <f>_xll.BDH("RCOM IN Equity","PENSION_LIABILITIES","FY 2012","FY 2012","Currency=INR","Period=FY","BEST_FPERIOD_OVERRIDE=FY","FILING_STATUS=MR","EQY_CONSOLIDATED=Y","SCALING_FORMAT=MLN","Sort=A","Dates=H","DateFormat=P","Fill=—","Direction=H","UseDPDF=Y")</f>
        <v>—</v>
      </c>
      <c r="G113" s="13" t="str">
        <f>_xll.BDH("RCOM IN Equity","PENSION_LIABILITIES","FY 2013","FY 2013","Currency=INR","Period=FY","BEST_FPERIOD_OVERRIDE=FY","FILING_STATUS=MR","EQY_CONSOLIDATED=Y","SCALING_FORMAT=MLN","Sort=A","Dates=H","DateFormat=P","Fill=—","Direction=H","UseDPDF=Y")</f>
        <v>—</v>
      </c>
      <c r="H113" s="13" t="str">
        <f>_xll.BDH("RCOM IN Equity","PENSION_LIABILITIES","FY 2014","FY 2014","Currency=INR","Period=FY","BEST_FPERIOD_OVERRIDE=FY","FILING_STATUS=MR","EQY_CONSOLIDATED=Y","SCALING_FORMAT=MLN","Sort=A","Dates=H","DateFormat=P","Fill=—","Direction=H","UseDPDF=Y")</f>
        <v>—</v>
      </c>
      <c r="I113" s="13" t="str">
        <f>_xll.BDH("RCOM IN Equity","PENSION_LIABILITIES","FY 2015","FY 2015","Currency=INR","Period=FY","BEST_FPERIOD_OVERRIDE=FY","FILING_STATUS=MR","EQY_CONSOLIDATED=Y","SCALING_FORMAT=MLN","Sort=A","Dates=H","DateFormat=P","Fill=—","Direction=H","UseDPDF=Y")</f>
        <v>—</v>
      </c>
      <c r="J113" s="13" t="str">
        <f>_xll.BDH("RCOM IN Equity","PENSION_LIABILITIES","FY 2016","FY 2016","Currency=INR","Period=FY","BEST_FPERIOD_OVERRIDE=FY","FILING_STATUS=MR","EQY_CONSOLIDATED=Y","SCALING_FORMAT=MLN","Sort=A","Dates=H","DateFormat=P","Fill=—","Direction=H","UseDPDF=Y")</f>
        <v>—</v>
      </c>
      <c r="K113" s="13">
        <f>_xll.BDH("RCOM IN Equity","PENSION_LIABILITIES","FY 2017","FY 2017","Currency=INR","Period=FY","BEST_FPERIOD_OVERRIDE=FY","FILING_STATUS=MR","EQY_CONSOLIDATED=Y","SCALING_FORMAT=MLN","Sort=A","Dates=H","DateFormat=P","Fill=—","Direction=H","UseDPDF=Y")</f>
        <v>0</v>
      </c>
      <c r="L113" s="13">
        <f>_xll.BDH("RCOM IN Equity","PENSION_LIABILITIES","FY 2018","FY 2018","Currency=INR","Period=FY","BEST_FPERIOD_OVERRIDE=FY","FILING_STATUS=MR","EQY_CONSOLIDATED=Y","SCALING_FORMAT=MLN","Sort=A","Dates=H","DateFormat=P","Fill=—","Direction=H","UseDPDF=Y")</f>
        <v>0</v>
      </c>
    </row>
    <row r="114" spans="1:12">
      <c r="A114" s="11" t="s">
        <v>754</v>
      </c>
      <c r="B114" s="11" t="s">
        <v>790</v>
      </c>
      <c r="C114" s="25" t="s">
        <v>44</v>
      </c>
      <c r="D114" s="25" t="s">
        <v>44</v>
      </c>
      <c r="E114" s="25" t="s">
        <v>44</v>
      </c>
      <c r="F114" s="25" t="s">
        <v>44</v>
      </c>
      <c r="G114" s="25" t="s">
        <v>44</v>
      </c>
      <c r="H114" s="25" t="s">
        <v>44</v>
      </c>
      <c r="I114" s="25" t="s">
        <v>44</v>
      </c>
      <c r="J114" s="25" t="s">
        <v>44</v>
      </c>
      <c r="K114" s="25">
        <v>0</v>
      </c>
      <c r="L114" s="25">
        <v>0</v>
      </c>
    </row>
    <row r="115" spans="1:12">
      <c r="A115" s="11" t="s">
        <v>791</v>
      </c>
      <c r="B115" s="11" t="s">
        <v>792</v>
      </c>
      <c r="C115" s="25" t="str">
        <f>_xll.BDH("RCOM IN Equity","BS_PENSIONS_LT_LIABS","FY 2009","FY 2009","Currency=INR","Period=FY","BEST_FPERIOD_OVERRIDE=FY","FILING_STATUS=MR","EQY_CONSOLIDATED=Y","SCALING_FORMAT=MLN","Sort=A","Dates=H","DateFormat=P","Fill=—","Direction=H","UseDPDF=Y")</f>
        <v>—</v>
      </c>
      <c r="D115" s="25" t="str">
        <f>_xll.BDH("RCOM IN Equity","BS_PENSIONS_LT_LIABS","FY 2010","FY 2010","Currency=INR","Period=FY","BEST_FPERIOD_OVERRIDE=FY","FILING_STATUS=MR","EQY_CONSOLIDATED=Y","SCALING_FORMAT=MLN","Sort=A","Dates=H","DateFormat=P","Fill=—","Direction=H","UseDPDF=Y")</f>
        <v>—</v>
      </c>
      <c r="E115" s="25" t="str">
        <f>_xll.BDH("RCOM IN Equity","BS_PENSIONS_LT_LIABS","FY 2011","FY 2011","Currency=INR","Period=FY","BEST_FPERIOD_OVERRIDE=FY","FILING_STATUS=MR","EQY_CONSOLIDATED=Y","SCALING_FORMAT=MLN","Sort=A","Dates=H","DateFormat=P","Fill=—","Direction=H","UseDPDF=Y")</f>
        <v>—</v>
      </c>
      <c r="F115" s="25" t="str">
        <f>_xll.BDH("RCOM IN Equity","BS_PENSIONS_LT_LIABS","FY 2012","FY 2012","Currency=INR","Period=FY","BEST_FPERIOD_OVERRIDE=FY","FILING_STATUS=MR","EQY_CONSOLIDATED=Y","SCALING_FORMAT=MLN","Sort=A","Dates=H","DateFormat=P","Fill=—","Direction=H","UseDPDF=Y")</f>
        <v>—</v>
      </c>
      <c r="G115" s="25" t="str">
        <f>_xll.BDH("RCOM IN Equity","BS_PENSIONS_LT_LIABS","FY 2013","FY 2013","Currency=INR","Period=FY","BEST_FPERIOD_OVERRIDE=FY","FILING_STATUS=MR","EQY_CONSOLIDATED=Y","SCALING_FORMAT=MLN","Sort=A","Dates=H","DateFormat=P","Fill=—","Direction=H","UseDPDF=Y")</f>
        <v>—</v>
      </c>
      <c r="H115" s="25" t="str">
        <f>_xll.BDH("RCOM IN Equity","BS_PENSIONS_LT_LIABS","FY 2014","FY 2014","Currency=INR","Period=FY","BEST_FPERIOD_OVERRIDE=FY","FILING_STATUS=MR","EQY_CONSOLIDATED=Y","SCALING_FORMAT=MLN","Sort=A","Dates=H","DateFormat=P","Fill=—","Direction=H","UseDPDF=Y")</f>
        <v>—</v>
      </c>
      <c r="I115" s="25" t="str">
        <f>_xll.BDH("RCOM IN Equity","BS_PENSIONS_LT_LIABS","FY 2015","FY 2015","Currency=INR","Period=FY","BEST_FPERIOD_OVERRIDE=FY","FILING_STATUS=MR","EQY_CONSOLIDATED=Y","SCALING_FORMAT=MLN","Sort=A","Dates=H","DateFormat=P","Fill=—","Direction=H","UseDPDF=Y")</f>
        <v>—</v>
      </c>
      <c r="J115" s="25" t="str">
        <f>_xll.BDH("RCOM IN Equity","BS_PENSIONS_LT_LIABS","FY 2016","FY 2016","Currency=INR","Period=FY","BEST_FPERIOD_OVERRIDE=FY","FILING_STATUS=MR","EQY_CONSOLIDATED=Y","SCALING_FORMAT=MLN","Sort=A","Dates=H","DateFormat=P","Fill=—","Direction=H","UseDPDF=Y")</f>
        <v>—</v>
      </c>
      <c r="K115" s="25">
        <f>_xll.BDH("RCOM IN Equity","BS_PENSIONS_LT_LIABS","FY 2017","FY 2017","Currency=INR","Period=FY","BEST_FPERIOD_OVERRIDE=FY","FILING_STATUS=MR","EQY_CONSOLIDATED=Y","SCALING_FORMAT=MLN","Sort=A","Dates=H","DateFormat=P","Fill=—","Direction=H","UseDPDF=Y")</f>
        <v>0</v>
      </c>
      <c r="L115" s="25">
        <f>_xll.BDH("RCOM IN Equity","BS_PENSIONS_LT_LIABS","FY 2018","FY 2018","Currency=INR","Period=FY","BEST_FPERIOD_OVERRIDE=FY","FILING_STATUS=MR","EQY_CONSOLIDATED=Y","SCALING_FORMAT=MLN","Sort=A","Dates=H","DateFormat=P","Fill=—","Direction=H","UseDPDF=Y")</f>
        <v>0</v>
      </c>
    </row>
    <row r="116" spans="1:12">
      <c r="A116" s="11" t="s">
        <v>754</v>
      </c>
      <c r="B116" s="11" t="s">
        <v>792</v>
      </c>
      <c r="C116" s="25" t="s">
        <v>44</v>
      </c>
      <c r="D116" s="25" t="s">
        <v>44</v>
      </c>
      <c r="E116" s="25" t="s">
        <v>44</v>
      </c>
      <c r="F116" s="25" t="s">
        <v>44</v>
      </c>
      <c r="G116" s="25" t="s">
        <v>44</v>
      </c>
      <c r="H116" s="25" t="s">
        <v>44</v>
      </c>
      <c r="I116" s="25" t="s">
        <v>44</v>
      </c>
      <c r="J116" s="25" t="s">
        <v>44</v>
      </c>
      <c r="K116" s="25">
        <v>0</v>
      </c>
      <c r="L116" s="25">
        <v>0</v>
      </c>
    </row>
    <row r="117" spans="1:12">
      <c r="A117" s="11" t="s">
        <v>793</v>
      </c>
      <c r="B117" s="11" t="s">
        <v>794</v>
      </c>
      <c r="C117" s="25" t="str">
        <f>_xll.BDH("RCOM IN Equity","BS_OPRB_LT_LIABS","FY 2009","FY 2009","Currency=INR","Period=FY","BEST_FPERIOD_OVERRIDE=FY","FILING_STATUS=MR","EQY_CONSOLIDATED=Y","SCALING_FORMAT=MLN","Sort=A","Dates=H","DateFormat=P","Fill=—","Direction=H","UseDPDF=Y")</f>
        <v>—</v>
      </c>
      <c r="D117" s="25" t="str">
        <f>_xll.BDH("RCOM IN Equity","BS_OPRB_LT_LIABS","FY 2010","FY 2010","Currency=INR","Period=FY","BEST_FPERIOD_OVERRIDE=FY","FILING_STATUS=MR","EQY_CONSOLIDATED=Y","SCALING_FORMAT=MLN","Sort=A","Dates=H","DateFormat=P","Fill=—","Direction=H","UseDPDF=Y")</f>
        <v>—</v>
      </c>
      <c r="E117" s="25" t="str">
        <f>_xll.BDH("RCOM IN Equity","BS_OPRB_LT_LIABS","FY 2011","FY 2011","Currency=INR","Period=FY","BEST_FPERIOD_OVERRIDE=FY","FILING_STATUS=MR","EQY_CONSOLIDATED=Y","SCALING_FORMAT=MLN","Sort=A","Dates=H","DateFormat=P","Fill=—","Direction=H","UseDPDF=Y")</f>
        <v>—</v>
      </c>
      <c r="F117" s="25" t="str">
        <f>_xll.BDH("RCOM IN Equity","BS_OPRB_LT_LIABS","FY 2012","FY 2012","Currency=INR","Period=FY","BEST_FPERIOD_OVERRIDE=FY","FILING_STATUS=MR","EQY_CONSOLIDATED=Y","SCALING_FORMAT=MLN","Sort=A","Dates=H","DateFormat=P","Fill=—","Direction=H","UseDPDF=Y")</f>
        <v>—</v>
      </c>
      <c r="G117" s="25" t="str">
        <f>_xll.BDH("RCOM IN Equity","BS_OPRB_LT_LIABS","FY 2013","FY 2013","Currency=INR","Period=FY","BEST_FPERIOD_OVERRIDE=FY","FILING_STATUS=MR","EQY_CONSOLIDATED=Y","SCALING_FORMAT=MLN","Sort=A","Dates=H","DateFormat=P","Fill=—","Direction=H","UseDPDF=Y")</f>
        <v>—</v>
      </c>
      <c r="H117" s="25" t="str">
        <f>_xll.BDH("RCOM IN Equity","BS_OPRB_LT_LIABS","FY 2014","FY 2014","Currency=INR","Period=FY","BEST_FPERIOD_OVERRIDE=FY","FILING_STATUS=MR","EQY_CONSOLIDATED=Y","SCALING_FORMAT=MLN","Sort=A","Dates=H","DateFormat=P","Fill=—","Direction=H","UseDPDF=Y")</f>
        <v>—</v>
      </c>
      <c r="I117" s="25" t="str">
        <f>_xll.BDH("RCOM IN Equity","BS_OPRB_LT_LIABS","FY 2015","FY 2015","Currency=INR","Period=FY","BEST_FPERIOD_OVERRIDE=FY","FILING_STATUS=MR","EQY_CONSOLIDATED=Y","SCALING_FORMAT=MLN","Sort=A","Dates=H","DateFormat=P","Fill=—","Direction=H","UseDPDF=Y")</f>
        <v>—</v>
      </c>
      <c r="J117" s="25" t="str">
        <f>_xll.BDH("RCOM IN Equity","BS_OPRB_LT_LIABS","FY 2016","FY 2016","Currency=INR","Period=FY","BEST_FPERIOD_OVERRIDE=FY","FILING_STATUS=MR","EQY_CONSOLIDATED=Y","SCALING_FORMAT=MLN","Sort=A","Dates=H","DateFormat=P","Fill=—","Direction=H","UseDPDF=Y")</f>
        <v>—</v>
      </c>
      <c r="K117" s="25">
        <f>_xll.BDH("RCOM IN Equity","BS_OPRB_LT_LIABS","FY 2017","FY 2017","Currency=INR","Period=FY","BEST_FPERIOD_OVERRIDE=FY","FILING_STATUS=MR","EQY_CONSOLIDATED=Y","SCALING_FORMAT=MLN","Sort=A","Dates=H","DateFormat=P","Fill=—","Direction=H","UseDPDF=Y")</f>
        <v>0</v>
      </c>
      <c r="L117" s="25">
        <f>_xll.BDH("RCOM IN Equity","BS_OPRB_LT_LIABS","FY 2018","FY 2018","Currency=INR","Period=FY","BEST_FPERIOD_OVERRIDE=FY","FILING_STATUS=MR","EQY_CONSOLIDATED=Y","SCALING_FORMAT=MLN","Sort=A","Dates=H","DateFormat=P","Fill=—","Direction=H","UseDPDF=Y")</f>
        <v>0</v>
      </c>
    </row>
    <row r="118" spans="1:12">
      <c r="A118" s="11" t="s">
        <v>754</v>
      </c>
      <c r="B118" s="11" t="s">
        <v>794</v>
      </c>
      <c r="C118" s="25" t="s">
        <v>44</v>
      </c>
      <c r="D118" s="25" t="s">
        <v>44</v>
      </c>
      <c r="E118" s="25" t="s">
        <v>44</v>
      </c>
      <c r="F118" s="25" t="s">
        <v>44</v>
      </c>
      <c r="G118" s="25" t="s">
        <v>44</v>
      </c>
      <c r="H118" s="25" t="s">
        <v>44</v>
      </c>
      <c r="I118" s="25" t="s">
        <v>44</v>
      </c>
      <c r="J118" s="25" t="s">
        <v>44</v>
      </c>
      <c r="K118" s="25">
        <v>0</v>
      </c>
      <c r="L118" s="25">
        <v>0</v>
      </c>
    </row>
    <row r="119" spans="1:12">
      <c r="A119" s="10" t="s">
        <v>795</v>
      </c>
      <c r="B119" s="10" t="s">
        <v>796</v>
      </c>
      <c r="C119" s="13" t="str">
        <f>_xll.BDH("RCOM IN Equity","BS_DEFERRED_COMP_LT_LIABS","FY 2009","FY 2009","Currency=INR","Period=FY","BEST_FPERIOD_OVERRIDE=FY","FILING_STATUS=MR","EQY_CONSOLIDATED=Y","SCALING_FORMAT=MLN","Sort=A","Dates=H","DateFormat=P","Fill=—","Direction=H","UseDPDF=Y")</f>
        <v>—</v>
      </c>
      <c r="D119" s="13" t="str">
        <f>_xll.BDH("RCOM IN Equity","BS_DEFERRED_COMP_LT_LIABS","FY 2010","FY 2010","Currency=INR","Period=FY","BEST_FPERIOD_OVERRIDE=FY","FILING_STATUS=MR","EQY_CONSOLIDATED=Y","SCALING_FORMAT=MLN","Sort=A","Dates=H","DateFormat=P","Fill=—","Direction=H","UseDPDF=Y")</f>
        <v>—</v>
      </c>
      <c r="E119" s="13" t="str">
        <f>_xll.BDH("RCOM IN Equity","BS_DEFERRED_COMP_LT_LIABS","FY 2011","FY 2011","Currency=INR","Period=FY","BEST_FPERIOD_OVERRIDE=FY","FILING_STATUS=MR","EQY_CONSOLIDATED=Y","SCALING_FORMAT=MLN","Sort=A","Dates=H","DateFormat=P","Fill=—","Direction=H","UseDPDF=Y")</f>
        <v>—</v>
      </c>
      <c r="F119" s="13" t="str">
        <f>_xll.BDH("RCOM IN Equity","BS_DEFERRED_COMP_LT_LIABS","FY 2012","FY 2012","Currency=INR","Period=FY","BEST_FPERIOD_OVERRIDE=FY","FILING_STATUS=MR","EQY_CONSOLIDATED=Y","SCALING_FORMAT=MLN","Sort=A","Dates=H","DateFormat=P","Fill=—","Direction=H","UseDPDF=Y")</f>
        <v>—</v>
      </c>
      <c r="G119" s="13" t="str">
        <f>_xll.BDH("RCOM IN Equity","BS_DEFERRED_COMP_LT_LIABS","FY 2013","FY 2013","Currency=INR","Period=FY","BEST_FPERIOD_OVERRIDE=FY","FILING_STATUS=MR","EQY_CONSOLIDATED=Y","SCALING_FORMAT=MLN","Sort=A","Dates=H","DateFormat=P","Fill=—","Direction=H","UseDPDF=Y")</f>
        <v>—</v>
      </c>
      <c r="H119" s="13" t="str">
        <f>_xll.BDH("RCOM IN Equity","BS_DEFERRED_COMP_LT_LIABS","FY 2014","FY 2014","Currency=INR","Period=FY","BEST_FPERIOD_OVERRIDE=FY","FILING_STATUS=MR","EQY_CONSOLIDATED=Y","SCALING_FORMAT=MLN","Sort=A","Dates=H","DateFormat=P","Fill=—","Direction=H","UseDPDF=Y")</f>
        <v>—</v>
      </c>
      <c r="I119" s="13">
        <f>_xll.BDH("RCOM IN Equity","BS_DEFERRED_COMP_LT_LIABS","FY 2015","FY 2015","Currency=INR","Period=FY","BEST_FPERIOD_OVERRIDE=FY","FILING_STATUS=MR","EQY_CONSOLIDATED=Y","SCALING_FORMAT=MLN","Sort=A","Dates=H","DateFormat=P","Fill=—","Direction=H","UseDPDF=Y")</f>
        <v>550</v>
      </c>
      <c r="J119" s="13">
        <f>_xll.BDH("RCOM IN Equity","BS_DEFERRED_COMP_LT_LIABS","FY 2016","FY 2016","Currency=INR","Period=FY","BEST_FPERIOD_OVERRIDE=FY","FILING_STATUS=MR","EQY_CONSOLIDATED=Y","SCALING_FORMAT=MLN","Sort=A","Dates=H","DateFormat=P","Fill=—","Direction=H","UseDPDF=Y")</f>
        <v>700</v>
      </c>
      <c r="K119" s="13">
        <f>_xll.BDH("RCOM IN Equity","BS_DEFERRED_COMP_LT_LIABS","FY 2017","FY 2017","Currency=INR","Period=FY","BEST_FPERIOD_OVERRIDE=FY","FILING_STATUS=MR","EQY_CONSOLIDATED=Y","SCALING_FORMAT=MLN","Sort=A","Dates=H","DateFormat=P","Fill=—","Direction=H","UseDPDF=Y")</f>
        <v>1060</v>
      </c>
      <c r="L119" s="13">
        <f>_xll.BDH("RCOM IN Equity","BS_DEFERRED_COMP_LT_LIABS","FY 2018","FY 2018","Currency=INR","Period=FY","BEST_FPERIOD_OVERRIDE=FY","FILING_STATUS=MR","EQY_CONSOLIDATED=Y","SCALING_FORMAT=MLN","Sort=A","Dates=H","DateFormat=P","Fill=—","Direction=H","UseDPDF=Y")</f>
        <v>180</v>
      </c>
    </row>
    <row r="120" spans="1:12">
      <c r="A120" s="11" t="s">
        <v>754</v>
      </c>
      <c r="B120" s="11" t="s">
        <v>796</v>
      </c>
      <c r="C120" s="25" t="s">
        <v>44</v>
      </c>
      <c r="D120" s="25" t="s">
        <v>44</v>
      </c>
      <c r="E120" s="25" t="s">
        <v>44</v>
      </c>
      <c r="F120" s="25" t="s">
        <v>44</v>
      </c>
      <c r="G120" s="25" t="s">
        <v>44</v>
      </c>
      <c r="H120" s="25" t="s">
        <v>44</v>
      </c>
      <c r="I120" s="25">
        <v>5.9125798198275702E-2</v>
      </c>
      <c r="J120" s="25">
        <v>6.7662922651613305E-2</v>
      </c>
      <c r="K120" s="25">
        <v>0.10628590909546699</v>
      </c>
      <c r="L120" s="25">
        <v>2.4135804124540802E-2</v>
      </c>
    </row>
    <row r="121" spans="1:12">
      <c r="A121" s="10" t="s">
        <v>773</v>
      </c>
      <c r="B121" s="10" t="s">
        <v>797</v>
      </c>
      <c r="C121" s="13">
        <f>_xll.BDH("RCOM IN Equity","LT_DEFERRED_REVENUE","FY 2009","FY 2009","Currency=INR","Period=FY","BEST_FPERIOD_OVERRIDE=FY","FILING_STATUS=MR","EQY_CONSOLIDATED=Y","SCALING_FORMAT=MLN","Sort=A","Dates=H","DateFormat=P","Fill=—","Direction=H","UseDPDF=Y")</f>
        <v>0</v>
      </c>
      <c r="D121" s="13">
        <f>_xll.BDH("RCOM IN Equity","LT_DEFERRED_REVENUE","FY 2010","FY 2010","Currency=INR","Period=FY","BEST_FPERIOD_OVERRIDE=FY","FILING_STATUS=MR","EQY_CONSOLIDATED=Y","SCALING_FORMAT=MLN","Sort=A","Dates=H","DateFormat=P","Fill=—","Direction=H","UseDPDF=Y")</f>
        <v>0</v>
      </c>
      <c r="E121" s="13">
        <f>_xll.BDH("RCOM IN Equity","LT_DEFERRED_REVENUE","FY 2011","FY 2011","Currency=INR","Period=FY","BEST_FPERIOD_OVERRIDE=FY","FILING_STATUS=MR","EQY_CONSOLIDATED=Y","SCALING_FORMAT=MLN","Sort=A","Dates=H","DateFormat=P","Fill=—","Direction=H","UseDPDF=Y")</f>
        <v>9240</v>
      </c>
      <c r="F121" s="13">
        <f>_xll.BDH("RCOM IN Equity","LT_DEFERRED_REVENUE","FY 2012","FY 2012","Currency=INR","Period=FY","BEST_FPERIOD_OVERRIDE=FY","FILING_STATUS=MR","EQY_CONSOLIDATED=Y","SCALING_FORMAT=MLN","Sort=A","Dates=H","DateFormat=P","Fill=—","Direction=H","UseDPDF=Y")</f>
        <v>8520</v>
      </c>
      <c r="G121" s="13">
        <f>_xll.BDH("RCOM IN Equity","LT_DEFERRED_REVENUE","FY 2013","FY 2013","Currency=INR","Period=FY","BEST_FPERIOD_OVERRIDE=FY","FILING_STATUS=MR","EQY_CONSOLIDATED=Y","SCALING_FORMAT=MLN","Sort=A","Dates=H","DateFormat=P","Fill=—","Direction=H","UseDPDF=Y")</f>
        <v>7460</v>
      </c>
      <c r="H121" s="13">
        <f>_xll.BDH("RCOM IN Equity","LT_DEFERRED_REVENUE","FY 2014","FY 2014","Currency=INR","Period=FY","BEST_FPERIOD_OVERRIDE=FY","FILING_STATUS=MR","EQY_CONSOLIDATED=Y","SCALING_FORMAT=MLN","Sort=A","Dates=H","DateFormat=P","Fill=—","Direction=H","UseDPDF=Y")</f>
        <v>3970</v>
      </c>
      <c r="I121" s="13">
        <f>_xll.BDH("RCOM IN Equity","LT_DEFERRED_REVENUE","FY 2015","FY 2015","Currency=INR","Period=FY","BEST_FPERIOD_OVERRIDE=FY","FILING_STATUS=MR","EQY_CONSOLIDATED=Y","SCALING_FORMAT=MLN","Sort=A","Dates=H","DateFormat=P","Fill=—","Direction=H","UseDPDF=Y")</f>
        <v>3490</v>
      </c>
      <c r="J121" s="13">
        <f>_xll.BDH("RCOM IN Equity","LT_DEFERRED_REVENUE","FY 2016","FY 2016","Currency=INR","Period=FY","BEST_FPERIOD_OVERRIDE=FY","FILING_STATUS=MR","EQY_CONSOLIDATED=Y","SCALING_FORMAT=MLN","Sort=A","Dates=H","DateFormat=P","Fill=—","Direction=H","UseDPDF=Y")</f>
        <v>38420</v>
      </c>
      <c r="K121" s="13">
        <f>_xll.BDH("RCOM IN Equity","LT_DEFERRED_REVENUE","FY 2017","FY 2017","Currency=INR","Period=FY","BEST_FPERIOD_OVERRIDE=FY","FILING_STATUS=MR","EQY_CONSOLIDATED=Y","SCALING_FORMAT=MLN","Sort=A","Dates=H","DateFormat=P","Fill=—","Direction=H","UseDPDF=Y")</f>
        <v>33030</v>
      </c>
      <c r="L121" s="13">
        <f>_xll.BDH("RCOM IN Equity","LT_DEFERRED_REVENUE","FY 2018","FY 2018","Currency=INR","Period=FY","BEST_FPERIOD_OVERRIDE=FY","FILING_STATUS=MR","EQY_CONSOLIDATED=Y","SCALING_FORMAT=MLN","Sort=A","Dates=H","DateFormat=P","Fill=—","Direction=H","UseDPDF=Y")</f>
        <v>29260</v>
      </c>
    </row>
    <row r="122" spans="1:12">
      <c r="A122" s="11" t="s">
        <v>754</v>
      </c>
      <c r="B122" s="11" t="s">
        <v>797</v>
      </c>
      <c r="C122" s="25">
        <v>0</v>
      </c>
      <c r="D122" s="25">
        <v>0</v>
      </c>
      <c r="E122" s="25">
        <v>0.97547586119527496</v>
      </c>
      <c r="F122" s="25">
        <v>0.92342708502682502</v>
      </c>
      <c r="G122" s="25">
        <v>0.82721607416114096</v>
      </c>
      <c r="H122" s="25">
        <v>0.43751859729553999</v>
      </c>
      <c r="I122" s="25">
        <v>0.37518006493087702</v>
      </c>
      <c r="J122" s="25">
        <v>3.71372784039283</v>
      </c>
      <c r="K122" s="25">
        <v>3.3119090353049701</v>
      </c>
      <c r="L122" s="25">
        <v>3.9234090482447899</v>
      </c>
    </row>
    <row r="123" spans="1:12">
      <c r="A123" s="10" t="s">
        <v>798</v>
      </c>
      <c r="B123" s="10" t="s">
        <v>799</v>
      </c>
      <c r="C123" s="13">
        <f>_xll.BDH("RCOM IN Equity","BS_DEFERRED_TAX_LIABILITIES_LT","FY 2009","FY 2009","Currency=INR","Period=FY","BEST_FPERIOD_OVERRIDE=FY","FILING_STATUS=MR","EQY_CONSOLIDATED=Y","SCALING_FORMAT=MLN","Sort=A","Dates=H","DateFormat=P","Fill=—","Direction=H","UseDPDF=Y")</f>
        <v>281</v>
      </c>
      <c r="D123" s="13">
        <f>_xll.BDH("RCOM IN Equity","BS_DEFERRED_TAX_LIABILITIES_LT","FY 2010","FY 2010","Currency=INR","Period=FY","BEST_FPERIOD_OVERRIDE=FY","FILING_STATUS=MR","EQY_CONSOLIDATED=Y","SCALING_FORMAT=MLN","Sort=A","Dates=H","DateFormat=P","Fill=—","Direction=H","UseDPDF=Y")</f>
        <v>990.5</v>
      </c>
      <c r="E123" s="13">
        <f>_xll.BDH("RCOM IN Equity","BS_DEFERRED_TAX_LIABILITIES_LT","FY 2011","FY 2011","Currency=INR","Period=FY","BEST_FPERIOD_OVERRIDE=FY","FILING_STATUS=MR","EQY_CONSOLIDATED=Y","SCALING_FORMAT=MLN","Sort=A","Dates=H","DateFormat=P","Fill=—","Direction=H","UseDPDF=Y")</f>
        <v>3670</v>
      </c>
      <c r="F123" s="13">
        <f>_xll.BDH("RCOM IN Equity","BS_DEFERRED_TAX_LIABILITIES_LT","FY 2012","FY 2012","Currency=INR","Period=FY","BEST_FPERIOD_OVERRIDE=FY","FILING_STATUS=MR","EQY_CONSOLIDATED=Y","SCALING_FORMAT=MLN","Sort=A","Dates=H","DateFormat=P","Fill=—","Direction=H","UseDPDF=Y")</f>
        <v>10180</v>
      </c>
      <c r="G123" s="13">
        <f>_xll.BDH("RCOM IN Equity","BS_DEFERRED_TAX_LIABILITIES_LT","FY 2013","FY 2013","Currency=INR","Period=FY","BEST_FPERIOD_OVERRIDE=FY","FILING_STATUS=MR","EQY_CONSOLIDATED=Y","SCALING_FORMAT=MLN","Sort=A","Dates=H","DateFormat=P","Fill=—","Direction=H","UseDPDF=Y")</f>
        <v>13720</v>
      </c>
      <c r="H123" s="13">
        <f>_xll.BDH("RCOM IN Equity","BS_DEFERRED_TAX_LIABILITIES_LT","FY 2014","FY 2014","Currency=INR","Period=FY","BEST_FPERIOD_OVERRIDE=FY","FILING_STATUS=MR","EQY_CONSOLIDATED=Y","SCALING_FORMAT=MLN","Sort=A","Dates=H","DateFormat=P","Fill=—","Direction=H","UseDPDF=Y")</f>
        <v>18030</v>
      </c>
      <c r="I123" s="13">
        <f>_xll.BDH("RCOM IN Equity","BS_DEFERRED_TAX_LIABILITIES_LT","FY 2015","FY 2015","Currency=INR","Period=FY","BEST_FPERIOD_OVERRIDE=FY","FILING_STATUS=MR","EQY_CONSOLIDATED=Y","SCALING_FORMAT=MLN","Sort=A","Dates=H","DateFormat=P","Fill=—","Direction=H","UseDPDF=Y")</f>
        <v>5290</v>
      </c>
      <c r="J123" s="13">
        <f>_xll.BDH("RCOM IN Equity","BS_DEFERRED_TAX_LIABILITIES_LT","FY 2016","FY 2016","Currency=INR","Period=FY","BEST_FPERIOD_OVERRIDE=FY","FILING_STATUS=MR","EQY_CONSOLIDATED=Y","SCALING_FORMAT=MLN","Sort=A","Dates=H","DateFormat=P","Fill=—","Direction=H","UseDPDF=Y")</f>
        <v>38880</v>
      </c>
      <c r="K123" s="13">
        <f>_xll.BDH("RCOM IN Equity","BS_DEFERRED_TAX_LIABILITIES_LT","FY 2017","FY 2017","Currency=INR","Period=FY","BEST_FPERIOD_OVERRIDE=FY","FILING_STATUS=MR","EQY_CONSOLIDATED=Y","SCALING_FORMAT=MLN","Sort=A","Dates=H","DateFormat=P","Fill=—","Direction=H","UseDPDF=Y")</f>
        <v>45500</v>
      </c>
      <c r="L123" s="13">
        <f>_xll.BDH("RCOM IN Equity","BS_DEFERRED_TAX_LIABILITIES_LT","FY 2018","FY 2018","Currency=INR","Period=FY","BEST_FPERIOD_OVERRIDE=FY","FILING_STATUS=MR","EQY_CONSOLIDATED=Y","SCALING_FORMAT=MLN","Sort=A","Dates=H","DateFormat=P","Fill=—","Direction=H","UseDPDF=Y")</f>
        <v>25170</v>
      </c>
    </row>
    <row r="124" spans="1:12">
      <c r="A124" s="11" t="s">
        <v>754</v>
      </c>
      <c r="B124" s="11" t="s">
        <v>799</v>
      </c>
      <c r="C124" s="25">
        <v>2.74932272244785E-2</v>
      </c>
      <c r="D124" s="25">
        <v>0.107001691609782</v>
      </c>
      <c r="E124" s="25">
        <v>0.38744549898123998</v>
      </c>
      <c r="F124" s="25">
        <v>1.1033436297621</v>
      </c>
      <c r="G124" s="25">
        <v>1.5213679004679399</v>
      </c>
      <c r="H124" s="25">
        <v>1.9870177101356601</v>
      </c>
      <c r="I124" s="25">
        <v>0.56868267721614196</v>
      </c>
      <c r="J124" s="25">
        <v>3.7581920467067498</v>
      </c>
      <c r="K124" s="25">
        <v>4.5622725130601296</v>
      </c>
      <c r="L124" s="25">
        <v>3.37498994341495</v>
      </c>
    </row>
    <row r="125" spans="1:12">
      <c r="A125" s="10" t="s">
        <v>775</v>
      </c>
      <c r="B125" s="10" t="s">
        <v>800</v>
      </c>
      <c r="C125" s="13" t="str">
        <f>_xll.BDH("RCOM IN Equity","BS_DERIVATIVE_&amp;_HEDGING_LIABS_LT","FY 2009","FY 2009","Currency=INR","Period=FY","BEST_FPERIOD_OVERRIDE=FY","FILING_STATUS=MR","EQY_CONSOLIDATED=Y","SCALING_FORMAT=MLN","Sort=A","Dates=H","DateFormat=P","Fill=—","Direction=H","UseDPDF=Y")</f>
        <v>—</v>
      </c>
      <c r="D125" s="13" t="str">
        <f>_xll.BDH("RCOM IN Equity","BS_DERIVATIVE_&amp;_HEDGING_LIABS_LT","FY 2010","FY 2010","Currency=INR","Period=FY","BEST_FPERIOD_OVERRIDE=FY","FILING_STATUS=MR","EQY_CONSOLIDATED=Y","SCALING_FORMAT=MLN","Sort=A","Dates=H","DateFormat=P","Fill=—","Direction=H","UseDPDF=Y")</f>
        <v>—</v>
      </c>
      <c r="E125" s="13" t="str">
        <f>_xll.BDH("RCOM IN Equity","BS_DERIVATIVE_&amp;_HEDGING_LIABS_LT","FY 2011","FY 2011","Currency=INR","Period=FY","BEST_FPERIOD_OVERRIDE=FY","FILING_STATUS=MR","EQY_CONSOLIDATED=Y","SCALING_FORMAT=MLN","Sort=A","Dates=H","DateFormat=P","Fill=—","Direction=H","UseDPDF=Y")</f>
        <v>—</v>
      </c>
      <c r="F125" s="13" t="str">
        <f>_xll.BDH("RCOM IN Equity","BS_DERIVATIVE_&amp;_HEDGING_LIABS_LT","FY 2012","FY 2012","Currency=INR","Period=FY","BEST_FPERIOD_OVERRIDE=FY","FILING_STATUS=MR","EQY_CONSOLIDATED=Y","SCALING_FORMAT=MLN","Sort=A","Dates=H","DateFormat=P","Fill=—","Direction=H","UseDPDF=Y")</f>
        <v>—</v>
      </c>
      <c r="G125" s="13" t="str">
        <f>_xll.BDH("RCOM IN Equity","BS_DERIVATIVE_&amp;_HEDGING_LIABS_LT","FY 2013","FY 2013","Currency=INR","Period=FY","BEST_FPERIOD_OVERRIDE=FY","FILING_STATUS=MR","EQY_CONSOLIDATED=Y","SCALING_FORMAT=MLN","Sort=A","Dates=H","DateFormat=P","Fill=—","Direction=H","UseDPDF=Y")</f>
        <v>—</v>
      </c>
      <c r="H125" s="13" t="str">
        <f>_xll.BDH("RCOM IN Equity","BS_DERIVATIVE_&amp;_HEDGING_LIABS_LT","FY 2014","FY 2014","Currency=INR","Period=FY","BEST_FPERIOD_OVERRIDE=FY","FILING_STATUS=MR","EQY_CONSOLIDATED=Y","SCALING_FORMAT=MLN","Sort=A","Dates=H","DateFormat=P","Fill=—","Direction=H","UseDPDF=Y")</f>
        <v>—</v>
      </c>
      <c r="I125" s="13" t="str">
        <f>_xll.BDH("RCOM IN Equity","BS_DERIVATIVE_&amp;_HEDGING_LIABS_LT","FY 2015","FY 2015","Currency=INR","Period=FY","BEST_FPERIOD_OVERRIDE=FY","FILING_STATUS=MR","EQY_CONSOLIDATED=Y","SCALING_FORMAT=MLN","Sort=A","Dates=H","DateFormat=P","Fill=—","Direction=H","UseDPDF=Y")</f>
        <v>—</v>
      </c>
      <c r="J125" s="13" t="str">
        <f>_xll.BDH("RCOM IN Equity","BS_DERIVATIVE_&amp;_HEDGING_LIABS_LT","FY 2016","FY 2016","Currency=INR","Period=FY","BEST_FPERIOD_OVERRIDE=FY","FILING_STATUS=MR","EQY_CONSOLIDATED=Y","SCALING_FORMAT=MLN","Sort=A","Dates=H","DateFormat=P","Fill=—","Direction=H","UseDPDF=Y")</f>
        <v>—</v>
      </c>
      <c r="K125" s="13">
        <f>_xll.BDH("RCOM IN Equity","BS_DERIVATIVE_&amp;_HEDGING_LIABS_LT","FY 2017","FY 2017","Currency=INR","Period=FY","BEST_FPERIOD_OVERRIDE=FY","FILING_STATUS=MR","EQY_CONSOLIDATED=Y","SCALING_FORMAT=MLN","Sort=A","Dates=H","DateFormat=P","Fill=—","Direction=H","UseDPDF=Y")</f>
        <v>0</v>
      </c>
      <c r="L125" s="13">
        <f>_xll.BDH("RCOM IN Equity","BS_DERIVATIVE_&amp;_HEDGING_LIABS_LT","FY 2018","FY 2018","Currency=INR","Period=FY","BEST_FPERIOD_OVERRIDE=FY","FILING_STATUS=MR","EQY_CONSOLIDATED=Y","SCALING_FORMAT=MLN","Sort=A","Dates=H","DateFormat=P","Fill=—","Direction=H","UseDPDF=Y")</f>
        <v>0</v>
      </c>
    </row>
    <row r="126" spans="1:12">
      <c r="A126" s="11" t="s">
        <v>754</v>
      </c>
      <c r="B126" s="11" t="s">
        <v>800</v>
      </c>
      <c r="C126" s="25" t="s">
        <v>44</v>
      </c>
      <c r="D126" s="25" t="s">
        <v>44</v>
      </c>
      <c r="E126" s="25" t="s">
        <v>44</v>
      </c>
      <c r="F126" s="25" t="s">
        <v>44</v>
      </c>
      <c r="G126" s="25" t="s">
        <v>44</v>
      </c>
      <c r="H126" s="25" t="s">
        <v>44</v>
      </c>
      <c r="I126" s="25" t="s">
        <v>44</v>
      </c>
      <c r="J126" s="25" t="s">
        <v>44</v>
      </c>
      <c r="K126" s="25">
        <v>0</v>
      </c>
      <c r="L126" s="25">
        <v>0</v>
      </c>
    </row>
    <row r="127" spans="1:12">
      <c r="A127" s="10" t="s">
        <v>801</v>
      </c>
      <c r="B127" s="10" t="s">
        <v>802</v>
      </c>
      <c r="C127" s="13">
        <f>_xll.BDH("RCOM IN Equity","OTHER_NONCURRENT_LIABS_DETAILED","FY 2009","FY 2009","Currency=INR","Period=FY","BEST_FPERIOD_OVERRIDE=FY","FILING_STATUS=MR","EQY_CONSOLIDATED=Y","SCALING_FORMAT=MLN","Sort=A","Dates=H","DateFormat=P","Fill=—","Direction=H","UseDPDF=Y")</f>
        <v>0</v>
      </c>
      <c r="D127" s="13">
        <f>_xll.BDH("RCOM IN Equity","OTHER_NONCURRENT_LIABS_DETAILED","FY 2010","FY 2010","Currency=INR","Period=FY","BEST_FPERIOD_OVERRIDE=FY","FILING_STATUS=MR","EQY_CONSOLIDATED=Y","SCALING_FORMAT=MLN","Sort=A","Dates=H","DateFormat=P","Fill=—","Direction=H","UseDPDF=Y")</f>
        <v>0</v>
      </c>
      <c r="E127" s="13">
        <f>_xll.BDH("RCOM IN Equity","OTHER_NONCURRENT_LIABS_DETAILED","FY 2011","FY 2011","Currency=INR","Period=FY","BEST_FPERIOD_OVERRIDE=FY","FILING_STATUS=MR","EQY_CONSOLIDATED=Y","SCALING_FORMAT=MLN","Sort=A","Dates=H","DateFormat=P","Fill=—","Direction=H","UseDPDF=Y")</f>
        <v>4940</v>
      </c>
      <c r="F127" s="13">
        <f>_xll.BDH("RCOM IN Equity","OTHER_NONCURRENT_LIABS_DETAILED","FY 2012","FY 2012","Currency=INR","Period=FY","BEST_FPERIOD_OVERRIDE=FY","FILING_STATUS=MR","EQY_CONSOLIDATED=Y","SCALING_FORMAT=MLN","Sort=A","Dates=H","DateFormat=P","Fill=—","Direction=H","UseDPDF=Y")</f>
        <v>11890</v>
      </c>
      <c r="G127" s="13">
        <f>_xll.BDH("RCOM IN Equity","OTHER_NONCURRENT_LIABS_DETAILED","FY 2013","FY 2013","Currency=INR","Period=FY","BEST_FPERIOD_OVERRIDE=FY","FILING_STATUS=MR","EQY_CONSOLIDATED=Y","SCALING_FORMAT=MLN","Sort=A","Dates=H","DateFormat=P","Fill=—","Direction=H","UseDPDF=Y")</f>
        <v>13720</v>
      </c>
      <c r="H127" s="13">
        <f>_xll.BDH("RCOM IN Equity","OTHER_NONCURRENT_LIABS_DETAILED","FY 2014","FY 2014","Currency=INR","Period=FY","BEST_FPERIOD_OVERRIDE=FY","FILING_STATUS=MR","EQY_CONSOLIDATED=Y","SCALING_FORMAT=MLN","Sort=A","Dates=H","DateFormat=P","Fill=—","Direction=H","UseDPDF=Y")</f>
        <v>12790</v>
      </c>
      <c r="I127" s="13">
        <f>_xll.BDH("RCOM IN Equity","OTHER_NONCURRENT_LIABS_DETAILED","FY 2015","FY 2015","Currency=INR","Period=FY","BEST_FPERIOD_OVERRIDE=FY","FILING_STATUS=MR","EQY_CONSOLIDATED=Y","SCALING_FORMAT=MLN","Sort=A","Dates=H","DateFormat=P","Fill=—","Direction=H","UseDPDF=Y")</f>
        <v>4990</v>
      </c>
      <c r="J127" s="13">
        <f>_xll.BDH("RCOM IN Equity","OTHER_NONCURRENT_LIABS_DETAILED","FY 2016","FY 2016","Currency=INR","Period=FY","BEST_FPERIOD_OVERRIDE=FY","FILING_STATUS=MR","EQY_CONSOLIDATED=Y","SCALING_FORMAT=MLN","Sort=A","Dates=H","DateFormat=P","Fill=—","Direction=H","UseDPDF=Y")</f>
        <v>69990</v>
      </c>
      <c r="K127" s="13">
        <f>_xll.BDH("RCOM IN Equity","OTHER_NONCURRENT_LIABS_DETAILED","FY 2017","FY 2017","Currency=INR","Period=FY","BEST_FPERIOD_OVERRIDE=FY","FILING_STATUS=MR","EQY_CONSOLIDATED=Y","SCALING_FORMAT=MLN","Sort=A","Dates=H","DateFormat=P","Fill=—","Direction=H","UseDPDF=Y")</f>
        <v>42190</v>
      </c>
      <c r="L127" s="13">
        <f>_xll.BDH("RCOM IN Equity","OTHER_NONCURRENT_LIABS_DETAILED","FY 2018","FY 2018","Currency=INR","Period=FY","BEST_FPERIOD_OVERRIDE=FY","FILING_STATUS=MR","EQY_CONSOLIDATED=Y","SCALING_FORMAT=MLN","Sort=A","Dates=H","DateFormat=P","Fill=—","Direction=H","UseDPDF=Y")</f>
        <v>4540</v>
      </c>
    </row>
    <row r="128" spans="1:12">
      <c r="A128" s="11" t="s">
        <v>754</v>
      </c>
      <c r="B128" s="11" t="s">
        <v>802</v>
      </c>
      <c r="C128" s="25">
        <v>0</v>
      </c>
      <c r="D128" s="25">
        <v>0</v>
      </c>
      <c r="E128" s="25">
        <v>0.52152064440526602</v>
      </c>
      <c r="F128" s="25">
        <v>1.2886793475315701</v>
      </c>
      <c r="G128" s="25">
        <v>1.5213679004679399</v>
      </c>
      <c r="H128" s="25">
        <v>1.4095372441838701</v>
      </c>
      <c r="I128" s="25">
        <v>0.53643224183526494</v>
      </c>
      <c r="J128" s="25">
        <v>6.7653256519805902</v>
      </c>
      <c r="K128" s="25">
        <v>4.2303797214507002</v>
      </c>
      <c r="L128" s="25">
        <v>0.608758615141194</v>
      </c>
    </row>
    <row r="129" spans="1:12">
      <c r="A129" s="6" t="s">
        <v>803</v>
      </c>
      <c r="B129" s="6" t="s">
        <v>804</v>
      </c>
      <c r="C129" s="19">
        <f>_xll.BDH("RCOM IN Equity","NON_CUR_LIAB","FY 2009","FY 2009","Currency=INR","Period=FY","BEST_FPERIOD_OVERRIDE=FY","FILING_STATUS=MR","EQY_CONSOLIDATED=Y","SCALING_FORMAT=MLN","Sort=A","Dates=H","DateFormat=P","Fill=—","Direction=H","UseDPDF=Y")</f>
        <v>273187.3</v>
      </c>
      <c r="D129" s="19">
        <f>_xll.BDH("RCOM IN Equity","NON_CUR_LIAB","FY 2010","FY 2010","Currency=INR","Period=FY","BEST_FPERIOD_OVERRIDE=FY","FILING_STATUS=MR","EQY_CONSOLIDATED=Y","SCALING_FORMAT=MLN","Sort=A","Dates=H","DateFormat=P","Fill=—","Direction=H","UseDPDF=Y")</f>
        <v>193508.7</v>
      </c>
      <c r="E129" s="19">
        <f>_xll.BDH("RCOM IN Equity","NON_CUR_LIAB","FY 2011","FY 2011","Currency=INR","Period=FY","BEST_FPERIOD_OVERRIDE=FY","FILING_STATUS=MR","EQY_CONSOLIDATED=Y","SCALING_FORMAT=MLN","Sort=A","Dates=H","DateFormat=P","Fill=—","Direction=H","UseDPDF=Y")</f>
        <v>210980</v>
      </c>
      <c r="F129" s="19">
        <f>_xll.BDH("RCOM IN Equity","NON_CUR_LIAB","FY 2012","FY 2012","Currency=INR","Period=FY","BEST_FPERIOD_OVERRIDE=FY","FILING_STATUS=MR","EQY_CONSOLIDATED=Y","SCALING_FORMAT=MLN","Sort=A","Dates=H","DateFormat=P","Fill=—","Direction=H","UseDPDF=Y")</f>
        <v>327050</v>
      </c>
      <c r="G129" s="19">
        <f>_xll.BDH("RCOM IN Equity","NON_CUR_LIAB","FY 2013","FY 2013","Currency=INR","Period=FY","BEST_FPERIOD_OVERRIDE=FY","FILING_STATUS=MR","EQY_CONSOLIDATED=Y","SCALING_FORMAT=MLN","Sort=A","Dates=H","DateFormat=P","Fill=—","Direction=H","UseDPDF=Y")</f>
        <v>321680</v>
      </c>
      <c r="H129" s="19">
        <f>_xll.BDH("RCOM IN Equity","NON_CUR_LIAB","FY 2014","FY 2014","Currency=INR","Period=FY","BEST_FPERIOD_OVERRIDE=FY","FILING_STATUS=MR","EQY_CONSOLIDATED=Y","SCALING_FORMAT=MLN","Sort=A","Dates=H","DateFormat=P","Fill=—","Direction=H","UseDPDF=Y")</f>
        <v>316620</v>
      </c>
      <c r="I129" s="19">
        <f>_xll.BDH("RCOM IN Equity","NON_CUR_LIAB","FY 2015","FY 2015","Currency=INR","Period=FY","BEST_FPERIOD_OVERRIDE=FY","FILING_STATUS=MR","EQY_CONSOLIDATED=Y","SCALING_FORMAT=MLN","Sort=A","Dates=H","DateFormat=P","Fill=—","Direction=H","UseDPDF=Y")</f>
        <v>319130</v>
      </c>
      <c r="J129" s="19">
        <f>_xll.BDH("RCOM IN Equity","NON_CUR_LIAB","FY 2016","FY 2016","Currency=INR","Period=FY","BEST_FPERIOD_OVERRIDE=FY","FILING_STATUS=MR","EQY_CONSOLIDATED=Y","SCALING_FORMAT=MLN","Sort=A","Dates=H","DateFormat=P","Fill=—","Direction=H","UseDPDF=Y")</f>
        <v>439130</v>
      </c>
      <c r="K129" s="19">
        <f>_xll.BDH("RCOM IN Equity","NON_CUR_LIAB","FY 2017","FY 2017","Currency=INR","Period=FY","BEST_FPERIOD_OVERRIDE=FY","FILING_STATUS=MR","EQY_CONSOLIDATED=Y","SCALING_FORMAT=MLN","Sort=A","Dates=H","DateFormat=P","Fill=—","Direction=H","UseDPDF=Y")</f>
        <v>347280</v>
      </c>
      <c r="L129" s="19">
        <f>_xll.BDH("RCOM IN Equity","NON_CUR_LIAB","FY 2018","FY 2018","Currency=INR","Period=FY","BEST_FPERIOD_OVERRIDE=FY","FILING_STATUS=MR","EQY_CONSOLIDATED=Y","SCALING_FORMAT=MLN","Sort=A","Dates=H","DateFormat=P","Fill=—","Direction=H","UseDPDF=Y")</f>
        <v>189850</v>
      </c>
    </row>
    <row r="130" spans="1:12">
      <c r="A130" s="11" t="s">
        <v>754</v>
      </c>
      <c r="B130" s="11" t="s">
        <v>804</v>
      </c>
      <c r="C130" s="25">
        <v>26.728827451038299</v>
      </c>
      <c r="D130" s="25">
        <v>20.904349562049301</v>
      </c>
      <c r="E130" s="25">
        <v>22.273365497292101</v>
      </c>
      <c r="F130" s="25">
        <v>35.446810816669398</v>
      </c>
      <c r="G130" s="25">
        <v>35.670089374819803</v>
      </c>
      <c r="H130" s="25">
        <v>34.893485711766701</v>
      </c>
      <c r="I130" s="25">
        <v>34.306938143664901</v>
      </c>
      <c r="J130" s="25">
        <v>42.446884605718502</v>
      </c>
      <c r="K130" s="25">
        <v>34.821670293088403</v>
      </c>
      <c r="L130" s="25">
        <v>25.456568961355899</v>
      </c>
    </row>
    <row r="131" spans="1:12">
      <c r="A131" s="6" t="s">
        <v>81</v>
      </c>
      <c r="B131" s="6" t="s">
        <v>82</v>
      </c>
      <c r="C131" s="19">
        <f>_xll.BDH("RCOM IN Equity","BS_TOT_LIAB2","FY 2009","FY 2009","Currency=INR","Period=FY","BEST_FPERIOD_OVERRIDE=FY","FILING_STATUS=MR","EQY_CONSOLIDATED=Y","SCALING_FORMAT=MLN","Sort=A","Dates=H","DateFormat=P","Fill=—","Direction=H","UseDPDF=Y")</f>
        <v>592717.5</v>
      </c>
      <c r="D131" s="19">
        <f>_xll.BDH("RCOM IN Equity","BS_TOT_LIAB2","FY 2010","FY 2010","Currency=INR","Period=FY","BEST_FPERIOD_OVERRIDE=FY","FILING_STATUS=MR","EQY_CONSOLIDATED=Y","SCALING_FORMAT=MLN","Sort=A","Dates=H","DateFormat=P","Fill=—","Direction=H","UseDPDF=Y")</f>
        <v>485496</v>
      </c>
      <c r="E131" s="19">
        <f>_xll.BDH("RCOM IN Equity","BS_TOT_LIAB2","FY 2011","FY 2011","Currency=INR","Period=FY","BEST_FPERIOD_OVERRIDE=FY","FILING_STATUS=MR","EQY_CONSOLIDATED=Y","SCALING_FORMAT=MLN","Sort=A","Dates=H","DateFormat=P","Fill=—","Direction=H","UseDPDF=Y")</f>
        <v>534000</v>
      </c>
      <c r="F131" s="19">
        <f>_xll.BDH("RCOM IN Equity","BS_TOT_LIAB2","FY 2012","FY 2012","Currency=INR","Period=FY","BEST_FPERIOD_OVERRIDE=FY","FILING_STATUS=MR","EQY_CONSOLIDATED=Y","SCALING_FORMAT=MLN","Sort=A","Dates=H","DateFormat=P","Fill=—","Direction=H","UseDPDF=Y")</f>
        <v>551090</v>
      </c>
      <c r="G131" s="19">
        <f>_xll.BDH("RCOM IN Equity","BS_TOT_LIAB2","FY 2013","FY 2013","Currency=INR","Period=FY","BEST_FPERIOD_OVERRIDE=FY","FILING_STATUS=MR","EQY_CONSOLIDATED=Y","SCALING_FORMAT=MLN","Sort=A","Dates=H","DateFormat=P","Fill=—","Direction=H","UseDPDF=Y")</f>
        <v>556070</v>
      </c>
      <c r="H131" s="19">
        <f>_xll.BDH("RCOM IN Equity","BS_TOT_LIAB2","FY 2014","FY 2014","Currency=INR","Period=FY","BEST_FPERIOD_OVERRIDE=FY","FILING_STATUS=MR","EQY_CONSOLIDATED=Y","SCALING_FORMAT=MLN","Sort=A","Dates=H","DateFormat=P","Fill=—","Direction=H","UseDPDF=Y")</f>
        <v>572000</v>
      </c>
      <c r="I131" s="19">
        <f>_xll.BDH("RCOM IN Equity","BS_TOT_LIAB2","FY 2015","FY 2015","Currency=INR","Period=FY","BEST_FPERIOD_OVERRIDE=FY","FILING_STATUS=MR","EQY_CONSOLIDATED=Y","SCALING_FORMAT=MLN","Sort=A","Dates=H","DateFormat=P","Fill=—","Direction=H","UseDPDF=Y")</f>
        <v>528360</v>
      </c>
      <c r="J131" s="19">
        <f>_xll.BDH("RCOM IN Equity","BS_TOT_LIAB2","FY 2016","FY 2016","Currency=INR","Period=FY","BEST_FPERIOD_OVERRIDE=FY","FILING_STATUS=MR","EQY_CONSOLIDATED=Y","SCALING_FORMAT=MLN","Sort=A","Dates=H","DateFormat=P","Fill=—","Direction=H","UseDPDF=Y")</f>
        <v>715890</v>
      </c>
      <c r="K131" s="19">
        <f>_xll.BDH("RCOM IN Equity","BS_TOT_LIAB2","FY 2017","FY 2017","Currency=INR","Period=FY","BEST_FPERIOD_OVERRIDE=FY","FILING_STATUS=MR","EQY_CONSOLIDATED=Y","SCALING_FORMAT=MLN","Sort=A","Dates=H","DateFormat=P","Fill=—","Direction=H","UseDPDF=Y")</f>
        <v>707620</v>
      </c>
      <c r="L131" s="19">
        <f>_xll.BDH("RCOM IN Equity","BS_TOT_LIAB2","FY 2018","FY 2018","Currency=INR","Period=FY","BEST_FPERIOD_OVERRIDE=FY","FILING_STATUS=MR","EQY_CONSOLIDATED=Y","SCALING_FORMAT=MLN","Sort=A","Dates=H","DateFormat=P","Fill=—","Direction=H","UseDPDF=Y")</f>
        <v>714630</v>
      </c>
    </row>
    <row r="132" spans="1:12">
      <c r="A132" s="11" t="s">
        <v>754</v>
      </c>
      <c r="B132" s="11" t="s">
        <v>82</v>
      </c>
      <c r="C132" s="25">
        <v>57.991875115390798</v>
      </c>
      <c r="D132" s="25">
        <v>52.447141110330797</v>
      </c>
      <c r="E132" s="25">
        <v>56.374903666480201</v>
      </c>
      <c r="F132" s="25">
        <v>59.729041348290203</v>
      </c>
      <c r="G132" s="25">
        <v>61.660863586968603</v>
      </c>
      <c r="H132" s="25">
        <v>63.0379439932113</v>
      </c>
      <c r="I132" s="25">
        <v>56.799466792801702</v>
      </c>
      <c r="J132" s="25">
        <v>69.198870995804896</v>
      </c>
      <c r="K132" s="25">
        <v>70.952863202013404</v>
      </c>
      <c r="L132" s="25">
        <v>95.823165008447504</v>
      </c>
    </row>
    <row r="133" spans="1:12">
      <c r="A133" s="10" t="s">
        <v>805</v>
      </c>
      <c r="B133" s="10" t="s">
        <v>123</v>
      </c>
      <c r="C133" s="13">
        <f>_xll.BDH("RCOM IN Equity","BS_PFD_EQTY_&amp;_HYBRID_CPTL","FY 2009","FY 2009","Currency=INR","Period=FY","BEST_FPERIOD_OVERRIDE=FY","FILING_STATUS=MR","EQY_CONSOLIDATED=Y","SCALING_FORMAT=MLN","Sort=A","Dates=H","DateFormat=P","Fill=—","Direction=H","UseDPDF=Y")</f>
        <v>0</v>
      </c>
      <c r="D133" s="13">
        <f>_xll.BDH("RCOM IN Equity","BS_PFD_EQTY_&amp;_HYBRID_CPTL","FY 2010","FY 2010","Currency=INR","Period=FY","BEST_FPERIOD_OVERRIDE=FY","FILING_STATUS=MR","EQY_CONSOLIDATED=Y","SCALING_FORMAT=MLN","Sort=A","Dates=H","DateFormat=P","Fill=—","Direction=H","UseDPDF=Y")</f>
        <v>0</v>
      </c>
      <c r="E133" s="13">
        <f>_xll.BDH("RCOM IN Equity","BS_PFD_EQTY_&amp;_HYBRID_CPTL","FY 2011","FY 2011","Currency=INR","Period=FY","BEST_FPERIOD_OVERRIDE=FY","FILING_STATUS=MR","EQY_CONSOLIDATED=Y","SCALING_FORMAT=MLN","Sort=A","Dates=H","DateFormat=P","Fill=—","Direction=H","UseDPDF=Y")</f>
        <v>0</v>
      </c>
      <c r="F133" s="13">
        <f>_xll.BDH("RCOM IN Equity","BS_PFD_EQTY_&amp;_HYBRID_CPTL","FY 2012","FY 2012","Currency=INR","Period=FY","BEST_FPERIOD_OVERRIDE=FY","FILING_STATUS=MR","EQY_CONSOLIDATED=Y","SCALING_FORMAT=MLN","Sort=A","Dates=H","DateFormat=P","Fill=—","Direction=H","UseDPDF=Y")</f>
        <v>0</v>
      </c>
      <c r="G133" s="13">
        <f>_xll.BDH("RCOM IN Equity","BS_PFD_EQTY_&amp;_HYBRID_CPTL","FY 2013","FY 2013","Currency=INR","Period=FY","BEST_FPERIOD_OVERRIDE=FY","FILING_STATUS=MR","EQY_CONSOLIDATED=Y","SCALING_FORMAT=MLN","Sort=A","Dates=H","DateFormat=P","Fill=—","Direction=H","UseDPDF=Y")</f>
        <v>0</v>
      </c>
      <c r="H133" s="13">
        <f>_xll.BDH("RCOM IN Equity","BS_PFD_EQTY_&amp;_HYBRID_CPTL","FY 2014","FY 2014","Currency=INR","Period=FY","BEST_FPERIOD_OVERRIDE=FY","FILING_STATUS=MR","EQY_CONSOLIDATED=Y","SCALING_FORMAT=MLN","Sort=A","Dates=H","DateFormat=P","Fill=—","Direction=H","UseDPDF=Y")</f>
        <v>0</v>
      </c>
      <c r="I133" s="13">
        <f>_xll.BDH("RCOM IN Equity","BS_PFD_EQTY_&amp;_HYBRID_CPTL","FY 2015","FY 2015","Currency=INR","Period=FY","BEST_FPERIOD_OVERRIDE=FY","FILING_STATUS=MR","EQY_CONSOLIDATED=Y","SCALING_FORMAT=MLN","Sort=A","Dates=H","DateFormat=P","Fill=—","Direction=H","UseDPDF=Y")</f>
        <v>0</v>
      </c>
      <c r="J133" s="13">
        <f>_xll.BDH("RCOM IN Equity","BS_PFD_EQTY_&amp;_HYBRID_CPTL","FY 2016","FY 2016","Currency=INR","Period=FY","BEST_FPERIOD_OVERRIDE=FY","FILING_STATUS=MR","EQY_CONSOLIDATED=Y","SCALING_FORMAT=MLN","Sort=A","Dates=H","DateFormat=P","Fill=—","Direction=H","UseDPDF=Y")</f>
        <v>0</v>
      </c>
      <c r="K133" s="13">
        <f>_xll.BDH("RCOM IN Equity","BS_PFD_EQTY_&amp;_HYBRID_CPTL","FY 2017","FY 2017","Currency=INR","Period=FY","BEST_FPERIOD_OVERRIDE=FY","FILING_STATUS=MR","EQY_CONSOLIDATED=Y","SCALING_FORMAT=MLN","Sort=A","Dates=H","DateFormat=P","Fill=—","Direction=H","UseDPDF=Y")</f>
        <v>0</v>
      </c>
      <c r="L133" s="13">
        <f>_xll.BDH("RCOM IN Equity","BS_PFD_EQTY_&amp;_HYBRID_CPTL","FY 2018","FY 2018","Currency=INR","Period=FY","BEST_FPERIOD_OVERRIDE=FY","FILING_STATUS=MR","EQY_CONSOLIDATED=Y","SCALING_FORMAT=MLN","Sort=A","Dates=H","DateFormat=P","Fill=—","Direction=H","UseDPDF=Y")</f>
        <v>0</v>
      </c>
    </row>
    <row r="134" spans="1:12">
      <c r="A134" s="11" t="s">
        <v>754</v>
      </c>
      <c r="B134" s="11" t="s">
        <v>123</v>
      </c>
      <c r="C134" s="25">
        <v>0</v>
      </c>
      <c r="D134" s="25">
        <v>0</v>
      </c>
      <c r="E134" s="25">
        <v>0</v>
      </c>
      <c r="F134" s="25">
        <v>0</v>
      </c>
      <c r="G134" s="25">
        <v>0</v>
      </c>
      <c r="H134" s="25">
        <v>0</v>
      </c>
      <c r="I134" s="25">
        <v>0</v>
      </c>
      <c r="J134" s="25">
        <v>0</v>
      </c>
      <c r="K134" s="25">
        <v>0</v>
      </c>
      <c r="L134" s="25">
        <v>0</v>
      </c>
    </row>
    <row r="135" spans="1:12">
      <c r="A135" s="10" t="s">
        <v>806</v>
      </c>
      <c r="B135" s="10" t="s">
        <v>807</v>
      </c>
      <c r="C135" s="13">
        <f>_xll.BDH("RCOM IN Equity","BS_SH_CAP_AND_APIC","FY 2009","FY 2009","Currency=INR","Period=FY","BEST_FPERIOD_OVERRIDE=FY","FILING_STATUS=MR","EQY_CONSOLIDATED=Y","SCALING_FORMAT=MLN","Sort=A","Dates=H","DateFormat=P","Fill=—","Direction=H","UseDPDF=Y")</f>
        <v>102039.4</v>
      </c>
      <c r="D135" s="13">
        <f>_xll.BDH("RCOM IN Equity","BS_SH_CAP_AND_APIC","FY 2010","FY 2010","Currency=INR","Period=FY","BEST_FPERIOD_OVERRIDE=FY","FILING_STATUS=MR","EQY_CONSOLIDATED=Y","SCALING_FORMAT=MLN","Sort=A","Dates=H","DateFormat=P","Fill=—","Direction=H","UseDPDF=Y")</f>
        <v>99146.4</v>
      </c>
      <c r="E135" s="13">
        <f>_xll.BDH("RCOM IN Equity","BS_SH_CAP_AND_APIC","FY 2011","FY 2011","Currency=INR","Period=FY","BEST_FPERIOD_OVERRIDE=FY","FILING_STATUS=MR","EQY_CONSOLIDATED=Y","SCALING_FORMAT=MLN","Sort=A","Dates=H","DateFormat=P","Fill=—","Direction=H","UseDPDF=Y")</f>
        <v>96130</v>
      </c>
      <c r="F135" s="13">
        <f>_xll.BDH("RCOM IN Equity","BS_SH_CAP_AND_APIC","FY 2012","FY 2012","Currency=INR","Period=FY","BEST_FPERIOD_OVERRIDE=FY","FILING_STATUS=MR","EQY_CONSOLIDATED=Y","SCALING_FORMAT=MLN","Sort=A","Dates=H","DateFormat=P","Fill=—","Direction=H","UseDPDF=Y")</f>
        <v>90790</v>
      </c>
      <c r="G135" s="13">
        <f>_xll.BDH("RCOM IN Equity","BS_SH_CAP_AND_APIC","FY 2013","FY 2013","Currency=INR","Period=FY","BEST_FPERIOD_OVERRIDE=FY","FILING_STATUS=MR","EQY_CONSOLIDATED=Y","SCALING_FORMAT=MLN","Sort=A","Dates=H","DateFormat=P","Fill=—","Direction=H","UseDPDF=Y")</f>
        <v>90790</v>
      </c>
      <c r="H135" s="13">
        <f>_xll.BDH("RCOM IN Equity","BS_SH_CAP_AND_APIC","FY 2014","FY 2014","Currency=INR","Period=FY","BEST_FPERIOD_OVERRIDE=FY","FILING_STATUS=MR","EQY_CONSOLIDATED=Y","SCALING_FORMAT=MLN","Sort=A","Dates=H","DateFormat=P","Fill=—","Direction=H","UseDPDF=Y")</f>
        <v>90790</v>
      </c>
      <c r="I135" s="13">
        <f>_xll.BDH("RCOM IN Equity","BS_SH_CAP_AND_APIC","FY 2015","FY 2015","Currency=INR","Period=FY","BEST_FPERIOD_OVERRIDE=FY","FILING_STATUS=MR","EQY_CONSOLIDATED=Y","SCALING_FORMAT=MLN","Sort=A","Dates=H","DateFormat=P","Fill=—","Direction=H","UseDPDF=Y")</f>
        <v>151380</v>
      </c>
      <c r="J135" s="13">
        <f>_xll.BDH("RCOM IN Equity","BS_SH_CAP_AND_APIC","FY 2016","FY 2016","Currency=INR","Period=FY","BEST_FPERIOD_OVERRIDE=FY","FILING_STATUS=MR","EQY_CONSOLIDATED=Y","SCALING_FORMAT=MLN","Sort=A","Dates=H","DateFormat=P","Fill=—","Direction=H","UseDPDF=Y")</f>
        <v>151380</v>
      </c>
      <c r="K135" s="13">
        <f>_xll.BDH("RCOM IN Equity","BS_SH_CAP_AND_APIC","FY 2017","FY 2017","Currency=INR","Period=FY","BEST_FPERIOD_OVERRIDE=FY","FILING_STATUS=MR","EQY_CONSOLIDATED=Y","SCALING_FORMAT=MLN","Sort=A","Dates=H","DateFormat=P","Fill=—","Direction=H","UseDPDF=Y")</f>
        <v>151380</v>
      </c>
      <c r="L135" s="13">
        <f>_xll.BDH("RCOM IN Equity","BS_SH_CAP_AND_APIC","FY 2018","FY 2018","Currency=INR","Period=FY","BEST_FPERIOD_OVERRIDE=FY","FILING_STATUS=MR","EQY_CONSOLIDATED=Y","SCALING_FORMAT=MLN","Sort=A","Dates=H","DateFormat=P","Fill=—","Direction=H","UseDPDF=Y")</f>
        <v>152770</v>
      </c>
    </row>
    <row r="136" spans="1:12">
      <c r="A136" s="11" t="s">
        <v>754</v>
      </c>
      <c r="B136" s="11" t="s">
        <v>807</v>
      </c>
      <c r="C136" s="25">
        <v>9.9836028827382606</v>
      </c>
      <c r="D136" s="25">
        <v>10.710583056052601</v>
      </c>
      <c r="E136" s="25">
        <v>10.148538369772901</v>
      </c>
      <c r="F136" s="25">
        <v>9.8401343954912495</v>
      </c>
      <c r="G136" s="25">
        <v>10.067419218912899</v>
      </c>
      <c r="H136" s="25">
        <v>10.005620515985401</v>
      </c>
      <c r="I136" s="25">
        <v>16.2735696931909</v>
      </c>
      <c r="J136" s="25">
        <v>14.632590330001699</v>
      </c>
      <c r="K136" s="25">
        <v>15.178831055539399</v>
      </c>
      <c r="L136" s="25">
        <v>20.4845933117005</v>
      </c>
    </row>
    <row r="137" spans="1:12">
      <c r="A137" s="10" t="s">
        <v>808</v>
      </c>
      <c r="B137" s="10" t="s">
        <v>809</v>
      </c>
      <c r="C137" s="13">
        <f>_xll.BDH("RCOM IN Equity","BS_COMMON_STOCK","FY 2009","FY 2009","Currency=INR","Period=FY","BEST_FPERIOD_OVERRIDE=FY","FILING_STATUS=MR","EQY_CONSOLIDATED=Y","SCALING_FORMAT=MLN","Sort=A","Dates=H","DateFormat=P","Fill=—","Direction=H","UseDPDF=Y")</f>
        <v>10320.1</v>
      </c>
      <c r="D137" s="13">
        <f>_xll.BDH("RCOM IN Equity","BS_COMMON_STOCK","FY 2010","FY 2010","Currency=INR","Period=FY","BEST_FPERIOD_OVERRIDE=FY","FILING_STATUS=MR","EQY_CONSOLIDATED=Y","SCALING_FORMAT=MLN","Sort=A","Dates=H","DateFormat=P","Fill=—","Direction=H","UseDPDF=Y")</f>
        <v>10320.1</v>
      </c>
      <c r="E137" s="13">
        <f>_xll.BDH("RCOM IN Equity","BS_COMMON_STOCK","FY 2011","FY 2011","Currency=INR","Period=FY","BEST_FPERIOD_OVERRIDE=FY","FILING_STATUS=MR","EQY_CONSOLIDATED=Y","SCALING_FORMAT=MLN","Sort=A","Dates=H","DateFormat=P","Fill=—","Direction=H","UseDPDF=Y")</f>
        <v>10320</v>
      </c>
      <c r="F137" s="13">
        <f>_xll.BDH("RCOM IN Equity","BS_COMMON_STOCK","FY 2012","FY 2012","Currency=INR","Period=FY","BEST_FPERIOD_OVERRIDE=FY","FILING_STATUS=MR","EQY_CONSOLIDATED=Y","SCALING_FORMAT=MLN","Sort=A","Dates=H","DateFormat=P","Fill=—","Direction=H","UseDPDF=Y")</f>
        <v>10320</v>
      </c>
      <c r="G137" s="13">
        <f>_xll.BDH("RCOM IN Equity","BS_COMMON_STOCK","FY 2013","FY 2013","Currency=INR","Period=FY","BEST_FPERIOD_OVERRIDE=FY","FILING_STATUS=MR","EQY_CONSOLIDATED=Y","SCALING_FORMAT=MLN","Sort=A","Dates=H","DateFormat=P","Fill=—","Direction=H","UseDPDF=Y")</f>
        <v>10320</v>
      </c>
      <c r="H137" s="13">
        <f>_xll.BDH("RCOM IN Equity","BS_COMMON_STOCK","FY 2014","FY 2014","Currency=INR","Period=FY","BEST_FPERIOD_OVERRIDE=FY","FILING_STATUS=MR","EQY_CONSOLIDATED=Y","SCALING_FORMAT=MLN","Sort=A","Dates=H","DateFormat=P","Fill=—","Direction=H","UseDPDF=Y")</f>
        <v>10320</v>
      </c>
      <c r="I137" s="13">
        <f>_xll.BDH("RCOM IN Equity","BS_COMMON_STOCK","FY 2015","FY 2015","Currency=INR","Period=FY","BEST_FPERIOD_OVERRIDE=FY","FILING_STATUS=MR","EQY_CONSOLIDATED=Y","SCALING_FORMAT=MLN","Sort=A","Dates=H","DateFormat=P","Fill=—","Direction=H","UseDPDF=Y")</f>
        <v>12440</v>
      </c>
      <c r="J137" s="13">
        <f>_xll.BDH("RCOM IN Equity","BS_COMMON_STOCK","FY 2016","FY 2016","Currency=INR","Period=FY","BEST_FPERIOD_OVERRIDE=FY","FILING_STATUS=MR","EQY_CONSOLIDATED=Y","SCALING_FORMAT=MLN","Sort=A","Dates=H","DateFormat=P","Fill=—","Direction=H","UseDPDF=Y")</f>
        <v>12440</v>
      </c>
      <c r="K137" s="13">
        <f>_xll.BDH("RCOM IN Equity","BS_COMMON_STOCK","FY 2017","FY 2017","Currency=INR","Period=FY","BEST_FPERIOD_OVERRIDE=FY","FILING_STATUS=MR","EQY_CONSOLIDATED=Y","SCALING_FORMAT=MLN","Sort=A","Dates=H","DateFormat=P","Fill=—","Direction=H","UseDPDF=Y")</f>
        <v>12440</v>
      </c>
      <c r="L137" s="13">
        <f>_xll.BDH("RCOM IN Equity","BS_COMMON_STOCK","FY 2018","FY 2018","Currency=INR","Period=FY","BEST_FPERIOD_OVERRIDE=FY","FILING_STATUS=MR","EQY_CONSOLIDATED=Y","SCALING_FORMAT=MLN","Sort=A","Dates=H","DateFormat=P","Fill=—","Direction=H","UseDPDF=Y")</f>
        <v>13830</v>
      </c>
    </row>
    <row r="138" spans="1:12">
      <c r="A138" s="11" t="s">
        <v>754</v>
      </c>
      <c r="B138" s="11" t="s">
        <v>809</v>
      </c>
      <c r="C138" s="25">
        <v>1.0097254600688299</v>
      </c>
      <c r="D138" s="25">
        <v>1.1148593211328699</v>
      </c>
      <c r="E138" s="25">
        <v>1.08949252029602</v>
      </c>
      <c r="F138" s="25">
        <v>1.11851731425784</v>
      </c>
      <c r="G138" s="25">
        <v>1.14435253154732</v>
      </c>
      <c r="H138" s="25">
        <v>1.13732794057682</v>
      </c>
      <c r="I138" s="25">
        <v>1.3373180537937299</v>
      </c>
      <c r="J138" s="25">
        <v>1.20246679683724</v>
      </c>
      <c r="K138" s="25">
        <v>1.24735538598831</v>
      </c>
      <c r="L138" s="25">
        <v>1.8544342835688801</v>
      </c>
    </row>
    <row r="139" spans="1:12">
      <c r="A139" s="10" t="s">
        <v>810</v>
      </c>
      <c r="B139" s="10" t="s">
        <v>811</v>
      </c>
      <c r="C139" s="13">
        <f>_xll.BDH("RCOM IN Equity","BS_ADD_PAID_IN_CAP","FY 2009","FY 2009","Currency=INR","Period=FY","BEST_FPERIOD_OVERRIDE=FY","FILING_STATUS=MR","EQY_CONSOLIDATED=Y","SCALING_FORMAT=MLN","Sort=A","Dates=H","DateFormat=P","Fill=—","Direction=H","UseDPDF=Y")</f>
        <v>91719.3</v>
      </c>
      <c r="D139" s="13">
        <f>_xll.BDH("RCOM IN Equity","BS_ADD_PAID_IN_CAP","FY 2010","FY 2010","Currency=INR","Period=FY","BEST_FPERIOD_OVERRIDE=FY","FILING_STATUS=MR","EQY_CONSOLIDATED=Y","SCALING_FORMAT=MLN","Sort=A","Dates=H","DateFormat=P","Fill=—","Direction=H","UseDPDF=Y")</f>
        <v>88826.3</v>
      </c>
      <c r="E139" s="13">
        <f>_xll.BDH("RCOM IN Equity","BS_ADD_PAID_IN_CAP","FY 2011","FY 2011","Currency=INR","Period=FY","BEST_FPERIOD_OVERRIDE=FY","FILING_STATUS=MR","EQY_CONSOLIDATED=Y","SCALING_FORMAT=MLN","Sort=A","Dates=H","DateFormat=P","Fill=—","Direction=H","UseDPDF=Y")</f>
        <v>85810</v>
      </c>
      <c r="F139" s="13">
        <f>_xll.BDH("RCOM IN Equity","BS_ADD_PAID_IN_CAP","FY 2012","FY 2012","Currency=INR","Period=FY","BEST_FPERIOD_OVERRIDE=FY","FILING_STATUS=MR","EQY_CONSOLIDATED=Y","SCALING_FORMAT=MLN","Sort=A","Dates=H","DateFormat=P","Fill=—","Direction=H","UseDPDF=Y")</f>
        <v>80470</v>
      </c>
      <c r="G139" s="13">
        <f>_xll.BDH("RCOM IN Equity","BS_ADD_PAID_IN_CAP","FY 2013","FY 2013","Currency=INR","Period=FY","BEST_FPERIOD_OVERRIDE=FY","FILING_STATUS=MR","EQY_CONSOLIDATED=Y","SCALING_FORMAT=MLN","Sort=A","Dates=H","DateFormat=P","Fill=—","Direction=H","UseDPDF=Y")</f>
        <v>80470</v>
      </c>
      <c r="H139" s="13">
        <f>_xll.BDH("RCOM IN Equity","BS_ADD_PAID_IN_CAP","FY 2014","FY 2014","Currency=INR","Period=FY","BEST_FPERIOD_OVERRIDE=FY","FILING_STATUS=MR","EQY_CONSOLIDATED=Y","SCALING_FORMAT=MLN","Sort=A","Dates=H","DateFormat=P","Fill=—","Direction=H","UseDPDF=Y")</f>
        <v>80470</v>
      </c>
      <c r="I139" s="13">
        <f>_xll.BDH("RCOM IN Equity","BS_ADD_PAID_IN_CAP","FY 2015","FY 2015","Currency=INR","Period=FY","BEST_FPERIOD_OVERRIDE=FY","FILING_STATUS=MR","EQY_CONSOLIDATED=Y","SCALING_FORMAT=MLN","Sort=A","Dates=H","DateFormat=P","Fill=—","Direction=H","UseDPDF=Y")</f>
        <v>138940</v>
      </c>
      <c r="J139" s="13">
        <f>_xll.BDH("RCOM IN Equity","BS_ADD_PAID_IN_CAP","FY 2016","FY 2016","Currency=INR","Period=FY","BEST_FPERIOD_OVERRIDE=FY","FILING_STATUS=MR","EQY_CONSOLIDATED=Y","SCALING_FORMAT=MLN","Sort=A","Dates=H","DateFormat=P","Fill=—","Direction=H","UseDPDF=Y")</f>
        <v>138940</v>
      </c>
      <c r="K139" s="13">
        <f>_xll.BDH("RCOM IN Equity","BS_ADD_PAID_IN_CAP","FY 2017","FY 2017","Currency=INR","Period=FY","BEST_FPERIOD_OVERRIDE=FY","FILING_STATUS=MR","EQY_CONSOLIDATED=Y","SCALING_FORMAT=MLN","Sort=A","Dates=H","DateFormat=P","Fill=—","Direction=H","UseDPDF=Y")</f>
        <v>138940</v>
      </c>
      <c r="L139" s="13">
        <f>_xll.BDH("RCOM IN Equity","BS_ADD_PAID_IN_CAP","FY 2018","FY 2018","Currency=INR","Period=FY","BEST_FPERIOD_OVERRIDE=FY","FILING_STATUS=MR","EQY_CONSOLIDATED=Y","SCALING_FORMAT=MLN","Sort=A","Dates=H","DateFormat=P","Fill=—","Direction=H","UseDPDF=Y")</f>
        <v>138940</v>
      </c>
    </row>
    <row r="140" spans="1:12">
      <c r="A140" s="11" t="s">
        <v>754</v>
      </c>
      <c r="B140" s="11" t="s">
        <v>811</v>
      </c>
      <c r="C140" s="25">
        <v>8.97387742266943</v>
      </c>
      <c r="D140" s="25">
        <v>9.5957237349196998</v>
      </c>
      <c r="E140" s="25">
        <v>9.0590458494769006</v>
      </c>
      <c r="F140" s="25">
        <v>8.7216170812334006</v>
      </c>
      <c r="G140" s="25">
        <v>8.9230666873655498</v>
      </c>
      <c r="H140" s="25">
        <v>8.8682925754085904</v>
      </c>
      <c r="I140" s="25">
        <v>14.936251639397099</v>
      </c>
      <c r="J140" s="25">
        <v>13.430123533164499</v>
      </c>
      <c r="K140" s="25">
        <v>13.9314756695511</v>
      </c>
      <c r="L140" s="25">
        <v>18.630159028131601</v>
      </c>
    </row>
    <row r="141" spans="1:12">
      <c r="A141" s="10" t="s">
        <v>812</v>
      </c>
      <c r="B141" s="10" t="s">
        <v>813</v>
      </c>
      <c r="C141" s="13">
        <f>_xll.BDH("RCOM IN Equity","BS_AMT_OF_TSY_STOCK","FY 2009","FY 2009","Currency=INR","Period=FY","BEST_FPERIOD_OVERRIDE=FY","FILING_STATUS=MR","EQY_CONSOLIDATED=Y","SCALING_FORMAT=MLN","Sort=A","Dates=H","DateFormat=P","Fill=—","Direction=H","UseDPDF=Y")</f>
        <v>0</v>
      </c>
      <c r="D141" s="13">
        <f>_xll.BDH("RCOM IN Equity","BS_AMT_OF_TSY_STOCK","FY 2010","FY 2010","Currency=INR","Period=FY","BEST_FPERIOD_OVERRIDE=FY","FILING_STATUS=MR","EQY_CONSOLIDATED=Y","SCALING_FORMAT=MLN","Sort=A","Dates=H","DateFormat=P","Fill=—","Direction=H","UseDPDF=Y")</f>
        <v>0</v>
      </c>
      <c r="E141" s="13">
        <f>_xll.BDH("RCOM IN Equity","BS_AMT_OF_TSY_STOCK","FY 2011","FY 2011","Currency=INR","Period=FY","BEST_FPERIOD_OVERRIDE=FY","FILING_STATUS=MR","EQY_CONSOLIDATED=Y","SCALING_FORMAT=MLN","Sort=A","Dates=H","DateFormat=P","Fill=—","Direction=H","UseDPDF=Y")</f>
        <v>0</v>
      </c>
      <c r="F141" s="13">
        <f>_xll.BDH("RCOM IN Equity","BS_AMT_OF_TSY_STOCK","FY 2012","FY 2012","Currency=INR","Period=FY","BEST_FPERIOD_OVERRIDE=FY","FILING_STATUS=MR","EQY_CONSOLIDATED=Y","SCALING_FORMAT=MLN","Sort=A","Dates=H","DateFormat=P","Fill=—","Direction=H","UseDPDF=Y")</f>
        <v>0</v>
      </c>
      <c r="G141" s="13">
        <f>_xll.BDH("RCOM IN Equity","BS_AMT_OF_TSY_STOCK","FY 2013","FY 2013","Currency=INR","Period=FY","BEST_FPERIOD_OVERRIDE=FY","FILING_STATUS=MR","EQY_CONSOLIDATED=Y","SCALING_FORMAT=MLN","Sort=A","Dates=H","DateFormat=P","Fill=—","Direction=H","UseDPDF=Y")</f>
        <v>0</v>
      </c>
      <c r="H141" s="13">
        <f>_xll.BDH("RCOM IN Equity","BS_AMT_OF_TSY_STOCK","FY 2014","FY 2014","Currency=INR","Period=FY","BEST_FPERIOD_OVERRIDE=FY","FILING_STATUS=MR","EQY_CONSOLIDATED=Y","SCALING_FORMAT=MLN","Sort=A","Dates=H","DateFormat=P","Fill=—","Direction=H","UseDPDF=Y")</f>
        <v>0</v>
      </c>
      <c r="I141" s="13">
        <f>_xll.BDH("RCOM IN Equity","BS_AMT_OF_TSY_STOCK","FY 2015","FY 2015","Currency=INR","Period=FY","BEST_FPERIOD_OVERRIDE=FY","FILING_STATUS=MR","EQY_CONSOLIDATED=Y","SCALING_FORMAT=MLN","Sort=A","Dates=H","DateFormat=P","Fill=—","Direction=H","UseDPDF=Y")</f>
        <v>0</v>
      </c>
      <c r="J141" s="13">
        <f>_xll.BDH("RCOM IN Equity","BS_AMT_OF_TSY_STOCK","FY 2016","FY 2016","Currency=INR","Period=FY","BEST_FPERIOD_OVERRIDE=FY","FILING_STATUS=MR","EQY_CONSOLIDATED=Y","SCALING_FORMAT=MLN","Sort=A","Dates=H","DateFormat=P","Fill=—","Direction=H","UseDPDF=Y")</f>
        <v>0</v>
      </c>
      <c r="K141" s="13">
        <f>_xll.BDH("RCOM IN Equity","BS_AMT_OF_TSY_STOCK","FY 2017","FY 2017","Currency=INR","Period=FY","BEST_FPERIOD_OVERRIDE=FY","FILING_STATUS=MR","EQY_CONSOLIDATED=Y","SCALING_FORMAT=MLN","Sort=A","Dates=H","DateFormat=P","Fill=—","Direction=H","UseDPDF=Y")</f>
        <v>0</v>
      </c>
      <c r="L141" s="13">
        <f>_xll.BDH("RCOM IN Equity","BS_AMT_OF_TSY_STOCK","FY 2018","FY 2018","Currency=INR","Period=FY","BEST_FPERIOD_OVERRIDE=FY","FILING_STATUS=MR","EQY_CONSOLIDATED=Y","SCALING_FORMAT=MLN","Sort=A","Dates=H","DateFormat=P","Fill=—","Direction=H","UseDPDF=Y")</f>
        <v>0</v>
      </c>
    </row>
    <row r="142" spans="1:12">
      <c r="A142" s="11" t="s">
        <v>754</v>
      </c>
      <c r="B142" s="11" t="s">
        <v>813</v>
      </c>
      <c r="C142" s="25">
        <v>0</v>
      </c>
      <c r="D142" s="25">
        <v>0</v>
      </c>
      <c r="E142" s="25">
        <v>0</v>
      </c>
      <c r="F142" s="25">
        <v>0</v>
      </c>
      <c r="G142" s="25">
        <v>0</v>
      </c>
      <c r="H142" s="25">
        <v>0</v>
      </c>
      <c r="I142" s="25">
        <v>0</v>
      </c>
      <c r="J142" s="25">
        <v>0</v>
      </c>
      <c r="K142" s="25">
        <v>0</v>
      </c>
      <c r="L142" s="25">
        <v>0</v>
      </c>
    </row>
    <row r="143" spans="1:12">
      <c r="A143" s="10" t="s">
        <v>814</v>
      </c>
      <c r="B143" s="10" t="s">
        <v>815</v>
      </c>
      <c r="C143" s="13">
        <f>_xll.BDH("RCOM IN Equity","BS_PURE_RETAINED_EARNINGS","FY 2009","FY 2009","Currency=INR","Period=FY","BEST_FPERIOD_OVERRIDE=FY","FILING_STATUS=MR","EQY_CONSOLIDATED=Y","SCALING_FORMAT=MLN","Sort=A","Dates=H","DateFormat=P","Fill=—","Direction=H","UseDPDF=Y")</f>
        <v>56313.2</v>
      </c>
      <c r="D143" s="13">
        <f>_xll.BDH("RCOM IN Equity","BS_PURE_RETAINED_EARNINGS","FY 2010","FY 2010","Currency=INR","Period=FY","BEST_FPERIOD_OVERRIDE=FY","FILING_STATUS=MR","EQY_CONSOLIDATED=Y","SCALING_FORMAT=MLN","Sort=A","Dates=H","DateFormat=P","Fill=—","Direction=H","UseDPDF=Y")</f>
        <v>99667.8</v>
      </c>
      <c r="E143" s="13">
        <f>_xll.BDH("RCOM IN Equity","BS_PURE_RETAINED_EARNINGS","FY 2011","FY 2011","Currency=INR","Period=FY","BEST_FPERIOD_OVERRIDE=FY","FILING_STATUS=MR","EQY_CONSOLIDATED=Y","SCALING_FORMAT=MLN","Sort=A","Dates=H","DateFormat=P","Fill=—","Direction=H","UseDPDF=Y")</f>
        <v>114440</v>
      </c>
      <c r="F143" s="13">
        <f>_xll.BDH("RCOM IN Equity","BS_PURE_RETAINED_EARNINGS","FY 2012","FY 2012","Currency=INR","Period=FY","BEST_FPERIOD_OVERRIDE=FY","FILING_STATUS=MR","EQY_CONSOLIDATED=Y","SCALING_FORMAT=MLN","Sort=A","Dates=H","DateFormat=P","Fill=—","Direction=H","UseDPDF=Y")</f>
        <v>122210</v>
      </c>
      <c r="G143" s="13">
        <f>_xll.BDH("RCOM IN Equity","BS_PURE_RETAINED_EARNINGS","FY 2013","FY 2013","Currency=INR","Period=FY","BEST_FPERIOD_OVERRIDE=FY","FILING_STATUS=MR","EQY_CONSOLIDATED=Y","SCALING_FORMAT=MLN","Sort=A","Dates=H","DateFormat=P","Fill=—","Direction=H","UseDPDF=Y")</f>
        <v>125640</v>
      </c>
      <c r="H143" s="13">
        <f>_xll.BDH("RCOM IN Equity","BS_PURE_RETAINED_EARNINGS","FY 2014","FY 2014","Currency=INR","Period=FY","BEST_FPERIOD_OVERRIDE=FY","FILING_STATUS=MR","EQY_CONSOLIDATED=Y","SCALING_FORMAT=MLN","Sort=A","Dates=H","DateFormat=P","Fill=—","Direction=H","UseDPDF=Y")</f>
        <v>134320</v>
      </c>
      <c r="I143" s="13">
        <f>_xll.BDH("RCOM IN Equity","BS_PURE_RETAINED_EARNINGS","FY 2015","FY 2015","Currency=INR","Period=FY","BEST_FPERIOD_OVERRIDE=FY","FILING_STATUS=MR","EQY_CONSOLIDATED=Y","SCALING_FORMAT=MLN","Sort=A","Dates=H","DateFormat=P","Fill=—","Direction=H","UseDPDF=Y")</f>
        <v>141460</v>
      </c>
      <c r="J143" s="13">
        <f>_xll.BDH("RCOM IN Equity","BS_PURE_RETAINED_EARNINGS","FY 2016","FY 2016","Currency=INR","Period=FY","BEST_FPERIOD_OVERRIDE=FY","FILING_STATUS=MR","EQY_CONSOLIDATED=Y","SCALING_FORMAT=MLN","Sort=A","Dates=H","DateFormat=P","Fill=—","Direction=H","UseDPDF=Y")</f>
        <v>99010</v>
      </c>
      <c r="K143" s="13">
        <f>_xll.BDH("RCOM IN Equity","BS_PURE_RETAINED_EARNINGS","FY 2017","FY 2017","Currency=INR","Period=FY","BEST_FPERIOD_OVERRIDE=FY","FILING_STATUS=MR","EQY_CONSOLIDATED=Y","SCALING_FORMAT=MLN","Sort=A","Dates=H","DateFormat=P","Fill=—","Direction=H","UseDPDF=Y")</f>
        <v>84980</v>
      </c>
      <c r="L143" s="13">
        <f>_xll.BDH("RCOM IN Equity","BS_PURE_RETAINED_EARNINGS","FY 2018","FY 2018","Currency=INR","Period=FY","BEST_FPERIOD_OVERRIDE=FY","FILING_STATUS=MR","EQY_CONSOLIDATED=Y","SCALING_FORMAT=MLN","Sort=A","Dates=H","DateFormat=P","Fill=—","Direction=H","UseDPDF=Y")</f>
        <v>-153410</v>
      </c>
    </row>
    <row r="144" spans="1:12">
      <c r="A144" s="11" t="s">
        <v>754</v>
      </c>
      <c r="B144" s="11" t="s">
        <v>815</v>
      </c>
      <c r="C144" s="25">
        <v>5.5097210083185102</v>
      </c>
      <c r="D144" s="25">
        <v>10.7669088329383</v>
      </c>
      <c r="E144" s="25">
        <v>12.0815430254532</v>
      </c>
      <c r="F144" s="25">
        <v>13.2455427301794</v>
      </c>
      <c r="G144" s="25">
        <v>13.9318267503493</v>
      </c>
      <c r="H144" s="25">
        <v>14.802896218825399</v>
      </c>
      <c r="I144" s="25">
        <v>15.2071552965965</v>
      </c>
      <c r="J144" s="25">
        <v>9.5704371024803301</v>
      </c>
      <c r="K144" s="25">
        <v>8.5209212782384594</v>
      </c>
      <c r="L144" s="25">
        <v>-20.570409504143299</v>
      </c>
    </row>
    <row r="145" spans="1:12">
      <c r="A145" s="10" t="s">
        <v>816</v>
      </c>
      <c r="B145" s="10" t="s">
        <v>817</v>
      </c>
      <c r="C145" s="14">
        <f>_xll.BDH("RCOM IN Equity","OTHER_INS_RES_TO_SHRHLDR_EQY","FY 2009","FY 2009","Currency=INR","Period=FY","BEST_FPERIOD_OVERRIDE=FY","FILING_STATUS=MR","EQY_CONSOLIDATED=Y","Sort=A","Dates=H","DateFormat=P","Fill=—","Direction=H","UseDPDF=Y")</f>
        <v>264450.59999999998</v>
      </c>
      <c r="D145" s="14">
        <f>_xll.BDH("RCOM IN Equity","OTHER_INS_RES_TO_SHRHLDR_EQY","FY 2010","FY 2010","Currency=INR","Period=FY","BEST_FPERIOD_OVERRIDE=FY","FILING_STATUS=MR","EQY_CONSOLIDATED=Y","Sort=A","Dates=H","DateFormat=P","Fill=—","Direction=H","UseDPDF=Y")</f>
        <v>234792.2</v>
      </c>
      <c r="E145" s="14">
        <f>_xll.BDH("RCOM IN Equity","OTHER_INS_RES_TO_SHRHLDR_EQY","FY 2011","FY 2011","Currency=INR","Period=FY","BEST_FPERIOD_OVERRIDE=FY","FILING_STATUS=MR","EQY_CONSOLIDATED=Y","Sort=A","Dates=H","DateFormat=P","Fill=—","Direction=H","UseDPDF=Y")</f>
        <v>194420</v>
      </c>
      <c r="F145" s="14">
        <f>_xll.BDH("RCOM IN Equity","OTHER_INS_RES_TO_SHRHLDR_EQY","FY 2012","FY 2012","Currency=INR","Period=FY","BEST_FPERIOD_OVERRIDE=FY","FILING_STATUS=MR","EQY_CONSOLIDATED=Y","Sort=A","Dates=H","DateFormat=P","Fill=—","Direction=H","UseDPDF=Y")</f>
        <v>149960</v>
      </c>
      <c r="G145" s="14">
        <f>_xll.BDH("RCOM IN Equity","OTHER_INS_RES_TO_SHRHLDR_EQY","FY 2013","FY 2013","Currency=INR","Period=FY","BEST_FPERIOD_OVERRIDE=FY","FILING_STATUS=MR","EQY_CONSOLIDATED=Y","Sort=A","Dates=H","DateFormat=P","Fill=—","Direction=H","UseDPDF=Y")</f>
        <v>122070</v>
      </c>
      <c r="H145" s="14">
        <f>_xll.BDH("RCOM IN Equity","OTHER_INS_RES_TO_SHRHLDR_EQY","FY 2014","FY 2014","Currency=INR","Period=FY","BEST_FPERIOD_OVERRIDE=FY","FILING_STATUS=MR","EQY_CONSOLIDATED=Y","Sort=A","Dates=H","DateFormat=P","Fill=—","Direction=H","UseDPDF=Y")</f>
        <v>102850</v>
      </c>
      <c r="I145" s="14">
        <f>_xll.BDH("RCOM IN Equity","OTHER_INS_RES_TO_SHRHLDR_EQY","FY 2015","FY 2015","Currency=INR","Period=FY","BEST_FPERIOD_OVERRIDE=FY","FILING_STATUS=MR","EQY_CONSOLIDATED=Y","Sort=A","Dates=H","DateFormat=P","Fill=—","Direction=H","UseDPDF=Y")</f>
        <v>86520</v>
      </c>
      <c r="J145" s="14">
        <f>_xll.BDH("RCOM IN Equity","OTHER_INS_RES_TO_SHRHLDR_EQY","FY 2016","FY 2016","Currency=INR","Period=FY","BEST_FPERIOD_OVERRIDE=FY","FILING_STATUS=MR","EQY_CONSOLIDATED=Y","Sort=A","Dates=H","DateFormat=P","Fill=—","Direction=H","UseDPDF=Y")</f>
        <v>65440</v>
      </c>
      <c r="K145" s="14">
        <f>_xll.BDH("RCOM IN Equity","OTHER_INS_RES_TO_SHRHLDR_EQY","FY 2017","FY 2017","Currency=INR","Period=FY","BEST_FPERIOD_OVERRIDE=FY","FILING_STATUS=MR","EQY_CONSOLIDATED=Y","Sort=A","Dates=H","DateFormat=P","Fill=—","Direction=H","UseDPDF=Y")</f>
        <v>49330</v>
      </c>
      <c r="L145" s="14">
        <f>_xll.BDH("RCOM IN Equity","OTHER_INS_RES_TO_SHRHLDR_EQY","FY 2018","FY 2018","Currency=INR","Period=FY","BEST_FPERIOD_OVERRIDE=FY","FILING_STATUS=MR","EQY_CONSOLIDATED=Y","Sort=A","Dates=H","DateFormat=P","Fill=—","Direction=H","UseDPDF=Y")</f>
        <v>28470</v>
      </c>
    </row>
    <row r="146" spans="1:12">
      <c r="A146" s="11" t="s">
        <v>754</v>
      </c>
      <c r="B146" s="11" t="s">
        <v>817</v>
      </c>
      <c r="C146" s="25">
        <v>25.874022901956099</v>
      </c>
      <c r="D146" s="25">
        <v>25.364121733248101</v>
      </c>
      <c r="E146" s="25">
        <v>20.525110057747298</v>
      </c>
      <c r="F146" s="25">
        <v>16.253183764157601</v>
      </c>
      <c r="G146" s="25">
        <v>13.535960612982599</v>
      </c>
      <c r="H146" s="25">
        <v>11.334707237240901</v>
      </c>
      <c r="I146" s="25">
        <v>9.3010255638451103</v>
      </c>
      <c r="J146" s="25">
        <v>6.3255166547451003</v>
      </c>
      <c r="K146" s="25">
        <v>4.9463055619616796</v>
      </c>
      <c r="L146" s="25">
        <v>3.8174796856982001</v>
      </c>
    </row>
    <row r="147" spans="1:12">
      <c r="A147" s="6" t="s">
        <v>818</v>
      </c>
      <c r="B147" s="6" t="s">
        <v>819</v>
      </c>
      <c r="C147" s="19">
        <f>_xll.BDH("RCOM IN Equity","EQTY_BEF_MINORITY_INT_DETAILED","FY 2009","FY 2009","Currency=INR","Period=FY","BEST_FPERIOD_OVERRIDE=FY","FILING_STATUS=MR","EQY_CONSOLIDATED=Y","SCALING_FORMAT=MLN","Sort=A","Dates=H","DateFormat=P","Fill=—","Direction=H","UseDPDF=Y")</f>
        <v>422803.20000000001</v>
      </c>
      <c r="D147" s="19">
        <f>_xll.BDH("RCOM IN Equity","EQTY_BEF_MINORITY_INT_DETAILED","FY 2010","FY 2010","Currency=INR","Period=FY","BEST_FPERIOD_OVERRIDE=FY","FILING_STATUS=MR","EQY_CONSOLIDATED=Y","SCALING_FORMAT=MLN","Sort=A","Dates=H","DateFormat=P","Fill=—","Direction=H","UseDPDF=Y")</f>
        <v>433606.40000000002</v>
      </c>
      <c r="E147" s="19">
        <f>_xll.BDH("RCOM IN Equity","EQTY_BEF_MINORITY_INT_DETAILED","FY 2011","FY 2011","Currency=INR","Period=FY","BEST_FPERIOD_OVERRIDE=FY","FILING_STATUS=MR","EQY_CONSOLIDATED=Y","SCALING_FORMAT=MLN","Sort=A","Dates=H","DateFormat=P","Fill=—","Direction=H","UseDPDF=Y")</f>
        <v>404990</v>
      </c>
      <c r="F147" s="19">
        <f>_xll.BDH("RCOM IN Equity","EQTY_BEF_MINORITY_INT_DETAILED","FY 2012","FY 2012","Currency=INR","Period=FY","BEST_FPERIOD_OVERRIDE=FY","FILING_STATUS=MR","EQY_CONSOLIDATED=Y","SCALING_FORMAT=MLN","Sort=A","Dates=H","DateFormat=P","Fill=—","Direction=H","UseDPDF=Y")</f>
        <v>362960</v>
      </c>
      <c r="G147" s="19">
        <f>_xll.BDH("RCOM IN Equity","EQTY_BEF_MINORITY_INT_DETAILED","FY 2013","FY 2013","Currency=INR","Period=FY","BEST_FPERIOD_OVERRIDE=FY","FILING_STATUS=MR","EQY_CONSOLIDATED=Y","SCALING_FORMAT=MLN","Sort=A","Dates=H","DateFormat=P","Fill=—","Direction=H","UseDPDF=Y")</f>
        <v>338500</v>
      </c>
      <c r="H147" s="19">
        <f>_xll.BDH("RCOM IN Equity","EQTY_BEF_MINORITY_INT_DETAILED","FY 2014","FY 2014","Currency=INR","Period=FY","BEST_FPERIOD_OVERRIDE=FY","FILING_STATUS=MR","EQY_CONSOLIDATED=Y","SCALING_FORMAT=MLN","Sort=A","Dates=H","DateFormat=P","Fill=—","Direction=H","UseDPDF=Y")</f>
        <v>327960</v>
      </c>
      <c r="I147" s="19">
        <f>_xll.BDH("RCOM IN Equity","EQTY_BEF_MINORITY_INT_DETAILED","FY 2015","FY 2015","Currency=INR","Period=FY","BEST_FPERIOD_OVERRIDE=FY","FILING_STATUS=MR","EQY_CONSOLIDATED=Y","SCALING_FORMAT=MLN","Sort=A","Dates=H","DateFormat=P","Fill=—","Direction=H","UseDPDF=Y")</f>
        <v>379360</v>
      </c>
      <c r="J147" s="19">
        <f>_xll.BDH("RCOM IN Equity","EQTY_BEF_MINORITY_INT_DETAILED","FY 2016","FY 2016","Currency=INR","Period=FY","BEST_FPERIOD_OVERRIDE=FY","FILING_STATUS=MR","EQY_CONSOLIDATED=Y","SCALING_FORMAT=MLN","Sort=A","Dates=H","DateFormat=P","Fill=—","Direction=H","UseDPDF=Y")</f>
        <v>315830</v>
      </c>
      <c r="K147" s="19">
        <f>_xll.BDH("RCOM IN Equity","EQTY_BEF_MINORITY_INT_DETAILED","FY 2017","FY 2017","Currency=INR","Period=FY","BEST_FPERIOD_OVERRIDE=FY","FILING_STATUS=MR","EQY_CONSOLIDATED=Y","SCALING_FORMAT=MLN","Sort=A","Dates=H","DateFormat=P","Fill=—","Direction=H","UseDPDF=Y")</f>
        <v>285690</v>
      </c>
      <c r="L147" s="19">
        <f>_xll.BDH("RCOM IN Equity","EQTY_BEF_MINORITY_INT_DETAILED","FY 2018","FY 2018","Currency=INR","Period=FY","BEST_FPERIOD_OVERRIDE=FY","FILING_STATUS=MR","EQY_CONSOLIDATED=Y","SCALING_FORMAT=MLN","Sort=A","Dates=H","DateFormat=P","Fill=—","Direction=H","UseDPDF=Y")</f>
        <v>27830</v>
      </c>
    </row>
    <row r="148" spans="1:12">
      <c r="A148" s="11" t="s">
        <v>754</v>
      </c>
      <c r="B148" s="11" t="s">
        <v>819</v>
      </c>
      <c r="C148" s="25">
        <v>41.367346793012899</v>
      </c>
      <c r="D148" s="25">
        <v>46.841613622239002</v>
      </c>
      <c r="E148" s="25">
        <v>42.755191452973399</v>
      </c>
      <c r="F148" s="25">
        <v>39.338860889828197</v>
      </c>
      <c r="G148" s="25">
        <v>37.535206582244797</v>
      </c>
      <c r="H148" s="25">
        <v>36.1432239720517</v>
      </c>
      <c r="I148" s="25">
        <v>40.781750553632499</v>
      </c>
      <c r="J148" s="25">
        <v>30.5285440872272</v>
      </c>
      <c r="K148" s="25">
        <v>28.646057895739499</v>
      </c>
      <c r="L148" s="25">
        <v>3.7316634932553798</v>
      </c>
    </row>
    <row r="149" spans="1:12">
      <c r="A149" s="10" t="s">
        <v>820</v>
      </c>
      <c r="B149" s="10" t="s">
        <v>125</v>
      </c>
      <c r="C149" s="13">
        <f>_xll.BDH("RCOM IN Equity","MINORITY_NONCONTROLLING_INTEREST","FY 2009","FY 2009","Currency=INR","Period=FY","BEST_FPERIOD_OVERRIDE=FY","FILING_STATUS=MR","EQY_CONSOLIDATED=Y","SCALING_FORMAT=MLN","Sort=A","Dates=H","DateFormat=P","Fill=—","Direction=H","UseDPDF=Y")</f>
        <v>6549.2</v>
      </c>
      <c r="D149" s="13">
        <f>_xll.BDH("RCOM IN Equity","MINORITY_NONCONTROLLING_INTEREST","FY 2010","FY 2010","Currency=INR","Period=FY","BEST_FPERIOD_OVERRIDE=FY","FILING_STATUS=MR","EQY_CONSOLIDATED=Y","SCALING_FORMAT=MLN","Sort=A","Dates=H","DateFormat=P","Fill=—","Direction=H","UseDPDF=Y")</f>
        <v>6583.9</v>
      </c>
      <c r="E149" s="13">
        <f>_xll.BDH("RCOM IN Equity","MINORITY_NONCONTROLLING_INTEREST","FY 2011","FY 2011","Currency=INR","Period=FY","BEST_FPERIOD_OVERRIDE=FY","FILING_STATUS=MR","EQY_CONSOLIDATED=Y","SCALING_FORMAT=MLN","Sort=A","Dates=H","DateFormat=P","Fill=—","Direction=H","UseDPDF=Y")</f>
        <v>8240</v>
      </c>
      <c r="F149" s="13">
        <f>_xll.BDH("RCOM IN Equity","MINORITY_NONCONTROLLING_INTEREST","FY 2012","FY 2012","Currency=INR","Period=FY","BEST_FPERIOD_OVERRIDE=FY","FILING_STATUS=MR","EQY_CONSOLIDATED=Y","SCALING_FORMAT=MLN","Sort=A","Dates=H","DateFormat=P","Fill=—","Direction=H","UseDPDF=Y")</f>
        <v>8600</v>
      </c>
      <c r="G149" s="13">
        <f>_xll.BDH("RCOM IN Equity","MINORITY_NONCONTROLLING_INTEREST","FY 2013","FY 2013","Currency=INR","Period=FY","BEST_FPERIOD_OVERRIDE=FY","FILING_STATUS=MR","EQY_CONSOLIDATED=Y","SCALING_FORMAT=MLN","Sort=A","Dates=H","DateFormat=P","Fill=—","Direction=H","UseDPDF=Y")</f>
        <v>7250</v>
      </c>
      <c r="H149" s="13">
        <f>_xll.BDH("RCOM IN Equity","MINORITY_NONCONTROLLING_INTEREST","FY 2014","FY 2014","Currency=INR","Period=FY","BEST_FPERIOD_OVERRIDE=FY","FILING_STATUS=MR","EQY_CONSOLIDATED=Y","SCALING_FORMAT=MLN","Sort=A","Dates=H","DateFormat=P","Fill=—","Direction=H","UseDPDF=Y")</f>
        <v>7430</v>
      </c>
      <c r="I149" s="13">
        <f>_xll.BDH("RCOM IN Equity","MINORITY_NONCONTROLLING_INTEREST","FY 2015","FY 2015","Currency=INR","Period=FY","BEST_FPERIOD_OVERRIDE=FY","FILING_STATUS=MR","EQY_CONSOLIDATED=Y","SCALING_FORMAT=MLN","Sort=A","Dates=H","DateFormat=P","Fill=—","Direction=H","UseDPDF=Y")</f>
        <v>5120</v>
      </c>
      <c r="J149" s="13">
        <f>_xll.BDH("RCOM IN Equity","MINORITY_NONCONTROLLING_INTEREST","FY 2016","FY 2016","Currency=INR","Period=FY","BEST_FPERIOD_OVERRIDE=FY","FILING_STATUS=MR","EQY_CONSOLIDATED=Y","SCALING_FORMAT=MLN","Sort=A","Dates=H","DateFormat=P","Fill=—","Direction=H","UseDPDF=Y")</f>
        <v>2820</v>
      </c>
      <c r="K149" s="13">
        <f>_xll.BDH("RCOM IN Equity","MINORITY_NONCONTROLLING_INTEREST","FY 2017","FY 2017","Currency=INR","Period=FY","BEST_FPERIOD_OVERRIDE=FY","FILING_STATUS=MR","EQY_CONSOLIDATED=Y","SCALING_FORMAT=MLN","Sort=A","Dates=H","DateFormat=P","Fill=—","Direction=H","UseDPDF=Y")</f>
        <v>4000</v>
      </c>
      <c r="L149" s="13">
        <f>_xll.BDH("RCOM IN Equity","MINORITY_NONCONTROLLING_INTEREST","FY 2018","FY 2018","Currency=INR","Period=FY","BEST_FPERIOD_OVERRIDE=FY","FILING_STATUS=MR","EQY_CONSOLIDATED=Y","SCALING_FORMAT=MLN","Sort=A","Dates=H","DateFormat=P","Fill=—","Direction=H","UseDPDF=Y")</f>
        <v>3320</v>
      </c>
    </row>
    <row r="150" spans="1:12">
      <c r="A150" s="11" t="s">
        <v>754</v>
      </c>
      <c r="B150" s="11" t="s">
        <v>125</v>
      </c>
      <c r="C150" s="25">
        <v>0.64077809159627896</v>
      </c>
      <c r="D150" s="25">
        <v>0.71124526743022998</v>
      </c>
      <c r="E150" s="25">
        <v>0.869904880546435</v>
      </c>
      <c r="F150" s="25">
        <v>0.93209776188153703</v>
      </c>
      <c r="G150" s="25">
        <v>0.80392983078663105</v>
      </c>
      <c r="H150" s="25">
        <v>0.81883203473699295</v>
      </c>
      <c r="I150" s="25">
        <v>0.55040743050031204</v>
      </c>
      <c r="J150" s="25">
        <v>0.27258491696792803</v>
      </c>
      <c r="K150" s="25">
        <v>0.40107890224704501</v>
      </c>
      <c r="L150" s="25">
        <v>0.44517149829708502</v>
      </c>
    </row>
    <row r="151" spans="1:12">
      <c r="A151" s="6" t="s">
        <v>83</v>
      </c>
      <c r="B151" s="6" t="s">
        <v>84</v>
      </c>
      <c r="C151" s="19">
        <f>_xll.BDH("RCOM IN Equity","TOTAL_EQUITY","FY 2009","FY 2009","Currency=INR","Period=FY","BEST_FPERIOD_OVERRIDE=FY","FILING_STATUS=MR","EQY_CONSOLIDATED=Y","SCALING_FORMAT=MLN","Sort=A","Dates=H","DateFormat=P","Fill=—","Direction=H","UseDPDF=Y")</f>
        <v>429352.4</v>
      </c>
      <c r="D151" s="19">
        <f>_xll.BDH("RCOM IN Equity","TOTAL_EQUITY","FY 2010","FY 2010","Currency=INR","Period=FY","BEST_FPERIOD_OVERRIDE=FY","FILING_STATUS=MR","EQY_CONSOLIDATED=Y","SCALING_FORMAT=MLN","Sort=A","Dates=H","DateFormat=P","Fill=—","Direction=H","UseDPDF=Y")</f>
        <v>440190.3</v>
      </c>
      <c r="E151" s="19">
        <f>_xll.BDH("RCOM IN Equity","TOTAL_EQUITY","FY 2011","FY 2011","Currency=INR","Period=FY","BEST_FPERIOD_OVERRIDE=FY","FILING_STATUS=MR","EQY_CONSOLIDATED=Y","SCALING_FORMAT=MLN","Sort=A","Dates=H","DateFormat=P","Fill=—","Direction=H","UseDPDF=Y")</f>
        <v>413230</v>
      </c>
      <c r="F151" s="19">
        <f>_xll.BDH("RCOM IN Equity","TOTAL_EQUITY","FY 2012","FY 2012","Currency=INR","Period=FY","BEST_FPERIOD_OVERRIDE=FY","FILING_STATUS=MR","EQY_CONSOLIDATED=Y","SCALING_FORMAT=MLN","Sort=A","Dates=H","DateFormat=P","Fill=—","Direction=H","UseDPDF=Y")</f>
        <v>371560</v>
      </c>
      <c r="G151" s="19">
        <f>_xll.BDH("RCOM IN Equity","TOTAL_EQUITY","FY 2013","FY 2013","Currency=INR","Period=FY","BEST_FPERIOD_OVERRIDE=FY","FILING_STATUS=MR","EQY_CONSOLIDATED=Y","SCALING_FORMAT=MLN","Sort=A","Dates=H","DateFormat=P","Fill=—","Direction=H","UseDPDF=Y")</f>
        <v>345750</v>
      </c>
      <c r="H151" s="19">
        <f>_xll.BDH("RCOM IN Equity","TOTAL_EQUITY","FY 2014","FY 2014","Currency=INR","Period=FY","BEST_FPERIOD_OVERRIDE=FY","FILING_STATUS=MR","EQY_CONSOLIDATED=Y","SCALING_FORMAT=MLN","Sort=A","Dates=H","DateFormat=P","Fill=—","Direction=H","UseDPDF=Y")</f>
        <v>335390</v>
      </c>
      <c r="I151" s="19">
        <f>_xll.BDH("RCOM IN Equity","TOTAL_EQUITY","FY 2015","FY 2015","Currency=INR","Period=FY","BEST_FPERIOD_OVERRIDE=FY","FILING_STATUS=MR","EQY_CONSOLIDATED=Y","SCALING_FORMAT=MLN","Sort=A","Dates=H","DateFormat=P","Fill=—","Direction=H","UseDPDF=Y")</f>
        <v>384480</v>
      </c>
      <c r="J151" s="19">
        <f>_xll.BDH("RCOM IN Equity","TOTAL_EQUITY","FY 2016","FY 2016","Currency=INR","Period=FY","BEST_FPERIOD_OVERRIDE=FY","FILING_STATUS=MR","EQY_CONSOLIDATED=Y","SCALING_FORMAT=MLN","Sort=A","Dates=H","DateFormat=P","Fill=—","Direction=H","UseDPDF=Y")</f>
        <v>318650</v>
      </c>
      <c r="K151" s="19">
        <f>_xll.BDH("RCOM IN Equity","TOTAL_EQUITY","FY 2017","FY 2017","Currency=INR","Period=FY","BEST_FPERIOD_OVERRIDE=FY","FILING_STATUS=MR","EQY_CONSOLIDATED=Y","SCALING_FORMAT=MLN","Sort=A","Dates=H","DateFormat=P","Fill=—","Direction=H","UseDPDF=Y")</f>
        <v>289690</v>
      </c>
      <c r="L151" s="19">
        <f>_xll.BDH("RCOM IN Equity","TOTAL_EQUITY","FY 2018","FY 2018","Currency=INR","Period=FY","BEST_FPERIOD_OVERRIDE=FY","FILING_STATUS=MR","EQY_CONSOLIDATED=Y","SCALING_FORMAT=MLN","Sort=A","Dates=H","DateFormat=P","Fill=—","Direction=H","UseDPDF=Y")</f>
        <v>31150</v>
      </c>
    </row>
    <row r="152" spans="1:12">
      <c r="A152" s="11" t="s">
        <v>754</v>
      </c>
      <c r="B152" s="11" t="s">
        <v>84</v>
      </c>
      <c r="C152" s="25">
        <v>42.008124884609202</v>
      </c>
      <c r="D152" s="25">
        <v>47.552858889669203</v>
      </c>
      <c r="E152" s="25">
        <v>43.625096333519799</v>
      </c>
      <c r="F152" s="25">
        <v>40.270958651709698</v>
      </c>
      <c r="G152" s="25">
        <v>38.339136413031397</v>
      </c>
      <c r="H152" s="25">
        <v>36.9620560067887</v>
      </c>
      <c r="I152" s="25">
        <v>41.332157984132799</v>
      </c>
      <c r="J152" s="25">
        <v>30.801129004195101</v>
      </c>
      <c r="K152" s="25">
        <v>29.0471367979866</v>
      </c>
      <c r="L152" s="25">
        <v>4.1768349915524698</v>
      </c>
    </row>
    <row r="153" spans="1:12">
      <c r="A153" s="6" t="s">
        <v>821</v>
      </c>
      <c r="B153" s="6" t="s">
        <v>822</v>
      </c>
      <c r="C153" s="19">
        <f>_xll.BDH("RCOM IN Equity","TOT_LIAB_AND_EQY","FY 2009","FY 2009","Currency=INR","Period=FY","BEST_FPERIOD_OVERRIDE=FY","FILING_STATUS=MR","EQY_CONSOLIDATED=Y","SCALING_FORMAT=MLN","Sort=A","Dates=H","DateFormat=P","Fill=—","Direction=H","UseDPDF=Y")</f>
        <v>1022069.9</v>
      </c>
      <c r="D153" s="19">
        <f>_xll.BDH("RCOM IN Equity","TOT_LIAB_AND_EQY","FY 2010","FY 2010","Currency=INR","Period=FY","BEST_FPERIOD_OVERRIDE=FY","FILING_STATUS=MR","EQY_CONSOLIDATED=Y","SCALING_FORMAT=MLN","Sort=A","Dates=H","DateFormat=P","Fill=—","Direction=H","UseDPDF=Y")</f>
        <v>925686.3</v>
      </c>
      <c r="E153" s="19">
        <f>_xll.BDH("RCOM IN Equity","TOT_LIAB_AND_EQY","FY 2011","FY 2011","Currency=INR","Period=FY","BEST_FPERIOD_OVERRIDE=FY","FILING_STATUS=MR","EQY_CONSOLIDATED=Y","SCALING_FORMAT=MLN","Sort=A","Dates=H","DateFormat=P","Fill=—","Direction=H","UseDPDF=Y")</f>
        <v>947230</v>
      </c>
      <c r="F153" s="19">
        <f>_xll.BDH("RCOM IN Equity","TOT_LIAB_AND_EQY","FY 2012","FY 2012","Currency=INR","Period=FY","BEST_FPERIOD_OVERRIDE=FY","FILING_STATUS=MR","EQY_CONSOLIDATED=Y","SCALING_FORMAT=MLN","Sort=A","Dates=H","DateFormat=P","Fill=—","Direction=H","UseDPDF=Y")</f>
        <v>922650</v>
      </c>
      <c r="G153" s="19">
        <f>_xll.BDH("RCOM IN Equity","TOT_LIAB_AND_EQY","FY 2013","FY 2013","Currency=INR","Period=FY","BEST_FPERIOD_OVERRIDE=FY","FILING_STATUS=MR","EQY_CONSOLIDATED=Y","SCALING_FORMAT=MLN","Sort=A","Dates=H","DateFormat=P","Fill=—","Direction=H","UseDPDF=Y")</f>
        <v>901820</v>
      </c>
      <c r="H153" s="19">
        <f>_xll.BDH("RCOM IN Equity","TOT_LIAB_AND_EQY","FY 2014","FY 2014","Currency=INR","Period=FY","BEST_FPERIOD_OVERRIDE=FY","FILING_STATUS=MR","EQY_CONSOLIDATED=Y","SCALING_FORMAT=MLN","Sort=A","Dates=H","DateFormat=P","Fill=—","Direction=H","UseDPDF=Y")</f>
        <v>907390</v>
      </c>
      <c r="I153" s="19">
        <f>_xll.BDH("RCOM IN Equity","TOT_LIAB_AND_EQY","FY 2015","FY 2015","Currency=INR","Period=FY","BEST_FPERIOD_OVERRIDE=FY","FILING_STATUS=MR","EQY_CONSOLIDATED=Y","SCALING_FORMAT=MLN","Sort=A","Dates=H","DateFormat=P","Fill=—","Direction=H","UseDPDF=Y")</f>
        <v>912840</v>
      </c>
      <c r="J153" s="19">
        <f>_xll.BDH("RCOM IN Equity","TOT_LIAB_AND_EQY","FY 2016","FY 2016","Currency=INR","Period=FY","BEST_FPERIOD_OVERRIDE=FY","FILING_STATUS=MR","EQY_CONSOLIDATED=Y","SCALING_FORMAT=MLN","Sort=A","Dates=H","DateFormat=P","Fill=—","Direction=H","UseDPDF=Y")</f>
        <v>1034540</v>
      </c>
      <c r="K153" s="19">
        <f>_xll.BDH("RCOM IN Equity","TOT_LIAB_AND_EQY","FY 2017","FY 2017","Currency=INR","Period=FY","BEST_FPERIOD_OVERRIDE=FY","FILING_STATUS=MR","EQY_CONSOLIDATED=Y","SCALING_FORMAT=MLN","Sort=A","Dates=H","DateFormat=P","Fill=—","Direction=H","UseDPDF=Y")</f>
        <v>997310</v>
      </c>
      <c r="L153" s="19">
        <f>_xll.BDH("RCOM IN Equity","TOT_LIAB_AND_EQY","FY 2018","FY 2018","Currency=INR","Period=FY","BEST_FPERIOD_OVERRIDE=FY","FILING_STATUS=MR","EQY_CONSOLIDATED=Y","SCALING_FORMAT=MLN","Sort=A","Dates=H","DateFormat=P","Fill=—","Direction=H","UseDPDF=Y")</f>
        <v>745780</v>
      </c>
    </row>
    <row r="154" spans="1:12">
      <c r="A154" s="11" t="s">
        <v>754</v>
      </c>
      <c r="B154" s="11" t="s">
        <v>822</v>
      </c>
      <c r="C154" s="25">
        <v>100</v>
      </c>
      <c r="D154" s="25">
        <v>100</v>
      </c>
      <c r="E154" s="25">
        <v>100</v>
      </c>
      <c r="F154" s="25">
        <v>100</v>
      </c>
      <c r="G154" s="25">
        <v>100</v>
      </c>
      <c r="H154" s="25">
        <v>100</v>
      </c>
      <c r="I154" s="25">
        <v>98.131624776934501</v>
      </c>
      <c r="J154" s="25">
        <v>100</v>
      </c>
      <c r="K154" s="25">
        <v>100</v>
      </c>
      <c r="L154" s="25">
        <v>100</v>
      </c>
    </row>
    <row r="155" spans="1:12">
      <c r="A155" s="6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</row>
    <row r="156" spans="1:12">
      <c r="A156" s="6" t="s">
        <v>2</v>
      </c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</row>
    <row r="157" spans="1:12">
      <c r="A157" s="10" t="s">
        <v>352</v>
      </c>
      <c r="B157" s="10" t="s">
        <v>353</v>
      </c>
      <c r="C157" s="12" t="s">
        <v>354</v>
      </c>
      <c r="D157" s="12" t="s">
        <v>354</v>
      </c>
      <c r="E157" s="12" t="s">
        <v>354</v>
      </c>
      <c r="F157" s="12" t="s">
        <v>354</v>
      </c>
      <c r="G157" s="12" t="s">
        <v>354</v>
      </c>
      <c r="H157" s="12" t="s">
        <v>354</v>
      </c>
      <c r="I157" s="12" t="s">
        <v>354</v>
      </c>
      <c r="J157" s="12" t="s">
        <v>354</v>
      </c>
      <c r="K157" s="12" t="s">
        <v>354</v>
      </c>
      <c r="L157" s="12" t="s">
        <v>354</v>
      </c>
    </row>
    <row r="158" spans="1:12">
      <c r="A158" s="10" t="s">
        <v>823</v>
      </c>
      <c r="B158" s="10" t="s">
        <v>86</v>
      </c>
      <c r="C158" s="13">
        <f>_xll.BDH("RCOM IN Equity","BS_SH_OUT","FY 2009","FY 2009","Currency=INR","Period=FY","BEST_FPERIOD_OVERRIDE=FY","FILING_STATUS=MR","EQY_CONSOLIDATED=Y","Sort=A","Dates=H","DateFormat=P","Fill=—","Direction=H","UseDPDF=Y")</f>
        <v>2064.0268999999998</v>
      </c>
      <c r="D158" s="13">
        <f>_xll.BDH("RCOM IN Equity","BS_SH_OUT","FY 2010","FY 2010","Currency=INR","Period=FY","BEST_FPERIOD_OVERRIDE=FY","FILING_STATUS=MR","EQY_CONSOLIDATED=Y","Sort=A","Dates=H","DateFormat=P","Fill=—","Direction=H","UseDPDF=Y")</f>
        <v>2064.0268999999998</v>
      </c>
      <c r="E158" s="13">
        <f>_xll.BDH("RCOM IN Equity","BS_SH_OUT","FY 2011","FY 2011","Currency=INR","Period=FY","BEST_FPERIOD_OVERRIDE=FY","FILING_STATUS=MR","EQY_CONSOLIDATED=Y","Sort=A","Dates=H","DateFormat=P","Fill=—","Direction=H","UseDPDF=Y")</f>
        <v>2064.0268999999998</v>
      </c>
      <c r="F158" s="13">
        <f>_xll.BDH("RCOM IN Equity","BS_SH_OUT","FY 2012","FY 2012","Currency=INR","Period=FY","BEST_FPERIOD_OVERRIDE=FY","FILING_STATUS=MR","EQY_CONSOLIDATED=Y","Sort=A","Dates=H","DateFormat=P","Fill=—","Direction=H","UseDPDF=Y")</f>
        <v>2064.0268999999998</v>
      </c>
      <c r="G158" s="13">
        <f>_xll.BDH("RCOM IN Equity","BS_SH_OUT","FY 2013","FY 2013","Currency=INR","Period=FY","BEST_FPERIOD_OVERRIDE=FY","FILING_STATUS=MR","EQY_CONSOLIDATED=Y","Sort=A","Dates=H","DateFormat=P","Fill=—","Direction=H","UseDPDF=Y")</f>
        <v>2064.0268999999998</v>
      </c>
      <c r="H158" s="13">
        <f>_xll.BDH("RCOM IN Equity","BS_SH_OUT","FY 2014","FY 2014","Currency=INR","Period=FY","BEST_FPERIOD_OVERRIDE=FY","FILING_STATUS=MR","EQY_CONSOLIDATED=Y","Sort=A","Dates=H","DateFormat=P","Fill=—","Direction=H","UseDPDF=Y")</f>
        <v>2064.0268999999998</v>
      </c>
      <c r="I158" s="13">
        <f>_xll.BDH("RCOM IN Equity","BS_SH_OUT","FY 2015","FY 2015","Currency=INR","Period=FY","BEST_FPERIOD_OVERRIDE=FY","FILING_STATUS=MR","EQY_CONSOLIDATED=Y","Sort=A","Dates=H","DateFormat=P","Fill=—","Direction=H","UseDPDF=Y")</f>
        <v>2488.9796999999999</v>
      </c>
      <c r="J158" s="13">
        <f>_xll.BDH("RCOM IN Equity","BS_SH_OUT","FY 2016","FY 2016","Currency=INR","Period=FY","BEST_FPERIOD_OVERRIDE=FY","FILING_STATUS=MR","EQY_CONSOLIDATED=Y","Sort=A","Dates=H","DateFormat=P","Fill=—","Direction=H","UseDPDF=Y")</f>
        <v>2488.9796999999999</v>
      </c>
      <c r="K158" s="13">
        <f>_xll.BDH("RCOM IN Equity","BS_SH_OUT","FY 2017","FY 2017","Currency=INR","Period=FY","BEST_FPERIOD_OVERRIDE=FY","FILING_STATUS=MR","EQY_CONSOLIDATED=Y","Sort=A","Dates=H","DateFormat=P","Fill=—","Direction=H","UseDPDF=Y")</f>
        <v>2488.9796999999999</v>
      </c>
      <c r="L158" s="13">
        <f>_xll.BDH("RCOM IN Equity","BS_SH_OUT","FY 2018","FY 2018","Currency=INR","Period=FY","BEST_FPERIOD_OVERRIDE=FY","FILING_STATUS=MR","EQY_CONSOLIDATED=Y","Sort=A","Dates=H","DateFormat=P","Fill=—","Direction=H","UseDPDF=Y")</f>
        <v>2765.5331000000001</v>
      </c>
    </row>
    <row r="159" spans="1:12">
      <c r="A159" s="10" t="s">
        <v>824</v>
      </c>
      <c r="B159" s="10" t="s">
        <v>825</v>
      </c>
      <c r="C159" s="13">
        <f>_xll.BDH("RCOM IN Equity","BS_NUM_OF_TSY_SH","FY 2009","FY 2009","Currency=INR","Period=FY","BEST_FPERIOD_OVERRIDE=FY","FILING_STATUS=MR","EQY_CONSOLIDATED=Y","Sort=A","Dates=H","DateFormat=P","Fill=—","Direction=H","UseDPDF=Y")</f>
        <v>0</v>
      </c>
      <c r="D159" s="13">
        <f>_xll.BDH("RCOM IN Equity","BS_NUM_OF_TSY_SH","FY 2010","FY 2010","Currency=INR","Period=FY","BEST_FPERIOD_OVERRIDE=FY","FILING_STATUS=MR","EQY_CONSOLIDATED=Y","Sort=A","Dates=H","DateFormat=P","Fill=—","Direction=H","UseDPDF=Y")</f>
        <v>0</v>
      </c>
      <c r="E159" s="13">
        <f>_xll.BDH("RCOM IN Equity","BS_NUM_OF_TSY_SH","FY 2011","FY 2011","Currency=INR","Period=FY","BEST_FPERIOD_OVERRIDE=FY","FILING_STATUS=MR","EQY_CONSOLIDATED=Y","Sort=A","Dates=H","DateFormat=P","Fill=—","Direction=H","UseDPDF=Y")</f>
        <v>0</v>
      </c>
      <c r="F159" s="13">
        <f>_xll.BDH("RCOM IN Equity","BS_NUM_OF_TSY_SH","FY 2012","FY 2012","Currency=INR","Period=FY","BEST_FPERIOD_OVERRIDE=FY","FILING_STATUS=MR","EQY_CONSOLIDATED=Y","Sort=A","Dates=H","DateFormat=P","Fill=—","Direction=H","UseDPDF=Y")</f>
        <v>0</v>
      </c>
      <c r="G159" s="13">
        <f>_xll.BDH("RCOM IN Equity","BS_NUM_OF_TSY_SH","FY 2013","FY 2013","Currency=INR","Period=FY","BEST_FPERIOD_OVERRIDE=FY","FILING_STATUS=MR","EQY_CONSOLIDATED=Y","Sort=A","Dates=H","DateFormat=P","Fill=—","Direction=H","UseDPDF=Y")</f>
        <v>0</v>
      </c>
      <c r="H159" s="13">
        <f>_xll.BDH("RCOM IN Equity","BS_NUM_OF_TSY_SH","FY 2014","FY 2014","Currency=INR","Period=FY","BEST_FPERIOD_OVERRIDE=FY","FILING_STATUS=MR","EQY_CONSOLIDATED=Y","Sort=A","Dates=H","DateFormat=P","Fill=—","Direction=H","UseDPDF=Y")</f>
        <v>0</v>
      </c>
      <c r="I159" s="13">
        <f>_xll.BDH("RCOM IN Equity","BS_NUM_OF_TSY_SH","FY 2015","FY 2015","Currency=INR","Period=FY","BEST_FPERIOD_OVERRIDE=FY","FILING_STATUS=MR","EQY_CONSOLIDATED=Y","Sort=A","Dates=H","DateFormat=P","Fill=—","Direction=H","UseDPDF=Y")</f>
        <v>0</v>
      </c>
      <c r="J159" s="13">
        <f>_xll.BDH("RCOM IN Equity","BS_NUM_OF_TSY_SH","FY 2016","FY 2016","Currency=INR","Period=FY","BEST_FPERIOD_OVERRIDE=FY","FILING_STATUS=MR","EQY_CONSOLIDATED=Y","Sort=A","Dates=H","DateFormat=P","Fill=—","Direction=H","UseDPDF=Y")</f>
        <v>0</v>
      </c>
      <c r="K159" s="13">
        <f>_xll.BDH("RCOM IN Equity","BS_NUM_OF_TSY_SH","FY 2017","FY 2017","Currency=INR","Period=FY","BEST_FPERIOD_OVERRIDE=FY","FILING_STATUS=MR","EQY_CONSOLIDATED=Y","Sort=A","Dates=H","DateFormat=P","Fill=—","Direction=H","UseDPDF=Y")</f>
        <v>0</v>
      </c>
      <c r="L159" s="13">
        <f>_xll.BDH("RCOM IN Equity","BS_NUM_OF_TSY_SH","FY 2018","FY 2018","Currency=INR","Period=FY","BEST_FPERIOD_OVERRIDE=FY","FILING_STATUS=MR","EQY_CONSOLIDATED=Y","Sort=A","Dates=H","DateFormat=P","Fill=—","Direction=H","UseDPDF=Y")</f>
        <v>0</v>
      </c>
    </row>
    <row r="160" spans="1:12">
      <c r="A160" s="10" t="s">
        <v>826</v>
      </c>
      <c r="B160" s="10" t="s">
        <v>827</v>
      </c>
      <c r="C160" s="13">
        <f>_xll.BDH("RCOM IN Equity","BS_PENSION_RSRV","FY 2009","FY 2009","Currency=INR","Period=FY","BEST_FPERIOD_OVERRIDE=FY","FILING_STATUS=MR","EQY_CONSOLIDATED=Y","SCALING_FORMAT=MLN","Sort=A","Dates=H","DateFormat=P","Fill=—","Direction=H","UseDPDF=Y")</f>
        <v>0</v>
      </c>
      <c r="D160" s="13">
        <f>_xll.BDH("RCOM IN Equity","BS_PENSION_RSRV","FY 2010","FY 2010","Currency=INR","Period=FY","BEST_FPERIOD_OVERRIDE=FY","FILING_STATUS=MR","EQY_CONSOLIDATED=Y","SCALING_FORMAT=MLN","Sort=A","Dates=H","DateFormat=P","Fill=—","Direction=H","UseDPDF=Y")</f>
        <v>0</v>
      </c>
      <c r="E160" s="13">
        <f>_xll.BDH("RCOM IN Equity","BS_PENSION_RSRV","FY 2011","FY 2011","Currency=INR","Period=FY","BEST_FPERIOD_OVERRIDE=FY","FILING_STATUS=MR","EQY_CONSOLIDATED=Y","SCALING_FORMAT=MLN","Sort=A","Dates=H","DateFormat=P","Fill=—","Direction=H","UseDPDF=Y")</f>
        <v>0</v>
      </c>
      <c r="F160" s="13">
        <f>_xll.BDH("RCOM IN Equity","BS_PENSION_RSRV","FY 2012","FY 2012","Currency=INR","Period=FY","BEST_FPERIOD_OVERRIDE=FY","FILING_STATUS=MR","EQY_CONSOLIDATED=Y","SCALING_FORMAT=MLN","Sort=A","Dates=H","DateFormat=P","Fill=—","Direction=H","UseDPDF=Y")</f>
        <v>0</v>
      </c>
      <c r="G160" s="13">
        <f>_xll.BDH("RCOM IN Equity","BS_PENSION_RSRV","FY 2013","FY 2013","Currency=INR","Period=FY","BEST_FPERIOD_OVERRIDE=FY","FILING_STATUS=MR","EQY_CONSOLIDATED=Y","SCALING_FORMAT=MLN","Sort=A","Dates=H","DateFormat=P","Fill=—","Direction=H","UseDPDF=Y")</f>
        <v>0</v>
      </c>
      <c r="H160" s="13">
        <f>_xll.BDH("RCOM IN Equity","BS_PENSION_RSRV","FY 2014","FY 2014","Currency=INR","Period=FY","BEST_FPERIOD_OVERRIDE=FY","FILING_STATUS=MR","EQY_CONSOLIDATED=Y","SCALING_FORMAT=MLN","Sort=A","Dates=H","DateFormat=P","Fill=—","Direction=H","UseDPDF=Y")</f>
        <v>0</v>
      </c>
      <c r="I160" s="13">
        <f>_xll.BDH("RCOM IN Equity","BS_PENSION_RSRV","FY 2015","FY 2015","Currency=INR","Period=FY","BEST_FPERIOD_OVERRIDE=FY","FILING_STATUS=MR","EQY_CONSOLIDATED=Y","SCALING_FORMAT=MLN","Sort=A","Dates=H","DateFormat=P","Fill=—","Direction=H","UseDPDF=Y")</f>
        <v>0</v>
      </c>
      <c r="J160" s="13">
        <f>_xll.BDH("RCOM IN Equity","BS_PENSION_RSRV","FY 2016","FY 2016","Currency=INR","Period=FY","BEST_FPERIOD_OVERRIDE=FY","FILING_STATUS=MR","EQY_CONSOLIDATED=Y","SCALING_FORMAT=MLN","Sort=A","Dates=H","DateFormat=P","Fill=—","Direction=H","UseDPDF=Y")</f>
        <v>0</v>
      </c>
      <c r="K160" s="13">
        <f>_xll.BDH("RCOM IN Equity","BS_PENSION_RSRV","FY 2017","FY 2017","Currency=INR","Period=FY","BEST_FPERIOD_OVERRIDE=FY","FILING_STATUS=MR","EQY_CONSOLIDATED=Y","SCALING_FORMAT=MLN","Sort=A","Dates=H","DateFormat=P","Fill=—","Direction=H","UseDPDF=Y")</f>
        <v>0</v>
      </c>
      <c r="L160" s="13">
        <f>_xll.BDH("RCOM IN Equity","BS_PENSION_RSRV","FY 2018","FY 2018","Currency=INR","Period=FY","BEST_FPERIOD_OVERRIDE=FY","FILING_STATUS=MR","EQY_CONSOLIDATED=Y","SCALING_FORMAT=MLN","Sort=A","Dates=H","DateFormat=P","Fill=—","Direction=H","UseDPDF=Y")</f>
        <v>0</v>
      </c>
    </row>
    <row r="161" spans="1:12">
      <c r="A161" s="10" t="s">
        <v>828</v>
      </c>
      <c r="B161" s="10" t="s">
        <v>829</v>
      </c>
      <c r="C161" s="13">
        <f>_xll.BDH("RCOM IN Equity","BS_FUTURE_MIN_OPER_LEASE_OBLIG","FY 2009","FY 2009","Currency=INR","Period=FY","BEST_FPERIOD_OVERRIDE=FY","FILING_STATUS=MR","EQY_CONSOLIDATED=Y","SCALING_FORMAT=MLN","Sort=A","Dates=H","DateFormat=P","Fill=—","Direction=H","UseDPDF=Y")</f>
        <v>1742</v>
      </c>
      <c r="D161" s="13">
        <f>_xll.BDH("RCOM IN Equity","BS_FUTURE_MIN_OPER_LEASE_OBLIG","FY 2010","FY 2010","Currency=INR","Period=FY","BEST_FPERIOD_OVERRIDE=FY","FILING_STATUS=MR","EQY_CONSOLIDATED=Y","SCALING_FORMAT=MLN","Sort=A","Dates=H","DateFormat=P","Fill=—","Direction=H","UseDPDF=Y")</f>
        <v>45096.9</v>
      </c>
      <c r="E161" s="13">
        <f>_xll.BDH("RCOM IN Equity","BS_FUTURE_MIN_OPER_LEASE_OBLIG","FY 2011","FY 2011","Currency=INR","Period=FY","BEST_FPERIOD_OVERRIDE=FY","FILING_STATUS=MR","EQY_CONSOLIDATED=Y","SCALING_FORMAT=MLN","Sort=A","Dates=H","DateFormat=P","Fill=—","Direction=H","UseDPDF=Y")</f>
        <v>1690</v>
      </c>
      <c r="F161" s="13">
        <f>_xll.BDH("RCOM IN Equity","BS_FUTURE_MIN_OPER_LEASE_OBLIG","FY 2012","FY 2012","Currency=INR","Period=FY","BEST_FPERIOD_OVERRIDE=FY","FILING_STATUS=MR","EQY_CONSOLIDATED=Y","SCALING_FORMAT=MLN","Sort=A","Dates=H","DateFormat=P","Fill=—","Direction=H","UseDPDF=Y")</f>
        <v>1680</v>
      </c>
      <c r="G161" s="13">
        <f>_xll.BDH("RCOM IN Equity","BS_FUTURE_MIN_OPER_LEASE_OBLIG","FY 2013","FY 2013","Currency=INR","Period=FY","BEST_FPERIOD_OVERRIDE=FY","FILING_STATUS=MR","EQY_CONSOLIDATED=Y","SCALING_FORMAT=MLN","Sort=A","Dates=H","DateFormat=P","Fill=—","Direction=H","UseDPDF=Y")</f>
        <v>1840</v>
      </c>
      <c r="H161" s="13">
        <f>_xll.BDH("RCOM IN Equity","BS_FUTURE_MIN_OPER_LEASE_OBLIG","FY 2014","FY 2014","Currency=INR","Period=FY","BEST_FPERIOD_OVERRIDE=FY","FILING_STATUS=MR","EQY_CONSOLIDATED=Y","SCALING_FORMAT=MLN","Sort=A","Dates=H","DateFormat=P","Fill=—","Direction=H","UseDPDF=Y")</f>
        <v>860</v>
      </c>
      <c r="I161" s="13">
        <f>_xll.BDH("RCOM IN Equity","BS_FUTURE_MIN_OPER_LEASE_OBLIG","FY 2015","FY 2015","Currency=INR","Period=FY","BEST_FPERIOD_OVERRIDE=FY","FILING_STATUS=MR","EQY_CONSOLIDATED=Y","SCALING_FORMAT=MLN","Sort=A","Dates=H","DateFormat=P","Fill=—","Direction=H","UseDPDF=Y")</f>
        <v>680</v>
      </c>
      <c r="J161" s="13">
        <f>_xll.BDH("RCOM IN Equity","BS_FUTURE_MIN_OPER_LEASE_OBLIG","FY 2016","FY 2016","Currency=INR","Period=FY","BEST_FPERIOD_OVERRIDE=FY","FILING_STATUS=MR","EQY_CONSOLIDATED=Y","SCALING_FORMAT=MLN","Sort=A","Dates=H","DateFormat=P","Fill=—","Direction=H","UseDPDF=Y")</f>
        <v>700</v>
      </c>
      <c r="K161" s="13">
        <f>_xll.BDH("RCOM IN Equity","BS_FUTURE_MIN_OPER_LEASE_OBLIG","FY 2017","FY 2017","Currency=INR","Period=FY","BEST_FPERIOD_OVERRIDE=FY","FILING_STATUS=MR","EQY_CONSOLIDATED=Y","SCALING_FORMAT=MLN","Sort=A","Dates=H","DateFormat=P","Fill=—","Direction=H","UseDPDF=Y")</f>
        <v>350</v>
      </c>
      <c r="L161" s="13">
        <f>_xll.BDH("RCOM IN Equity","BS_FUTURE_MIN_OPER_LEASE_OBLIG","FY 2018","FY 2018","Currency=INR","Period=FY","BEST_FPERIOD_OVERRIDE=FY","FILING_STATUS=MR","EQY_CONSOLIDATED=Y","SCALING_FORMAT=MLN","Sort=A","Dates=H","DateFormat=P","Fill=—","Direction=H","UseDPDF=Y")</f>
        <v>110</v>
      </c>
    </row>
    <row r="162" spans="1:12">
      <c r="A162" s="10" t="s">
        <v>830</v>
      </c>
      <c r="B162" s="10" t="s">
        <v>831</v>
      </c>
      <c r="C162" s="13">
        <f>_xll.BDH("RCOM IN Equity","BS_TOTAL_CAPITAL_LEASES","FY 2009","FY 2009","Currency=INR","Period=FY","BEST_FPERIOD_OVERRIDE=FY","FILING_STATUS=MR","EQY_CONSOLIDATED=Y","SCALING_FORMAT=MLN","Sort=A","Dates=H","DateFormat=P","Fill=—","Direction=H","UseDPDF=Y")</f>
        <v>0</v>
      </c>
      <c r="D162" s="13">
        <f>_xll.BDH("RCOM IN Equity","BS_TOTAL_CAPITAL_LEASES","FY 2010","FY 2010","Currency=INR","Period=FY","BEST_FPERIOD_OVERRIDE=FY","FILING_STATUS=MR","EQY_CONSOLIDATED=Y","SCALING_FORMAT=MLN","Sort=A","Dates=H","DateFormat=P","Fill=—","Direction=H","UseDPDF=Y")</f>
        <v>0</v>
      </c>
      <c r="E162" s="13">
        <f>_xll.BDH("RCOM IN Equity","BS_TOTAL_CAPITAL_LEASES","FY 2011","FY 2011","Currency=INR","Period=FY","BEST_FPERIOD_OVERRIDE=FY","FILING_STATUS=MR","EQY_CONSOLIDATED=Y","SCALING_FORMAT=MLN","Sort=A","Dates=H","DateFormat=P","Fill=—","Direction=H","UseDPDF=Y")</f>
        <v>0</v>
      </c>
      <c r="F162" s="13">
        <f>_xll.BDH("RCOM IN Equity","BS_TOTAL_CAPITAL_LEASES","FY 2012","FY 2012","Currency=INR","Period=FY","BEST_FPERIOD_OVERRIDE=FY","FILING_STATUS=MR","EQY_CONSOLIDATED=Y","SCALING_FORMAT=MLN","Sort=A","Dates=H","DateFormat=P","Fill=—","Direction=H","UseDPDF=Y")</f>
        <v>0</v>
      </c>
      <c r="G162" s="13">
        <f>_xll.BDH("RCOM IN Equity","BS_TOTAL_CAPITAL_LEASES","FY 2013","FY 2013","Currency=INR","Period=FY","BEST_FPERIOD_OVERRIDE=FY","FILING_STATUS=MR","EQY_CONSOLIDATED=Y","SCALING_FORMAT=MLN","Sort=A","Dates=H","DateFormat=P","Fill=—","Direction=H","UseDPDF=Y")</f>
        <v>0</v>
      </c>
      <c r="H162" s="13">
        <f>_xll.BDH("RCOM IN Equity","BS_TOTAL_CAPITAL_LEASES","FY 2014","FY 2014","Currency=INR","Period=FY","BEST_FPERIOD_OVERRIDE=FY","FILING_STATUS=MR","EQY_CONSOLIDATED=Y","SCALING_FORMAT=MLN","Sort=A","Dates=H","DateFormat=P","Fill=—","Direction=H","UseDPDF=Y")</f>
        <v>2900</v>
      </c>
      <c r="I162" s="13">
        <f>_xll.BDH("RCOM IN Equity","BS_TOTAL_CAPITAL_LEASES","FY 2015","FY 2015","Currency=INR","Period=FY","BEST_FPERIOD_OVERRIDE=FY","FILING_STATUS=MR","EQY_CONSOLIDATED=Y","SCALING_FORMAT=MLN","Sort=A","Dates=H","DateFormat=P","Fill=—","Direction=H","UseDPDF=Y")</f>
        <v>1360</v>
      </c>
      <c r="J162" s="13">
        <f>_xll.BDH("RCOM IN Equity","BS_TOTAL_CAPITAL_LEASES","FY 2016","FY 2016","Currency=INR","Period=FY","BEST_FPERIOD_OVERRIDE=FY","FILING_STATUS=MR","EQY_CONSOLIDATED=Y","SCALING_FORMAT=MLN","Sort=A","Dates=H","DateFormat=P","Fill=—","Direction=H","UseDPDF=Y")</f>
        <v>1110</v>
      </c>
      <c r="K162" s="13">
        <f>_xll.BDH("RCOM IN Equity","BS_TOTAL_CAPITAL_LEASES","FY 2017","FY 2017","Currency=INR","Period=FY","BEST_FPERIOD_OVERRIDE=FY","FILING_STATUS=MR","EQY_CONSOLIDATED=Y","SCALING_FORMAT=MLN","Sort=A","Dates=H","DateFormat=P","Fill=—","Direction=H","UseDPDF=Y")</f>
        <v>900</v>
      </c>
      <c r="L162" s="13">
        <f>_xll.BDH("RCOM IN Equity","BS_TOTAL_CAPITAL_LEASES","FY 2018","FY 2018","Currency=INR","Period=FY","BEST_FPERIOD_OVERRIDE=FY","FILING_STATUS=MR","EQY_CONSOLIDATED=Y","SCALING_FORMAT=MLN","Sort=A","Dates=H","DateFormat=P","Fill=—","Direction=H","UseDPDF=Y")</f>
        <v>0</v>
      </c>
    </row>
    <row r="163" spans="1:12">
      <c r="A163" s="10" t="s">
        <v>832</v>
      </c>
      <c r="B163" s="10" t="s">
        <v>833</v>
      </c>
      <c r="C163" s="14">
        <f>_xll.BDH("RCOM IN Equity","BS_PERCENT_OF_FOREIGN_OWNERSHIP","FY 2009","FY 2009","Currency=INR","Period=FY","BEST_FPERIOD_OVERRIDE=FY","FILING_STATUS=MR","EQY_CONSOLIDATED=Y","Sort=A","Dates=H","DateFormat=P","Fill=—","Direction=H","UseDPDF=Y")</f>
        <v>10.23</v>
      </c>
      <c r="D163" s="14">
        <f>_xll.BDH("RCOM IN Equity","BS_PERCENT_OF_FOREIGN_OWNERSHIP","FY 2010","FY 2010","Currency=INR","Period=FY","BEST_FPERIOD_OVERRIDE=FY","FILING_STATUS=MR","EQY_CONSOLIDATED=Y","Sort=A","Dates=H","DateFormat=P","Fill=—","Direction=H","UseDPDF=Y")</f>
        <v>8.2899999999999991</v>
      </c>
      <c r="E163" s="14" t="str">
        <f>_xll.BDH("RCOM IN Equity","BS_PERCENT_OF_FOREIGN_OWNERSHIP","FY 2011","FY 2011","Currency=INR","Period=FY","BEST_FPERIOD_OVERRIDE=FY","FILING_STATUS=MR","EQY_CONSOLIDATED=Y","Sort=A","Dates=H","DateFormat=P","Fill=—","Direction=H","UseDPDF=Y")</f>
        <v>—</v>
      </c>
      <c r="F163" s="14" t="str">
        <f>_xll.BDH("RCOM IN Equity","BS_PERCENT_OF_FOREIGN_OWNERSHIP","FY 2012","FY 2012","Currency=INR","Period=FY","BEST_FPERIOD_OVERRIDE=FY","FILING_STATUS=MR","EQY_CONSOLIDATED=Y","Sort=A","Dates=H","DateFormat=P","Fill=—","Direction=H","UseDPDF=Y")</f>
        <v>—</v>
      </c>
      <c r="G163" s="14" t="str">
        <f>_xll.BDH("RCOM IN Equity","BS_PERCENT_OF_FOREIGN_OWNERSHIP","FY 2013","FY 2013","Currency=INR","Period=FY","BEST_FPERIOD_OVERRIDE=FY","FILING_STATUS=MR","EQY_CONSOLIDATED=Y","Sort=A","Dates=H","DateFormat=P","Fill=—","Direction=H","UseDPDF=Y")</f>
        <v>—</v>
      </c>
      <c r="H163" s="14" t="str">
        <f>_xll.BDH("RCOM IN Equity","BS_PERCENT_OF_FOREIGN_OWNERSHIP","FY 2014","FY 2014","Currency=INR","Period=FY","BEST_FPERIOD_OVERRIDE=FY","FILING_STATUS=MR","EQY_CONSOLIDATED=Y","Sort=A","Dates=H","DateFormat=P","Fill=—","Direction=H","UseDPDF=Y")</f>
        <v>—</v>
      </c>
      <c r="I163" s="14" t="str">
        <f>_xll.BDH("RCOM IN Equity","BS_PERCENT_OF_FOREIGN_OWNERSHIP","FY 2015","FY 2015","Currency=INR","Period=FY","BEST_FPERIOD_OVERRIDE=FY","FILING_STATUS=MR","EQY_CONSOLIDATED=Y","Sort=A","Dates=H","DateFormat=P","Fill=—","Direction=H","UseDPDF=Y")</f>
        <v>—</v>
      </c>
      <c r="J163" s="14" t="str">
        <f>_xll.BDH("RCOM IN Equity","BS_PERCENT_OF_FOREIGN_OWNERSHIP","FY 2016","FY 2016","Currency=INR","Period=FY","BEST_FPERIOD_OVERRIDE=FY","FILING_STATUS=MR","EQY_CONSOLIDATED=Y","Sort=A","Dates=H","DateFormat=P","Fill=—","Direction=H","UseDPDF=Y")</f>
        <v>—</v>
      </c>
      <c r="K163" s="14" t="str">
        <f>_xll.BDH("RCOM IN Equity","BS_PERCENT_OF_FOREIGN_OWNERSHIP","FY 2017","FY 2017","Currency=INR","Period=FY","BEST_FPERIOD_OVERRIDE=FY","FILING_STATUS=MR","EQY_CONSOLIDATED=Y","Sort=A","Dates=H","DateFormat=P","Fill=—","Direction=H","UseDPDF=Y")</f>
        <v>—</v>
      </c>
      <c r="L163" s="14" t="str">
        <f>_xll.BDH("RCOM IN Equity","BS_PERCENT_OF_FOREIGN_OWNERSHIP","FY 2018","FY 2018","Currency=INR","Period=FY","BEST_FPERIOD_OVERRIDE=FY","FILING_STATUS=MR","EQY_CONSOLIDATED=Y","Sort=A","Dates=H","DateFormat=P","Fill=—","Direction=H","UseDPDF=Y")</f>
        <v>—</v>
      </c>
    </row>
    <row r="164" spans="1:12">
      <c r="A164" s="10" t="s">
        <v>834</v>
      </c>
      <c r="B164" s="10" t="s">
        <v>835</v>
      </c>
      <c r="C164" s="14">
        <f>_xll.BDH("RCOM IN Equity","BS_NUM_OF_SHAREHOLDERS","FY 2009","FY 2009","Currency=INR","Period=FY","BEST_FPERIOD_OVERRIDE=FY","FILING_STATUS=MR","EQY_CONSOLIDATED=Y","Sort=A","Dates=H","DateFormat=P","Fill=—","Direction=H","UseDPDF=Y")</f>
        <v>2167406</v>
      </c>
      <c r="D164" s="14">
        <f>_xll.BDH("RCOM IN Equity","BS_NUM_OF_SHAREHOLDERS","FY 2010","FY 2010","Currency=INR","Period=FY","BEST_FPERIOD_OVERRIDE=FY","FILING_STATUS=MR","EQY_CONSOLIDATED=Y","Sort=A","Dates=H","DateFormat=P","Fill=—","Direction=H","UseDPDF=Y")</f>
        <v>2162907</v>
      </c>
      <c r="E164" s="14">
        <f>_xll.BDH("RCOM IN Equity","BS_NUM_OF_SHAREHOLDERS","FY 2011","FY 2011","Currency=INR","Period=FY","BEST_FPERIOD_OVERRIDE=FY","FILING_STATUS=MR","EQY_CONSOLIDATED=Y","Sort=A","Dates=H","DateFormat=P","Fill=—","Direction=H","UseDPDF=Y")</f>
        <v>2098743</v>
      </c>
      <c r="F164" s="14">
        <f>_xll.BDH("RCOM IN Equity","BS_NUM_OF_SHAREHOLDERS","FY 2012","FY 2012","Currency=INR","Period=FY","BEST_FPERIOD_OVERRIDE=FY","FILING_STATUS=MR","EQY_CONSOLIDATED=Y","Sort=A","Dates=H","DateFormat=P","Fill=—","Direction=H","UseDPDF=Y")</f>
        <v>1952760</v>
      </c>
      <c r="G164" s="14">
        <f>_xll.BDH("RCOM IN Equity","BS_NUM_OF_SHAREHOLDERS","FY 2013","FY 2013","Currency=INR","Period=FY","BEST_FPERIOD_OVERRIDE=FY","FILING_STATUS=MR","EQY_CONSOLIDATED=Y","Sort=A","Dates=H","DateFormat=P","Fill=—","Direction=H","UseDPDF=Y")</f>
        <v>1879525</v>
      </c>
      <c r="H164" s="14">
        <f>_xll.BDH("RCOM IN Equity","BS_NUM_OF_SHAREHOLDERS","FY 2014","FY 2014","Currency=INR","Period=FY","BEST_FPERIOD_OVERRIDE=FY","FILING_STATUS=MR","EQY_CONSOLIDATED=Y","Sort=A","Dates=H","DateFormat=P","Fill=—","Direction=H","UseDPDF=Y")</f>
        <v>1720386</v>
      </c>
      <c r="I164" s="14">
        <f>_xll.BDH("RCOM IN Equity","BS_NUM_OF_SHAREHOLDERS","FY 2015","FY 2015","Currency=INR","Period=FY","BEST_FPERIOD_OVERRIDE=FY","FILING_STATUS=MR","EQY_CONSOLIDATED=Y","Sort=A","Dates=H","DateFormat=P","Fill=—","Direction=H","UseDPDF=Y")</f>
        <v>1657702</v>
      </c>
      <c r="J164" s="14">
        <f>_xll.BDH("RCOM IN Equity","BS_NUM_OF_SHAREHOLDERS","FY 2016","FY 2016","Currency=INR","Period=FY","BEST_FPERIOD_OVERRIDE=FY","FILING_STATUS=MR","EQY_CONSOLIDATED=Y","Sort=A","Dates=H","DateFormat=P","Fill=—","Direction=H","UseDPDF=Y")</f>
        <v>1626555</v>
      </c>
      <c r="K164" s="14">
        <f>_xll.BDH("RCOM IN Equity","BS_NUM_OF_SHAREHOLDERS","FY 2017","FY 2017","Currency=INR","Period=FY","BEST_FPERIOD_OVERRIDE=FY","FILING_STATUS=MR","EQY_CONSOLIDATED=Y","Sort=A","Dates=H","DateFormat=P","Fill=—","Direction=H","UseDPDF=Y")</f>
        <v>1626664</v>
      </c>
      <c r="L164" s="14">
        <f>_xll.BDH("RCOM IN Equity","BS_NUM_OF_SHAREHOLDERS","FY 2018","FY 2018","Currency=INR","Period=FY","BEST_FPERIOD_OVERRIDE=FY","FILING_STATUS=MR","EQY_CONSOLIDATED=Y","Sort=A","Dates=H","DateFormat=P","Fill=—","Direction=H","UseDPDF=Y")</f>
        <v>1313518</v>
      </c>
    </row>
    <row r="165" spans="1:12">
      <c r="A165" s="10" t="s">
        <v>836</v>
      </c>
      <c r="B165" s="10" t="s">
        <v>837</v>
      </c>
      <c r="C165" s="13">
        <f>_xll.BDH("RCOM IN Equity","BS_OPTIONS_GRANTED","FY 2009","FY 2009","Currency=INR","Period=FY","BEST_FPERIOD_OVERRIDE=FY","FILING_STATUS=MR","EQY_CONSOLIDATED=Y","Sort=A","Dates=H","DateFormat=P","Fill=—","Direction=H","UseDPDF=Y")</f>
        <v>13.218</v>
      </c>
      <c r="D165" s="13" t="str">
        <f>_xll.BDH("RCOM IN Equity","BS_OPTIONS_GRANTED","FY 2010","FY 2010","Currency=INR","Period=FY","BEST_FPERIOD_OVERRIDE=FY","FILING_STATUS=MR","EQY_CONSOLIDATED=Y","Sort=A","Dates=H","DateFormat=P","Fill=—","Direction=H","UseDPDF=Y")</f>
        <v>—</v>
      </c>
      <c r="E165" s="13">
        <f>_xll.BDH("RCOM IN Equity","BS_OPTIONS_GRANTED","FY 2011","FY 2011","Currency=INR","Period=FY","BEST_FPERIOD_OVERRIDE=FY","FILING_STATUS=MR","EQY_CONSOLIDATED=Y","Sort=A","Dates=H","DateFormat=P","Fill=—","Direction=H","UseDPDF=Y")</f>
        <v>0</v>
      </c>
      <c r="F165" s="13">
        <f>_xll.BDH("RCOM IN Equity","BS_OPTIONS_GRANTED","FY 2012","FY 2012","Currency=INR","Period=FY","BEST_FPERIOD_OVERRIDE=FY","FILING_STATUS=MR","EQY_CONSOLIDATED=Y","Sort=A","Dates=H","DateFormat=P","Fill=—","Direction=H","UseDPDF=Y")</f>
        <v>0</v>
      </c>
      <c r="G165" s="13">
        <f>_xll.BDH("RCOM IN Equity","BS_OPTIONS_GRANTED","FY 2013","FY 2013","Currency=INR","Period=FY","BEST_FPERIOD_OVERRIDE=FY","FILING_STATUS=MR","EQY_CONSOLIDATED=Y","Sort=A","Dates=H","DateFormat=P","Fill=—","Direction=H","UseDPDF=Y")</f>
        <v>0</v>
      </c>
      <c r="H165" s="13" t="str">
        <f>_xll.BDH("RCOM IN Equity","BS_OPTIONS_GRANTED","FY 2014","FY 2014","Currency=INR","Period=FY","BEST_FPERIOD_OVERRIDE=FY","FILING_STATUS=MR","EQY_CONSOLIDATED=Y","Sort=A","Dates=H","DateFormat=P","Fill=—","Direction=H","UseDPDF=Y")</f>
        <v>—</v>
      </c>
      <c r="I165" s="13" t="str">
        <f>_xll.BDH("RCOM IN Equity","BS_OPTIONS_GRANTED","FY 2015","FY 2015","Currency=INR","Period=FY","BEST_FPERIOD_OVERRIDE=FY","FILING_STATUS=MR","EQY_CONSOLIDATED=Y","Sort=A","Dates=H","DateFormat=P","Fill=—","Direction=H","UseDPDF=Y")</f>
        <v>—</v>
      </c>
      <c r="J165" s="13" t="str">
        <f>_xll.BDH("RCOM IN Equity","BS_OPTIONS_GRANTED","FY 2016","FY 2016","Currency=INR","Period=FY","BEST_FPERIOD_OVERRIDE=FY","FILING_STATUS=MR","EQY_CONSOLIDATED=Y","Sort=A","Dates=H","DateFormat=P","Fill=—","Direction=H","UseDPDF=Y")</f>
        <v>—</v>
      </c>
      <c r="K165" s="13" t="str">
        <f>_xll.BDH("RCOM IN Equity","BS_OPTIONS_GRANTED","FY 2017","FY 2017","Currency=INR","Period=FY","BEST_FPERIOD_OVERRIDE=FY","FILING_STATUS=MR","EQY_CONSOLIDATED=Y","Sort=A","Dates=H","DateFormat=P","Fill=—","Direction=H","UseDPDF=Y")</f>
        <v>—</v>
      </c>
      <c r="L165" s="13" t="str">
        <f>_xll.BDH("RCOM IN Equity","BS_OPTIONS_GRANTED","FY 2018","FY 2018","Currency=INR","Period=FY","BEST_FPERIOD_OVERRIDE=FY","FILING_STATUS=MR","EQY_CONSOLIDATED=Y","Sort=A","Dates=H","DateFormat=P","Fill=—","Direction=H","UseDPDF=Y")</f>
        <v>—</v>
      </c>
    </row>
    <row r="166" spans="1:12">
      <c r="A166" s="10" t="s">
        <v>838</v>
      </c>
      <c r="B166" s="10" t="s">
        <v>839</v>
      </c>
      <c r="C166" s="13">
        <f>_xll.BDH("RCOM IN Equity","BS_OPTIONS_OUTSTANDING","FY 2009","FY 2009","Currency=INR","Period=FY","BEST_FPERIOD_OVERRIDE=FY","FILING_STATUS=MR","EQY_CONSOLIDATED=Y","Sort=A","Dates=H","DateFormat=P","Fill=—","Direction=H","UseDPDF=Y")</f>
        <v>1.6073</v>
      </c>
      <c r="D166" s="13">
        <f>_xll.BDH("RCOM IN Equity","BS_OPTIONS_OUTSTANDING","FY 2010","FY 2010","Currency=INR","Period=FY","BEST_FPERIOD_OVERRIDE=FY","FILING_STATUS=MR","EQY_CONSOLIDATED=Y","Sort=A","Dates=H","DateFormat=P","Fill=—","Direction=H","UseDPDF=Y")</f>
        <v>10.445399999999999</v>
      </c>
      <c r="E166" s="13">
        <f>_xll.BDH("RCOM IN Equity","BS_OPTIONS_OUTSTANDING","FY 2011","FY 2011","Currency=INR","Period=FY","BEST_FPERIOD_OVERRIDE=FY","FILING_STATUS=MR","EQY_CONSOLIDATED=Y","Sort=A","Dates=H","DateFormat=P","Fill=—","Direction=H","UseDPDF=Y")</f>
        <v>7.2095000000000002</v>
      </c>
      <c r="F166" s="13">
        <f>_xll.BDH("RCOM IN Equity","BS_OPTIONS_OUTSTANDING","FY 2012","FY 2012","Currency=INR","Period=FY","BEST_FPERIOD_OVERRIDE=FY","FILING_STATUS=MR","EQY_CONSOLIDATED=Y","Sort=A","Dates=H","DateFormat=P","Fill=—","Direction=H","UseDPDF=Y")</f>
        <v>3.0177999999999998</v>
      </c>
      <c r="G166" s="13">
        <f>_xll.BDH("RCOM IN Equity","BS_OPTIONS_OUTSTANDING","FY 2013","FY 2013","Currency=INR","Period=FY","BEST_FPERIOD_OVERRIDE=FY","FILING_STATUS=MR","EQY_CONSOLIDATED=Y","Sort=A","Dates=H","DateFormat=P","Fill=—","Direction=H","UseDPDF=Y")</f>
        <v>0.39150000000000001</v>
      </c>
      <c r="H166" s="13">
        <f>_xll.BDH("RCOM IN Equity","BS_OPTIONS_OUTSTANDING","FY 2014","FY 2014","Currency=INR","Period=FY","BEST_FPERIOD_OVERRIDE=FY","FILING_STATUS=MR","EQY_CONSOLIDATED=Y","Sort=A","Dates=H","DateFormat=P","Fill=—","Direction=H","UseDPDF=Y")</f>
        <v>2.1514000000000002</v>
      </c>
      <c r="I166" s="13">
        <f>_xll.BDH("RCOM IN Equity","BS_OPTIONS_OUTSTANDING","FY 2015","FY 2015","Currency=INR","Period=FY","BEST_FPERIOD_OVERRIDE=FY","FILING_STATUS=MR","EQY_CONSOLIDATED=Y","Sort=A","Dates=H","DateFormat=P","Fill=—","Direction=H","UseDPDF=Y")</f>
        <v>1.3376000000000001</v>
      </c>
      <c r="J166" s="13">
        <f>_xll.BDH("RCOM IN Equity","BS_OPTIONS_OUTSTANDING","FY 2016","FY 2016","Currency=INR","Period=FY","BEST_FPERIOD_OVERRIDE=FY","FILING_STATUS=MR","EQY_CONSOLIDATED=Y","Sort=A","Dates=H","DateFormat=P","Fill=—","Direction=H","UseDPDF=Y")</f>
        <v>0.70240000000000002</v>
      </c>
      <c r="K166" s="13">
        <f>_xll.BDH("RCOM IN Equity","BS_OPTIONS_OUTSTANDING","FY 2017","FY 2017","Currency=INR","Period=FY","BEST_FPERIOD_OVERRIDE=FY","FILING_STATUS=MR","EQY_CONSOLIDATED=Y","Sort=A","Dates=H","DateFormat=P","Fill=—","Direction=H","UseDPDF=Y")</f>
        <v>0.60160000000000002</v>
      </c>
      <c r="L166" s="13">
        <f>_xll.BDH("RCOM IN Equity","BS_OPTIONS_OUTSTANDING","FY 2018","FY 2018","Currency=INR","Period=FY","BEST_FPERIOD_OVERRIDE=FY","FILING_STATUS=MR","EQY_CONSOLIDATED=Y","Sort=A","Dates=H","DateFormat=P","Fill=—","Direction=H","UseDPDF=Y")</f>
        <v>0.39350000000000002</v>
      </c>
    </row>
    <row r="167" spans="1:12">
      <c r="A167" s="10" t="s">
        <v>840</v>
      </c>
      <c r="B167" s="10" t="s">
        <v>841</v>
      </c>
      <c r="C167" s="13">
        <f>_xll.BDH("RCOM IN Equity","NET_DEBT","FY 2009","FY 2009","Currency=INR","Period=FY","BEST_FPERIOD_OVERRIDE=FY","FILING_STATUS=MR","EQY_CONSOLIDATED=Y","SCALING_FORMAT=MLN","Sort=A","Dates=H","DateFormat=P","Fill=—","Direction=H","UseDPDF=Y")</f>
        <v>281951.2</v>
      </c>
      <c r="D167" s="13">
        <f>_xll.BDH("RCOM IN Equity","NET_DEBT","FY 2010","FY 2010","Currency=INR","Period=FY","BEST_FPERIOD_OVERRIDE=FY","FILING_STATUS=MR","EQY_CONSOLIDATED=Y","SCALING_FORMAT=MLN","Sort=A","Dates=H","DateFormat=P","Fill=—","Direction=H","UseDPDF=Y")</f>
        <v>248569.4</v>
      </c>
      <c r="E167" s="13">
        <f>_xll.BDH("RCOM IN Equity","NET_DEBT","FY 2011","FY 2011","Currency=INR","Period=FY","BEST_FPERIOD_OVERRIDE=FY","FILING_STATUS=MR","EQY_CONSOLIDATED=Y","SCALING_FORMAT=MLN","Sort=A","Dates=H","DateFormat=P","Fill=—","Direction=H","UseDPDF=Y")</f>
        <v>337530</v>
      </c>
      <c r="F167" s="13">
        <f>_xll.BDH("RCOM IN Equity","NET_DEBT","FY 2012","FY 2012","Currency=INR","Period=FY","BEST_FPERIOD_OVERRIDE=FY","FILING_STATUS=MR","EQY_CONSOLIDATED=Y","SCALING_FORMAT=MLN","Sort=A","Dates=H","DateFormat=P","Fill=—","Direction=H","UseDPDF=Y")</f>
        <v>372340</v>
      </c>
      <c r="G167" s="13">
        <f>_xll.BDH("RCOM IN Equity","NET_DEBT","FY 2013","FY 2013","Currency=INR","Period=FY","BEST_FPERIOD_OVERRIDE=FY","FILING_STATUS=MR","EQY_CONSOLIDATED=Y","SCALING_FORMAT=MLN","Sort=A","Dates=H","DateFormat=P","Fill=—","Direction=H","UseDPDF=Y")</f>
        <v>402650</v>
      </c>
      <c r="H167" s="13">
        <f>_xll.BDH("RCOM IN Equity","NET_DEBT","FY 2014","FY 2014","Currency=INR","Period=FY","BEST_FPERIOD_OVERRIDE=FY","FILING_STATUS=MR","EQY_CONSOLIDATED=Y","SCALING_FORMAT=MLN","Sort=A","Dates=H","DateFormat=P","Fill=—","Direction=H","UseDPDF=Y")</f>
        <v>411590</v>
      </c>
      <c r="I167" s="13">
        <f>_xll.BDH("RCOM IN Equity","NET_DEBT","FY 2015","FY 2015","Currency=INR","Period=FY","BEST_FPERIOD_OVERRIDE=FY","FILING_STATUS=MR","EQY_CONSOLIDATED=Y","SCALING_FORMAT=MLN","Sort=A","Dates=H","DateFormat=P","Fill=—","Direction=H","UseDPDF=Y")</f>
        <v>372860</v>
      </c>
      <c r="J167" s="13">
        <f>_xll.BDH("RCOM IN Equity","NET_DEBT","FY 2016","FY 2016","Currency=INR","Period=FY","BEST_FPERIOD_OVERRIDE=FY","FILING_STATUS=MR","EQY_CONSOLIDATED=Y","SCALING_FORMAT=MLN","Sort=A","Dates=H","DateFormat=P","Fill=—","Direction=H","UseDPDF=Y")</f>
        <v>421000</v>
      </c>
      <c r="K167" s="13">
        <f>_xll.BDH("RCOM IN Equity","NET_DEBT","FY 2017","FY 2017","Currency=INR","Period=FY","BEST_FPERIOD_OVERRIDE=FY","FILING_STATUS=MR","EQY_CONSOLIDATED=Y","SCALING_FORMAT=MLN","Sort=A","Dates=H","DateFormat=P","Fill=—","Direction=H","UseDPDF=Y")</f>
        <v>444190</v>
      </c>
      <c r="L167" s="13">
        <f>_xll.BDH("RCOM IN Equity","NET_DEBT","FY 2018","FY 2018","Currency=INR","Period=FY","BEST_FPERIOD_OVERRIDE=FY","FILING_STATUS=MR","EQY_CONSOLIDATED=Y","SCALING_FORMAT=MLN","Sort=A","Dates=H","DateFormat=P","Fill=—","Direction=H","UseDPDF=Y")</f>
        <v>465470</v>
      </c>
    </row>
    <row r="168" spans="1:12">
      <c r="A168" s="10" t="s">
        <v>842</v>
      </c>
      <c r="B168" s="10" t="s">
        <v>843</v>
      </c>
      <c r="C168" s="14">
        <f>_xll.BDH("RCOM IN Equity","NET_DEBT_TO_SHRHLDR_EQTY","FY 2009","FY 2009","Currency=INR","Period=FY","BEST_FPERIOD_OVERRIDE=FY","FILING_STATUS=MR","EQY_CONSOLIDATED=Y","Sort=A","Dates=H","DateFormat=P","Fill=—","Direction=H","UseDPDF=Y")</f>
        <v>65.668899999999994</v>
      </c>
      <c r="D168" s="14">
        <f>_xll.BDH("RCOM IN Equity","NET_DEBT_TO_SHRHLDR_EQTY","FY 2010","FY 2010","Currency=INR","Period=FY","BEST_FPERIOD_OVERRIDE=FY","FILING_STATUS=MR","EQY_CONSOLIDATED=Y","Sort=A","Dates=H","DateFormat=P","Fill=—","Direction=H","UseDPDF=Y")</f>
        <v>56.468600000000002</v>
      </c>
      <c r="E168" s="14">
        <f>_xll.BDH("RCOM IN Equity","NET_DEBT_TO_SHRHLDR_EQTY","FY 2011","FY 2011","Currency=INR","Period=FY","BEST_FPERIOD_OVERRIDE=FY","FILING_STATUS=MR","EQY_CONSOLIDATED=Y","Sort=A","Dates=H","DateFormat=P","Fill=—","Direction=H","UseDPDF=Y")</f>
        <v>81.680899999999994</v>
      </c>
      <c r="F168" s="14">
        <f>_xll.BDH("RCOM IN Equity","NET_DEBT_TO_SHRHLDR_EQTY","FY 2012","FY 2012","Currency=INR","Period=FY","BEST_FPERIOD_OVERRIDE=FY","FILING_STATUS=MR","EQY_CONSOLIDATED=Y","Sort=A","Dates=H","DateFormat=P","Fill=—","Direction=H","UseDPDF=Y")</f>
        <v>100.2099</v>
      </c>
      <c r="G168" s="14">
        <f>_xll.BDH("RCOM IN Equity","NET_DEBT_TO_SHRHLDR_EQTY","FY 2013","FY 2013","Currency=INR","Period=FY","BEST_FPERIOD_OVERRIDE=FY","FILING_STATUS=MR","EQY_CONSOLIDATED=Y","Sort=A","Dates=H","DateFormat=P","Fill=—","Direction=H","UseDPDF=Y")</f>
        <v>116.45699999999999</v>
      </c>
      <c r="H168" s="14">
        <f>_xll.BDH("RCOM IN Equity","NET_DEBT_TO_SHRHLDR_EQTY","FY 2014","FY 2014","Currency=INR","Period=FY","BEST_FPERIOD_OVERRIDE=FY","FILING_STATUS=MR","EQY_CONSOLIDATED=Y","Sort=A","Dates=H","DateFormat=P","Fill=—","Direction=H","UseDPDF=Y")</f>
        <v>122.71980000000001</v>
      </c>
      <c r="I168" s="14">
        <f>_xll.BDH("RCOM IN Equity","NET_DEBT_TO_SHRHLDR_EQTY","FY 2015","FY 2015","Currency=INR","Period=FY","BEST_FPERIOD_OVERRIDE=FY","FILING_STATUS=MR","EQY_CONSOLIDATED=Y","Sort=A","Dates=H","DateFormat=P","Fill=—","Direction=H","UseDPDF=Y")</f>
        <v>96.977699999999999</v>
      </c>
      <c r="J168" s="14">
        <f>_xll.BDH("RCOM IN Equity","NET_DEBT_TO_SHRHLDR_EQTY","FY 2016","FY 2016","Currency=INR","Period=FY","BEST_FPERIOD_OVERRIDE=FY","FILING_STATUS=MR","EQY_CONSOLIDATED=Y","Sort=A","Dates=H","DateFormat=P","Fill=—","Direction=H","UseDPDF=Y")</f>
        <v>132.1199</v>
      </c>
      <c r="K168" s="14">
        <f>_xll.BDH("RCOM IN Equity","NET_DEBT_TO_SHRHLDR_EQTY","FY 2017","FY 2017","Currency=INR","Period=FY","BEST_FPERIOD_OVERRIDE=FY","FILING_STATUS=MR","EQY_CONSOLIDATED=Y","Sort=A","Dates=H","DateFormat=P","Fill=—","Direction=H","UseDPDF=Y")</f>
        <v>153.3329</v>
      </c>
      <c r="L168" s="14">
        <f>_xll.BDH("RCOM IN Equity","NET_DEBT_TO_SHRHLDR_EQTY","FY 2018","FY 2018","Currency=INR","Period=FY","BEST_FPERIOD_OVERRIDE=FY","FILING_STATUS=MR","EQY_CONSOLIDATED=Y","Sort=A","Dates=H","DateFormat=P","Fill=—","Direction=H","UseDPDF=Y")</f>
        <v>1494.2856999999999</v>
      </c>
    </row>
    <row r="169" spans="1:12">
      <c r="A169" s="10" t="s">
        <v>844</v>
      </c>
      <c r="B169" s="10" t="s">
        <v>845</v>
      </c>
      <c r="C169" s="14">
        <f>_xll.BDH("RCOM IN Equity","TCE_RATIO","FY 2009","FY 2009","Currency=INR","Period=FY","BEST_FPERIOD_OVERRIDE=FY","FILING_STATUS=MR","EQY_CONSOLIDATED=Y","Sort=A","Dates=H","DateFormat=P","Fill=—","Direction=H","UseDPDF=Y")</f>
        <v>22.572299999999998</v>
      </c>
      <c r="D169" s="14">
        <f>_xll.BDH("RCOM IN Equity","TCE_RATIO","FY 2010","FY 2010","Currency=INR","Period=FY","BEST_FPERIOD_OVERRIDE=FY","FILING_STATUS=MR","EQY_CONSOLIDATED=Y","Sort=A","Dates=H","DateFormat=P","Fill=—","Direction=H","UseDPDF=Y")</f>
        <v>29.431799999999999</v>
      </c>
      <c r="E169" s="14">
        <f>_xll.BDH("RCOM IN Equity","TCE_RATIO","FY 2011","FY 2011","Currency=INR","Period=FY","BEST_FPERIOD_OVERRIDE=FY","FILING_STATUS=MR","EQY_CONSOLIDATED=Y","Sort=A","Dates=H","DateFormat=P","Fill=—","Direction=H","UseDPDF=Y")</f>
        <v>27.227799999999998</v>
      </c>
      <c r="F169" s="14">
        <f>_xll.BDH("RCOM IN Equity","TCE_RATIO","FY 2012","FY 2012","Currency=INR","Period=FY","BEST_FPERIOD_OVERRIDE=FY","FILING_STATUS=MR","EQY_CONSOLIDATED=Y","Sort=A","Dates=H","DateFormat=P","Fill=—","Direction=H","UseDPDF=Y")</f>
        <v>13.030799999999999</v>
      </c>
      <c r="G169" s="14">
        <f>_xll.BDH("RCOM IN Equity","TCE_RATIO","FY 2013","FY 2013","Currency=INR","Period=FY","BEST_FPERIOD_OVERRIDE=FY","FILING_STATUS=MR","EQY_CONSOLIDATED=Y","Sort=A","Dates=H","DateFormat=P","Fill=—","Direction=H","UseDPDF=Y")</f>
        <v>11.9923</v>
      </c>
      <c r="H169" s="14">
        <f>_xll.BDH("RCOM IN Equity","TCE_RATIO","FY 2014","FY 2014","Currency=INR","Period=FY","BEST_FPERIOD_OVERRIDE=FY","FILING_STATUS=MR","EQY_CONSOLIDATED=Y","Sort=A","Dates=H","DateFormat=P","Fill=—","Direction=H","UseDPDF=Y")</f>
        <v>12.366899999999999</v>
      </c>
      <c r="I169" s="14">
        <f>_xll.BDH("RCOM IN Equity","TCE_RATIO","FY 2015","FY 2015","Currency=INR","Period=FY","BEST_FPERIOD_OVERRIDE=FY","FILING_STATUS=MR","EQY_CONSOLIDATED=Y","Sort=A","Dates=H","DateFormat=P","Fill=—","Direction=H","UseDPDF=Y")</f>
        <v>21.946899999999999</v>
      </c>
      <c r="J169" s="14">
        <f>_xll.BDH("RCOM IN Equity","TCE_RATIO","FY 2016","FY 2016","Currency=INR","Period=FY","BEST_FPERIOD_OVERRIDE=FY","FILING_STATUS=MR","EQY_CONSOLIDATED=Y","Sort=A","Dates=H","DateFormat=P","Fill=—","Direction=H","UseDPDF=Y")</f>
        <v>5.9649000000000001</v>
      </c>
      <c r="K169" s="14">
        <f>_xll.BDH("RCOM IN Equity","TCE_RATIO","FY 2017","FY 2017","Currency=INR","Period=FY","BEST_FPERIOD_OVERRIDE=FY","FILING_STATUS=MR","EQY_CONSOLIDATED=Y","Sort=A","Dates=H","DateFormat=P","Fill=—","Direction=H","UseDPDF=Y")</f>
        <v>8.4238</v>
      </c>
      <c r="L169" s="14">
        <f>_xll.BDH("RCOM IN Equity","TCE_RATIO","FY 2018","FY 2018","Currency=INR","Period=FY","BEST_FPERIOD_OVERRIDE=FY","FILING_STATUS=MR","EQY_CONSOLIDATED=Y","Sort=A","Dates=H","DateFormat=P","Fill=—","Direction=H","UseDPDF=Y")</f>
        <v>-2.2138</v>
      </c>
    </row>
    <row r="170" spans="1:12">
      <c r="A170" s="10" t="s">
        <v>846</v>
      </c>
      <c r="B170" s="10" t="s">
        <v>847</v>
      </c>
      <c r="C170" s="14">
        <f>_xll.BDH("RCOM IN Equity","CUR_RATIO","FY 2009","FY 2009","Currency=INR","Period=FY","BEST_FPERIOD_OVERRIDE=FY","FILING_STATUS=MR","EQY_CONSOLIDATED=Y","Sort=A","Dates=H","DateFormat=P","Fill=—","Direction=H","UseDPDF=Y")</f>
        <v>0.75109999999999999</v>
      </c>
      <c r="D170" s="14">
        <f>_xll.BDH("RCOM IN Equity","CUR_RATIO","FY 2010","FY 2010","Currency=INR","Period=FY","BEST_FPERIOD_OVERRIDE=FY","FILING_STATUS=MR","EQY_CONSOLIDATED=Y","Sort=A","Dates=H","DateFormat=P","Fill=—","Direction=H","UseDPDF=Y")</f>
        <v>0.55469999999999997</v>
      </c>
      <c r="E170" s="14">
        <f>_xll.BDH("RCOM IN Equity","CUR_RATIO","FY 2011","FY 2011","Currency=INR","Period=FY","BEST_FPERIOD_OVERRIDE=FY","FILING_STATUS=MR","EQY_CONSOLIDATED=Y","Sort=A","Dates=H","DateFormat=P","Fill=—","Direction=H","UseDPDF=Y")</f>
        <v>0.50919999999999999</v>
      </c>
      <c r="F170" s="14">
        <f>_xll.BDH("RCOM IN Equity","CUR_RATIO","FY 2012","FY 2012","Currency=INR","Period=FY","BEST_FPERIOD_OVERRIDE=FY","FILING_STATUS=MR","EQY_CONSOLIDATED=Y","Sort=A","Dates=H","DateFormat=P","Fill=—","Direction=H","UseDPDF=Y")</f>
        <v>0.55989999999999995</v>
      </c>
      <c r="G170" s="14">
        <f>_xll.BDH("RCOM IN Equity","CUR_RATIO","FY 2013","FY 2013","Currency=INR","Period=FY","BEST_FPERIOD_OVERRIDE=FY","FILING_STATUS=MR","EQY_CONSOLIDATED=Y","Sort=A","Dates=H","DateFormat=P","Fill=—","Direction=H","UseDPDF=Y")</f>
        <v>0.52310000000000001</v>
      </c>
      <c r="H170" s="14">
        <f>_xll.BDH("RCOM IN Equity","CUR_RATIO","FY 2014","FY 2014","Currency=INR","Period=FY","BEST_FPERIOD_OVERRIDE=FY","FILING_STATUS=MR","EQY_CONSOLIDATED=Y","Sort=A","Dates=H","DateFormat=P","Fill=—","Direction=H","UseDPDF=Y")</f>
        <v>0.52380000000000004</v>
      </c>
      <c r="I170" s="14">
        <f>_xll.BDH("RCOM IN Equity","CUR_RATIO","FY 2015","FY 2015","Currency=INR","Period=FY","BEST_FPERIOD_OVERRIDE=FY","FILING_STATUS=MR","EQY_CONSOLIDATED=Y","Sort=A","Dates=H","DateFormat=P","Fill=—","Direction=H","UseDPDF=Y")</f>
        <v>0.89810000000000001</v>
      </c>
      <c r="J170" s="14">
        <f>_xll.BDH("RCOM IN Equity","CUR_RATIO","FY 2016","FY 2016","Currency=INR","Period=FY","BEST_FPERIOD_OVERRIDE=FY","FILING_STATUS=MR","EQY_CONSOLIDATED=Y","Sort=A","Dates=H","DateFormat=P","Fill=—","Direction=H","UseDPDF=Y")</f>
        <v>0.42499999999999999</v>
      </c>
      <c r="K170" s="14">
        <f>_xll.BDH("RCOM IN Equity","CUR_RATIO","FY 2017","FY 2017","Currency=INR","Period=FY","BEST_FPERIOD_OVERRIDE=FY","FILING_STATUS=MR","EQY_CONSOLIDATED=Y","Sort=A","Dates=H","DateFormat=P","Fill=—","Direction=H","UseDPDF=Y")</f>
        <v>0.36099999999999999</v>
      </c>
      <c r="L170" s="14">
        <f>_xll.BDH("RCOM IN Equity","CUR_RATIO","FY 2018","FY 2018","Currency=INR","Period=FY","BEST_FPERIOD_OVERRIDE=FY","FILING_STATUS=MR","EQY_CONSOLIDATED=Y","Sort=A","Dates=H","DateFormat=P","Fill=—","Direction=H","UseDPDF=Y")</f>
        <v>0.86619999999999997</v>
      </c>
    </row>
    <row r="171" spans="1:12">
      <c r="A171" s="10" t="s">
        <v>848</v>
      </c>
      <c r="B171" s="10" t="s">
        <v>849</v>
      </c>
      <c r="C171" s="14" t="str">
        <f>_xll.BDH("RCOM IN Equity","CASH_CONVERSION_CYCLE","FY 2009","FY 2009","Currency=INR","Period=FY","BEST_FPERIOD_OVERRIDE=FY","FILING_STATUS=MR","EQY_CONSOLIDATED=Y","FA_ADJUSTED=GAAP","Sort=A","Dates=H","DateFormat=P","Fill=—","Direction=H","UseDPDF=Y")</f>
        <v>—</v>
      </c>
      <c r="D171" s="14" t="str">
        <f>_xll.BDH("RCOM IN Equity","CASH_CONVERSION_CYCLE","FY 2010","FY 2010","Currency=INR","Period=FY","BEST_FPERIOD_OVERRIDE=FY","FILING_STATUS=MR","EQY_CONSOLIDATED=Y","FA_ADJUSTED=GAAP","Sort=A","Dates=H","DateFormat=P","Fill=—","Direction=H","UseDPDF=Y")</f>
        <v>—</v>
      </c>
      <c r="E171" s="14" t="str">
        <f>_xll.BDH("RCOM IN Equity","CASH_CONVERSION_CYCLE","FY 2011","FY 2011","Currency=INR","Period=FY","BEST_FPERIOD_OVERRIDE=FY","FILING_STATUS=MR","EQY_CONSOLIDATED=Y","FA_ADJUSTED=GAAP","Sort=A","Dates=H","DateFormat=P","Fill=—","Direction=H","UseDPDF=Y")</f>
        <v>—</v>
      </c>
      <c r="F171" s="14">
        <f>_xll.BDH("RCOM IN Equity","CASH_CONVERSION_CYCLE","FY 2012","FY 2012","Currency=INR","Period=FY","BEST_FPERIOD_OVERRIDE=FY","FILING_STATUS=MR","EQY_CONSOLIDATED=Y","FA_ADJUSTED=GAAP","Sort=A","Dates=H","DateFormat=P","Fill=—","Direction=H","UseDPDF=Y")</f>
        <v>-3259.5394999999999</v>
      </c>
      <c r="G171" s="14" t="str">
        <f>_xll.BDH("RCOM IN Equity","CASH_CONVERSION_CYCLE","FY 2013","FY 2013","Currency=INR","Period=FY","BEST_FPERIOD_OVERRIDE=FY","FILING_STATUS=MR","EQY_CONSOLIDATED=Y","FA_ADJUSTED=GAAP","Sort=A","Dates=H","DateFormat=P","Fill=—","Direction=H","UseDPDF=Y")</f>
        <v>—</v>
      </c>
      <c r="H171" s="14" t="str">
        <f>_xll.BDH("RCOM IN Equity","CASH_CONVERSION_CYCLE","FY 2014","FY 2014","Currency=INR","Period=FY","BEST_FPERIOD_OVERRIDE=FY","FILING_STATUS=MR","EQY_CONSOLIDATED=Y","FA_ADJUSTED=GAAP","Sort=A","Dates=H","DateFormat=P","Fill=—","Direction=H","UseDPDF=Y")</f>
        <v>—</v>
      </c>
      <c r="I171" s="14" t="str">
        <f>_xll.BDH("RCOM IN Equity","CASH_CONVERSION_CYCLE","FY 2015","FY 2015","Currency=INR","Period=FY","BEST_FPERIOD_OVERRIDE=FY","FILING_STATUS=MR","EQY_CONSOLIDATED=Y","FA_ADJUSTED=GAAP","Sort=A","Dates=H","DateFormat=P","Fill=—","Direction=H","UseDPDF=Y")</f>
        <v>—</v>
      </c>
      <c r="J171" s="14" t="str">
        <f>_xll.BDH("RCOM IN Equity","CASH_CONVERSION_CYCLE","FY 2016","FY 2016","Currency=INR","Period=FY","BEST_FPERIOD_OVERRIDE=FY","FILING_STATUS=MR","EQY_CONSOLIDATED=Y","FA_ADJUSTED=GAAP","Sort=A","Dates=H","DateFormat=P","Fill=—","Direction=H","UseDPDF=Y")</f>
        <v>—</v>
      </c>
      <c r="K171" s="14" t="str">
        <f>_xll.BDH("RCOM IN Equity","CASH_CONVERSION_CYCLE","FY 2017","FY 2017","Currency=INR","Period=FY","BEST_FPERIOD_OVERRIDE=FY","FILING_STATUS=MR","EQY_CONSOLIDATED=Y","FA_ADJUSTED=GAAP","Sort=A","Dates=H","DateFormat=P","Fill=—","Direction=H","UseDPDF=Y")</f>
        <v>—</v>
      </c>
      <c r="L171" s="14" t="str">
        <f>_xll.BDH("RCOM IN Equity","CASH_CONVERSION_CYCLE","FY 2018","FY 2018","Currency=INR","Period=FY","BEST_FPERIOD_OVERRIDE=FY","FILING_STATUS=MR","EQY_CONSOLIDATED=Y","FA_ADJUSTED=GAAP","Sort=A","Dates=H","DateFormat=P","Fill=—","Direction=H","UseDPDF=Y")</f>
        <v>—</v>
      </c>
    </row>
    <row r="172" spans="1:12">
      <c r="A172" s="10" t="s">
        <v>850</v>
      </c>
      <c r="B172" s="10" t="s">
        <v>851</v>
      </c>
      <c r="C172" s="14">
        <f>_xll.BDH("RCOM IN Equity","NUM_OF_EMPLOYEES","FY 2009","FY 2009","Currency=INR","Period=FY","BEST_FPERIOD_OVERRIDE=FY","FILING_STATUS=MR","EQY_CONSOLIDATED=Y","Sort=A","Dates=H","DateFormat=P","Fill=—","Direction=H","UseDPDF=Y")</f>
        <v>37150</v>
      </c>
      <c r="D172" s="14">
        <f>_xll.BDH("RCOM IN Equity","NUM_OF_EMPLOYEES","FY 2010","FY 2010","Currency=INR","Period=FY","BEST_FPERIOD_OVERRIDE=FY","FILING_STATUS=MR","EQY_CONSOLIDATED=Y","Sort=A","Dates=H","DateFormat=P","Fill=—","Direction=H","UseDPDF=Y")</f>
        <v>30974</v>
      </c>
      <c r="E172" s="14">
        <f>_xll.BDH("RCOM IN Equity","NUM_OF_EMPLOYEES","FY 2011","FY 2011","Currency=INR","Period=FY","BEST_FPERIOD_OVERRIDE=FY","FILING_STATUS=MR","EQY_CONSOLIDATED=Y","Sort=A","Dates=H","DateFormat=P","Fill=—","Direction=H","UseDPDF=Y")</f>
        <v>28065</v>
      </c>
      <c r="F172" s="14">
        <f>_xll.BDH("RCOM IN Equity","NUM_OF_EMPLOYEES","FY 2012","FY 2012","Currency=INR","Period=FY","BEST_FPERIOD_OVERRIDE=FY","FILING_STATUS=MR","EQY_CONSOLIDATED=Y","Sort=A","Dates=H","DateFormat=P","Fill=—","Direction=H","UseDPDF=Y")</f>
        <v>24460</v>
      </c>
      <c r="G172" s="14">
        <f>_xll.BDH("RCOM IN Equity","NUM_OF_EMPLOYEES","FY 2013","FY 2013","Currency=INR","Period=FY","BEST_FPERIOD_OVERRIDE=FY","FILING_STATUS=MR","EQY_CONSOLIDATED=Y","Sort=A","Dates=H","DateFormat=P","Fill=—","Direction=H","UseDPDF=Y")</f>
        <v>18653</v>
      </c>
      <c r="H172" s="14" t="str">
        <f>_xll.BDH("RCOM IN Equity","NUM_OF_EMPLOYEES","FY 2014","FY 2014","Currency=INR","Period=FY","BEST_FPERIOD_OVERRIDE=FY","FILING_STATUS=MR","EQY_CONSOLIDATED=Y","Sort=A","Dates=H","DateFormat=P","Fill=—","Direction=H","UseDPDF=Y")</f>
        <v>—</v>
      </c>
      <c r="I172" s="14" t="str">
        <f>_xll.BDH("RCOM IN Equity","NUM_OF_EMPLOYEES","FY 2015","FY 2015","Currency=INR","Period=FY","BEST_FPERIOD_OVERRIDE=FY","FILING_STATUS=MR","EQY_CONSOLIDATED=Y","Sort=A","Dates=H","DateFormat=P","Fill=—","Direction=H","UseDPDF=Y")</f>
        <v>—</v>
      </c>
      <c r="J172" s="14" t="str">
        <f>_xll.BDH("RCOM IN Equity","NUM_OF_EMPLOYEES","FY 2016","FY 2016","Currency=INR","Period=FY","BEST_FPERIOD_OVERRIDE=FY","FILING_STATUS=MR","EQY_CONSOLIDATED=Y","Sort=A","Dates=H","DateFormat=P","Fill=—","Direction=H","UseDPDF=Y")</f>
        <v>—</v>
      </c>
      <c r="K172" s="14" t="str">
        <f>_xll.BDH("RCOM IN Equity","NUM_OF_EMPLOYEES","FY 2017","FY 2017","Currency=INR","Period=FY","BEST_FPERIOD_OVERRIDE=FY","FILING_STATUS=MR","EQY_CONSOLIDATED=Y","Sort=A","Dates=H","DateFormat=P","Fill=—","Direction=H","UseDPDF=Y")</f>
        <v>—</v>
      </c>
      <c r="L172" s="14" t="str">
        <f>_xll.BDH("RCOM IN Equity","NUM_OF_EMPLOYEES","FY 2018","FY 2018","Currency=INR","Period=FY","BEST_FPERIOD_OVERRIDE=FY","FILING_STATUS=MR","EQY_CONSOLIDATED=Y","Sort=A","Dates=H","DateFormat=P","Fill=—","Direction=H","UseDPDF=Y")</f>
        <v>—</v>
      </c>
    </row>
    <row r="173" spans="1:12">
      <c r="A173" s="7" t="s">
        <v>57</v>
      </c>
      <c r="B173" s="7"/>
      <c r="C173" s="7" t="s">
        <v>3</v>
      </c>
      <c r="D173" s="7"/>
      <c r="E173" s="7"/>
      <c r="F173" s="7"/>
      <c r="G173" s="7"/>
      <c r="H173" s="7"/>
      <c r="I173" s="7"/>
      <c r="J173" s="7"/>
      <c r="K173" s="7"/>
      <c r="L173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16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382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852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0" t="s">
        <v>853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>
      <c r="A8" s="10" t="s">
        <v>854</v>
      </c>
      <c r="B8" s="10" t="s">
        <v>855</v>
      </c>
      <c r="C8" s="13">
        <f>_xll.BDH("RCOM IN Equity","ARD_MIN_NONCONTROL_INT_SE","FY 2009","FY 2009","Currency=INR","Period=FY","BEST_FPERIOD_OVERRIDE=FY","FILING_STATUS=MR","EQY_CONSOLIDATED=Y","SCALING_FORMAT=MLN","Sort=A","Dates=H","DateFormat=P","Fill=—","Direction=H","UseDPDF=Y")</f>
        <v>6549.2</v>
      </c>
      <c r="D8" s="13">
        <f>_xll.BDH("RCOM IN Equity","ARD_MIN_NONCONTROL_INT_SE","FY 2010","FY 2010","Currency=INR","Period=FY","BEST_FPERIOD_OVERRIDE=FY","FILING_STATUS=MR","EQY_CONSOLIDATED=Y","SCALING_FORMAT=MLN","Sort=A","Dates=H","DateFormat=P","Fill=—","Direction=H","UseDPDF=Y")</f>
        <v>6583.9</v>
      </c>
      <c r="E8" s="13">
        <f>_xll.BDH("RCOM IN Equity","ARD_MIN_NONCONTROL_INT_SE","FY 2011","FY 2011","Currency=INR","Period=FY","BEST_FPERIOD_OVERRIDE=FY","FILING_STATUS=MR","EQY_CONSOLIDATED=Y","SCALING_FORMAT=MLN","Sort=A","Dates=H","DateFormat=P","Fill=—","Direction=H","UseDPDF=Y")</f>
        <v>8240</v>
      </c>
      <c r="F8" s="13">
        <f>_xll.BDH("RCOM IN Equity","ARD_MIN_NONCONTROL_INT_SE","FY 2012","FY 2012","Currency=INR","Period=FY","BEST_FPERIOD_OVERRIDE=FY","FILING_STATUS=MR","EQY_CONSOLIDATED=Y","SCALING_FORMAT=MLN","Sort=A","Dates=H","DateFormat=P","Fill=—","Direction=H","UseDPDF=Y")</f>
        <v>8600</v>
      </c>
      <c r="G8" s="13">
        <f>_xll.BDH("RCOM IN Equity","ARD_MIN_NONCONTROL_INT_SE","FY 2013","FY 2013","Currency=INR","Period=FY","BEST_FPERIOD_OVERRIDE=FY","FILING_STATUS=MR","EQY_CONSOLIDATED=Y","SCALING_FORMAT=MLN","Sort=A","Dates=H","DateFormat=P","Fill=—","Direction=H","UseDPDF=Y")</f>
        <v>7250</v>
      </c>
      <c r="H8" s="13">
        <f>_xll.BDH("RCOM IN Equity","ARD_MIN_NONCONTROL_INT_SE","FY 2014","FY 2014","Currency=INR","Period=FY","BEST_FPERIOD_OVERRIDE=FY","FILING_STATUS=MR","EQY_CONSOLIDATED=Y","SCALING_FORMAT=MLN","Sort=A","Dates=H","DateFormat=P","Fill=—","Direction=H","UseDPDF=Y")</f>
        <v>7430</v>
      </c>
      <c r="I8" s="13">
        <f>_xll.BDH("RCOM IN Equity","ARD_MIN_NONCONTROL_INT_SE","FY 2015","FY 2015","Currency=INR","Period=FY","BEST_FPERIOD_OVERRIDE=FY","FILING_STATUS=MR","EQY_CONSOLIDATED=Y","SCALING_FORMAT=MLN","Sort=A","Dates=H","DateFormat=P","Fill=—","Direction=H","UseDPDF=Y")</f>
        <v>5120</v>
      </c>
      <c r="J8" s="13">
        <f>_xll.BDH("RCOM IN Equity","ARD_MIN_NONCONTROL_INT_SE","FY 2016","FY 2016","Currency=INR","Period=FY","BEST_FPERIOD_OVERRIDE=FY","FILING_STATUS=MR","EQY_CONSOLIDATED=Y","SCALING_FORMAT=MLN","Sort=A","Dates=H","DateFormat=P","Fill=—","Direction=H","UseDPDF=Y")</f>
        <v>2820</v>
      </c>
      <c r="K8" s="13">
        <f>_xll.BDH("RCOM IN Equity","ARD_MIN_NONCONTROL_INT_SE","FY 2017","FY 2017","Currency=INR","Period=FY","BEST_FPERIOD_OVERRIDE=FY","FILING_STATUS=MR","EQY_CONSOLIDATED=Y","SCALING_FORMAT=MLN","Sort=A","Dates=H","DateFormat=P","Fill=—","Direction=H","UseDPDF=Y")</f>
        <v>4000</v>
      </c>
      <c r="L8" s="13">
        <f>_xll.BDH("RCOM IN Equity","ARD_MIN_NONCONTROL_INT_SE","FY 2018","FY 2018","Currency=INR","Period=FY","BEST_FPERIOD_OVERRIDE=FY","FILING_STATUS=MR","EQY_CONSOLIDATED=Y","SCALING_FORMAT=MLN","Sort=A","Dates=H","DateFormat=P","Fill=—","Direction=H","UseDPDF=Y")</f>
        <v>3320</v>
      </c>
    </row>
    <row r="9" spans="1:12">
      <c r="A9" s="10" t="s">
        <v>856</v>
      </c>
      <c r="B9" s="10" t="s">
        <v>857</v>
      </c>
      <c r="C9" s="13">
        <f>_xll.BDH("RCOM IN Equity","ARD_TOTAL_SHAREHOLDERS_EQUITY","FY 2009","FY 2009","Currency=INR","Period=FY","BEST_FPERIOD_OVERRIDE=FY","FILING_STATUS=MR","EQY_CONSOLIDATED=Y","SCALING_FORMAT=MLN","Sort=A","Dates=H","DateFormat=P","Fill=—","Direction=H","UseDPDF=Y")</f>
        <v>429352.4</v>
      </c>
      <c r="D9" s="13">
        <f>_xll.BDH("RCOM IN Equity","ARD_TOTAL_SHAREHOLDERS_EQUITY","FY 2010","FY 2010","Currency=INR","Period=FY","BEST_FPERIOD_OVERRIDE=FY","FILING_STATUS=MR","EQY_CONSOLIDATED=Y","SCALING_FORMAT=MLN","Sort=A","Dates=H","DateFormat=P","Fill=—","Direction=H","UseDPDF=Y")</f>
        <v>440190.3</v>
      </c>
      <c r="E9" s="13">
        <f>_xll.BDH("RCOM IN Equity","ARD_TOTAL_SHAREHOLDERS_EQUITY","FY 2011","FY 2011","Currency=INR","Period=FY","BEST_FPERIOD_OVERRIDE=FY","FILING_STATUS=MR","EQY_CONSOLIDATED=Y","SCALING_FORMAT=MLN","Sort=A","Dates=H","DateFormat=P","Fill=—","Direction=H","UseDPDF=Y")</f>
        <v>413230</v>
      </c>
      <c r="F9" s="13">
        <f>_xll.BDH("RCOM IN Equity","ARD_TOTAL_SHAREHOLDERS_EQUITY","FY 2012","FY 2012","Currency=INR","Period=FY","BEST_FPERIOD_OVERRIDE=FY","FILING_STATUS=MR","EQY_CONSOLIDATED=Y","SCALING_FORMAT=MLN","Sort=A","Dates=H","DateFormat=P","Fill=—","Direction=H","UseDPDF=Y")</f>
        <v>371560</v>
      </c>
      <c r="G9" s="13">
        <f>_xll.BDH("RCOM IN Equity","ARD_TOTAL_SHAREHOLDERS_EQUITY","FY 2013","FY 2013","Currency=INR","Period=FY","BEST_FPERIOD_OVERRIDE=FY","FILING_STATUS=MR","EQY_CONSOLIDATED=Y","SCALING_FORMAT=MLN","Sort=A","Dates=H","DateFormat=P","Fill=—","Direction=H","UseDPDF=Y")</f>
        <v>345750</v>
      </c>
      <c r="H9" s="13">
        <f>_xll.BDH("RCOM IN Equity","ARD_TOTAL_SHAREHOLDERS_EQUITY","FY 2014","FY 2014","Currency=INR","Period=FY","BEST_FPERIOD_OVERRIDE=FY","FILING_STATUS=MR","EQY_CONSOLIDATED=Y","SCALING_FORMAT=MLN","Sort=A","Dates=H","DateFormat=P","Fill=—","Direction=H","UseDPDF=Y")</f>
        <v>335390</v>
      </c>
      <c r="I9" s="13">
        <f>_xll.BDH("RCOM IN Equity","ARD_TOTAL_SHAREHOLDERS_EQUITY","FY 2015","FY 2015","Currency=INR","Period=FY","BEST_FPERIOD_OVERRIDE=FY","FILING_STATUS=MR","EQY_CONSOLIDATED=Y","SCALING_FORMAT=MLN","Sort=A","Dates=H","DateFormat=P","Fill=—","Direction=H","UseDPDF=Y")</f>
        <v>384480</v>
      </c>
      <c r="J9" s="13">
        <f>_xll.BDH("RCOM IN Equity","ARD_TOTAL_SHAREHOLDERS_EQUITY","FY 2016","FY 2016","Currency=INR","Period=FY","BEST_FPERIOD_OVERRIDE=FY","FILING_STATUS=MR","EQY_CONSOLIDATED=Y","SCALING_FORMAT=MLN","Sort=A","Dates=H","DateFormat=P","Fill=—","Direction=H","UseDPDF=Y")</f>
        <v>318650</v>
      </c>
      <c r="K9" s="13">
        <f>_xll.BDH("RCOM IN Equity","ARD_TOTAL_SHAREHOLDERS_EQUITY","FY 2017","FY 2017","Currency=INR","Period=FY","BEST_FPERIOD_OVERRIDE=FY","FILING_STATUS=MR","EQY_CONSOLIDATED=Y","SCALING_FORMAT=MLN","Sort=A","Dates=H","DateFormat=P","Fill=—","Direction=H","UseDPDF=Y")</f>
        <v>289690</v>
      </c>
      <c r="L9" s="13">
        <f>_xll.BDH("RCOM IN Equity","ARD_TOTAL_SHAREHOLDERS_EQUITY","FY 2018","FY 2018","Currency=INR","Period=FY","BEST_FPERIOD_OVERRIDE=FY","FILING_STATUS=MR","EQY_CONSOLIDATED=Y","SCALING_FORMAT=MLN","Sort=A","Dates=H","DateFormat=P","Fill=—","Direction=H","UseDPDF=Y")</f>
        <v>31150</v>
      </c>
    </row>
    <row r="10" spans="1:12">
      <c r="A10" s="10" t="s">
        <v>858</v>
      </c>
      <c r="B10" s="10" t="s">
        <v>859</v>
      </c>
      <c r="C10" s="13">
        <f>_xll.BDH("RCOM IN Equity","ARD_TOTAL_RESERVE","FY 2009","FY 2009","Currency=INR","Period=FY","BEST_FPERIOD_OVERRIDE=FY","FILING_STATUS=MR","EQY_CONSOLIDATED=Y","SCALING_FORMAT=MLN","Sort=A","Dates=H","DateFormat=P","Fill=—","Direction=H","UseDPDF=Y")</f>
        <v>412483.1</v>
      </c>
      <c r="D10" s="13">
        <f>_xll.BDH("RCOM IN Equity","ARD_TOTAL_RESERVE","FY 2010","FY 2010","Currency=INR","Period=FY","BEST_FPERIOD_OVERRIDE=FY","FILING_STATUS=MR","EQY_CONSOLIDATED=Y","SCALING_FORMAT=MLN","Sort=A","Dates=H","DateFormat=P","Fill=—","Direction=H","UseDPDF=Y")</f>
        <v>423286.3</v>
      </c>
      <c r="E10" s="13">
        <f>_xll.BDH("RCOM IN Equity","ARD_TOTAL_RESERVE","FY 2011","FY 2011","Currency=INR","Period=FY","BEST_FPERIOD_OVERRIDE=FY","FILING_STATUS=MR","EQY_CONSOLIDATED=Y","SCALING_FORMAT=MLN","Sort=A","Dates=H","DateFormat=P","Fill=—","Direction=H","UseDPDF=Y")</f>
        <v>394670</v>
      </c>
      <c r="F10" s="13">
        <f>_xll.BDH("RCOM IN Equity","ARD_TOTAL_RESERVE","FY 2012","FY 2012","Currency=INR","Period=FY","BEST_FPERIOD_OVERRIDE=FY","FILING_STATUS=MR","EQY_CONSOLIDATED=Y","SCALING_FORMAT=MLN","Sort=A","Dates=H","DateFormat=P","Fill=—","Direction=H","UseDPDF=Y")</f>
        <v>352640</v>
      </c>
      <c r="G10" s="13">
        <f>_xll.BDH("RCOM IN Equity","ARD_TOTAL_RESERVE","FY 2013","FY 2013","Currency=INR","Period=FY","BEST_FPERIOD_OVERRIDE=FY","FILING_STATUS=MR","EQY_CONSOLIDATED=Y","SCALING_FORMAT=MLN","Sort=A","Dates=H","DateFormat=P","Fill=—","Direction=H","UseDPDF=Y")</f>
        <v>328180</v>
      </c>
      <c r="H10" s="13">
        <f>_xll.BDH("RCOM IN Equity","ARD_TOTAL_RESERVE","FY 2014","FY 2014","Currency=INR","Period=FY","BEST_FPERIOD_OVERRIDE=FY","FILING_STATUS=MR","EQY_CONSOLIDATED=Y","SCALING_FORMAT=MLN","Sort=A","Dates=H","DateFormat=P","Fill=—","Direction=H","UseDPDF=Y")</f>
        <v>317640</v>
      </c>
      <c r="I10" s="13">
        <f>_xll.BDH("RCOM IN Equity","ARD_TOTAL_RESERVE","FY 2015","FY 2015","Currency=INR","Period=FY","BEST_FPERIOD_OVERRIDE=FY","FILING_STATUS=MR","EQY_CONSOLIDATED=Y","SCALING_FORMAT=MLN","Sort=A","Dates=H","DateFormat=P","Fill=—","Direction=H","UseDPDF=Y")</f>
        <v>366920</v>
      </c>
      <c r="J10" s="13">
        <f>_xll.BDH("RCOM IN Equity","ARD_TOTAL_RESERVE","FY 2016","FY 2016","Currency=INR","Period=FY","BEST_FPERIOD_OVERRIDE=FY","FILING_STATUS=MR","EQY_CONSOLIDATED=Y","SCALING_FORMAT=MLN","Sort=A","Dates=H","DateFormat=P","Fill=—","Direction=H","UseDPDF=Y")</f>
        <v>303390</v>
      </c>
      <c r="K10" s="13">
        <f>_xll.BDH("RCOM IN Equity","ARD_TOTAL_RESERVE","FY 2017","FY 2017","Currency=INR","Period=FY","BEST_FPERIOD_OVERRIDE=FY","FILING_STATUS=MR","EQY_CONSOLIDATED=Y","SCALING_FORMAT=MLN","Sort=A","Dates=H","DateFormat=P","Fill=—","Direction=H","UseDPDF=Y")</f>
        <v>273250</v>
      </c>
      <c r="L10" s="13">
        <f>_xll.BDH("RCOM IN Equity","ARD_TOTAL_RESERVE","FY 2018","FY 2018","Currency=INR","Period=FY","BEST_FPERIOD_OVERRIDE=FY","FILING_STATUS=MR","EQY_CONSOLIDATED=Y","SCALING_FORMAT=MLN","Sort=A","Dates=H","DateFormat=P","Fill=—","Direction=H","UseDPDF=Y")</f>
        <v>14000</v>
      </c>
    </row>
    <row r="11" spans="1:12">
      <c r="A11" s="10" t="s">
        <v>860</v>
      </c>
      <c r="B11" s="10" t="s">
        <v>861</v>
      </c>
      <c r="C11" s="13" t="str">
        <f>_xll.BDH("RCOM IN Equity","ARD_TOTAL_SHARE_CAPITAL","FY 2009","FY 2009","Currency=INR","Period=FY","BEST_FPERIOD_OVERRIDE=FY","FILING_STATUS=MR","EQY_CONSOLIDATED=Y","SCALING_FORMAT=MLN","Sort=A","Dates=H","DateFormat=P","Fill=—","Direction=H","UseDPDF=Y")</f>
        <v>—</v>
      </c>
      <c r="D11" s="13" t="str">
        <f>_xll.BDH("RCOM IN Equity","ARD_TOTAL_SHARE_CAPITAL","FY 2010","FY 2010","Currency=INR","Period=FY","BEST_FPERIOD_OVERRIDE=FY","FILING_STATUS=MR","EQY_CONSOLIDATED=Y","SCALING_FORMAT=MLN","Sort=A","Dates=H","DateFormat=P","Fill=—","Direction=H","UseDPDF=Y")</f>
        <v>—</v>
      </c>
      <c r="E11" s="13" t="str">
        <f>_xll.BDH("RCOM IN Equity","ARD_TOTAL_SHARE_CAPITAL","FY 2011","FY 2011","Currency=INR","Period=FY","BEST_FPERIOD_OVERRIDE=FY","FILING_STATUS=MR","EQY_CONSOLIDATED=Y","SCALING_FORMAT=MLN","Sort=A","Dates=H","DateFormat=P","Fill=—","Direction=H","UseDPDF=Y")</f>
        <v>—</v>
      </c>
      <c r="F11" s="13" t="str">
        <f>_xll.BDH("RCOM IN Equity","ARD_TOTAL_SHARE_CAPITAL","FY 2012","FY 2012","Currency=INR","Period=FY","BEST_FPERIOD_OVERRIDE=FY","FILING_STATUS=MR","EQY_CONSOLIDATED=Y","SCALING_FORMAT=MLN","Sort=A","Dates=H","DateFormat=P","Fill=—","Direction=H","UseDPDF=Y")</f>
        <v>—</v>
      </c>
      <c r="G11" s="13" t="str">
        <f>_xll.BDH("RCOM IN Equity","ARD_TOTAL_SHARE_CAPITAL","FY 2013","FY 2013","Currency=INR","Period=FY","BEST_FPERIOD_OVERRIDE=FY","FILING_STATUS=MR","EQY_CONSOLIDATED=Y","SCALING_FORMAT=MLN","Sort=A","Dates=H","DateFormat=P","Fill=—","Direction=H","UseDPDF=Y")</f>
        <v>—</v>
      </c>
      <c r="H11" s="13">
        <f>_xll.BDH("RCOM IN Equity","ARD_TOTAL_SHARE_CAPITAL","FY 2014","FY 2014","Currency=INR","Period=FY","BEST_FPERIOD_OVERRIDE=FY","FILING_STATUS=MR","EQY_CONSOLIDATED=Y","SCALING_FORMAT=MLN","Sort=A","Dates=H","DateFormat=P","Fill=—","Direction=H","UseDPDF=Y")</f>
        <v>10320</v>
      </c>
      <c r="I11" s="13">
        <f>_xll.BDH("RCOM IN Equity","ARD_TOTAL_SHARE_CAPITAL","FY 2015","FY 2015","Currency=INR","Period=FY","BEST_FPERIOD_OVERRIDE=FY","FILING_STATUS=MR","EQY_CONSOLIDATED=Y","SCALING_FORMAT=MLN","Sort=A","Dates=H","DateFormat=P","Fill=—","Direction=H","UseDPDF=Y")</f>
        <v>12440</v>
      </c>
      <c r="J11" s="13">
        <f>_xll.BDH("RCOM IN Equity","ARD_TOTAL_SHARE_CAPITAL","FY 2016","FY 2016","Currency=INR","Period=FY","BEST_FPERIOD_OVERRIDE=FY","FILING_STATUS=MR","EQY_CONSOLIDATED=Y","SCALING_FORMAT=MLN","Sort=A","Dates=H","DateFormat=P","Fill=—","Direction=H","UseDPDF=Y")</f>
        <v>12440</v>
      </c>
      <c r="K11" s="13">
        <f>_xll.BDH("RCOM IN Equity","ARD_TOTAL_SHARE_CAPITAL","FY 2017","FY 2017","Currency=INR","Period=FY","BEST_FPERIOD_OVERRIDE=FY","FILING_STATUS=MR","EQY_CONSOLIDATED=Y","SCALING_FORMAT=MLN","Sort=A","Dates=H","DateFormat=P","Fill=—","Direction=H","UseDPDF=Y")</f>
        <v>12440</v>
      </c>
      <c r="L11" s="13" t="str">
        <f>_xll.BDH("RCOM IN Equity","ARD_TOTAL_SHARE_CAPITAL","FY 2018","FY 2018","Currency=INR","Period=FY","BEST_FPERIOD_OVERRIDE=FY","FILING_STATUS=MR","EQY_CONSOLIDATED=Y","SCALING_FORMAT=MLN","Sort=A","Dates=H","DateFormat=P","Fill=—","Direction=H","UseDPDF=Y")</f>
        <v>—</v>
      </c>
    </row>
    <row r="12" spans="1:12">
      <c r="A12" s="10" t="s">
        <v>862</v>
      </c>
      <c r="B12" s="10" t="s">
        <v>863</v>
      </c>
      <c r="C12" s="13" t="str">
        <f>_xll.BDH("RCOM IN Equity","ARD_TOT_SHARE_EQY_EXCL_MINORITY","FY 2009","FY 2009","Currency=INR","Period=FY","BEST_FPERIOD_OVERRIDE=FY","FILING_STATUS=MR","EQY_CONSOLIDATED=Y","SCALING_FORMAT=MLN","Sort=A","Dates=H","DateFormat=P","Fill=—","Direction=H","UseDPDF=Y")</f>
        <v>—</v>
      </c>
      <c r="D12" s="13" t="str">
        <f>_xll.BDH("RCOM IN Equity","ARD_TOT_SHARE_EQY_EXCL_MINORITY","FY 2010","FY 2010","Currency=INR","Period=FY","BEST_FPERIOD_OVERRIDE=FY","FILING_STATUS=MR","EQY_CONSOLIDATED=Y","SCALING_FORMAT=MLN","Sort=A","Dates=H","DateFormat=P","Fill=—","Direction=H","UseDPDF=Y")</f>
        <v>—</v>
      </c>
      <c r="E12" s="13" t="str">
        <f>_xll.BDH("RCOM IN Equity","ARD_TOT_SHARE_EQY_EXCL_MINORITY","FY 2011","FY 2011","Currency=INR","Period=FY","BEST_FPERIOD_OVERRIDE=FY","FILING_STATUS=MR","EQY_CONSOLIDATED=Y","SCALING_FORMAT=MLN","Sort=A","Dates=H","DateFormat=P","Fill=—","Direction=H","UseDPDF=Y")</f>
        <v>—</v>
      </c>
      <c r="F12" s="13" t="str">
        <f>_xll.BDH("RCOM IN Equity","ARD_TOT_SHARE_EQY_EXCL_MINORITY","FY 2012","FY 2012","Currency=INR","Period=FY","BEST_FPERIOD_OVERRIDE=FY","FILING_STATUS=MR","EQY_CONSOLIDATED=Y","SCALING_FORMAT=MLN","Sort=A","Dates=H","DateFormat=P","Fill=—","Direction=H","UseDPDF=Y")</f>
        <v>—</v>
      </c>
      <c r="G12" s="13" t="str">
        <f>_xll.BDH("RCOM IN Equity","ARD_TOT_SHARE_EQY_EXCL_MINORITY","FY 2013","FY 2013","Currency=INR","Period=FY","BEST_FPERIOD_OVERRIDE=FY","FILING_STATUS=MR","EQY_CONSOLIDATED=Y","SCALING_FORMAT=MLN","Sort=A","Dates=H","DateFormat=P","Fill=—","Direction=H","UseDPDF=Y")</f>
        <v>—</v>
      </c>
      <c r="H12" s="13" t="str">
        <f>_xll.BDH("RCOM IN Equity","ARD_TOT_SHARE_EQY_EXCL_MINORITY","FY 2014","FY 2014","Currency=INR","Period=FY","BEST_FPERIOD_OVERRIDE=FY","FILING_STATUS=MR","EQY_CONSOLIDATED=Y","SCALING_FORMAT=MLN","Sort=A","Dates=H","DateFormat=P","Fill=—","Direction=H","UseDPDF=Y")</f>
        <v>—</v>
      </c>
      <c r="I12" s="13" t="str">
        <f>_xll.BDH("RCOM IN Equity","ARD_TOT_SHARE_EQY_EXCL_MINORITY","FY 2015","FY 2015","Currency=INR","Period=FY","BEST_FPERIOD_OVERRIDE=FY","FILING_STATUS=MR","EQY_CONSOLIDATED=Y","SCALING_FORMAT=MLN","Sort=A","Dates=H","DateFormat=P","Fill=—","Direction=H","UseDPDF=Y")</f>
        <v>—</v>
      </c>
      <c r="J12" s="13" t="str">
        <f>_xll.BDH("RCOM IN Equity","ARD_TOT_SHARE_EQY_EXCL_MINORITY","FY 2016","FY 2016","Currency=INR","Period=FY","BEST_FPERIOD_OVERRIDE=FY","FILING_STATUS=MR","EQY_CONSOLIDATED=Y","SCALING_FORMAT=MLN","Sort=A","Dates=H","DateFormat=P","Fill=—","Direction=H","UseDPDF=Y")</f>
        <v>—</v>
      </c>
      <c r="K12" s="13" t="str">
        <f>_xll.BDH("RCOM IN Equity","ARD_TOT_SHARE_EQY_EXCL_MINORITY","FY 2017","FY 2017","Currency=INR","Period=FY","BEST_FPERIOD_OVERRIDE=FY","FILING_STATUS=MR","EQY_CONSOLIDATED=Y","SCALING_FORMAT=MLN","Sort=A","Dates=H","DateFormat=P","Fill=—","Direction=H","UseDPDF=Y")</f>
        <v>—</v>
      </c>
      <c r="L12" s="13">
        <f>_xll.BDH("RCOM IN Equity","ARD_TOT_SHARE_EQY_EXCL_MINORITY","FY 2018","FY 2018","Currency=INR","Period=FY","BEST_FPERIOD_OVERRIDE=FY","FILING_STATUS=MR","EQY_CONSOLIDATED=Y","SCALING_FORMAT=MLN","Sort=A","Dates=H","DateFormat=P","Fill=—","Direction=H","UseDPDF=Y")</f>
        <v>27830</v>
      </c>
    </row>
    <row r="13" spans="1:12">
      <c r="A13" s="10" t="s">
        <v>864</v>
      </c>
      <c r="B13" s="10" t="s">
        <v>865</v>
      </c>
      <c r="C13" s="13">
        <f>_xll.BDH("RCOM IN Equity","ARD_COMMON_STOCK_SUBSCRIBED_STK","FY 2009","FY 2009","Currency=INR","Period=FY","BEST_FPERIOD_OVERRIDE=FY","FILING_STATUS=MR","EQY_CONSOLIDATED=Y","SCALING_FORMAT=MLN","Sort=A","Dates=H","DateFormat=P","Fill=—","Direction=H","UseDPDF=Y")</f>
        <v>10320.1</v>
      </c>
      <c r="D13" s="13">
        <f>_xll.BDH("RCOM IN Equity","ARD_COMMON_STOCK_SUBSCRIBED_STK","FY 2010","FY 2010","Currency=INR","Period=FY","BEST_FPERIOD_OVERRIDE=FY","FILING_STATUS=MR","EQY_CONSOLIDATED=Y","SCALING_FORMAT=MLN","Sort=A","Dates=H","DateFormat=P","Fill=—","Direction=H","UseDPDF=Y")</f>
        <v>10320.1</v>
      </c>
      <c r="E13" s="13">
        <f>_xll.BDH("RCOM IN Equity","ARD_COMMON_STOCK_SUBSCRIBED_STK","FY 2011","FY 2011","Currency=INR","Period=FY","BEST_FPERIOD_OVERRIDE=FY","FILING_STATUS=MR","EQY_CONSOLIDATED=Y","SCALING_FORMAT=MLN","Sort=A","Dates=H","DateFormat=P","Fill=—","Direction=H","UseDPDF=Y")</f>
        <v>10320</v>
      </c>
      <c r="F13" s="13">
        <f>_xll.BDH("RCOM IN Equity","ARD_COMMON_STOCK_SUBSCRIBED_STK","FY 2012","FY 2012","Currency=INR","Period=FY","BEST_FPERIOD_OVERRIDE=FY","FILING_STATUS=MR","EQY_CONSOLIDATED=Y","SCALING_FORMAT=MLN","Sort=A","Dates=H","DateFormat=P","Fill=—","Direction=H","UseDPDF=Y")</f>
        <v>10320</v>
      </c>
      <c r="G13" s="13">
        <f>_xll.BDH("RCOM IN Equity","ARD_COMMON_STOCK_SUBSCRIBED_STK","FY 2013","FY 2013","Currency=INR","Period=FY","BEST_FPERIOD_OVERRIDE=FY","FILING_STATUS=MR","EQY_CONSOLIDATED=Y","SCALING_FORMAT=MLN","Sort=A","Dates=H","DateFormat=P","Fill=—","Direction=H","UseDPDF=Y")</f>
        <v>10320</v>
      </c>
      <c r="H13" s="13" t="str">
        <f>_xll.BDH("RCOM IN Equity","ARD_COMMON_STOCK_SUBSCRIBED_STK","FY 2014","FY 2014","Currency=INR","Period=FY","BEST_FPERIOD_OVERRIDE=FY","FILING_STATUS=MR","EQY_CONSOLIDATED=Y","SCALING_FORMAT=MLN","Sort=A","Dates=H","DateFormat=P","Fill=—","Direction=H","UseDPDF=Y")</f>
        <v>—</v>
      </c>
      <c r="I13" s="13" t="str">
        <f>_xll.BDH("RCOM IN Equity","ARD_COMMON_STOCK_SUBSCRIBED_STK","FY 2015","FY 2015","Currency=INR","Period=FY","BEST_FPERIOD_OVERRIDE=FY","FILING_STATUS=MR","EQY_CONSOLIDATED=Y","SCALING_FORMAT=MLN","Sort=A","Dates=H","DateFormat=P","Fill=—","Direction=H","UseDPDF=Y")</f>
        <v>—</v>
      </c>
      <c r="J13" s="13" t="str">
        <f>_xll.BDH("RCOM IN Equity","ARD_COMMON_STOCK_SUBSCRIBED_STK","FY 2016","FY 2016","Currency=INR","Period=FY","BEST_FPERIOD_OVERRIDE=FY","FILING_STATUS=MR","EQY_CONSOLIDATED=Y","SCALING_FORMAT=MLN","Sort=A","Dates=H","DateFormat=P","Fill=—","Direction=H","UseDPDF=Y")</f>
        <v>—</v>
      </c>
      <c r="K13" s="13" t="str">
        <f>_xll.BDH("RCOM IN Equity","ARD_COMMON_STOCK_SUBSCRIBED_STK","FY 2017","FY 2017","Currency=INR","Period=FY","BEST_FPERIOD_OVERRIDE=FY","FILING_STATUS=MR","EQY_CONSOLIDATED=Y","SCALING_FORMAT=MLN","Sort=A","Dates=H","DateFormat=P","Fill=—","Direction=H","UseDPDF=Y")</f>
        <v>—</v>
      </c>
      <c r="L13" s="13">
        <f>_xll.BDH("RCOM IN Equity","ARD_COMMON_STOCK_SUBSCRIBED_STK","FY 2018","FY 2018","Currency=INR","Period=FY","BEST_FPERIOD_OVERRIDE=FY","FILING_STATUS=MR","EQY_CONSOLIDATED=Y","SCALING_FORMAT=MLN","Sort=A","Dates=H","DateFormat=P","Fill=—","Direction=H","UseDPDF=Y")</f>
        <v>13830</v>
      </c>
    </row>
    <row r="14" spans="1:12">
      <c r="A14" s="6" t="s">
        <v>866</v>
      </c>
      <c r="B14" s="6" t="s">
        <v>867</v>
      </c>
      <c r="C14" s="19" t="str">
        <f>_xll.BDH("RCOM IN Equity","ARD_TOT_LIAB_AND_SHAREHOLDER_EQY","FY 2009","FY 2009","Currency=INR","Period=FY","BEST_FPERIOD_OVERRIDE=FY","FILING_STATUS=MR","EQY_CONSOLIDATED=Y","SCALING_FORMAT=MLN","Sort=A","Dates=H","DateFormat=P","Fill=—","Direction=H","UseDPDF=Y")</f>
        <v>—</v>
      </c>
      <c r="D14" s="19" t="str">
        <f>_xll.BDH("RCOM IN Equity","ARD_TOT_LIAB_AND_SHAREHOLDER_EQY","FY 2010","FY 2010","Currency=INR","Period=FY","BEST_FPERIOD_OVERRIDE=FY","FILING_STATUS=MR","EQY_CONSOLIDATED=Y","SCALING_FORMAT=MLN","Sort=A","Dates=H","DateFormat=P","Fill=—","Direction=H","UseDPDF=Y")</f>
        <v>—</v>
      </c>
      <c r="E14" s="19">
        <f>_xll.BDH("RCOM IN Equity","ARD_TOT_LIAB_AND_SHAREHOLDER_EQY","FY 2011","FY 2011","Currency=INR","Period=FY","BEST_FPERIOD_OVERRIDE=FY","FILING_STATUS=MR","EQY_CONSOLIDATED=Y","SCALING_FORMAT=MLN","Sort=A","Dates=H","DateFormat=P","Fill=—","Direction=H","UseDPDF=Y")</f>
        <v>947230</v>
      </c>
      <c r="F14" s="19">
        <f>_xll.BDH("RCOM IN Equity","ARD_TOT_LIAB_AND_SHAREHOLDER_EQY","FY 2012","FY 2012","Currency=INR","Period=FY","BEST_FPERIOD_OVERRIDE=FY","FILING_STATUS=MR","EQY_CONSOLIDATED=Y","SCALING_FORMAT=MLN","Sort=A","Dates=H","DateFormat=P","Fill=—","Direction=H","UseDPDF=Y")</f>
        <v>922650</v>
      </c>
      <c r="G14" s="19">
        <f>_xll.BDH("RCOM IN Equity","ARD_TOT_LIAB_AND_SHAREHOLDER_EQY","FY 2013","FY 2013","Currency=INR","Period=FY","BEST_FPERIOD_OVERRIDE=FY","FILING_STATUS=MR","EQY_CONSOLIDATED=Y","SCALING_FORMAT=MLN","Sort=A","Dates=H","DateFormat=P","Fill=—","Direction=H","UseDPDF=Y")</f>
        <v>901820</v>
      </c>
      <c r="H14" s="19">
        <f>_xll.BDH("RCOM IN Equity","ARD_TOT_LIAB_AND_SHAREHOLDER_EQY","FY 2014","FY 2014","Currency=INR","Period=FY","BEST_FPERIOD_OVERRIDE=FY","FILING_STATUS=MR","EQY_CONSOLIDATED=Y","SCALING_FORMAT=MLN","Sort=A","Dates=H","DateFormat=P","Fill=—","Direction=H","UseDPDF=Y")</f>
        <v>907390</v>
      </c>
      <c r="I14" s="19">
        <f>_xll.BDH("RCOM IN Equity","ARD_TOT_LIAB_AND_SHAREHOLDER_EQY","FY 2015","FY 2015","Currency=INR","Period=FY","BEST_FPERIOD_OVERRIDE=FY","FILING_STATUS=MR","EQY_CONSOLIDATED=Y","SCALING_FORMAT=MLN","Sort=A","Dates=H","DateFormat=P","Fill=—","Direction=H","UseDPDF=Y")</f>
        <v>912840</v>
      </c>
      <c r="J14" s="19">
        <f>_xll.BDH("RCOM IN Equity","ARD_TOT_LIAB_AND_SHAREHOLDER_EQY","FY 2016","FY 2016","Currency=INR","Period=FY","BEST_FPERIOD_OVERRIDE=FY","FILING_STATUS=MR","EQY_CONSOLIDATED=Y","SCALING_FORMAT=MLN","Sort=A","Dates=H","DateFormat=P","Fill=—","Direction=H","UseDPDF=Y")</f>
        <v>1034540</v>
      </c>
      <c r="K14" s="19">
        <f>_xll.BDH("RCOM IN Equity","ARD_TOT_LIAB_AND_SHAREHOLDER_EQY","FY 2017","FY 2017","Currency=INR","Period=FY","BEST_FPERIOD_OVERRIDE=FY","FILING_STATUS=MR","EQY_CONSOLIDATED=Y","SCALING_FORMAT=MLN","Sort=A","Dates=H","DateFormat=P","Fill=—","Direction=H","UseDPDF=Y")</f>
        <v>997310</v>
      </c>
      <c r="L14" s="19">
        <f>_xll.BDH("RCOM IN Equity","ARD_TOT_LIAB_AND_SHAREHOLDER_EQY","FY 2018","FY 2018","Currency=INR","Period=FY","BEST_FPERIOD_OVERRIDE=FY","FILING_STATUS=MR","EQY_CONSOLIDATED=Y","SCALING_FORMAT=MLN","Sort=A","Dates=H","DateFormat=P","Fill=—","Direction=H","UseDPDF=Y")</f>
        <v>559490</v>
      </c>
    </row>
    <row r="15" spans="1:12">
      <c r="A15" s="10" t="s">
        <v>868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>
      <c r="A16" s="10" t="s">
        <v>803</v>
      </c>
      <c r="B16" s="10" t="s">
        <v>869</v>
      </c>
      <c r="C16" s="13" t="str">
        <f>_xll.BDH("RCOM IN Equity","ARD_TOT_NONCURRENT_LIABILITIES","FY 2009","FY 2009","Currency=INR","Period=FY","BEST_FPERIOD_OVERRIDE=FY","FILING_STATUS=MR","EQY_CONSOLIDATED=Y","SCALING_FORMAT=MLN","Sort=A","Dates=H","DateFormat=P","Fill=—","Direction=H","UseDPDF=Y")</f>
        <v>—</v>
      </c>
      <c r="D16" s="13" t="str">
        <f>_xll.BDH("RCOM IN Equity","ARD_TOT_NONCURRENT_LIABILITIES","FY 2010","FY 2010","Currency=INR","Period=FY","BEST_FPERIOD_OVERRIDE=FY","FILING_STATUS=MR","EQY_CONSOLIDATED=Y","SCALING_FORMAT=MLN","Sort=A","Dates=H","DateFormat=P","Fill=—","Direction=H","UseDPDF=Y")</f>
        <v>—</v>
      </c>
      <c r="E16" s="13">
        <f>_xll.BDH("RCOM IN Equity","ARD_TOT_NONCURRENT_LIABILITIES","FY 2011","FY 2011","Currency=INR","Period=FY","BEST_FPERIOD_OVERRIDE=FY","FILING_STATUS=MR","EQY_CONSOLIDATED=Y","SCALING_FORMAT=MLN","Sort=A","Dates=H","DateFormat=P","Fill=—","Direction=H","UseDPDF=Y")</f>
        <v>210980</v>
      </c>
      <c r="F16" s="13">
        <f>_xll.BDH("RCOM IN Equity","ARD_TOT_NONCURRENT_LIABILITIES","FY 2012","FY 2012","Currency=INR","Period=FY","BEST_FPERIOD_OVERRIDE=FY","FILING_STATUS=MR","EQY_CONSOLIDATED=Y","SCALING_FORMAT=MLN","Sort=A","Dates=H","DateFormat=P","Fill=—","Direction=H","UseDPDF=Y")</f>
        <v>327050</v>
      </c>
      <c r="G16" s="13">
        <f>_xll.BDH("RCOM IN Equity","ARD_TOT_NONCURRENT_LIABILITIES","FY 2013","FY 2013","Currency=INR","Period=FY","BEST_FPERIOD_OVERRIDE=FY","FILING_STATUS=MR","EQY_CONSOLIDATED=Y","SCALING_FORMAT=MLN","Sort=A","Dates=H","DateFormat=P","Fill=—","Direction=H","UseDPDF=Y")</f>
        <v>321680</v>
      </c>
      <c r="H16" s="13">
        <f>_xll.BDH("RCOM IN Equity","ARD_TOT_NONCURRENT_LIABILITIES","FY 2014","FY 2014","Currency=INR","Period=FY","BEST_FPERIOD_OVERRIDE=FY","FILING_STATUS=MR","EQY_CONSOLIDATED=Y","SCALING_FORMAT=MLN","Sort=A","Dates=H","DateFormat=P","Fill=—","Direction=H","UseDPDF=Y")</f>
        <v>316620</v>
      </c>
      <c r="I16" s="13">
        <f>_xll.BDH("RCOM IN Equity","ARD_TOT_NONCURRENT_LIABILITIES","FY 2015","FY 2015","Currency=INR","Period=FY","BEST_FPERIOD_OVERRIDE=FY","FILING_STATUS=MR","EQY_CONSOLIDATED=Y","SCALING_FORMAT=MLN","Sort=A","Dates=H","DateFormat=P","Fill=—","Direction=H","UseDPDF=Y")</f>
        <v>319130</v>
      </c>
      <c r="J16" s="13">
        <f>_xll.BDH("RCOM IN Equity","ARD_TOT_NONCURRENT_LIABILITIES","FY 2016","FY 2016","Currency=INR","Period=FY","BEST_FPERIOD_OVERRIDE=FY","FILING_STATUS=MR","EQY_CONSOLIDATED=Y","SCALING_FORMAT=MLN","Sort=A","Dates=H","DateFormat=P","Fill=—","Direction=H","UseDPDF=Y")</f>
        <v>439130</v>
      </c>
      <c r="K16" s="13">
        <f>_xll.BDH("RCOM IN Equity","ARD_TOT_NONCURRENT_LIABILITIES","FY 2017","FY 2017","Currency=INR","Period=FY","BEST_FPERIOD_OVERRIDE=FY","FILING_STATUS=MR","EQY_CONSOLIDATED=Y","SCALING_FORMAT=MLN","Sort=A","Dates=H","DateFormat=P","Fill=—","Direction=H","UseDPDF=Y")</f>
        <v>347280</v>
      </c>
      <c r="L16" s="13">
        <f>_xll.BDH("RCOM IN Equity","ARD_TOT_NONCURRENT_LIABILITIES","FY 2018","FY 2018","Currency=INR","Period=FY","BEST_FPERIOD_OVERRIDE=FY","FILING_STATUS=MR","EQY_CONSOLIDATED=Y","SCALING_FORMAT=MLN","Sort=A","Dates=H","DateFormat=P","Fill=—","Direction=H","UseDPDF=Y")</f>
        <v>189850</v>
      </c>
    </row>
    <row r="17" spans="1:12">
      <c r="A17" s="10" t="s">
        <v>870</v>
      </c>
      <c r="B17" s="10" t="s">
        <v>871</v>
      </c>
      <c r="C17" s="13">
        <f>_xll.BDH("RCOM IN Equity","ARD_LT_DEBT","FY 2009","FY 2009","Currency=INR","Period=FY","BEST_FPERIOD_OVERRIDE=FY","FILING_STATUS=MR","EQY_CONSOLIDATED=Y","SCALING_FORMAT=MLN","Sort=A","Dates=H","DateFormat=P","Fill=—","Direction=H","UseDPDF=Y")</f>
        <v>391622.5</v>
      </c>
      <c r="D17" s="13">
        <f>_xll.BDH("RCOM IN Equity","ARD_LT_DEBT","FY 2010","FY 2010","Currency=INR","Period=FY","BEST_FPERIOD_OVERRIDE=FY","FILING_STATUS=MR","EQY_CONSOLIDATED=Y","SCALING_FORMAT=MLN","Sort=A","Dates=H","DateFormat=P","Fill=—","Direction=H","UseDPDF=Y")</f>
        <v>297154.2</v>
      </c>
      <c r="E17" s="13">
        <f>_xll.BDH("RCOM IN Equity","ARD_LT_DEBT","FY 2011","FY 2011","Currency=INR","Period=FY","BEST_FPERIOD_OVERRIDE=FY","FILING_STATUS=MR","EQY_CONSOLIDATED=Y","SCALING_FORMAT=MLN","Sort=A","Dates=H","DateFormat=P","Fill=—","Direction=H","UseDPDF=Y")</f>
        <v>193130</v>
      </c>
      <c r="F17" s="13">
        <f>_xll.BDH("RCOM IN Equity","ARD_LT_DEBT","FY 2012","FY 2012","Currency=INR","Period=FY","BEST_FPERIOD_OVERRIDE=FY","FILING_STATUS=MR","EQY_CONSOLIDATED=Y","SCALING_FORMAT=MLN","Sort=A","Dates=H","DateFormat=P","Fill=—","Direction=H","UseDPDF=Y")</f>
        <v>296460</v>
      </c>
      <c r="G17" s="13">
        <f>_xll.BDH("RCOM IN Equity","ARD_LT_DEBT","FY 2013","FY 2013","Currency=INR","Period=FY","BEST_FPERIOD_OVERRIDE=FY","FILING_STATUS=MR","EQY_CONSOLIDATED=Y","SCALING_FORMAT=MLN","Sort=A","Dates=H","DateFormat=P","Fill=—","Direction=H","UseDPDF=Y")</f>
        <v>286780</v>
      </c>
      <c r="H17" s="13">
        <f>_xll.BDH("RCOM IN Equity","ARD_LT_DEBT","FY 2014","FY 2014","Currency=INR","Period=FY","BEST_FPERIOD_OVERRIDE=FY","FILING_STATUS=MR","EQY_CONSOLIDATED=Y","SCALING_FORMAT=MLN","Sort=A","Dates=H","DateFormat=P","Fill=—","Direction=H","UseDPDF=Y")</f>
        <v>279130</v>
      </c>
      <c r="I17" s="13">
        <f>_xll.BDH("RCOM IN Equity","ARD_LT_DEBT","FY 2015","FY 2015","Currency=INR","Period=FY","BEST_FPERIOD_OVERRIDE=FY","FILING_STATUS=MR","EQY_CONSOLIDATED=Y","SCALING_FORMAT=MLN","Sort=A","Dates=H","DateFormat=P","Fill=—","Direction=H","UseDPDF=Y")</f>
        <v>303560</v>
      </c>
      <c r="J17" s="13">
        <f>_xll.BDH("RCOM IN Equity","ARD_LT_DEBT","FY 2016","FY 2016","Currency=INR","Period=FY","BEST_FPERIOD_OVERRIDE=FY","FILING_STATUS=MR","EQY_CONSOLIDATED=Y","SCALING_FORMAT=MLN","Sort=A","Dates=H","DateFormat=P","Fill=—","Direction=H","UseDPDF=Y")</f>
        <v>291140</v>
      </c>
      <c r="K17" s="13">
        <f>_xll.BDH("RCOM IN Equity","ARD_LT_DEBT","FY 2017","FY 2017","Currency=INR","Period=FY","BEST_FPERIOD_OVERRIDE=FY","FILING_STATUS=MR","EQY_CONSOLIDATED=Y","SCALING_FORMAT=MLN","Sort=A","Dates=H","DateFormat=P","Fill=—","Direction=H","UseDPDF=Y")</f>
        <v>225500</v>
      </c>
      <c r="L17" s="13">
        <f>_xll.BDH("RCOM IN Equity","ARD_LT_DEBT","FY 2018","FY 2018","Currency=INR","Period=FY","BEST_FPERIOD_OVERRIDE=FY","FILING_STATUS=MR","EQY_CONSOLIDATED=Y","SCALING_FORMAT=MLN","Sort=A","Dates=H","DateFormat=P","Fill=—","Direction=H","UseDPDF=Y")</f>
        <v>130210</v>
      </c>
    </row>
    <row r="18" spans="1:12">
      <c r="A18" s="10" t="s">
        <v>872</v>
      </c>
      <c r="B18" s="10" t="s">
        <v>873</v>
      </c>
      <c r="C18" s="13" t="str">
        <f>_xll.BDH("RCOM IN Equity","ARD_DEFERRED_INCOME_TAXES_LIAB","FY 2009","FY 2009","Currency=INR","Period=FY","BEST_FPERIOD_OVERRIDE=FY","FILING_STATUS=MR","EQY_CONSOLIDATED=Y","SCALING_FORMAT=MLN","Sort=A","Dates=H","DateFormat=P","Fill=—","Direction=H","UseDPDF=Y")</f>
        <v>—</v>
      </c>
      <c r="D18" s="13" t="str">
        <f>_xll.BDH("RCOM IN Equity","ARD_DEFERRED_INCOME_TAXES_LIAB","FY 2010","FY 2010","Currency=INR","Period=FY","BEST_FPERIOD_OVERRIDE=FY","FILING_STATUS=MR","EQY_CONSOLIDATED=Y","SCALING_FORMAT=MLN","Sort=A","Dates=H","DateFormat=P","Fill=—","Direction=H","UseDPDF=Y")</f>
        <v>—</v>
      </c>
      <c r="E18" s="13" t="str">
        <f>_xll.BDH("RCOM IN Equity","ARD_DEFERRED_INCOME_TAXES_LIAB","FY 2011","FY 2011","Currency=INR","Period=FY","BEST_FPERIOD_OVERRIDE=FY","FILING_STATUS=MR","EQY_CONSOLIDATED=Y","SCALING_FORMAT=MLN","Sort=A","Dates=H","DateFormat=P","Fill=—","Direction=H","UseDPDF=Y")</f>
        <v>—</v>
      </c>
      <c r="F18" s="13" t="str">
        <f>_xll.BDH("RCOM IN Equity","ARD_DEFERRED_INCOME_TAXES_LIAB","FY 2012","FY 2012","Currency=INR","Period=FY","BEST_FPERIOD_OVERRIDE=FY","FILING_STATUS=MR","EQY_CONSOLIDATED=Y","SCALING_FORMAT=MLN","Sort=A","Dates=H","DateFormat=P","Fill=—","Direction=H","UseDPDF=Y")</f>
        <v>—</v>
      </c>
      <c r="G18" s="13">
        <f>_xll.BDH("RCOM IN Equity","ARD_DEFERRED_INCOME_TAXES_LIAB","FY 2013","FY 2013","Currency=INR","Period=FY","BEST_FPERIOD_OVERRIDE=FY","FILING_STATUS=MR","EQY_CONSOLIDATED=Y","SCALING_FORMAT=MLN","Sort=A","Dates=H","DateFormat=P","Fill=—","Direction=H","UseDPDF=Y")</f>
        <v>13720</v>
      </c>
      <c r="H18" s="13" t="str">
        <f>_xll.BDH("RCOM IN Equity","ARD_DEFERRED_INCOME_TAXES_LIAB","FY 2014","FY 2014","Currency=INR","Period=FY","BEST_FPERIOD_OVERRIDE=FY","FILING_STATUS=MR","EQY_CONSOLIDATED=Y","SCALING_FORMAT=MLN","Sort=A","Dates=H","DateFormat=P","Fill=—","Direction=H","UseDPDF=Y")</f>
        <v>—</v>
      </c>
      <c r="I18" s="13" t="str">
        <f>_xll.BDH("RCOM IN Equity","ARD_DEFERRED_INCOME_TAXES_LIAB","FY 2015","FY 2015","Currency=INR","Period=FY","BEST_FPERIOD_OVERRIDE=FY","FILING_STATUS=MR","EQY_CONSOLIDATED=Y","SCALING_FORMAT=MLN","Sort=A","Dates=H","DateFormat=P","Fill=—","Direction=H","UseDPDF=Y")</f>
        <v>—</v>
      </c>
      <c r="J18" s="13" t="str">
        <f>_xll.BDH("RCOM IN Equity","ARD_DEFERRED_INCOME_TAXES_LIAB","FY 2016","FY 2016","Currency=INR","Period=FY","BEST_FPERIOD_OVERRIDE=FY","FILING_STATUS=MR","EQY_CONSOLIDATED=Y","SCALING_FORMAT=MLN","Sort=A","Dates=H","DateFormat=P","Fill=—","Direction=H","UseDPDF=Y")</f>
        <v>—</v>
      </c>
      <c r="K18" s="13" t="str">
        <f>_xll.BDH("RCOM IN Equity","ARD_DEFERRED_INCOME_TAXES_LIAB","FY 2017","FY 2017","Currency=INR","Period=FY","BEST_FPERIOD_OVERRIDE=FY","FILING_STATUS=MR","EQY_CONSOLIDATED=Y","SCALING_FORMAT=MLN","Sort=A","Dates=H","DateFormat=P","Fill=—","Direction=H","UseDPDF=Y")</f>
        <v>—</v>
      </c>
      <c r="L18" s="13" t="str">
        <f>_xll.BDH("RCOM IN Equity","ARD_DEFERRED_INCOME_TAXES_LIAB","FY 2018","FY 2018","Currency=INR","Period=FY","BEST_FPERIOD_OVERRIDE=FY","FILING_STATUS=MR","EQY_CONSOLIDATED=Y","SCALING_FORMAT=MLN","Sort=A","Dates=H","DateFormat=P","Fill=—","Direction=H","UseDPDF=Y")</f>
        <v>—</v>
      </c>
    </row>
    <row r="19" spans="1:12">
      <c r="A19" s="10" t="s">
        <v>874</v>
      </c>
      <c r="B19" s="10" t="s">
        <v>875</v>
      </c>
      <c r="C19" s="13" t="str">
        <f>_xll.BDH("RCOM IN Equity","ARD_DEFERRED_UNEARNED_REV_LT","FY 2009","FY 2009","Currency=INR","Period=FY","BEST_FPERIOD_OVERRIDE=FY","FILING_STATUS=MR","EQY_CONSOLIDATED=Y","SCALING_FORMAT=MLN","Sort=A","Dates=H","DateFormat=P","Fill=—","Direction=H","UseDPDF=Y")</f>
        <v>—</v>
      </c>
      <c r="D19" s="13" t="str">
        <f>_xll.BDH("RCOM IN Equity","ARD_DEFERRED_UNEARNED_REV_LT","FY 2010","FY 2010","Currency=INR","Period=FY","BEST_FPERIOD_OVERRIDE=FY","FILING_STATUS=MR","EQY_CONSOLIDATED=Y","SCALING_FORMAT=MLN","Sort=A","Dates=H","DateFormat=P","Fill=—","Direction=H","UseDPDF=Y")</f>
        <v>—</v>
      </c>
      <c r="E19" s="13" t="str">
        <f>_xll.BDH("RCOM IN Equity","ARD_DEFERRED_UNEARNED_REV_LT","FY 2011","FY 2011","Currency=INR","Period=FY","BEST_FPERIOD_OVERRIDE=FY","FILING_STATUS=MR","EQY_CONSOLIDATED=Y","SCALING_FORMAT=MLN","Sort=A","Dates=H","DateFormat=P","Fill=—","Direction=H","UseDPDF=Y")</f>
        <v>—</v>
      </c>
      <c r="F19" s="13" t="str">
        <f>_xll.BDH("RCOM IN Equity","ARD_DEFERRED_UNEARNED_REV_LT","FY 2012","FY 2012","Currency=INR","Period=FY","BEST_FPERIOD_OVERRIDE=FY","FILING_STATUS=MR","EQY_CONSOLIDATED=Y","SCALING_FORMAT=MLN","Sort=A","Dates=H","DateFormat=P","Fill=—","Direction=H","UseDPDF=Y")</f>
        <v>—</v>
      </c>
      <c r="G19" s="13" t="str">
        <f>_xll.BDH("RCOM IN Equity","ARD_DEFERRED_UNEARNED_REV_LT","FY 2013","FY 2013","Currency=INR","Period=FY","BEST_FPERIOD_OVERRIDE=FY","FILING_STATUS=MR","EQY_CONSOLIDATED=Y","SCALING_FORMAT=MLN","Sort=A","Dates=H","DateFormat=P","Fill=—","Direction=H","UseDPDF=Y")</f>
        <v>—</v>
      </c>
      <c r="H19" s="13" t="str">
        <f>_xll.BDH("RCOM IN Equity","ARD_DEFERRED_UNEARNED_REV_LT","FY 2014","FY 2014","Currency=INR","Period=FY","BEST_FPERIOD_OVERRIDE=FY","FILING_STATUS=MR","EQY_CONSOLIDATED=Y","SCALING_FORMAT=MLN","Sort=A","Dates=H","DateFormat=P","Fill=—","Direction=H","UseDPDF=Y")</f>
        <v>—</v>
      </c>
      <c r="I19" s="13" t="str">
        <f>_xll.BDH("RCOM IN Equity","ARD_DEFERRED_UNEARNED_REV_LT","FY 2015","FY 2015","Currency=INR","Period=FY","BEST_FPERIOD_OVERRIDE=FY","FILING_STATUS=MR","EQY_CONSOLIDATED=Y","SCALING_FORMAT=MLN","Sort=A","Dates=H","DateFormat=P","Fill=—","Direction=H","UseDPDF=Y")</f>
        <v>—</v>
      </c>
      <c r="J19" s="13">
        <f>_xll.BDH("RCOM IN Equity","ARD_DEFERRED_UNEARNED_REV_LT","FY 2016","FY 2016","Currency=INR","Period=FY","BEST_FPERIOD_OVERRIDE=FY","FILING_STATUS=MR","EQY_CONSOLIDATED=Y","SCALING_FORMAT=MLN","Sort=A","Dates=H","DateFormat=P","Fill=—","Direction=H","UseDPDF=Y")</f>
        <v>38420</v>
      </c>
      <c r="K19" s="13">
        <f>_xll.BDH("RCOM IN Equity","ARD_DEFERRED_UNEARNED_REV_LT","FY 2017","FY 2017","Currency=INR","Period=FY","BEST_FPERIOD_OVERRIDE=FY","FILING_STATUS=MR","EQY_CONSOLIDATED=Y","SCALING_FORMAT=MLN","Sort=A","Dates=H","DateFormat=P","Fill=—","Direction=H","UseDPDF=Y")</f>
        <v>33030</v>
      </c>
      <c r="L19" s="13">
        <f>_xll.BDH("RCOM IN Equity","ARD_DEFERRED_UNEARNED_REV_LT","FY 2018","FY 2018","Currency=INR","Period=FY","BEST_FPERIOD_OVERRIDE=FY","FILING_STATUS=MR","EQY_CONSOLIDATED=Y","SCALING_FORMAT=MLN","Sort=A","Dates=H","DateFormat=P","Fill=—","Direction=H","UseDPDF=Y")</f>
        <v>29260</v>
      </c>
    </row>
    <row r="20" spans="1:12">
      <c r="A20" s="10" t="s">
        <v>876</v>
      </c>
      <c r="B20" s="10" t="s">
        <v>877</v>
      </c>
      <c r="C20" s="13" t="str">
        <f>_xll.BDH("RCOM IN Equity","ARD_OTH_NONCURRENT_LIABILITIES","FY 2009","FY 2009","Currency=INR","Period=FY","BEST_FPERIOD_OVERRIDE=FY","FILING_STATUS=MR","EQY_CONSOLIDATED=Y","SCALING_FORMAT=MLN","Sort=A","Dates=H","DateFormat=P","Fill=—","Direction=H","UseDPDF=Y")</f>
        <v>—</v>
      </c>
      <c r="D20" s="13" t="str">
        <f>_xll.BDH("RCOM IN Equity","ARD_OTH_NONCURRENT_LIABILITIES","FY 2010","FY 2010","Currency=INR","Period=FY","BEST_FPERIOD_OVERRIDE=FY","FILING_STATUS=MR","EQY_CONSOLIDATED=Y","SCALING_FORMAT=MLN","Sort=A","Dates=H","DateFormat=P","Fill=—","Direction=H","UseDPDF=Y")</f>
        <v>—</v>
      </c>
      <c r="E20" s="13">
        <f>_xll.BDH("RCOM IN Equity","ARD_OTH_NONCURRENT_LIABILITIES","FY 2011","FY 2011","Currency=INR","Period=FY","BEST_FPERIOD_OVERRIDE=FY","FILING_STATUS=MR","EQY_CONSOLIDATED=Y","SCALING_FORMAT=MLN","Sort=A","Dates=H","DateFormat=P","Fill=—","Direction=H","UseDPDF=Y")</f>
        <v>11710</v>
      </c>
      <c r="F20" s="13">
        <f>_xll.BDH("RCOM IN Equity","ARD_OTH_NONCURRENT_LIABILITIES","FY 2012","FY 2012","Currency=INR","Period=FY","BEST_FPERIOD_OVERRIDE=FY","FILING_STATUS=MR","EQY_CONSOLIDATED=Y","SCALING_FORMAT=MLN","Sort=A","Dates=H","DateFormat=P","Fill=—","Direction=H","UseDPDF=Y")</f>
        <v>12170</v>
      </c>
      <c r="G20" s="13">
        <f>_xll.BDH("RCOM IN Equity","ARD_OTH_NONCURRENT_LIABILITIES","FY 2013","FY 2013","Currency=INR","Period=FY","BEST_FPERIOD_OVERRIDE=FY","FILING_STATUS=MR","EQY_CONSOLIDATED=Y","SCALING_FORMAT=MLN","Sort=A","Dates=H","DateFormat=P","Fill=—","Direction=H","UseDPDF=Y")</f>
        <v>12330</v>
      </c>
      <c r="H20" s="13">
        <f>_xll.BDH("RCOM IN Equity","ARD_OTH_NONCURRENT_LIABILITIES","FY 2014","FY 2014","Currency=INR","Period=FY","BEST_FPERIOD_OVERRIDE=FY","FILING_STATUS=MR","EQY_CONSOLIDATED=Y","SCALING_FORMAT=MLN","Sort=A","Dates=H","DateFormat=P","Fill=—","Direction=H","UseDPDF=Y")</f>
        <v>9150</v>
      </c>
      <c r="I20" s="13">
        <f>_xll.BDH("RCOM IN Equity","ARD_OTH_NONCURRENT_LIABILITIES","FY 2015","FY 2015","Currency=INR","Period=FY","BEST_FPERIOD_OVERRIDE=FY","FILING_STATUS=MR","EQY_CONSOLIDATED=Y","SCALING_FORMAT=MLN","Sort=A","Dates=H","DateFormat=P","Fill=—","Direction=H","UseDPDF=Y")</f>
        <v>7360</v>
      </c>
      <c r="J20" s="13">
        <f>_xll.BDH("RCOM IN Equity","ARD_OTH_NONCURRENT_LIABILITIES","FY 2016","FY 2016","Currency=INR","Period=FY","BEST_FPERIOD_OVERRIDE=FY","FILING_STATUS=MR","EQY_CONSOLIDATED=Y","SCALING_FORMAT=MLN","Sort=A","Dates=H","DateFormat=P","Fill=—","Direction=H","UseDPDF=Y")</f>
        <v>28600</v>
      </c>
      <c r="K20" s="13">
        <f>_xll.BDH("RCOM IN Equity","ARD_OTH_NONCURRENT_LIABILITIES","FY 2017","FY 2017","Currency=INR","Period=FY","BEST_FPERIOD_OVERRIDE=FY","FILING_STATUS=MR","EQY_CONSOLIDATED=Y","SCALING_FORMAT=MLN","Sort=A","Dates=H","DateFormat=P","Fill=—","Direction=H","UseDPDF=Y")</f>
        <v>870</v>
      </c>
      <c r="L20" s="13">
        <f>_xll.BDH("RCOM IN Equity","ARD_OTH_NONCURRENT_LIABILITIES","FY 2018","FY 2018","Currency=INR","Period=FY","BEST_FPERIOD_OVERRIDE=FY","FILING_STATUS=MR","EQY_CONSOLIDATED=Y","SCALING_FORMAT=MLN","Sort=A","Dates=H","DateFormat=P","Fill=—","Direction=H","UseDPDF=Y")</f>
        <v>830</v>
      </c>
    </row>
    <row r="21" spans="1:12">
      <c r="A21" s="10" t="s">
        <v>878</v>
      </c>
      <c r="B21" s="10" t="s">
        <v>879</v>
      </c>
      <c r="C21" s="13">
        <f>_xll.BDH("RCOM IN Equity","ARD_DEFERRED_TAX_LIAB_LT","FY 2009","FY 2009","Currency=INR","Period=FY","BEST_FPERIOD_OVERRIDE=FY","FILING_STATUS=MR","EQY_CONSOLIDATED=Y","SCALING_FORMAT=MLN","Sort=A","Dates=H","DateFormat=P","Fill=—","Direction=H","UseDPDF=Y")</f>
        <v>281</v>
      </c>
      <c r="D21" s="13">
        <f>_xll.BDH("RCOM IN Equity","ARD_DEFERRED_TAX_LIAB_LT","FY 2010","FY 2010","Currency=INR","Period=FY","BEST_FPERIOD_OVERRIDE=FY","FILING_STATUS=MR","EQY_CONSOLIDATED=Y","SCALING_FORMAT=MLN","Sort=A","Dates=H","DateFormat=P","Fill=—","Direction=H","UseDPDF=Y")</f>
        <v>990.5</v>
      </c>
      <c r="E21" s="13">
        <f>_xll.BDH("RCOM IN Equity","ARD_DEFERRED_TAX_LIAB_LT","FY 2011","FY 2011","Currency=INR","Period=FY","BEST_FPERIOD_OVERRIDE=FY","FILING_STATUS=MR","EQY_CONSOLIDATED=Y","SCALING_FORMAT=MLN","Sort=A","Dates=H","DateFormat=P","Fill=—","Direction=H","UseDPDF=Y")</f>
        <v>3670</v>
      </c>
      <c r="F21" s="13">
        <f>_xll.BDH("RCOM IN Equity","ARD_DEFERRED_TAX_LIAB_LT","FY 2012","FY 2012","Currency=INR","Period=FY","BEST_FPERIOD_OVERRIDE=FY","FILING_STATUS=MR","EQY_CONSOLIDATED=Y","SCALING_FORMAT=MLN","Sort=A","Dates=H","DateFormat=P","Fill=—","Direction=H","UseDPDF=Y")</f>
        <v>10180</v>
      </c>
      <c r="G21" s="13" t="str">
        <f>_xll.BDH("RCOM IN Equity","ARD_DEFERRED_TAX_LIAB_LT","FY 2013","FY 2013","Currency=INR","Period=FY","BEST_FPERIOD_OVERRIDE=FY","FILING_STATUS=MR","EQY_CONSOLIDATED=Y","SCALING_FORMAT=MLN","Sort=A","Dates=H","DateFormat=P","Fill=—","Direction=H","UseDPDF=Y")</f>
        <v>—</v>
      </c>
      <c r="H21" s="13">
        <f>_xll.BDH("RCOM IN Equity","ARD_DEFERRED_TAX_LIAB_LT","FY 2014","FY 2014","Currency=INR","Period=FY","BEST_FPERIOD_OVERRIDE=FY","FILING_STATUS=MR","EQY_CONSOLIDATED=Y","SCALING_FORMAT=MLN","Sort=A","Dates=H","DateFormat=P","Fill=—","Direction=H","UseDPDF=Y")</f>
        <v>18030</v>
      </c>
      <c r="I21" s="13">
        <f>_xll.BDH("RCOM IN Equity","ARD_DEFERRED_TAX_LIAB_LT","FY 2015","FY 2015","Currency=INR","Period=FY","BEST_FPERIOD_OVERRIDE=FY","FILING_STATUS=MR","EQY_CONSOLIDATED=Y","SCALING_FORMAT=MLN","Sort=A","Dates=H","DateFormat=P","Fill=—","Direction=H","UseDPDF=Y")</f>
        <v>5290</v>
      </c>
      <c r="J21" s="13">
        <f>_xll.BDH("RCOM IN Equity","ARD_DEFERRED_TAX_LIAB_LT","FY 2016","FY 2016","Currency=INR","Period=FY","BEST_FPERIOD_OVERRIDE=FY","FILING_STATUS=MR","EQY_CONSOLIDATED=Y","SCALING_FORMAT=MLN","Sort=A","Dates=H","DateFormat=P","Fill=—","Direction=H","UseDPDF=Y")</f>
        <v>38880</v>
      </c>
      <c r="K21" s="13">
        <f>_xll.BDH("RCOM IN Equity","ARD_DEFERRED_TAX_LIAB_LT","FY 2017","FY 2017","Currency=INR","Period=FY","BEST_FPERIOD_OVERRIDE=FY","FILING_STATUS=MR","EQY_CONSOLIDATED=Y","SCALING_FORMAT=MLN","Sort=A","Dates=H","DateFormat=P","Fill=—","Direction=H","UseDPDF=Y")</f>
        <v>45500</v>
      </c>
      <c r="L21" s="13">
        <f>_xll.BDH("RCOM IN Equity","ARD_DEFERRED_TAX_LIAB_LT","FY 2018","FY 2018","Currency=INR","Period=FY","BEST_FPERIOD_OVERRIDE=FY","FILING_STATUS=MR","EQY_CONSOLIDATED=Y","SCALING_FORMAT=MLN","Sort=A","Dates=H","DateFormat=P","Fill=—","Direction=H","UseDPDF=Y")</f>
        <v>25170</v>
      </c>
    </row>
    <row r="22" spans="1:12">
      <c r="A22" s="10" t="s">
        <v>79</v>
      </c>
      <c r="B22" s="10" t="s">
        <v>880</v>
      </c>
      <c r="C22" s="13" t="str">
        <f>_xll.BDH("RCOM IN Equity","ARD_TOTAL_CURRENT_LIABILITIES","FY 2009","FY 2009","Currency=INR","Period=FY","BEST_FPERIOD_OVERRIDE=FY","FILING_STATUS=MR","EQY_CONSOLIDATED=Y","SCALING_FORMAT=MLN","Sort=A","Dates=H","DateFormat=P","Fill=—","Direction=H","UseDPDF=Y")</f>
        <v>—</v>
      </c>
      <c r="D22" s="13" t="str">
        <f>_xll.BDH("RCOM IN Equity","ARD_TOTAL_CURRENT_LIABILITIES","FY 2010","FY 2010","Currency=INR","Period=FY","BEST_FPERIOD_OVERRIDE=FY","FILING_STATUS=MR","EQY_CONSOLIDATED=Y","SCALING_FORMAT=MLN","Sort=A","Dates=H","DateFormat=P","Fill=—","Direction=H","UseDPDF=Y")</f>
        <v>—</v>
      </c>
      <c r="E22" s="13">
        <f>_xll.BDH("RCOM IN Equity","ARD_TOTAL_CURRENT_LIABILITIES","FY 2011","FY 2011","Currency=INR","Period=FY","BEST_FPERIOD_OVERRIDE=FY","FILING_STATUS=MR","EQY_CONSOLIDATED=Y","SCALING_FORMAT=MLN","Sort=A","Dates=H","DateFormat=P","Fill=—","Direction=H","UseDPDF=Y")</f>
        <v>323020</v>
      </c>
      <c r="F22" s="13">
        <f>_xll.BDH("RCOM IN Equity","ARD_TOTAL_CURRENT_LIABILITIES","FY 2012","FY 2012","Currency=INR","Period=FY","BEST_FPERIOD_OVERRIDE=FY","FILING_STATUS=MR","EQY_CONSOLIDATED=Y","SCALING_FORMAT=MLN","Sort=A","Dates=H","DateFormat=P","Fill=—","Direction=H","UseDPDF=Y")</f>
        <v>224040</v>
      </c>
      <c r="G22" s="13">
        <f>_xll.BDH("RCOM IN Equity","ARD_TOTAL_CURRENT_LIABILITIES","FY 2013","FY 2013","Currency=INR","Period=FY","BEST_FPERIOD_OVERRIDE=FY","FILING_STATUS=MR","EQY_CONSOLIDATED=Y","SCALING_FORMAT=MLN","Sort=A","Dates=H","DateFormat=P","Fill=—","Direction=H","UseDPDF=Y")</f>
        <v>234390</v>
      </c>
      <c r="H22" s="13">
        <f>_xll.BDH("RCOM IN Equity","ARD_TOTAL_CURRENT_LIABILITIES","FY 2014","FY 2014","Currency=INR","Period=FY","BEST_FPERIOD_OVERRIDE=FY","FILING_STATUS=MR","EQY_CONSOLIDATED=Y","SCALING_FORMAT=MLN","Sort=A","Dates=H","DateFormat=P","Fill=—","Direction=H","UseDPDF=Y")</f>
        <v>255380</v>
      </c>
      <c r="I22" s="13">
        <f>_xll.BDH("RCOM IN Equity","ARD_TOTAL_CURRENT_LIABILITIES","FY 2015","FY 2015","Currency=INR","Period=FY","BEST_FPERIOD_OVERRIDE=FY","FILING_STATUS=MR","EQY_CONSOLIDATED=Y","SCALING_FORMAT=MLN","Sort=A","Dates=H","DateFormat=P","Fill=—","Direction=H","UseDPDF=Y")</f>
        <v>209230</v>
      </c>
      <c r="J22" s="13">
        <f>_xll.BDH("RCOM IN Equity","ARD_TOTAL_CURRENT_LIABILITIES","FY 2016","FY 2016","Currency=INR","Period=FY","BEST_FPERIOD_OVERRIDE=FY","FILING_STATUS=MR","EQY_CONSOLIDATED=Y","SCALING_FORMAT=MLN","Sort=A","Dates=H","DateFormat=P","Fill=—","Direction=H","UseDPDF=Y")</f>
        <v>276760</v>
      </c>
      <c r="K22" s="13">
        <f>_xll.BDH("RCOM IN Equity","ARD_TOTAL_CURRENT_LIABILITIES","FY 2017","FY 2017","Currency=INR","Period=FY","BEST_FPERIOD_OVERRIDE=FY","FILING_STATUS=MR","EQY_CONSOLIDATED=Y","SCALING_FORMAT=MLN","Sort=A","Dates=H","DateFormat=P","Fill=—","Direction=H","UseDPDF=Y")</f>
        <v>360340</v>
      </c>
      <c r="L22" s="13">
        <f>_xll.BDH("RCOM IN Equity","ARD_TOTAL_CURRENT_LIABILITIES","FY 2018","FY 2018","Currency=INR","Period=FY","BEST_FPERIOD_OVERRIDE=FY","FILING_STATUS=MR","EQY_CONSOLIDATED=Y","SCALING_FORMAT=MLN","Sort=A","Dates=H","DateFormat=P","Fill=—","Direction=H","UseDPDF=Y")</f>
        <v>524780</v>
      </c>
    </row>
    <row r="23" spans="1:12">
      <c r="A23" s="10" t="s">
        <v>881</v>
      </c>
      <c r="B23" s="10" t="s">
        <v>882</v>
      </c>
      <c r="C23" s="13" t="str">
        <f>_xll.BDH("RCOM IN Equity","ARD_DEFERRED_EXPENSES_LT","FY 2009","FY 2009","Currency=INR","Period=FY","BEST_FPERIOD_OVERRIDE=FY","FILING_STATUS=MR","EQY_CONSOLIDATED=Y","SCALING_FORMAT=MLN","Sort=A","Dates=H","DateFormat=P","Fill=—","Direction=H","UseDPDF=Y")</f>
        <v>—</v>
      </c>
      <c r="D23" s="13" t="str">
        <f>_xll.BDH("RCOM IN Equity","ARD_DEFERRED_EXPENSES_LT","FY 2010","FY 2010","Currency=INR","Period=FY","BEST_FPERIOD_OVERRIDE=FY","FILING_STATUS=MR","EQY_CONSOLIDATED=Y","SCALING_FORMAT=MLN","Sort=A","Dates=H","DateFormat=P","Fill=—","Direction=H","UseDPDF=Y")</f>
        <v>—</v>
      </c>
      <c r="E23" s="13" t="str">
        <f>_xll.BDH("RCOM IN Equity","ARD_DEFERRED_EXPENSES_LT","FY 2011","FY 2011","Currency=INR","Period=FY","BEST_FPERIOD_OVERRIDE=FY","FILING_STATUS=MR","EQY_CONSOLIDATED=Y","SCALING_FORMAT=MLN","Sort=A","Dates=H","DateFormat=P","Fill=—","Direction=H","UseDPDF=Y")</f>
        <v>—</v>
      </c>
      <c r="F23" s="13" t="str">
        <f>_xll.BDH("RCOM IN Equity","ARD_DEFERRED_EXPENSES_LT","FY 2012","FY 2012","Currency=INR","Period=FY","BEST_FPERIOD_OVERRIDE=FY","FILING_STATUS=MR","EQY_CONSOLIDATED=Y","SCALING_FORMAT=MLN","Sort=A","Dates=H","DateFormat=P","Fill=—","Direction=H","UseDPDF=Y")</f>
        <v>—</v>
      </c>
      <c r="G23" s="13" t="str">
        <f>_xll.BDH("RCOM IN Equity","ARD_DEFERRED_EXPENSES_LT","FY 2013","FY 2013","Currency=INR","Period=FY","BEST_FPERIOD_OVERRIDE=FY","FILING_STATUS=MR","EQY_CONSOLIDATED=Y","SCALING_FORMAT=MLN","Sort=A","Dates=H","DateFormat=P","Fill=—","Direction=H","UseDPDF=Y")</f>
        <v>—</v>
      </c>
      <c r="H23" s="13" t="str">
        <f>_xll.BDH("RCOM IN Equity","ARD_DEFERRED_EXPENSES_LT","FY 2014","FY 2014","Currency=INR","Period=FY","BEST_FPERIOD_OVERRIDE=FY","FILING_STATUS=MR","EQY_CONSOLIDATED=Y","SCALING_FORMAT=MLN","Sort=A","Dates=H","DateFormat=P","Fill=—","Direction=H","UseDPDF=Y")</f>
        <v>—</v>
      </c>
      <c r="I23" s="13" t="str">
        <f>_xll.BDH("RCOM IN Equity","ARD_DEFERRED_EXPENSES_LT","FY 2015","FY 2015","Currency=INR","Period=FY","BEST_FPERIOD_OVERRIDE=FY","FILING_STATUS=MR","EQY_CONSOLIDATED=Y","SCALING_FORMAT=MLN","Sort=A","Dates=H","DateFormat=P","Fill=—","Direction=H","UseDPDF=Y")</f>
        <v>—</v>
      </c>
      <c r="J23" s="13">
        <f>_xll.BDH("RCOM IN Equity","ARD_DEFERRED_EXPENSES_LT","FY 2016","FY 2016","Currency=INR","Period=FY","BEST_FPERIOD_OVERRIDE=FY","FILING_STATUS=MR","EQY_CONSOLIDATED=Y","SCALING_FORMAT=MLN","Sort=A","Dates=H","DateFormat=P","Fill=—","Direction=H","UseDPDF=Y")</f>
        <v>32950</v>
      </c>
      <c r="K23" s="13">
        <f>_xll.BDH("RCOM IN Equity","ARD_DEFERRED_EXPENSES_LT","FY 2017","FY 2017","Currency=INR","Period=FY","BEST_FPERIOD_OVERRIDE=FY","FILING_STATUS=MR","EQY_CONSOLIDATED=Y","SCALING_FORMAT=MLN","Sort=A","Dates=H","DateFormat=P","Fill=—","Direction=H","UseDPDF=Y")</f>
        <v>33280</v>
      </c>
      <c r="L23" s="13">
        <f>_xll.BDH("RCOM IN Equity","ARD_DEFERRED_EXPENSES_LT","FY 2018","FY 2018","Currency=INR","Period=FY","BEST_FPERIOD_OVERRIDE=FY","FILING_STATUS=MR","EQY_CONSOLIDATED=Y","SCALING_FORMAT=MLN","Sort=A","Dates=H","DateFormat=P","Fill=—","Direction=H","UseDPDF=Y")</f>
        <v>0</v>
      </c>
    </row>
    <row r="24" spans="1:12">
      <c r="A24" s="10" t="s">
        <v>883</v>
      </c>
      <c r="B24" s="10" t="s">
        <v>884</v>
      </c>
      <c r="C24" s="13" t="str">
        <f>_xll.BDH("RCOM IN Equity","ARD_PROV_LIAB_CHARGES_AND_OTHER","FY 2009","FY 2009","Currency=INR","Period=FY","BEST_FPERIOD_OVERRIDE=FY","FILING_STATUS=MR","EQY_CONSOLIDATED=Y","SCALING_FORMAT=MLN","Sort=A","Dates=H","DateFormat=P","Fill=—","Direction=H","UseDPDF=Y")</f>
        <v>—</v>
      </c>
      <c r="D24" s="13" t="str">
        <f>_xll.BDH("RCOM IN Equity","ARD_PROV_LIAB_CHARGES_AND_OTHER","FY 2010","FY 2010","Currency=INR","Period=FY","BEST_FPERIOD_OVERRIDE=FY","FILING_STATUS=MR","EQY_CONSOLIDATED=Y","SCALING_FORMAT=MLN","Sort=A","Dates=H","DateFormat=P","Fill=—","Direction=H","UseDPDF=Y")</f>
        <v>—</v>
      </c>
      <c r="E24" s="13">
        <f>_xll.BDH("RCOM IN Equity","ARD_PROV_LIAB_CHARGES_AND_OTHER","FY 2011","FY 2011","Currency=INR","Period=FY","BEST_FPERIOD_OVERRIDE=FY","FILING_STATUS=MR","EQY_CONSOLIDATED=Y","SCALING_FORMAT=MLN","Sort=A","Dates=H","DateFormat=P","Fill=—","Direction=H","UseDPDF=Y")</f>
        <v>2470</v>
      </c>
      <c r="F24" s="13">
        <f>_xll.BDH("RCOM IN Equity","ARD_PROV_LIAB_CHARGES_AND_OTHER","FY 2012","FY 2012","Currency=INR","Period=FY","BEST_FPERIOD_OVERRIDE=FY","FILING_STATUS=MR","EQY_CONSOLIDATED=Y","SCALING_FORMAT=MLN","Sort=A","Dates=H","DateFormat=P","Fill=—","Direction=H","UseDPDF=Y")</f>
        <v>8240</v>
      </c>
      <c r="G24" s="13">
        <f>_xll.BDH("RCOM IN Equity","ARD_PROV_LIAB_CHARGES_AND_OTHER","FY 2013","FY 2013","Currency=INR","Period=FY","BEST_FPERIOD_OVERRIDE=FY","FILING_STATUS=MR","EQY_CONSOLIDATED=Y","SCALING_FORMAT=MLN","Sort=A","Dates=H","DateFormat=P","Fill=—","Direction=H","UseDPDF=Y")</f>
        <v>8850</v>
      </c>
      <c r="H24" s="13">
        <f>_xll.BDH("RCOM IN Equity","ARD_PROV_LIAB_CHARGES_AND_OTHER","FY 2014","FY 2014","Currency=INR","Period=FY","BEST_FPERIOD_OVERRIDE=FY","FILING_STATUS=MR","EQY_CONSOLIDATED=Y","SCALING_FORMAT=MLN","Sort=A","Dates=H","DateFormat=P","Fill=—","Direction=H","UseDPDF=Y")</f>
        <v>10310</v>
      </c>
      <c r="I24" s="13">
        <f>_xll.BDH("RCOM IN Equity","ARD_PROV_LIAB_CHARGES_AND_OTHER","FY 2015","FY 2015","Currency=INR","Period=FY","BEST_FPERIOD_OVERRIDE=FY","FILING_STATUS=MR","EQY_CONSOLIDATED=Y","SCALING_FORMAT=MLN","Sort=A","Dates=H","DateFormat=P","Fill=—","Direction=H","UseDPDF=Y")</f>
        <v>2920</v>
      </c>
      <c r="J24" s="13">
        <f>_xll.BDH("RCOM IN Equity","ARD_PROV_LIAB_CHARGES_AND_OTHER","FY 2016","FY 2016","Currency=INR","Period=FY","BEST_FPERIOD_OVERRIDE=FY","FILING_STATUS=MR","EQY_CONSOLIDATED=Y","SCALING_FORMAT=MLN","Sort=A","Dates=H","DateFormat=P","Fill=—","Direction=H","UseDPDF=Y")</f>
        <v>3970</v>
      </c>
      <c r="K24" s="13">
        <f>_xll.BDH("RCOM IN Equity","ARD_PROV_LIAB_CHARGES_AND_OTHER","FY 2017","FY 2017","Currency=INR","Period=FY","BEST_FPERIOD_OVERRIDE=FY","FILING_STATUS=MR","EQY_CONSOLIDATED=Y","SCALING_FORMAT=MLN","Sort=A","Dates=H","DateFormat=P","Fill=—","Direction=H","UseDPDF=Y")</f>
        <v>4510</v>
      </c>
      <c r="L24" s="13">
        <f>_xll.BDH("RCOM IN Equity","ARD_PROV_LIAB_CHARGES_AND_OTHER","FY 2018","FY 2018","Currency=INR","Period=FY","BEST_FPERIOD_OVERRIDE=FY","FILING_STATUS=MR","EQY_CONSOLIDATED=Y","SCALING_FORMAT=MLN","Sort=A","Dates=H","DateFormat=P","Fill=—","Direction=H","UseDPDF=Y")</f>
        <v>4380</v>
      </c>
    </row>
    <row r="25" spans="1:12">
      <c r="A25" s="10" t="s">
        <v>885</v>
      </c>
      <c r="B25" s="10" t="s">
        <v>886</v>
      </c>
      <c r="C25" s="13" t="str">
        <f>_xll.BDH("RCOM IN Equity","ARD_OTHER_FINANCIAL_LIAB_LT","FY 2009","FY 2009","Currency=INR","Period=FY","BEST_FPERIOD_OVERRIDE=FY","FILING_STATUS=MR","EQY_CONSOLIDATED=Y","SCALING_FORMAT=MLN","Sort=A","Dates=H","DateFormat=P","Fill=—","Direction=H","UseDPDF=Y")</f>
        <v>—</v>
      </c>
      <c r="D25" s="13" t="str">
        <f>_xll.BDH("RCOM IN Equity","ARD_OTHER_FINANCIAL_LIAB_LT","FY 2010","FY 2010","Currency=INR","Period=FY","BEST_FPERIOD_OVERRIDE=FY","FILING_STATUS=MR","EQY_CONSOLIDATED=Y","SCALING_FORMAT=MLN","Sort=A","Dates=H","DateFormat=P","Fill=—","Direction=H","UseDPDF=Y")</f>
        <v>—</v>
      </c>
      <c r="E25" s="13" t="str">
        <f>_xll.BDH("RCOM IN Equity","ARD_OTHER_FINANCIAL_LIAB_LT","FY 2011","FY 2011","Currency=INR","Period=FY","BEST_FPERIOD_OVERRIDE=FY","FILING_STATUS=MR","EQY_CONSOLIDATED=Y","SCALING_FORMAT=MLN","Sort=A","Dates=H","DateFormat=P","Fill=—","Direction=H","UseDPDF=Y")</f>
        <v>—</v>
      </c>
      <c r="F25" s="13" t="str">
        <f>_xll.BDH("RCOM IN Equity","ARD_OTHER_FINANCIAL_LIAB_LT","FY 2012","FY 2012","Currency=INR","Period=FY","BEST_FPERIOD_OVERRIDE=FY","FILING_STATUS=MR","EQY_CONSOLIDATED=Y","SCALING_FORMAT=MLN","Sort=A","Dates=H","DateFormat=P","Fill=—","Direction=H","UseDPDF=Y")</f>
        <v>—</v>
      </c>
      <c r="G25" s="13" t="str">
        <f>_xll.BDH("RCOM IN Equity","ARD_OTHER_FINANCIAL_LIAB_LT","FY 2013","FY 2013","Currency=INR","Period=FY","BEST_FPERIOD_OVERRIDE=FY","FILING_STATUS=MR","EQY_CONSOLIDATED=Y","SCALING_FORMAT=MLN","Sort=A","Dates=H","DateFormat=P","Fill=—","Direction=H","UseDPDF=Y")</f>
        <v>—</v>
      </c>
      <c r="H25" s="13" t="str">
        <f>_xll.BDH("RCOM IN Equity","ARD_OTHER_FINANCIAL_LIAB_LT","FY 2014","FY 2014","Currency=INR","Period=FY","BEST_FPERIOD_OVERRIDE=FY","FILING_STATUS=MR","EQY_CONSOLIDATED=Y","SCALING_FORMAT=MLN","Sort=A","Dates=H","DateFormat=P","Fill=—","Direction=H","UseDPDF=Y")</f>
        <v>—</v>
      </c>
      <c r="I25" s="13" t="str">
        <f>_xll.BDH("RCOM IN Equity","ARD_OTHER_FINANCIAL_LIAB_LT","FY 2015","FY 2015","Currency=INR","Period=FY","BEST_FPERIOD_OVERRIDE=FY","FILING_STATUS=MR","EQY_CONSOLIDATED=Y","SCALING_FORMAT=MLN","Sort=A","Dates=H","DateFormat=P","Fill=—","Direction=H","UseDPDF=Y")</f>
        <v>—</v>
      </c>
      <c r="J25" s="13">
        <f>_xll.BDH("RCOM IN Equity","ARD_OTHER_FINANCIAL_LIAB_LT","FY 2016","FY 2016","Currency=INR","Period=FY","BEST_FPERIOD_OVERRIDE=FY","FILING_STATUS=MR","EQY_CONSOLIDATED=Y","SCALING_FORMAT=MLN","Sort=A","Dates=H","DateFormat=P","Fill=—","Direction=H","UseDPDF=Y")</f>
        <v>5170</v>
      </c>
      <c r="K25" s="13">
        <f>_xll.BDH("RCOM IN Equity","ARD_OTHER_FINANCIAL_LIAB_LT","FY 2017","FY 2017","Currency=INR","Period=FY","BEST_FPERIOD_OVERRIDE=FY","FILING_STATUS=MR","EQY_CONSOLIDATED=Y","SCALING_FORMAT=MLN","Sort=A","Dates=H","DateFormat=P","Fill=—","Direction=H","UseDPDF=Y")</f>
        <v>4590</v>
      </c>
      <c r="L25" s="13">
        <f>_xll.BDH("RCOM IN Equity","ARD_OTHER_FINANCIAL_LIAB_LT","FY 2018","FY 2018","Currency=INR","Period=FY","BEST_FPERIOD_OVERRIDE=FY","FILING_STATUS=MR","EQY_CONSOLIDATED=Y","SCALING_FORMAT=MLN","Sort=A","Dates=H","DateFormat=P","Fill=—","Direction=H","UseDPDF=Y")</f>
        <v>0</v>
      </c>
    </row>
    <row r="26" spans="1:12">
      <c r="A26" s="10" t="s">
        <v>887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>
      <c r="A27" s="10" t="s">
        <v>888</v>
      </c>
      <c r="B27" s="10" t="s">
        <v>889</v>
      </c>
      <c r="C27" s="13">
        <f>_xll.BDH("RCOM IN Equity","ARD_LT_INVEST","FY 2009","FY 2009","Currency=INR","Period=FY","BEST_FPERIOD_OVERRIDE=FY","FILING_STATUS=MR","EQY_CONSOLIDATED=Y","SCALING_FORMAT=MLN","Sort=A","Dates=H","DateFormat=P","Fill=—","Direction=H","UseDPDF=Y")</f>
        <v>95657</v>
      </c>
      <c r="D27" s="13">
        <f>_xll.BDH("RCOM IN Equity","ARD_LT_INVEST","FY 2010","FY 2010","Currency=INR","Period=FY","BEST_FPERIOD_OVERRIDE=FY","FILING_STATUS=MR","EQY_CONSOLIDATED=Y","SCALING_FORMAT=MLN","Sort=A","Dates=H","DateFormat=P","Fill=—","Direction=H","UseDPDF=Y")</f>
        <v>41598.9</v>
      </c>
      <c r="E27" s="13">
        <f>_xll.BDH("RCOM IN Equity","ARD_LT_INVEST","FY 2011","FY 2011","Currency=INR","Period=FY","BEST_FPERIOD_OVERRIDE=FY","FILING_STATUS=MR","EQY_CONSOLIDATED=Y","SCALING_FORMAT=MLN","Sort=A","Dates=H","DateFormat=P","Fill=—","Direction=H","UseDPDF=Y")</f>
        <v>1180</v>
      </c>
      <c r="F27" s="13">
        <f>_xll.BDH("RCOM IN Equity","ARD_LT_INVEST","FY 2012","FY 2012","Currency=INR","Period=FY","BEST_FPERIOD_OVERRIDE=FY","FILING_STATUS=MR","EQY_CONSOLIDATED=Y","SCALING_FORMAT=MLN","Sort=A","Dates=H","DateFormat=P","Fill=—","Direction=H","UseDPDF=Y")</f>
        <v>1330</v>
      </c>
      <c r="G27" s="13">
        <f>_xll.BDH("RCOM IN Equity","ARD_LT_INVEST","FY 2013","FY 2013","Currency=INR","Period=FY","BEST_FPERIOD_OVERRIDE=FY","FILING_STATUS=MR","EQY_CONSOLIDATED=Y","SCALING_FORMAT=MLN","Sort=A","Dates=H","DateFormat=P","Fill=—","Direction=H","UseDPDF=Y")</f>
        <v>1110</v>
      </c>
      <c r="H27" s="13">
        <f>_xll.BDH("RCOM IN Equity","ARD_LT_INVEST","FY 2014","FY 2014","Currency=INR","Period=FY","BEST_FPERIOD_OVERRIDE=FY","FILING_STATUS=MR","EQY_CONSOLIDATED=Y","SCALING_FORMAT=MLN","Sort=A","Dates=H","DateFormat=P","Fill=—","Direction=H","UseDPDF=Y")</f>
        <v>1180</v>
      </c>
      <c r="I27" s="13">
        <f>_xll.BDH("RCOM IN Equity","ARD_LT_INVEST","FY 2015","FY 2015","Currency=INR","Period=FY","BEST_FPERIOD_OVERRIDE=FY","FILING_STATUS=MR","EQY_CONSOLIDATED=Y","SCALING_FORMAT=MLN","Sort=A","Dates=H","DateFormat=P","Fill=—","Direction=H","UseDPDF=Y")</f>
        <v>1250</v>
      </c>
      <c r="J27" s="13">
        <f>_xll.BDH("RCOM IN Equity","ARD_LT_INVEST","FY 2016","FY 2016","Currency=INR","Period=FY","BEST_FPERIOD_OVERRIDE=FY","FILING_STATUS=MR","EQY_CONSOLIDATED=Y","SCALING_FORMAT=MLN","Sort=A","Dates=H","DateFormat=P","Fill=—","Direction=H","UseDPDF=Y")</f>
        <v>300</v>
      </c>
      <c r="K27" s="13">
        <f>_xll.BDH("RCOM IN Equity","ARD_LT_INVEST","FY 2017","FY 2017","Currency=INR","Period=FY","BEST_FPERIOD_OVERRIDE=FY","FILING_STATUS=MR","EQY_CONSOLIDATED=Y","SCALING_FORMAT=MLN","Sort=A","Dates=H","DateFormat=P","Fill=—","Direction=H","UseDPDF=Y")</f>
        <v>320</v>
      </c>
      <c r="L27" s="13">
        <f>_xll.BDH("RCOM IN Equity","ARD_LT_INVEST","FY 2018","FY 2018","Currency=INR","Period=FY","BEST_FPERIOD_OVERRIDE=FY","FILING_STATUS=MR","EQY_CONSOLIDATED=Y","SCALING_FORMAT=MLN","Sort=A","Dates=H","DateFormat=P","Fill=—","Direction=H","UseDPDF=Y")</f>
        <v>320</v>
      </c>
    </row>
    <row r="28" spans="1:12">
      <c r="A28" s="10" t="s">
        <v>890</v>
      </c>
      <c r="B28" s="10" t="s">
        <v>891</v>
      </c>
      <c r="C28" s="13" t="str">
        <f>_xll.BDH("RCOM IN Equity","ARD_PROPERTY_PLANT_EQUIP_NET","FY 2009","FY 2009","Currency=INR","Period=FY","BEST_FPERIOD_OVERRIDE=FY","FILING_STATUS=MR","EQY_CONSOLIDATED=Y","SCALING_FORMAT=MLN","Sort=A","Dates=H","DateFormat=P","Fill=—","Direction=H","UseDPDF=Y")</f>
        <v>—</v>
      </c>
      <c r="D28" s="13" t="str">
        <f>_xll.BDH("RCOM IN Equity","ARD_PROPERTY_PLANT_EQUIP_NET","FY 2010","FY 2010","Currency=INR","Period=FY","BEST_FPERIOD_OVERRIDE=FY","FILING_STATUS=MR","EQY_CONSOLIDATED=Y","SCALING_FORMAT=MLN","Sort=A","Dates=H","DateFormat=P","Fill=—","Direction=H","UseDPDF=Y")</f>
        <v>—</v>
      </c>
      <c r="E28" s="13" t="str">
        <f>_xll.BDH("RCOM IN Equity","ARD_PROPERTY_PLANT_EQUIP_NET","FY 2011","FY 2011","Currency=INR","Period=FY","BEST_FPERIOD_OVERRIDE=FY","FILING_STATUS=MR","EQY_CONSOLIDATED=Y","SCALING_FORMAT=MLN","Sort=A","Dates=H","DateFormat=P","Fill=—","Direction=H","UseDPDF=Y")</f>
        <v>—</v>
      </c>
      <c r="F28" s="13" t="str">
        <f>_xll.BDH("RCOM IN Equity","ARD_PROPERTY_PLANT_EQUIP_NET","FY 2012","FY 2012","Currency=INR","Period=FY","BEST_FPERIOD_OVERRIDE=FY","FILING_STATUS=MR","EQY_CONSOLIDATED=Y","SCALING_FORMAT=MLN","Sort=A","Dates=H","DateFormat=P","Fill=—","Direction=H","UseDPDF=Y")</f>
        <v>—</v>
      </c>
      <c r="G28" s="13" t="str">
        <f>_xll.BDH("RCOM IN Equity","ARD_PROPERTY_PLANT_EQUIP_NET","FY 2013","FY 2013","Currency=INR","Period=FY","BEST_FPERIOD_OVERRIDE=FY","FILING_STATUS=MR","EQY_CONSOLIDATED=Y","SCALING_FORMAT=MLN","Sort=A","Dates=H","DateFormat=P","Fill=—","Direction=H","UseDPDF=Y")</f>
        <v>—</v>
      </c>
      <c r="H28" s="13">
        <f>_xll.BDH("RCOM IN Equity","ARD_PROPERTY_PLANT_EQUIP_NET","FY 2014","FY 2014","Currency=INR","Period=FY","BEST_FPERIOD_OVERRIDE=FY","FILING_STATUS=MR","EQY_CONSOLIDATED=Y","SCALING_FORMAT=MLN","Sort=A","Dates=H","DateFormat=P","Fill=—","Direction=H","UseDPDF=Y")</f>
        <v>439340</v>
      </c>
      <c r="I28" s="13">
        <f>_xll.BDH("RCOM IN Equity","ARD_PROPERTY_PLANT_EQUIP_NET","FY 2015","FY 2015","Currency=INR","Period=FY","BEST_FPERIOD_OVERRIDE=FY","FILING_STATUS=MR","EQY_CONSOLIDATED=Y","SCALING_FORMAT=MLN","Sort=A","Dates=H","DateFormat=P","Fill=—","Direction=H","UseDPDF=Y")</f>
        <v>425900</v>
      </c>
      <c r="J28" s="13">
        <f>_xll.BDH("RCOM IN Equity","ARD_PROPERTY_PLANT_EQUIP_NET","FY 2016","FY 2016","Currency=INR","Period=FY","BEST_FPERIOD_OVERRIDE=FY","FILING_STATUS=MR","EQY_CONSOLIDATED=Y","SCALING_FORMAT=MLN","Sort=A","Dates=H","DateFormat=P","Fill=—","Direction=H","UseDPDF=Y")</f>
        <v>507740</v>
      </c>
      <c r="K28" s="13">
        <f>_xll.BDH("RCOM IN Equity","ARD_PROPERTY_PLANT_EQUIP_NET","FY 2017","FY 2017","Currency=INR","Period=FY","BEST_FPERIOD_OVERRIDE=FY","FILING_STATUS=MR","EQY_CONSOLIDATED=Y","SCALING_FORMAT=MLN","Sort=A","Dates=H","DateFormat=P","Fill=—","Direction=H","UseDPDF=Y")</f>
        <v>498010</v>
      </c>
      <c r="L28" s="13">
        <f>_xll.BDH("RCOM IN Equity","ARD_PROPERTY_PLANT_EQUIP_NET","FY 2018","FY 2018","Currency=INR","Period=FY","BEST_FPERIOD_OVERRIDE=FY","FILING_STATUS=MR","EQY_CONSOLIDATED=Y","SCALING_FORMAT=MLN","Sort=A","Dates=H","DateFormat=P","Fill=—","Direction=H","UseDPDF=Y")</f>
        <v>165010</v>
      </c>
    </row>
    <row r="29" spans="1:12">
      <c r="A29" s="10" t="s">
        <v>892</v>
      </c>
      <c r="B29" s="10" t="s">
        <v>893</v>
      </c>
      <c r="C29" s="13" t="str">
        <f>_xll.BDH("RCOM IN Equity","ARD_OTHER_INTANGIBLE_ASSET","FY 2009","FY 2009","Currency=INR","Period=FY","BEST_FPERIOD_OVERRIDE=FY","FILING_STATUS=MR","EQY_CONSOLIDATED=Y","SCALING_FORMAT=MLN","Sort=A","Dates=H","DateFormat=P","Fill=—","Direction=H","UseDPDF=Y")</f>
        <v>—</v>
      </c>
      <c r="D29" s="13" t="str">
        <f>_xll.BDH("RCOM IN Equity","ARD_OTHER_INTANGIBLE_ASSET","FY 2010","FY 2010","Currency=INR","Period=FY","BEST_FPERIOD_OVERRIDE=FY","FILING_STATUS=MR","EQY_CONSOLIDATED=Y","SCALING_FORMAT=MLN","Sort=A","Dates=H","DateFormat=P","Fill=—","Direction=H","UseDPDF=Y")</f>
        <v>—</v>
      </c>
      <c r="E29" s="13" t="str">
        <f>_xll.BDH("RCOM IN Equity","ARD_OTHER_INTANGIBLE_ASSET","FY 2011","FY 2011","Currency=INR","Period=FY","BEST_FPERIOD_OVERRIDE=FY","FILING_STATUS=MR","EQY_CONSOLIDATED=Y","SCALING_FORMAT=MLN","Sort=A","Dates=H","DateFormat=P","Fill=—","Direction=H","UseDPDF=Y")</f>
        <v>—</v>
      </c>
      <c r="F29" s="13" t="str">
        <f>_xll.BDH("RCOM IN Equity","ARD_OTHER_INTANGIBLE_ASSET","FY 2012","FY 2012","Currency=INR","Period=FY","BEST_FPERIOD_OVERRIDE=FY","FILING_STATUS=MR","EQY_CONSOLIDATED=Y","SCALING_FORMAT=MLN","Sort=A","Dates=H","DateFormat=P","Fill=—","Direction=H","UseDPDF=Y")</f>
        <v>—</v>
      </c>
      <c r="G29" s="13" t="str">
        <f>_xll.BDH("RCOM IN Equity","ARD_OTHER_INTANGIBLE_ASSET","FY 2013","FY 2013","Currency=INR","Period=FY","BEST_FPERIOD_OVERRIDE=FY","FILING_STATUS=MR","EQY_CONSOLIDATED=Y","SCALING_FORMAT=MLN","Sort=A","Dates=H","DateFormat=P","Fill=—","Direction=H","UseDPDF=Y")</f>
        <v>—</v>
      </c>
      <c r="H29" s="13" t="str">
        <f>_xll.BDH("RCOM IN Equity","ARD_OTHER_INTANGIBLE_ASSET","FY 2014","FY 2014","Currency=INR","Period=FY","BEST_FPERIOD_OVERRIDE=FY","FILING_STATUS=MR","EQY_CONSOLIDATED=Y","SCALING_FORMAT=MLN","Sort=A","Dates=H","DateFormat=P","Fill=—","Direction=H","UseDPDF=Y")</f>
        <v>—</v>
      </c>
      <c r="I29" s="13" t="str">
        <f>_xll.BDH("RCOM IN Equity","ARD_OTHER_INTANGIBLE_ASSET","FY 2015","FY 2015","Currency=INR","Period=FY","BEST_FPERIOD_OVERRIDE=FY","FILING_STATUS=MR","EQY_CONSOLIDATED=Y","SCALING_FORMAT=MLN","Sort=A","Dates=H","DateFormat=P","Fill=—","Direction=H","UseDPDF=Y")</f>
        <v>—</v>
      </c>
      <c r="J29" s="13">
        <f>_xll.BDH("RCOM IN Equity","ARD_OTHER_INTANGIBLE_ASSET","FY 2016","FY 2016","Currency=INR","Period=FY","BEST_FPERIOD_OVERRIDE=FY","FILING_STATUS=MR","EQY_CONSOLIDATED=Y","SCALING_FORMAT=MLN","Sort=A","Dates=H","DateFormat=P","Fill=—","Direction=H","UseDPDF=Y")</f>
        <v>234730</v>
      </c>
      <c r="K29" s="13">
        <f>_xll.BDH("RCOM IN Equity","ARD_OTHER_INTANGIBLE_ASSET","FY 2017","FY 2017","Currency=INR","Period=FY","BEST_FPERIOD_OVERRIDE=FY","FILING_STATUS=MR","EQY_CONSOLIDATED=Y","SCALING_FORMAT=MLN","Sort=A","Dates=H","DateFormat=P","Fill=—","Direction=H","UseDPDF=Y")</f>
        <v>184750</v>
      </c>
      <c r="L29" s="13">
        <f>_xll.BDH("RCOM IN Equity","ARD_OTHER_INTANGIBLE_ASSET","FY 2018","FY 2018","Currency=INR","Period=FY","BEST_FPERIOD_OVERRIDE=FY","FILING_STATUS=MR","EQY_CONSOLIDATED=Y","SCALING_FORMAT=MLN","Sort=A","Dates=H","DateFormat=P","Fill=—","Direction=H","UseDPDF=Y")</f>
        <v>7890</v>
      </c>
    </row>
    <row r="30" spans="1:12">
      <c r="A30" s="10" t="s">
        <v>894</v>
      </c>
      <c r="B30" s="10" t="s">
        <v>895</v>
      </c>
      <c r="C30" s="13">
        <f>_xll.BDH("RCOM IN Equity","ARD_GOODWLL","FY 2009","FY 2009","Currency=INR","Period=FY","BEST_FPERIOD_OVERRIDE=FY","FILING_STATUS=MR","EQY_CONSOLIDATED=Y","SCALING_FORMAT=MLN","Sort=A","Dates=H","DateFormat=P","Fill=—","Direction=H","UseDPDF=Y")</f>
        <v>52215.3</v>
      </c>
      <c r="D30" s="13">
        <f>_xll.BDH("RCOM IN Equity","ARD_GOODWLL","FY 2010","FY 2010","Currency=INR","Period=FY","BEST_FPERIOD_OVERRIDE=FY","FILING_STATUS=MR","EQY_CONSOLIDATED=Y","SCALING_FORMAT=MLN","Sort=A","Dates=H","DateFormat=P","Fill=—","Direction=H","UseDPDF=Y")</f>
        <v>49975.6</v>
      </c>
      <c r="E30" s="13">
        <f>_xll.BDH("RCOM IN Equity","ARD_GOODWLL","FY 2011","FY 2011","Currency=INR","Period=FY","BEST_FPERIOD_OVERRIDE=FY","FILING_STATUS=MR","EQY_CONSOLIDATED=Y","SCALING_FORMAT=MLN","Sort=A","Dates=H","DateFormat=P","Fill=—","Direction=H","UseDPDF=Y")</f>
        <v>47470</v>
      </c>
      <c r="F30" s="13">
        <f>_xll.BDH("RCOM IN Equity","ARD_GOODWLL","FY 2012","FY 2012","Currency=INR","Period=FY","BEST_FPERIOD_OVERRIDE=FY","FILING_STATUS=MR","EQY_CONSOLIDATED=Y","SCALING_FORMAT=MLN","Sort=A","Dates=H","DateFormat=P","Fill=—","Direction=H","UseDPDF=Y")</f>
        <v>50090</v>
      </c>
      <c r="G30" s="13">
        <f>_xll.BDH("RCOM IN Equity","ARD_GOODWLL","FY 2013","FY 2013","Currency=INR","Period=FY","BEST_FPERIOD_OVERRIDE=FY","FILING_STATUS=MR","EQY_CONSOLIDATED=Y","SCALING_FORMAT=MLN","Sort=A","Dates=H","DateFormat=P","Fill=—","Direction=H","UseDPDF=Y")</f>
        <v>51250</v>
      </c>
      <c r="H30" s="13">
        <f>_xll.BDH("RCOM IN Equity","ARD_GOODWLL","FY 2014","FY 2014","Currency=INR","Period=FY","BEST_FPERIOD_OVERRIDE=FY","FILING_STATUS=MR","EQY_CONSOLIDATED=Y","SCALING_FORMAT=MLN","Sort=A","Dates=H","DateFormat=P","Fill=—","Direction=H","UseDPDF=Y")</f>
        <v>53000</v>
      </c>
      <c r="I30" s="13">
        <f>_xll.BDH("RCOM IN Equity","ARD_GOODWLL","FY 2015","FY 2015","Currency=INR","Period=FY","BEST_FPERIOD_OVERRIDE=FY","FILING_STATUS=MR","EQY_CONSOLIDATED=Y","SCALING_FORMAT=MLN","Sort=A","Dates=H","DateFormat=P","Fill=—","Direction=H","UseDPDF=Y")</f>
        <v>54230</v>
      </c>
      <c r="J30" s="13">
        <f>_xll.BDH("RCOM IN Equity","ARD_GOODWLL","FY 2016","FY 2016","Currency=INR","Period=FY","BEST_FPERIOD_OVERRIDE=FY","FILING_STATUS=MR","EQY_CONSOLIDATED=Y","SCALING_FORMAT=MLN","Sort=A","Dates=H","DateFormat=P","Fill=—","Direction=H","UseDPDF=Y")</f>
        <v>35510</v>
      </c>
      <c r="K30" s="13">
        <f>_xll.BDH("RCOM IN Equity","ARD_GOODWLL","FY 2017","FY 2017","Currency=INR","Period=FY","BEST_FPERIOD_OVERRIDE=FY","FILING_STATUS=MR","EQY_CONSOLIDATED=Y","SCALING_FORMAT=MLN","Sort=A","Dates=H","DateFormat=P","Fill=—","Direction=H","UseDPDF=Y")</f>
        <v>35480</v>
      </c>
      <c r="L30" s="13">
        <f>_xll.BDH("RCOM IN Equity","ARD_GOODWLL","FY 2018","FY 2018","Currency=INR","Period=FY","BEST_FPERIOD_OVERRIDE=FY","FILING_STATUS=MR","EQY_CONSOLIDATED=Y","SCALING_FORMAT=MLN","Sort=A","Dates=H","DateFormat=P","Fill=—","Direction=H","UseDPDF=Y")</f>
        <v>35490</v>
      </c>
    </row>
    <row r="31" spans="1:12">
      <c r="A31" s="10" t="s">
        <v>896</v>
      </c>
      <c r="B31" s="10" t="s">
        <v>897</v>
      </c>
      <c r="C31" s="13" t="str">
        <f>_xll.BDH("RCOM IN Equity","ARD_DEFERRED_TAX_ASSETS_LT","FY 2009","FY 2009","Currency=INR","Period=FY","BEST_FPERIOD_OVERRIDE=FY","FILING_STATUS=MR","EQY_CONSOLIDATED=Y","SCALING_FORMAT=MLN","Sort=A","Dates=H","DateFormat=P","Fill=—","Direction=H","UseDPDF=Y")</f>
        <v>—</v>
      </c>
      <c r="D31" s="13" t="str">
        <f>_xll.BDH("RCOM IN Equity","ARD_DEFERRED_TAX_ASSETS_LT","FY 2010","FY 2010","Currency=INR","Period=FY","BEST_FPERIOD_OVERRIDE=FY","FILING_STATUS=MR","EQY_CONSOLIDATED=Y","SCALING_FORMAT=MLN","Sort=A","Dates=H","DateFormat=P","Fill=—","Direction=H","UseDPDF=Y")</f>
        <v>—</v>
      </c>
      <c r="E31" s="13" t="str">
        <f>_xll.BDH("RCOM IN Equity","ARD_DEFERRED_TAX_ASSETS_LT","FY 2011","FY 2011","Currency=INR","Period=FY","BEST_FPERIOD_OVERRIDE=FY","FILING_STATUS=MR","EQY_CONSOLIDATED=Y","SCALING_FORMAT=MLN","Sort=A","Dates=H","DateFormat=P","Fill=—","Direction=H","UseDPDF=Y")</f>
        <v>—</v>
      </c>
      <c r="F31" s="13" t="str">
        <f>_xll.BDH("RCOM IN Equity","ARD_DEFERRED_TAX_ASSETS_LT","FY 2012","FY 2012","Currency=INR","Period=FY","BEST_FPERIOD_OVERRIDE=FY","FILING_STATUS=MR","EQY_CONSOLIDATED=Y","SCALING_FORMAT=MLN","Sort=A","Dates=H","DateFormat=P","Fill=—","Direction=H","UseDPDF=Y")</f>
        <v>—</v>
      </c>
      <c r="G31" s="13" t="str">
        <f>_xll.BDH("RCOM IN Equity","ARD_DEFERRED_TAX_ASSETS_LT","FY 2013","FY 2013","Currency=INR","Period=FY","BEST_FPERIOD_OVERRIDE=FY","FILING_STATUS=MR","EQY_CONSOLIDATED=Y","SCALING_FORMAT=MLN","Sort=A","Dates=H","DateFormat=P","Fill=—","Direction=H","UseDPDF=Y")</f>
        <v>—</v>
      </c>
      <c r="H31" s="13">
        <f>_xll.BDH("RCOM IN Equity","ARD_DEFERRED_TAX_ASSETS_LT","FY 2014","FY 2014","Currency=INR","Period=FY","BEST_FPERIOD_OVERRIDE=FY","FILING_STATUS=MR","EQY_CONSOLIDATED=Y","SCALING_FORMAT=MLN","Sort=A","Dates=H","DateFormat=P","Fill=—","Direction=H","UseDPDF=Y")</f>
        <v>14880</v>
      </c>
      <c r="I31" s="13">
        <f>_xll.BDH("RCOM IN Equity","ARD_DEFERRED_TAX_ASSETS_LT","FY 2015","FY 2015","Currency=INR","Period=FY","BEST_FPERIOD_OVERRIDE=FY","FILING_STATUS=MR","EQY_CONSOLIDATED=Y","SCALING_FORMAT=MLN","Sort=A","Dates=H","DateFormat=P","Fill=—","Direction=H","UseDPDF=Y")</f>
        <v>0</v>
      </c>
      <c r="J31" s="13">
        <f>_xll.BDH("RCOM IN Equity","ARD_DEFERRED_TAX_ASSETS_LT","FY 2016","FY 2016","Currency=INR","Period=FY","BEST_FPERIOD_OVERRIDE=FY","FILING_STATUS=MR","EQY_CONSOLIDATED=Y","SCALING_FORMAT=MLN","Sort=A","Dates=H","DateFormat=P","Fill=—","Direction=H","UseDPDF=Y")</f>
        <v>19280</v>
      </c>
      <c r="K31" s="13">
        <f>_xll.BDH("RCOM IN Equity","ARD_DEFERRED_TAX_ASSETS_LT","FY 2017","FY 2017","Currency=INR","Period=FY","BEST_FPERIOD_OVERRIDE=FY","FILING_STATUS=MR","EQY_CONSOLIDATED=Y","SCALING_FORMAT=MLN","Sort=A","Dates=H","DateFormat=P","Fill=—","Direction=H","UseDPDF=Y")</f>
        <v>36700</v>
      </c>
      <c r="L31" s="13">
        <f>_xll.BDH("RCOM IN Equity","ARD_DEFERRED_TAX_ASSETS_LT","FY 2018","FY 2018","Currency=INR","Period=FY","BEST_FPERIOD_OVERRIDE=FY","FILING_STATUS=MR","EQY_CONSOLIDATED=Y","SCALING_FORMAT=MLN","Sort=A","Dates=H","DateFormat=P","Fill=—","Direction=H","UseDPDF=Y")</f>
        <v>35740</v>
      </c>
    </row>
    <row r="32" spans="1:12">
      <c r="A32" s="10" t="s">
        <v>898</v>
      </c>
      <c r="B32" s="10" t="s">
        <v>899</v>
      </c>
      <c r="C32" s="13" t="str">
        <f>_xll.BDH("RCOM IN Equity","ARD_LONG_TERM_LOANS_OTHER_DEBTOR","FY 2009","FY 2009","Currency=INR","Period=FY","BEST_FPERIOD_OVERRIDE=FY","FILING_STATUS=MR","EQY_CONSOLIDATED=Y","SCALING_FORMAT=MLN","Sort=A","Dates=H","DateFormat=P","Fill=—","Direction=H","UseDPDF=Y")</f>
        <v>—</v>
      </c>
      <c r="D32" s="13" t="str">
        <f>_xll.BDH("RCOM IN Equity","ARD_LONG_TERM_LOANS_OTHER_DEBTOR","FY 2010","FY 2010","Currency=INR","Period=FY","BEST_FPERIOD_OVERRIDE=FY","FILING_STATUS=MR","EQY_CONSOLIDATED=Y","SCALING_FORMAT=MLN","Sort=A","Dates=H","DateFormat=P","Fill=—","Direction=H","UseDPDF=Y")</f>
        <v>—</v>
      </c>
      <c r="E32" s="13">
        <f>_xll.BDH("RCOM IN Equity","ARD_LONG_TERM_LOANS_OTHER_DEBTOR","FY 2011","FY 2011","Currency=INR","Period=FY","BEST_FPERIOD_OVERRIDE=FY","FILING_STATUS=MR","EQY_CONSOLIDATED=Y","SCALING_FORMAT=MLN","Sort=A","Dates=H","DateFormat=P","Fill=—","Direction=H","UseDPDF=Y")</f>
        <v>20590</v>
      </c>
      <c r="F32" s="13">
        <f>_xll.BDH("RCOM IN Equity","ARD_LONG_TERM_LOANS_OTHER_DEBTOR","FY 2012","FY 2012","Currency=INR","Period=FY","BEST_FPERIOD_OVERRIDE=FY","FILING_STATUS=MR","EQY_CONSOLIDATED=Y","SCALING_FORMAT=MLN","Sort=A","Dates=H","DateFormat=P","Fill=—","Direction=H","UseDPDF=Y")</f>
        <v>24820</v>
      </c>
      <c r="G32" s="13">
        <f>_xll.BDH("RCOM IN Equity","ARD_LONG_TERM_LOANS_OTHER_DEBTOR","FY 2013","FY 2013","Currency=INR","Period=FY","BEST_FPERIOD_OVERRIDE=FY","FILING_STATUS=MR","EQY_CONSOLIDATED=Y","SCALING_FORMAT=MLN","Sort=A","Dates=H","DateFormat=P","Fill=—","Direction=H","UseDPDF=Y")</f>
        <v>32100</v>
      </c>
      <c r="H32" s="13">
        <f>_xll.BDH("RCOM IN Equity","ARD_LONG_TERM_LOANS_OTHER_DEBTOR","FY 2014","FY 2014","Currency=INR","Period=FY","BEST_FPERIOD_OVERRIDE=FY","FILING_STATUS=MR","EQY_CONSOLIDATED=Y","SCALING_FORMAT=MLN","Sort=A","Dates=H","DateFormat=P","Fill=—","Direction=H","UseDPDF=Y")</f>
        <v>37010</v>
      </c>
      <c r="I32" s="13">
        <f>_xll.BDH("RCOM IN Equity","ARD_LONG_TERM_LOANS_OTHER_DEBTOR","FY 2015","FY 2015","Currency=INR","Period=FY","BEST_FPERIOD_OVERRIDE=FY","FILING_STATUS=MR","EQY_CONSOLIDATED=Y","SCALING_FORMAT=MLN","Sort=A","Dates=H","DateFormat=P","Fill=—","Direction=H","UseDPDF=Y")</f>
        <v>43690</v>
      </c>
      <c r="J32" s="13" t="str">
        <f>_xll.BDH("RCOM IN Equity","ARD_LONG_TERM_LOANS_OTHER_DEBTOR","FY 2016","FY 2016","Currency=INR","Period=FY","BEST_FPERIOD_OVERRIDE=FY","FILING_STATUS=MR","EQY_CONSOLIDATED=Y","SCALING_FORMAT=MLN","Sort=A","Dates=H","DateFormat=P","Fill=—","Direction=H","UseDPDF=Y")</f>
        <v>—</v>
      </c>
      <c r="K32" s="13" t="str">
        <f>_xll.BDH("RCOM IN Equity","ARD_LONG_TERM_LOANS_OTHER_DEBTOR","FY 2017","FY 2017","Currency=INR","Period=FY","BEST_FPERIOD_OVERRIDE=FY","FILING_STATUS=MR","EQY_CONSOLIDATED=Y","SCALING_FORMAT=MLN","Sort=A","Dates=H","DateFormat=P","Fill=—","Direction=H","UseDPDF=Y")</f>
        <v>—</v>
      </c>
      <c r="L32" s="13" t="str">
        <f>_xll.BDH("RCOM IN Equity","ARD_LONG_TERM_LOANS_OTHER_DEBTOR","FY 2018","FY 2018","Currency=INR","Period=FY","BEST_FPERIOD_OVERRIDE=FY","FILING_STATUS=MR","EQY_CONSOLIDATED=Y","SCALING_FORMAT=MLN","Sort=A","Dates=H","DateFormat=P","Fill=—","Direction=H","UseDPDF=Y")</f>
        <v>—</v>
      </c>
    </row>
    <row r="33" spans="1:12">
      <c r="A33" s="10" t="s">
        <v>900</v>
      </c>
      <c r="B33" s="10" t="s">
        <v>901</v>
      </c>
      <c r="C33" s="13" t="str">
        <f>_xll.BDH("RCOM IN Equity","ARD_CONSTRUCTION_PROGRESS_NET","FY 2009","FY 2009","Currency=INR","Period=FY","BEST_FPERIOD_OVERRIDE=FY","FILING_STATUS=MR","EQY_CONSOLIDATED=Y","SCALING_FORMAT=MLN","Sort=A","Dates=H","DateFormat=P","Fill=—","Direction=H","UseDPDF=Y")</f>
        <v>—</v>
      </c>
      <c r="D33" s="13" t="str">
        <f>_xll.BDH("RCOM IN Equity","ARD_CONSTRUCTION_PROGRESS_NET","FY 2010","FY 2010","Currency=INR","Period=FY","BEST_FPERIOD_OVERRIDE=FY","FILING_STATUS=MR","EQY_CONSOLIDATED=Y","SCALING_FORMAT=MLN","Sort=A","Dates=H","DateFormat=P","Fill=—","Direction=H","UseDPDF=Y")</f>
        <v>—</v>
      </c>
      <c r="E33" s="13" t="str">
        <f>_xll.BDH("RCOM IN Equity","ARD_CONSTRUCTION_PROGRESS_NET","FY 2011","FY 2011","Currency=INR","Period=FY","BEST_FPERIOD_OVERRIDE=FY","FILING_STATUS=MR","EQY_CONSOLIDATED=Y","SCALING_FORMAT=MLN","Sort=A","Dates=H","DateFormat=P","Fill=—","Direction=H","UseDPDF=Y")</f>
        <v>—</v>
      </c>
      <c r="F33" s="13" t="str">
        <f>_xll.BDH("RCOM IN Equity","ARD_CONSTRUCTION_PROGRESS_NET","FY 2012","FY 2012","Currency=INR","Period=FY","BEST_FPERIOD_OVERRIDE=FY","FILING_STATUS=MR","EQY_CONSOLIDATED=Y","SCALING_FORMAT=MLN","Sort=A","Dates=H","DateFormat=P","Fill=—","Direction=H","UseDPDF=Y")</f>
        <v>—</v>
      </c>
      <c r="G33" s="13" t="str">
        <f>_xll.BDH("RCOM IN Equity","ARD_CONSTRUCTION_PROGRESS_NET","FY 2013","FY 2013","Currency=INR","Period=FY","BEST_FPERIOD_OVERRIDE=FY","FILING_STATUS=MR","EQY_CONSOLIDATED=Y","SCALING_FORMAT=MLN","Sort=A","Dates=H","DateFormat=P","Fill=—","Direction=H","UseDPDF=Y")</f>
        <v>—</v>
      </c>
      <c r="H33" s="13">
        <f>_xll.BDH("RCOM IN Equity","ARD_CONSTRUCTION_PROGRESS_NET","FY 2014","FY 2014","Currency=INR","Period=FY","BEST_FPERIOD_OVERRIDE=FY","FILING_STATUS=MR","EQY_CONSOLIDATED=Y","SCALING_FORMAT=MLN","Sort=A","Dates=H","DateFormat=P","Fill=—","Direction=H","UseDPDF=Y")</f>
        <v>31900</v>
      </c>
      <c r="I33" s="13">
        <f>_xll.BDH("RCOM IN Equity","ARD_CONSTRUCTION_PROGRESS_NET","FY 2015","FY 2015","Currency=INR","Period=FY","BEST_FPERIOD_OVERRIDE=FY","FILING_STATUS=MR","EQY_CONSOLIDATED=Y","SCALING_FORMAT=MLN","Sort=A","Dates=H","DateFormat=P","Fill=—","Direction=H","UseDPDF=Y")</f>
        <v>26880</v>
      </c>
      <c r="J33" s="13">
        <f>_xll.BDH("RCOM IN Equity","ARD_CONSTRUCTION_PROGRESS_NET","FY 2016","FY 2016","Currency=INR","Period=FY","BEST_FPERIOD_OVERRIDE=FY","FILING_STATUS=MR","EQY_CONSOLIDATED=Y","SCALING_FORMAT=MLN","Sort=A","Dates=H","DateFormat=P","Fill=—","Direction=H","UseDPDF=Y")</f>
        <v>17540</v>
      </c>
      <c r="K33" s="13">
        <f>_xll.BDH("RCOM IN Equity","ARD_CONSTRUCTION_PROGRESS_NET","FY 2017","FY 2017","Currency=INR","Period=FY","BEST_FPERIOD_OVERRIDE=FY","FILING_STATUS=MR","EQY_CONSOLIDATED=Y","SCALING_FORMAT=MLN","Sort=A","Dates=H","DateFormat=P","Fill=—","Direction=H","UseDPDF=Y")</f>
        <v>19090</v>
      </c>
      <c r="L33" s="13">
        <f>_xll.BDH("RCOM IN Equity","ARD_CONSTRUCTION_PROGRESS_NET","FY 2018","FY 2018","Currency=INR","Period=FY","BEST_FPERIOD_OVERRIDE=FY","FILING_STATUS=MR","EQY_CONSOLIDATED=Y","SCALING_FORMAT=MLN","Sort=A","Dates=H","DateFormat=P","Fill=—","Direction=H","UseDPDF=Y")</f>
        <v>2650</v>
      </c>
    </row>
    <row r="34" spans="1:12">
      <c r="A34" s="10" t="s">
        <v>902</v>
      </c>
      <c r="B34" s="10" t="s">
        <v>903</v>
      </c>
      <c r="C34" s="13" t="str">
        <f>_xll.BDH("RCOM IN Equity","ARD_EQY_INVEST_ASSOC_AFFILIATES","FY 2009","FY 2009","Currency=INR","Period=FY","BEST_FPERIOD_OVERRIDE=FY","FILING_STATUS=MR","EQY_CONSOLIDATED=Y","SCALING_FORMAT=MLN","Sort=A","Dates=H","DateFormat=P","Fill=—","Direction=H","UseDPDF=Y")</f>
        <v>—</v>
      </c>
      <c r="D34" s="13" t="str">
        <f>_xll.BDH("RCOM IN Equity","ARD_EQY_INVEST_ASSOC_AFFILIATES","FY 2010","FY 2010","Currency=INR","Period=FY","BEST_FPERIOD_OVERRIDE=FY","FILING_STATUS=MR","EQY_CONSOLIDATED=Y","SCALING_FORMAT=MLN","Sort=A","Dates=H","DateFormat=P","Fill=—","Direction=H","UseDPDF=Y")</f>
        <v>—</v>
      </c>
      <c r="E34" s="13" t="str">
        <f>_xll.BDH("RCOM IN Equity","ARD_EQY_INVEST_ASSOC_AFFILIATES","FY 2011","FY 2011","Currency=INR","Period=FY","BEST_FPERIOD_OVERRIDE=FY","FILING_STATUS=MR","EQY_CONSOLIDATED=Y","SCALING_FORMAT=MLN","Sort=A","Dates=H","DateFormat=P","Fill=—","Direction=H","UseDPDF=Y")</f>
        <v>—</v>
      </c>
      <c r="F34" s="13" t="str">
        <f>_xll.BDH("RCOM IN Equity","ARD_EQY_INVEST_ASSOC_AFFILIATES","FY 2012","FY 2012","Currency=INR","Period=FY","BEST_FPERIOD_OVERRIDE=FY","FILING_STATUS=MR","EQY_CONSOLIDATED=Y","SCALING_FORMAT=MLN","Sort=A","Dates=H","DateFormat=P","Fill=—","Direction=H","UseDPDF=Y")</f>
        <v>—</v>
      </c>
      <c r="G34" s="13" t="str">
        <f>_xll.BDH("RCOM IN Equity","ARD_EQY_INVEST_ASSOC_AFFILIATES","FY 2013","FY 2013","Currency=INR","Period=FY","BEST_FPERIOD_OVERRIDE=FY","FILING_STATUS=MR","EQY_CONSOLIDATED=Y","SCALING_FORMAT=MLN","Sort=A","Dates=H","DateFormat=P","Fill=—","Direction=H","UseDPDF=Y")</f>
        <v>—</v>
      </c>
      <c r="H34" s="13" t="str">
        <f>_xll.BDH("RCOM IN Equity","ARD_EQY_INVEST_ASSOC_AFFILIATES","FY 2014","FY 2014","Currency=INR","Period=FY","BEST_FPERIOD_OVERRIDE=FY","FILING_STATUS=MR","EQY_CONSOLIDATED=Y","SCALING_FORMAT=MLN","Sort=A","Dates=H","DateFormat=P","Fill=—","Direction=H","UseDPDF=Y")</f>
        <v>—</v>
      </c>
      <c r="I34" s="13" t="str">
        <f>_xll.BDH("RCOM IN Equity","ARD_EQY_INVEST_ASSOC_AFFILIATES","FY 2015","FY 2015","Currency=INR","Period=FY","BEST_FPERIOD_OVERRIDE=FY","FILING_STATUS=MR","EQY_CONSOLIDATED=Y","SCALING_FORMAT=MLN","Sort=A","Dates=H","DateFormat=P","Fill=—","Direction=H","UseDPDF=Y")</f>
        <v>—</v>
      </c>
      <c r="J34" s="13">
        <f>_xll.BDH("RCOM IN Equity","ARD_EQY_INVEST_ASSOC_AFFILIATES","FY 2016","FY 2016","Currency=INR","Period=FY","BEST_FPERIOD_OVERRIDE=FY","FILING_STATUS=MR","EQY_CONSOLIDATED=Y","SCALING_FORMAT=MLN","Sort=A","Dates=H","DateFormat=P","Fill=—","Direction=H","UseDPDF=Y")</f>
        <v>180</v>
      </c>
      <c r="K34" s="13">
        <f>_xll.BDH("RCOM IN Equity","ARD_EQY_INVEST_ASSOC_AFFILIATES","FY 2017","FY 2017","Currency=INR","Period=FY","BEST_FPERIOD_OVERRIDE=FY","FILING_STATUS=MR","EQY_CONSOLIDATED=Y","SCALING_FORMAT=MLN","Sort=A","Dates=H","DateFormat=P","Fill=—","Direction=H","UseDPDF=Y")</f>
        <v>210</v>
      </c>
      <c r="L34" s="13" t="str">
        <f>_xll.BDH("RCOM IN Equity","ARD_EQY_INVEST_ASSOC_AFFILIATES","FY 2018","FY 2018","Currency=INR","Period=FY","BEST_FPERIOD_OVERRIDE=FY","FILING_STATUS=MR","EQY_CONSOLIDATED=Y","SCALING_FORMAT=MLN","Sort=A","Dates=H","DateFormat=P","Fill=—","Direction=H","UseDPDF=Y")</f>
        <v>—</v>
      </c>
    </row>
    <row r="35" spans="1:12">
      <c r="A35" s="10" t="s">
        <v>904</v>
      </c>
      <c r="B35" s="10" t="s">
        <v>905</v>
      </c>
      <c r="C35" s="13" t="str">
        <f>_xll.BDH("RCOM IN Equity","ARD_INTANG_ASSETS_EXCL_GOODWILL","FY 2009","FY 2009","Currency=INR","Period=FY","BEST_FPERIOD_OVERRIDE=FY","FILING_STATUS=MR","EQY_CONSOLIDATED=Y","SCALING_FORMAT=MLN","Sort=A","Dates=H","DateFormat=P","Fill=—","Direction=H","UseDPDF=Y")</f>
        <v>—</v>
      </c>
      <c r="D35" s="13" t="str">
        <f>_xll.BDH("RCOM IN Equity","ARD_INTANG_ASSETS_EXCL_GOODWILL","FY 2010","FY 2010","Currency=INR","Period=FY","BEST_FPERIOD_OVERRIDE=FY","FILING_STATUS=MR","EQY_CONSOLIDATED=Y","SCALING_FORMAT=MLN","Sort=A","Dates=H","DateFormat=P","Fill=—","Direction=H","UseDPDF=Y")</f>
        <v>—</v>
      </c>
      <c r="E35" s="13">
        <f>_xll.BDH("RCOM IN Equity","ARD_INTANG_ASSETS_EXCL_GOODWILL","FY 2011","FY 2011","Currency=INR","Period=FY","BEST_FPERIOD_OVERRIDE=FY","FILING_STATUS=MR","EQY_CONSOLIDATED=Y","SCALING_FORMAT=MLN","Sort=A","Dates=H","DateFormat=P","Fill=—","Direction=H","UseDPDF=Y")</f>
        <v>154640</v>
      </c>
      <c r="F35" s="13">
        <f>_xll.BDH("RCOM IN Equity","ARD_INTANG_ASSETS_EXCL_GOODWILL","FY 2012","FY 2012","Currency=INR","Period=FY","BEST_FPERIOD_OVERRIDE=FY","FILING_STATUS=MR","EQY_CONSOLIDATED=Y","SCALING_FORMAT=MLN","Sort=A","Dates=H","DateFormat=P","Fill=—","Direction=H","UseDPDF=Y")</f>
        <v>229010</v>
      </c>
      <c r="G35" s="13">
        <f>_xll.BDH("RCOM IN Equity","ARD_INTANG_ASSETS_EXCL_GOODWILL","FY 2013","FY 2013","Currency=INR","Period=FY","BEST_FPERIOD_OVERRIDE=FY","FILING_STATUS=MR","EQY_CONSOLIDATED=Y","SCALING_FORMAT=MLN","Sort=A","Dates=H","DateFormat=P","Fill=—","Direction=H","UseDPDF=Y")</f>
        <v>210490</v>
      </c>
      <c r="H35" s="13">
        <f>_xll.BDH("RCOM IN Equity","ARD_INTANG_ASSETS_EXCL_GOODWILL","FY 2014","FY 2014","Currency=INR","Period=FY","BEST_FPERIOD_OVERRIDE=FY","FILING_STATUS=MR","EQY_CONSOLIDATED=Y","SCALING_FORMAT=MLN","Sort=A","Dates=H","DateFormat=P","Fill=—","Direction=H","UseDPDF=Y")</f>
        <v>193190</v>
      </c>
      <c r="I35" s="13">
        <f>_xll.BDH("RCOM IN Equity","ARD_INTANG_ASSETS_EXCL_GOODWILL","FY 2015","FY 2015","Currency=INR","Period=FY","BEST_FPERIOD_OVERRIDE=FY","FILING_STATUS=MR","EQY_CONSOLIDATED=Y","SCALING_FORMAT=MLN","Sort=A","Dates=H","DateFormat=P","Fill=—","Direction=H","UseDPDF=Y")</f>
        <v>170240</v>
      </c>
      <c r="J35" s="13">
        <f>_xll.BDH("RCOM IN Equity","ARD_INTANG_ASSETS_EXCL_GOODWILL","FY 2016","FY 2016","Currency=INR","Period=FY","BEST_FPERIOD_OVERRIDE=FY","FILING_STATUS=MR","EQY_CONSOLIDATED=Y","SCALING_FORMAT=MLN","Sort=A","Dates=H","DateFormat=P","Fill=—","Direction=H","UseDPDF=Y")</f>
        <v>234730</v>
      </c>
      <c r="K35" s="13">
        <f>_xll.BDH("RCOM IN Equity","ARD_INTANG_ASSETS_EXCL_GOODWILL","FY 2017","FY 2017","Currency=INR","Period=FY","BEST_FPERIOD_OVERRIDE=FY","FILING_STATUS=MR","EQY_CONSOLIDATED=Y","SCALING_FORMAT=MLN","Sort=A","Dates=H","DateFormat=P","Fill=—","Direction=H","UseDPDF=Y")</f>
        <v>184750</v>
      </c>
      <c r="L35" s="13">
        <f>_xll.BDH("RCOM IN Equity","ARD_INTANG_ASSETS_EXCL_GOODWILL","FY 2018","FY 2018","Currency=INR","Period=FY","BEST_FPERIOD_OVERRIDE=FY","FILING_STATUS=MR","EQY_CONSOLIDATED=Y","SCALING_FORMAT=MLN","Sort=A","Dates=H","DateFormat=P","Fill=—","Direction=H","UseDPDF=Y")</f>
        <v>7890</v>
      </c>
    </row>
    <row r="36" spans="1:12">
      <c r="A36" s="10" t="s">
        <v>906</v>
      </c>
      <c r="B36" s="10" t="s">
        <v>907</v>
      </c>
      <c r="C36" s="13" t="str">
        <f>_xll.BDH("RCOM IN Equity","ARD_OTHER_FINANCIAL_ASSETS_LT","FY 2009","FY 2009","Currency=INR","Period=FY","BEST_FPERIOD_OVERRIDE=FY","FILING_STATUS=MR","EQY_CONSOLIDATED=Y","SCALING_FORMAT=MLN","Sort=A","Dates=H","DateFormat=P","Fill=—","Direction=H","UseDPDF=Y")</f>
        <v>—</v>
      </c>
      <c r="D36" s="13" t="str">
        <f>_xll.BDH("RCOM IN Equity","ARD_OTHER_FINANCIAL_ASSETS_LT","FY 2010","FY 2010","Currency=INR","Period=FY","BEST_FPERIOD_OVERRIDE=FY","FILING_STATUS=MR","EQY_CONSOLIDATED=Y","SCALING_FORMAT=MLN","Sort=A","Dates=H","DateFormat=P","Fill=—","Direction=H","UseDPDF=Y")</f>
        <v>—</v>
      </c>
      <c r="E36" s="13" t="str">
        <f>_xll.BDH("RCOM IN Equity","ARD_OTHER_FINANCIAL_ASSETS_LT","FY 2011","FY 2011","Currency=INR","Period=FY","BEST_FPERIOD_OVERRIDE=FY","FILING_STATUS=MR","EQY_CONSOLIDATED=Y","SCALING_FORMAT=MLN","Sort=A","Dates=H","DateFormat=P","Fill=—","Direction=H","UseDPDF=Y")</f>
        <v>—</v>
      </c>
      <c r="F36" s="13" t="str">
        <f>_xll.BDH("RCOM IN Equity","ARD_OTHER_FINANCIAL_ASSETS_LT","FY 2012","FY 2012","Currency=INR","Period=FY","BEST_FPERIOD_OVERRIDE=FY","FILING_STATUS=MR","EQY_CONSOLIDATED=Y","SCALING_FORMAT=MLN","Sort=A","Dates=H","DateFormat=P","Fill=—","Direction=H","UseDPDF=Y")</f>
        <v>—</v>
      </c>
      <c r="G36" s="13" t="str">
        <f>_xll.BDH("RCOM IN Equity","ARD_OTHER_FINANCIAL_ASSETS_LT","FY 2013","FY 2013","Currency=INR","Period=FY","BEST_FPERIOD_OVERRIDE=FY","FILING_STATUS=MR","EQY_CONSOLIDATED=Y","SCALING_FORMAT=MLN","Sort=A","Dates=H","DateFormat=P","Fill=—","Direction=H","UseDPDF=Y")</f>
        <v>—</v>
      </c>
      <c r="H36" s="13" t="str">
        <f>_xll.BDH("RCOM IN Equity","ARD_OTHER_FINANCIAL_ASSETS_LT","FY 2014","FY 2014","Currency=INR","Period=FY","BEST_FPERIOD_OVERRIDE=FY","FILING_STATUS=MR","EQY_CONSOLIDATED=Y","SCALING_FORMAT=MLN","Sort=A","Dates=H","DateFormat=P","Fill=—","Direction=H","UseDPDF=Y")</f>
        <v>—</v>
      </c>
      <c r="I36" s="13" t="str">
        <f>_xll.BDH("RCOM IN Equity","ARD_OTHER_FINANCIAL_ASSETS_LT","FY 2015","FY 2015","Currency=INR","Period=FY","BEST_FPERIOD_OVERRIDE=FY","FILING_STATUS=MR","EQY_CONSOLIDATED=Y","SCALING_FORMAT=MLN","Sort=A","Dates=H","DateFormat=P","Fill=—","Direction=H","UseDPDF=Y")</f>
        <v>—</v>
      </c>
      <c r="J36" s="13">
        <f>_xll.BDH("RCOM IN Equity","ARD_OTHER_FINANCIAL_ASSETS_LT","FY 2016","FY 2016","Currency=INR","Period=FY","BEST_FPERIOD_OVERRIDE=FY","FILING_STATUS=MR","EQY_CONSOLIDATED=Y","SCALING_FORMAT=MLN","Sort=A","Dates=H","DateFormat=P","Fill=—","Direction=H","UseDPDF=Y")</f>
        <v>1770</v>
      </c>
      <c r="K36" s="13">
        <f>_xll.BDH("RCOM IN Equity","ARD_OTHER_FINANCIAL_ASSETS_LT","FY 2017","FY 2017","Currency=INR","Period=FY","BEST_FPERIOD_OVERRIDE=FY","FILING_STATUS=MR","EQY_CONSOLIDATED=Y","SCALING_FORMAT=MLN","Sort=A","Dates=H","DateFormat=P","Fill=—","Direction=H","UseDPDF=Y")</f>
        <v>2460</v>
      </c>
      <c r="L36" s="13">
        <f>_xll.BDH("RCOM IN Equity","ARD_OTHER_FINANCIAL_ASSETS_LT","FY 2018","FY 2018","Currency=INR","Period=FY","BEST_FPERIOD_OVERRIDE=FY","FILING_STATUS=MR","EQY_CONSOLIDATED=Y","SCALING_FORMAT=MLN","Sort=A","Dates=H","DateFormat=P","Fill=—","Direction=H","UseDPDF=Y")</f>
        <v>1730</v>
      </c>
    </row>
    <row r="37" spans="1:12">
      <c r="A37" s="10" t="s">
        <v>908</v>
      </c>
      <c r="B37" s="10" t="s">
        <v>909</v>
      </c>
      <c r="C37" s="13">
        <f>_xll.BDH("RCOM IN Equity","ARD_TOTAL_FIXED_ASSETS","FY 2009","FY 2009","Currency=INR","Period=FY","BEST_FPERIOD_OVERRIDE=FY","FILING_STATUS=MR","EQY_CONSOLIDATED=Y","SCALING_FORMAT=MLN","Sort=A","Dates=H","DateFormat=P","Fill=—","Direction=H","UseDPDF=Y")</f>
        <v>727052.9</v>
      </c>
      <c r="D37" s="13">
        <f>_xll.BDH("RCOM IN Equity","ARD_TOTAL_FIXED_ASSETS","FY 2010","FY 2010","Currency=INR","Period=FY","BEST_FPERIOD_OVERRIDE=FY","FILING_STATUS=MR","EQY_CONSOLIDATED=Y","SCALING_FORMAT=MLN","Sort=A","Dates=H","DateFormat=P","Fill=—","Direction=H","UseDPDF=Y")</f>
        <v>712538.9</v>
      </c>
      <c r="E37" s="13">
        <f>_xll.BDH("RCOM IN Equity","ARD_TOTAL_FIXED_ASSETS","FY 2011","FY 2011","Currency=INR","Period=FY","BEST_FPERIOD_OVERRIDE=FY","FILING_STATUS=MR","EQY_CONSOLIDATED=Y","SCALING_FORMAT=MLN","Sort=A","Dates=H","DateFormat=P","Fill=—","Direction=H","UseDPDF=Y")</f>
        <v>558870</v>
      </c>
      <c r="F37" s="13">
        <f>_xll.BDH("RCOM IN Equity","ARD_TOTAL_FIXED_ASSETS","FY 2012","FY 2012","Currency=INR","Period=FY","BEST_FPERIOD_OVERRIDE=FY","FILING_STATUS=MR","EQY_CONSOLIDATED=Y","SCALING_FORMAT=MLN","Sort=A","Dates=H","DateFormat=P","Fill=—","Direction=H","UseDPDF=Y")</f>
        <v>485770</v>
      </c>
      <c r="G37" s="13">
        <f>_xll.BDH("RCOM IN Equity","ARD_TOTAL_FIXED_ASSETS","FY 2013","FY 2013","Currency=INR","Period=FY","BEST_FPERIOD_OVERRIDE=FY","FILING_STATUS=MR","EQY_CONSOLIDATED=Y","SCALING_FORMAT=MLN","Sort=A","Dates=H","DateFormat=P","Fill=—","Direction=H","UseDPDF=Y")</f>
        <v>482030</v>
      </c>
      <c r="H37" s="13" t="str">
        <f>_xll.BDH("RCOM IN Equity","ARD_TOTAL_FIXED_ASSETS","FY 2014","FY 2014","Currency=INR","Period=FY","BEST_FPERIOD_OVERRIDE=FY","FILING_STATUS=MR","EQY_CONSOLIDATED=Y","SCALING_FORMAT=MLN","Sort=A","Dates=H","DateFormat=P","Fill=—","Direction=H","UseDPDF=Y")</f>
        <v>—</v>
      </c>
      <c r="I37" s="13" t="str">
        <f>_xll.BDH("RCOM IN Equity","ARD_TOTAL_FIXED_ASSETS","FY 2015","FY 2015","Currency=INR","Period=FY","BEST_FPERIOD_OVERRIDE=FY","FILING_STATUS=MR","EQY_CONSOLIDATED=Y","SCALING_FORMAT=MLN","Sort=A","Dates=H","DateFormat=P","Fill=—","Direction=H","UseDPDF=Y")</f>
        <v>—</v>
      </c>
      <c r="J37" s="13" t="str">
        <f>_xll.BDH("RCOM IN Equity","ARD_TOTAL_FIXED_ASSETS","FY 2016","FY 2016","Currency=INR","Period=FY","BEST_FPERIOD_OVERRIDE=FY","FILING_STATUS=MR","EQY_CONSOLIDATED=Y","SCALING_FORMAT=MLN","Sort=A","Dates=H","DateFormat=P","Fill=—","Direction=H","UseDPDF=Y")</f>
        <v>—</v>
      </c>
      <c r="K37" s="13" t="str">
        <f>_xll.BDH("RCOM IN Equity","ARD_TOTAL_FIXED_ASSETS","FY 2017","FY 2017","Currency=INR","Period=FY","BEST_FPERIOD_OVERRIDE=FY","FILING_STATUS=MR","EQY_CONSOLIDATED=Y","SCALING_FORMAT=MLN","Sort=A","Dates=H","DateFormat=P","Fill=—","Direction=H","UseDPDF=Y")</f>
        <v>—</v>
      </c>
      <c r="L37" s="13" t="str">
        <f>_xll.BDH("RCOM IN Equity","ARD_TOTAL_FIXED_ASSETS","FY 2018","FY 2018","Currency=INR","Period=FY","BEST_FPERIOD_OVERRIDE=FY","FILING_STATUS=MR","EQY_CONSOLIDATED=Y","SCALING_FORMAT=MLN","Sort=A","Dates=H","DateFormat=P","Fill=—","Direction=H","UseDPDF=Y")</f>
        <v>—</v>
      </c>
    </row>
    <row r="38" spans="1:12">
      <c r="A38" s="10" t="s">
        <v>910</v>
      </c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2">
      <c r="A39" s="10" t="s">
        <v>74</v>
      </c>
      <c r="B39" s="10" t="s">
        <v>911</v>
      </c>
      <c r="C39" s="13">
        <f>_xll.BDH("RCOM IN Equity","ARD_CASH_AND_EQUIVALENTS","FY 2009","FY 2009","Currency=INR","Period=FY","BEST_FPERIOD_OVERRIDE=FY","FILING_STATUS=MR","EQY_CONSOLIDATED=Y","SCALING_FORMAT=MLN","Sort=A","Dates=H","DateFormat=P","Fill=—","Direction=H","UseDPDF=Y")</f>
        <v>16829</v>
      </c>
      <c r="D39" s="13">
        <f>_xll.BDH("RCOM IN Equity","ARD_CASH_AND_EQUIVALENTS","FY 2010","FY 2010","Currency=INR","Period=FY","BEST_FPERIOD_OVERRIDE=FY","FILING_STATUS=MR","EQY_CONSOLIDATED=Y","SCALING_FORMAT=MLN","Sort=A","Dates=H","DateFormat=P","Fill=—","Direction=H","UseDPDF=Y")</f>
        <v>8185.4</v>
      </c>
      <c r="E39" s="13">
        <f>_xll.BDH("RCOM IN Equity","ARD_CASH_AND_EQUIVALENTS","FY 2011","FY 2011","Currency=INR","Period=FY","BEST_FPERIOD_OVERRIDE=FY","FILING_STATUS=MR","EQY_CONSOLIDATED=Y","SCALING_FORMAT=MLN","Sort=A","Dates=H","DateFormat=P","Fill=—","Direction=H","UseDPDF=Y")</f>
        <v>48660</v>
      </c>
      <c r="F39" s="13">
        <f>_xll.BDH("RCOM IN Equity","ARD_CASH_AND_EQUIVALENTS","FY 2012","FY 2012","Currency=INR","Period=FY","BEST_FPERIOD_OVERRIDE=FY","FILING_STATUS=MR","EQY_CONSOLIDATED=Y","SCALING_FORMAT=MLN","Sort=A","Dates=H","DateFormat=P","Fill=—","Direction=H","UseDPDF=Y")</f>
        <v>5500</v>
      </c>
      <c r="G39" s="13">
        <f>_xll.BDH("RCOM IN Equity","ARD_CASH_AND_EQUIVALENTS","FY 2013","FY 2013","Currency=INR","Period=FY","BEST_FPERIOD_OVERRIDE=FY","FILING_STATUS=MR","EQY_CONSOLIDATED=Y","SCALING_FORMAT=MLN","Sort=A","Dates=H","DateFormat=P","Fill=—","Direction=H","UseDPDF=Y")</f>
        <v>7310</v>
      </c>
      <c r="H39" s="13">
        <f>_xll.BDH("RCOM IN Equity","ARD_CASH_AND_EQUIVALENTS","FY 2014","FY 2014","Currency=INR","Period=FY","BEST_FPERIOD_OVERRIDE=FY","FILING_STATUS=MR","EQY_CONSOLIDATED=Y","SCALING_FORMAT=MLN","Sort=A","Dates=H","DateFormat=P","Fill=—","Direction=H","UseDPDF=Y")</f>
        <v>5040</v>
      </c>
      <c r="I39" s="13">
        <f>_xll.BDH("RCOM IN Equity","ARD_CASH_AND_EQUIVALENTS","FY 2015","FY 2015","Currency=INR","Period=FY","BEST_FPERIOD_OVERRIDE=FY","FILING_STATUS=MR","EQY_CONSOLIDATED=Y","SCALING_FORMAT=MLN","Sort=A","Dates=H","DateFormat=P","Fill=—","Direction=H","UseDPDF=Y")</f>
        <v>14080</v>
      </c>
      <c r="J39" s="13">
        <f>_xll.BDH("RCOM IN Equity","ARD_CASH_AND_EQUIVALENTS","FY 2016","FY 2016","Currency=INR","Period=FY","BEST_FPERIOD_OVERRIDE=FY","FILING_STATUS=MR","EQY_CONSOLIDATED=Y","SCALING_FORMAT=MLN","Sort=A","Dates=H","DateFormat=P","Fill=—","Direction=H","UseDPDF=Y")</f>
        <v>15240</v>
      </c>
      <c r="K39" s="13">
        <f>_xll.BDH("RCOM IN Equity","ARD_CASH_AND_EQUIVALENTS","FY 2017","FY 2017","Currency=INR","Period=FY","BEST_FPERIOD_OVERRIDE=FY","FILING_STATUS=MR","EQY_CONSOLIDATED=Y","SCALING_FORMAT=MLN","Sort=A","Dates=H","DateFormat=P","Fill=—","Direction=H","UseDPDF=Y")</f>
        <v>13190</v>
      </c>
      <c r="L39" s="13">
        <f>_xll.BDH("RCOM IN Equity","ARD_CASH_AND_EQUIVALENTS","FY 2018","FY 2018","Currency=INR","Period=FY","BEST_FPERIOD_OVERRIDE=FY","FILING_STATUS=MR","EQY_CONSOLIDATED=Y","SCALING_FORMAT=MLN","Sort=A","Dates=H","DateFormat=P","Fill=—","Direction=H","UseDPDF=Y")</f>
        <v>7400</v>
      </c>
    </row>
    <row r="40" spans="1:12">
      <c r="A40" s="10" t="s">
        <v>912</v>
      </c>
      <c r="B40" s="10" t="s">
        <v>913</v>
      </c>
      <c r="C40" s="13" t="str">
        <f>_xll.BDH("RCOM IN Equity","ARD_ACCTS_RECEIVABLE_TRADE","FY 2009","FY 2009","Currency=INR","Period=FY","BEST_FPERIOD_OVERRIDE=FY","FILING_STATUS=MR","EQY_CONSOLIDATED=Y","SCALING_FORMAT=MLN","Sort=A","Dates=H","DateFormat=P","Fill=—","Direction=H","UseDPDF=Y")</f>
        <v>—</v>
      </c>
      <c r="D40" s="13" t="str">
        <f>_xll.BDH("RCOM IN Equity","ARD_ACCTS_RECEIVABLE_TRADE","FY 2010","FY 2010","Currency=INR","Period=FY","BEST_FPERIOD_OVERRIDE=FY","FILING_STATUS=MR","EQY_CONSOLIDATED=Y","SCALING_FORMAT=MLN","Sort=A","Dates=H","DateFormat=P","Fill=—","Direction=H","UseDPDF=Y")</f>
        <v>—</v>
      </c>
      <c r="E40" s="13" t="str">
        <f>_xll.BDH("RCOM IN Equity","ARD_ACCTS_RECEIVABLE_TRADE","FY 2011","FY 2011","Currency=INR","Period=FY","BEST_FPERIOD_OVERRIDE=FY","FILING_STATUS=MR","EQY_CONSOLIDATED=Y","SCALING_FORMAT=MLN","Sort=A","Dates=H","DateFormat=P","Fill=—","Direction=H","UseDPDF=Y")</f>
        <v>—</v>
      </c>
      <c r="F40" s="13" t="str">
        <f>_xll.BDH("RCOM IN Equity","ARD_ACCTS_RECEIVABLE_TRADE","FY 2012","FY 2012","Currency=INR","Period=FY","BEST_FPERIOD_OVERRIDE=FY","FILING_STATUS=MR","EQY_CONSOLIDATED=Y","SCALING_FORMAT=MLN","Sort=A","Dates=H","DateFormat=P","Fill=—","Direction=H","UseDPDF=Y")</f>
        <v>—</v>
      </c>
      <c r="G40" s="13" t="str">
        <f>_xll.BDH("RCOM IN Equity","ARD_ACCTS_RECEIVABLE_TRADE","FY 2013","FY 2013","Currency=INR","Period=FY","BEST_FPERIOD_OVERRIDE=FY","FILING_STATUS=MR","EQY_CONSOLIDATED=Y","SCALING_FORMAT=MLN","Sort=A","Dates=H","DateFormat=P","Fill=—","Direction=H","UseDPDF=Y")</f>
        <v>—</v>
      </c>
      <c r="H40" s="13" t="str">
        <f>_xll.BDH("RCOM IN Equity","ARD_ACCTS_RECEIVABLE_TRADE","FY 2014","FY 2014","Currency=INR","Period=FY","BEST_FPERIOD_OVERRIDE=FY","FILING_STATUS=MR","EQY_CONSOLIDATED=Y","SCALING_FORMAT=MLN","Sort=A","Dates=H","DateFormat=P","Fill=—","Direction=H","UseDPDF=Y")</f>
        <v>—</v>
      </c>
      <c r="I40" s="13" t="str">
        <f>_xll.BDH("RCOM IN Equity","ARD_ACCTS_RECEIVABLE_TRADE","FY 2015","FY 2015","Currency=INR","Period=FY","BEST_FPERIOD_OVERRIDE=FY","FILING_STATUS=MR","EQY_CONSOLIDATED=Y","SCALING_FORMAT=MLN","Sort=A","Dates=H","DateFormat=P","Fill=—","Direction=H","UseDPDF=Y")</f>
        <v>—</v>
      </c>
      <c r="J40" s="13">
        <f>_xll.BDH("RCOM IN Equity","ARD_ACCTS_RECEIVABLE_TRADE","FY 2016","FY 2016","Currency=INR","Period=FY","BEST_FPERIOD_OVERRIDE=FY","FILING_STATUS=MR","EQY_CONSOLIDATED=Y","SCALING_FORMAT=MLN","Sort=A","Dates=H","DateFormat=P","Fill=—","Direction=H","UseDPDF=Y")</f>
        <v>29810</v>
      </c>
      <c r="K40" s="13">
        <f>_xll.BDH("RCOM IN Equity","ARD_ACCTS_RECEIVABLE_TRADE","FY 2017","FY 2017","Currency=INR","Period=FY","BEST_FPERIOD_OVERRIDE=FY","FILING_STATUS=MR","EQY_CONSOLIDATED=Y","SCALING_FORMAT=MLN","Sort=A","Dates=H","DateFormat=P","Fill=—","Direction=H","UseDPDF=Y")</f>
        <v>32510</v>
      </c>
      <c r="L40" s="13">
        <f>_xll.BDH("RCOM IN Equity","ARD_ACCTS_RECEIVABLE_TRADE","FY 2018","FY 2018","Currency=INR","Period=FY","BEST_FPERIOD_OVERRIDE=FY","FILING_STATUS=MR","EQY_CONSOLIDATED=Y","SCALING_FORMAT=MLN","Sort=A","Dates=H","DateFormat=P","Fill=—","Direction=H","UseDPDF=Y")</f>
        <v>21330</v>
      </c>
    </row>
    <row r="41" spans="1:12">
      <c r="A41" s="10" t="s">
        <v>914</v>
      </c>
      <c r="B41" s="10" t="s">
        <v>915</v>
      </c>
      <c r="C41" s="13">
        <f>_xll.BDH("RCOM IN Equity","ARD_INVENTORY","FY 2009","FY 2009","Currency=INR","Period=FY","BEST_FPERIOD_OVERRIDE=FY","FILING_STATUS=MR","EQY_CONSOLIDATED=Y","SCALING_FORMAT=MLN","Sort=A","Dates=H","DateFormat=P","Fill=—","Direction=H","UseDPDF=Y")</f>
        <v>5427.2</v>
      </c>
      <c r="D41" s="13">
        <f>_xll.BDH("RCOM IN Equity","ARD_INVENTORY","FY 2010","FY 2010","Currency=INR","Period=FY","BEST_FPERIOD_OVERRIDE=FY","FILING_STATUS=MR","EQY_CONSOLIDATED=Y","SCALING_FORMAT=MLN","Sort=A","Dates=H","DateFormat=P","Fill=—","Direction=H","UseDPDF=Y")</f>
        <v>5446.3</v>
      </c>
      <c r="E41" s="13">
        <f>_xll.BDH("RCOM IN Equity","ARD_INVENTORY","FY 2011","FY 2011","Currency=INR","Period=FY","BEST_FPERIOD_OVERRIDE=FY","FILING_STATUS=MR","EQY_CONSOLIDATED=Y","SCALING_FORMAT=MLN","Sort=A","Dates=H","DateFormat=P","Fill=—","Direction=H","UseDPDF=Y")</f>
        <v>5170</v>
      </c>
      <c r="F41" s="13">
        <f>_xll.BDH("RCOM IN Equity","ARD_INVENTORY","FY 2012","FY 2012","Currency=INR","Period=FY","BEST_FPERIOD_OVERRIDE=FY","FILING_STATUS=MR","EQY_CONSOLIDATED=Y","SCALING_FORMAT=MLN","Sort=A","Dates=H","DateFormat=P","Fill=—","Direction=H","UseDPDF=Y")</f>
        <v>5660</v>
      </c>
      <c r="G41" s="13">
        <f>_xll.BDH("RCOM IN Equity","ARD_INVENTORY","FY 2013","FY 2013","Currency=INR","Period=FY","BEST_FPERIOD_OVERRIDE=FY","FILING_STATUS=MR","EQY_CONSOLIDATED=Y","SCALING_FORMAT=MLN","Sort=A","Dates=H","DateFormat=P","Fill=—","Direction=H","UseDPDF=Y")</f>
        <v>4970</v>
      </c>
      <c r="H41" s="13">
        <f>_xll.BDH("RCOM IN Equity","ARD_INVENTORY","FY 2014","FY 2014","Currency=INR","Period=FY","BEST_FPERIOD_OVERRIDE=FY","FILING_STATUS=MR","EQY_CONSOLIDATED=Y","SCALING_FORMAT=MLN","Sort=A","Dates=H","DateFormat=P","Fill=—","Direction=H","UseDPDF=Y")</f>
        <v>4150</v>
      </c>
      <c r="I41" s="13">
        <f>_xll.BDH("RCOM IN Equity","ARD_INVENTORY","FY 2015","FY 2015","Currency=INR","Period=FY","BEST_FPERIOD_OVERRIDE=FY","FILING_STATUS=MR","EQY_CONSOLIDATED=Y","SCALING_FORMAT=MLN","Sort=A","Dates=H","DateFormat=P","Fill=—","Direction=H","UseDPDF=Y")</f>
        <v>4010</v>
      </c>
      <c r="J41" s="13">
        <f>_xll.BDH("RCOM IN Equity","ARD_INVENTORY","FY 2016","FY 2016","Currency=INR","Period=FY","BEST_FPERIOD_OVERRIDE=FY","FILING_STATUS=MR","EQY_CONSOLIDATED=Y","SCALING_FORMAT=MLN","Sort=A","Dates=H","DateFormat=P","Fill=—","Direction=H","UseDPDF=Y")</f>
        <v>2080</v>
      </c>
      <c r="K41" s="13">
        <f>_xll.BDH("RCOM IN Equity","ARD_INVENTORY","FY 2017","FY 2017","Currency=INR","Period=FY","BEST_FPERIOD_OVERRIDE=FY","FILING_STATUS=MR","EQY_CONSOLIDATED=Y","SCALING_FORMAT=MLN","Sort=A","Dates=H","DateFormat=P","Fill=—","Direction=H","UseDPDF=Y")</f>
        <v>2350</v>
      </c>
      <c r="L41" s="13">
        <f>_xll.BDH("RCOM IN Equity","ARD_INVENTORY","FY 2018","FY 2018","Currency=INR","Period=FY","BEST_FPERIOD_OVERRIDE=FY","FILING_STATUS=MR","EQY_CONSOLIDATED=Y","SCALING_FORMAT=MLN","Sort=A","Dates=H","DateFormat=P","Fill=—","Direction=H","UseDPDF=Y")</f>
        <v>790</v>
      </c>
    </row>
    <row r="42" spans="1:12">
      <c r="A42" s="10" t="s">
        <v>916</v>
      </c>
      <c r="B42" s="10" t="s">
        <v>917</v>
      </c>
      <c r="C42" s="13" t="str">
        <f>_xll.BDH("RCOM IN Equity","ARD_ASSETS_HELD_FOR_SALE","FY 2009","FY 2009","Currency=INR","Period=FY","BEST_FPERIOD_OVERRIDE=FY","FILING_STATUS=MR","EQY_CONSOLIDATED=Y","SCALING_FORMAT=MLN","Sort=A","Dates=H","DateFormat=P","Fill=—","Direction=H","UseDPDF=Y")</f>
        <v>—</v>
      </c>
      <c r="D42" s="13" t="str">
        <f>_xll.BDH("RCOM IN Equity","ARD_ASSETS_HELD_FOR_SALE","FY 2010","FY 2010","Currency=INR","Period=FY","BEST_FPERIOD_OVERRIDE=FY","FILING_STATUS=MR","EQY_CONSOLIDATED=Y","SCALING_FORMAT=MLN","Sort=A","Dates=H","DateFormat=P","Fill=—","Direction=H","UseDPDF=Y")</f>
        <v>—</v>
      </c>
      <c r="E42" s="13" t="str">
        <f>_xll.BDH("RCOM IN Equity","ARD_ASSETS_HELD_FOR_SALE","FY 2011","FY 2011","Currency=INR","Period=FY","BEST_FPERIOD_OVERRIDE=FY","FILING_STATUS=MR","EQY_CONSOLIDATED=Y","SCALING_FORMAT=MLN","Sort=A","Dates=H","DateFormat=P","Fill=—","Direction=H","UseDPDF=Y")</f>
        <v>—</v>
      </c>
      <c r="F42" s="13" t="str">
        <f>_xll.BDH("RCOM IN Equity","ARD_ASSETS_HELD_FOR_SALE","FY 2012","FY 2012","Currency=INR","Period=FY","BEST_FPERIOD_OVERRIDE=FY","FILING_STATUS=MR","EQY_CONSOLIDATED=Y","SCALING_FORMAT=MLN","Sort=A","Dates=H","DateFormat=P","Fill=—","Direction=H","UseDPDF=Y")</f>
        <v>—</v>
      </c>
      <c r="G42" s="13" t="str">
        <f>_xll.BDH("RCOM IN Equity","ARD_ASSETS_HELD_FOR_SALE","FY 2013","FY 2013","Currency=INR","Period=FY","BEST_FPERIOD_OVERRIDE=FY","FILING_STATUS=MR","EQY_CONSOLIDATED=Y","SCALING_FORMAT=MLN","Sort=A","Dates=H","DateFormat=P","Fill=—","Direction=H","UseDPDF=Y")</f>
        <v>—</v>
      </c>
      <c r="H42" s="13" t="str">
        <f>_xll.BDH("RCOM IN Equity","ARD_ASSETS_HELD_FOR_SALE","FY 2014","FY 2014","Currency=INR","Period=FY","BEST_FPERIOD_OVERRIDE=FY","FILING_STATUS=MR","EQY_CONSOLIDATED=Y","SCALING_FORMAT=MLN","Sort=A","Dates=H","DateFormat=P","Fill=—","Direction=H","UseDPDF=Y")</f>
        <v>—</v>
      </c>
      <c r="I42" s="13" t="str">
        <f>_xll.BDH("RCOM IN Equity","ARD_ASSETS_HELD_FOR_SALE","FY 2015","FY 2015","Currency=INR","Period=FY","BEST_FPERIOD_OVERRIDE=FY","FILING_STATUS=MR","EQY_CONSOLIDATED=Y","SCALING_FORMAT=MLN","Sort=A","Dates=H","DateFormat=P","Fill=—","Direction=H","UseDPDF=Y")</f>
        <v>—</v>
      </c>
      <c r="J42" s="13" t="str">
        <f>_xll.BDH("RCOM IN Equity","ARD_ASSETS_HELD_FOR_SALE","FY 2016","FY 2016","Currency=INR","Period=FY","BEST_FPERIOD_OVERRIDE=FY","FILING_STATUS=MR","EQY_CONSOLIDATED=Y","SCALING_FORMAT=MLN","Sort=A","Dates=H","DateFormat=P","Fill=—","Direction=H","UseDPDF=Y")</f>
        <v>—</v>
      </c>
      <c r="K42" s="13" t="str">
        <f>_xll.BDH("RCOM IN Equity","ARD_ASSETS_HELD_FOR_SALE","FY 2017","FY 2017","Currency=INR","Period=FY","BEST_FPERIOD_OVERRIDE=FY","FILING_STATUS=MR","EQY_CONSOLIDATED=Y","SCALING_FORMAT=MLN","Sort=A","Dates=H","DateFormat=P","Fill=—","Direction=H","UseDPDF=Y")</f>
        <v>—</v>
      </c>
      <c r="L42" s="13">
        <f>_xll.BDH("RCOM IN Equity","ARD_ASSETS_HELD_FOR_SALE","FY 2018","FY 2018","Currency=INR","Period=FY","BEST_FPERIOD_OVERRIDE=FY","FILING_STATUS=MR","EQY_CONSOLIDATED=Y","SCALING_FORMAT=MLN","Sort=A","Dates=H","DateFormat=P","Fill=—","Direction=H","UseDPDF=Y")</f>
        <v>368340</v>
      </c>
    </row>
    <row r="43" spans="1:12">
      <c r="A43" s="10" t="s">
        <v>918</v>
      </c>
      <c r="B43" s="10" t="s">
        <v>919</v>
      </c>
      <c r="C43" s="13">
        <f>_xll.BDH("RCOM IN Equity","ARD_OTHER_CURRENT_ASSETS","FY 2009","FY 2009","Currency=INR","Period=FY","BEST_FPERIOD_OVERRIDE=FY","FILING_STATUS=MR","EQY_CONSOLIDATED=Y","SCALING_FORMAT=MLN","Sort=A","Dates=H","DateFormat=P","Fill=—","Direction=H","UseDPDF=Y")</f>
        <v>85270.8</v>
      </c>
      <c r="D43" s="13">
        <f>_xll.BDH("RCOM IN Equity","ARD_OTHER_CURRENT_ASSETS","FY 2010","FY 2010","Currency=INR","Period=FY","BEST_FPERIOD_OVERRIDE=FY","FILING_STATUS=MR","EQY_CONSOLIDATED=Y","SCALING_FORMAT=MLN","Sort=A","Dates=H","DateFormat=P","Fill=—","Direction=H","UseDPDF=Y")</f>
        <v>74824.5</v>
      </c>
      <c r="E43" s="13">
        <f>_xll.BDH("RCOM IN Equity","ARD_OTHER_CURRENT_ASSETS","FY 2011","FY 2011","Currency=INR","Period=FY","BEST_FPERIOD_OVERRIDE=FY","FILING_STATUS=MR","EQY_CONSOLIDATED=Y","SCALING_FORMAT=MLN","Sort=A","Dates=H","DateFormat=P","Fill=—","Direction=H","UseDPDF=Y")</f>
        <v>68600</v>
      </c>
      <c r="F43" s="13">
        <f>_xll.BDH("RCOM IN Equity","ARD_OTHER_CURRENT_ASSETS","FY 2012","FY 2012","Currency=INR","Period=FY","BEST_FPERIOD_OVERRIDE=FY","FILING_STATUS=MR","EQY_CONSOLIDATED=Y","SCALING_FORMAT=MLN","Sort=A","Dates=H","DateFormat=P","Fill=—","Direction=H","UseDPDF=Y")</f>
        <v>73260</v>
      </c>
      <c r="G43" s="13">
        <f>_xll.BDH("RCOM IN Equity","ARD_OTHER_CURRENT_ASSETS","FY 2013","FY 2013","Currency=INR","Period=FY","BEST_FPERIOD_OVERRIDE=FY","FILING_STATUS=MR","EQY_CONSOLIDATED=Y","SCALING_FORMAT=MLN","Sort=A","Dates=H","DateFormat=P","Fill=—","Direction=H","UseDPDF=Y")</f>
        <v>65710</v>
      </c>
      <c r="H43" s="13">
        <f>_xll.BDH("RCOM IN Equity","ARD_OTHER_CURRENT_ASSETS","FY 2014","FY 2014","Currency=INR","Period=FY","BEST_FPERIOD_OVERRIDE=FY","FILING_STATUS=MR","EQY_CONSOLIDATED=Y","SCALING_FORMAT=MLN","Sort=A","Dates=H","DateFormat=P","Fill=—","Direction=H","UseDPDF=Y")</f>
        <v>79340</v>
      </c>
      <c r="I43" s="13">
        <f>_xll.BDH("RCOM IN Equity","ARD_OTHER_CURRENT_ASSETS","FY 2015","FY 2015","Currency=INR","Period=FY","BEST_FPERIOD_OVERRIDE=FY","FILING_STATUS=MR","EQY_CONSOLIDATED=Y","SCALING_FORMAT=MLN","Sort=A","Dates=H","DateFormat=P","Fill=—","Direction=H","UseDPDF=Y")</f>
        <v>107950</v>
      </c>
      <c r="J43" s="13">
        <f>_xll.BDH("RCOM IN Equity","ARD_OTHER_CURRENT_ASSETS","FY 2016","FY 2016","Currency=INR","Period=FY","BEST_FPERIOD_OVERRIDE=FY","FILING_STATUS=MR","EQY_CONSOLIDATED=Y","SCALING_FORMAT=MLN","Sort=A","Dates=H","DateFormat=P","Fill=—","Direction=H","UseDPDF=Y")</f>
        <v>67650</v>
      </c>
      <c r="K43" s="13">
        <f>_xll.BDH("RCOM IN Equity","ARD_OTHER_CURRENT_ASSETS","FY 2017","FY 2017","Currency=INR","Period=FY","BEST_FPERIOD_OVERRIDE=FY","FILING_STATUS=MR","EQY_CONSOLIDATED=Y","SCALING_FORMAT=MLN","Sort=A","Dates=H","DateFormat=P","Fill=—","Direction=H","UseDPDF=Y")</f>
        <v>74870</v>
      </c>
      <c r="L43" s="13">
        <f>_xll.BDH("RCOM IN Equity","ARD_OTHER_CURRENT_ASSETS","FY 2018","FY 2018","Currency=INR","Period=FY","BEST_FPERIOD_OVERRIDE=FY","FILING_STATUS=MR","EQY_CONSOLIDATED=Y","SCALING_FORMAT=MLN","Sort=A","Dates=H","DateFormat=P","Fill=—","Direction=H","UseDPDF=Y")</f>
        <v>55170</v>
      </c>
    </row>
    <row r="44" spans="1:12">
      <c r="A44" s="10" t="s">
        <v>920</v>
      </c>
      <c r="B44" s="10" t="s">
        <v>921</v>
      </c>
      <c r="C44" s="13" t="str">
        <f>_xll.BDH("RCOM IN Equity","ARD_ST_INVEST","FY 2009","FY 2009","Currency=INR","Period=FY","BEST_FPERIOD_OVERRIDE=FY","FILING_STATUS=MR","EQY_CONSOLIDATED=Y","SCALING_FORMAT=MLN","Sort=A","Dates=H","DateFormat=P","Fill=—","Direction=H","UseDPDF=Y")</f>
        <v>—</v>
      </c>
      <c r="D44" s="13" t="str">
        <f>_xll.BDH("RCOM IN Equity","ARD_ST_INVEST","FY 2010","FY 2010","Currency=INR","Period=FY","BEST_FPERIOD_OVERRIDE=FY","FILING_STATUS=MR","EQY_CONSOLIDATED=Y","SCALING_FORMAT=MLN","Sort=A","Dates=H","DateFormat=P","Fill=—","Direction=H","UseDPDF=Y")</f>
        <v>—</v>
      </c>
      <c r="E44" s="13">
        <f>_xll.BDH("RCOM IN Equity","ARD_ST_INVEST","FY 2011","FY 2011","Currency=INR","Period=FY","BEST_FPERIOD_OVERRIDE=FY","FILING_STATUS=MR","EQY_CONSOLIDATED=Y","SCALING_FORMAT=MLN","Sort=A","Dates=H","DateFormat=P","Fill=—","Direction=H","UseDPDF=Y")</f>
        <v>4520</v>
      </c>
      <c r="F44" s="13">
        <f>_xll.BDH("RCOM IN Equity","ARD_ST_INVEST","FY 2012","FY 2012","Currency=INR","Period=FY","BEST_FPERIOD_OVERRIDE=FY","FILING_STATUS=MR","EQY_CONSOLIDATED=Y","SCALING_FORMAT=MLN","Sort=A","Dates=H","DateFormat=P","Fill=—","Direction=H","UseDPDF=Y")</f>
        <v>5190</v>
      </c>
      <c r="G44" s="13">
        <f>_xll.BDH("RCOM IN Equity","ARD_ST_INVEST","FY 2013","FY 2013","Currency=INR","Period=FY","BEST_FPERIOD_OVERRIDE=FY","FILING_STATUS=MR","EQY_CONSOLIDATED=Y","SCALING_FORMAT=MLN","Sort=A","Dates=H","DateFormat=P","Fill=—","Direction=H","UseDPDF=Y")</f>
        <v>5510</v>
      </c>
      <c r="H44" s="13">
        <f>_xll.BDH("RCOM IN Equity","ARD_ST_INVEST","FY 2014","FY 2014","Currency=INR","Period=FY","BEST_FPERIOD_OVERRIDE=FY","FILING_STATUS=MR","EQY_CONSOLIDATED=Y","SCALING_FORMAT=MLN","Sort=A","Dates=H","DateFormat=P","Fill=—","Direction=H","UseDPDF=Y")</f>
        <v>6050</v>
      </c>
      <c r="I44" s="13">
        <f>_xll.BDH("RCOM IN Equity","ARD_ST_INVEST","FY 2015","FY 2015","Currency=INR","Period=FY","BEST_FPERIOD_OVERRIDE=FY","FILING_STATUS=MR","EQY_CONSOLIDATED=Y","SCALING_FORMAT=MLN","Sort=A","Dates=H","DateFormat=P","Fill=—","Direction=H","UseDPDF=Y")</f>
        <v>12700</v>
      </c>
      <c r="J44" s="13">
        <f>_xll.BDH("RCOM IN Equity","ARD_ST_INVEST","FY 2016","FY 2016","Currency=INR","Period=FY","BEST_FPERIOD_OVERRIDE=FY","FILING_STATUS=MR","EQY_CONSOLIDATED=Y","SCALING_FORMAT=MLN","Sort=A","Dates=H","DateFormat=P","Fill=—","Direction=H","UseDPDF=Y")</f>
        <v>0</v>
      </c>
      <c r="K44" s="13">
        <f>_xll.BDH("RCOM IN Equity","ARD_ST_INVEST","FY 2017","FY 2017","Currency=INR","Period=FY","BEST_FPERIOD_OVERRIDE=FY","FILING_STATUS=MR","EQY_CONSOLIDATED=Y","SCALING_FORMAT=MLN","Sort=A","Dates=H","DateFormat=P","Fill=—","Direction=H","UseDPDF=Y")</f>
        <v>0</v>
      </c>
      <c r="L44" s="13">
        <f>_xll.BDH("RCOM IN Equity","ARD_ST_INVEST","FY 2018","FY 2018","Currency=INR","Period=FY","BEST_FPERIOD_OVERRIDE=FY","FILING_STATUS=MR","EQY_CONSOLIDATED=Y","SCALING_FORMAT=MLN","Sort=A","Dates=H","DateFormat=P","Fill=—","Direction=H","UseDPDF=Y")</f>
        <v>0</v>
      </c>
    </row>
    <row r="45" spans="1:12">
      <c r="A45" s="10" t="s">
        <v>922</v>
      </c>
      <c r="B45" s="10" t="s">
        <v>923</v>
      </c>
      <c r="C45" s="13">
        <f>_xll.BDH("RCOM IN Equity","ARD_ACCTS_REC_OTHER_REC","FY 2009","FY 2009","Currency=INR","Period=FY","BEST_FPERIOD_OVERRIDE=FY","FILING_STATUS=MR","EQY_CONSOLIDATED=Y","SCALING_FORMAT=MLN","Sort=A","Dates=H","DateFormat=P","Fill=—","Direction=H","UseDPDF=Y")</f>
        <v>39617.699999999997</v>
      </c>
      <c r="D45" s="13">
        <f>_xll.BDH("RCOM IN Equity","ARD_ACCTS_REC_OTHER_REC","FY 2010","FY 2010","Currency=INR","Period=FY","BEST_FPERIOD_OVERRIDE=FY","FILING_STATUS=MR","EQY_CONSOLIDATED=Y","SCALING_FORMAT=MLN","Sort=A","Dates=H","DateFormat=P","Fill=—","Direction=H","UseDPDF=Y")</f>
        <v>33116.699999999997</v>
      </c>
      <c r="E45" s="13">
        <f>_xll.BDH("RCOM IN Equity","ARD_ACCTS_REC_OTHER_REC","FY 2011","FY 2011","Currency=INR","Period=FY","BEST_FPERIOD_OVERRIDE=FY","FILING_STATUS=MR","EQY_CONSOLIDATED=Y","SCALING_FORMAT=MLN","Sort=A","Dates=H","DateFormat=P","Fill=—","Direction=H","UseDPDF=Y")</f>
        <v>37530</v>
      </c>
      <c r="F45" s="13">
        <f>_xll.BDH("RCOM IN Equity","ARD_ACCTS_REC_OTHER_REC","FY 2012","FY 2012","Currency=INR","Period=FY","BEST_FPERIOD_OVERRIDE=FY","FILING_STATUS=MR","EQY_CONSOLIDATED=Y","SCALING_FORMAT=MLN","Sort=A","Dates=H","DateFormat=P","Fill=—","Direction=H","UseDPDF=Y")</f>
        <v>35840</v>
      </c>
      <c r="G45" s="13">
        <f>_xll.BDH("RCOM IN Equity","ARD_ACCTS_REC_OTHER_REC","FY 2013","FY 2013","Currency=INR","Period=FY","BEST_FPERIOD_OVERRIDE=FY","FILING_STATUS=MR","EQY_CONSOLIDATED=Y","SCALING_FORMAT=MLN","Sort=A","Dates=H","DateFormat=P","Fill=—","Direction=H","UseDPDF=Y")</f>
        <v>39110</v>
      </c>
      <c r="H45" s="13">
        <f>_xll.BDH("RCOM IN Equity","ARD_ACCTS_REC_OTHER_REC","FY 2014","FY 2014","Currency=INR","Period=FY","BEST_FPERIOD_OVERRIDE=FY","FILING_STATUS=MR","EQY_CONSOLIDATED=Y","SCALING_FORMAT=MLN","Sort=A","Dates=H","DateFormat=P","Fill=—","Direction=H","UseDPDF=Y")</f>
        <v>39190</v>
      </c>
      <c r="I45" s="13">
        <f>_xll.BDH("RCOM IN Equity","ARD_ACCTS_REC_OTHER_REC","FY 2015","FY 2015","Currency=INR","Period=FY","BEST_FPERIOD_OVERRIDE=FY","FILING_STATUS=MR","EQY_CONSOLIDATED=Y","SCALING_FORMAT=MLN","Sort=A","Dates=H","DateFormat=P","Fill=—","Direction=H","UseDPDF=Y")</f>
        <v>49160</v>
      </c>
      <c r="J45" s="13" t="str">
        <f>_xll.BDH("RCOM IN Equity","ARD_ACCTS_REC_OTHER_REC","FY 2016","FY 2016","Currency=INR","Period=FY","BEST_FPERIOD_OVERRIDE=FY","FILING_STATUS=MR","EQY_CONSOLIDATED=Y","SCALING_FORMAT=MLN","Sort=A","Dates=H","DateFormat=P","Fill=—","Direction=H","UseDPDF=Y")</f>
        <v>—</v>
      </c>
      <c r="K45" s="13" t="str">
        <f>_xll.BDH("RCOM IN Equity","ARD_ACCTS_REC_OTHER_REC","FY 2017","FY 2017","Currency=INR","Period=FY","BEST_FPERIOD_OVERRIDE=FY","FILING_STATUS=MR","EQY_CONSOLIDATED=Y","SCALING_FORMAT=MLN","Sort=A","Dates=H","DateFormat=P","Fill=—","Direction=H","UseDPDF=Y")</f>
        <v>—</v>
      </c>
      <c r="L45" s="13" t="str">
        <f>_xll.BDH("RCOM IN Equity","ARD_ACCTS_REC_OTHER_REC","FY 2018","FY 2018","Currency=INR","Period=FY","BEST_FPERIOD_OVERRIDE=FY","FILING_STATUS=MR","EQY_CONSOLIDATED=Y","SCALING_FORMAT=MLN","Sort=A","Dates=H","DateFormat=P","Fill=—","Direction=H","UseDPDF=Y")</f>
        <v>—</v>
      </c>
    </row>
    <row r="46" spans="1:12">
      <c r="A46" s="10" t="s">
        <v>924</v>
      </c>
      <c r="B46" s="10" t="s">
        <v>925</v>
      </c>
      <c r="C46" s="13" t="str">
        <f>_xll.BDH("RCOM IN Equity","ARD_ST_LOANS","FY 2009","FY 2009","Currency=INR","Period=FY","BEST_FPERIOD_OVERRIDE=FY","FILING_STATUS=MR","EQY_CONSOLIDATED=Y","SCALING_FORMAT=MLN","Sort=A","Dates=H","DateFormat=P","Fill=—","Direction=H","UseDPDF=Y")</f>
        <v>—</v>
      </c>
      <c r="D46" s="13" t="str">
        <f>_xll.BDH("RCOM IN Equity","ARD_ST_LOANS","FY 2010","FY 2010","Currency=INR","Period=FY","BEST_FPERIOD_OVERRIDE=FY","FILING_STATUS=MR","EQY_CONSOLIDATED=Y","SCALING_FORMAT=MLN","Sort=A","Dates=H","DateFormat=P","Fill=—","Direction=H","UseDPDF=Y")</f>
        <v>—</v>
      </c>
      <c r="E46" s="13" t="str">
        <f>_xll.BDH("RCOM IN Equity","ARD_ST_LOANS","FY 2011","FY 2011","Currency=INR","Period=FY","BEST_FPERIOD_OVERRIDE=FY","FILING_STATUS=MR","EQY_CONSOLIDATED=Y","SCALING_FORMAT=MLN","Sort=A","Dates=H","DateFormat=P","Fill=—","Direction=H","UseDPDF=Y")</f>
        <v>—</v>
      </c>
      <c r="F46" s="13" t="str">
        <f>_xll.BDH("RCOM IN Equity","ARD_ST_LOANS","FY 2012","FY 2012","Currency=INR","Period=FY","BEST_FPERIOD_OVERRIDE=FY","FILING_STATUS=MR","EQY_CONSOLIDATED=Y","SCALING_FORMAT=MLN","Sort=A","Dates=H","DateFormat=P","Fill=—","Direction=H","UseDPDF=Y")</f>
        <v>—</v>
      </c>
      <c r="G46" s="13" t="str">
        <f>_xll.BDH("RCOM IN Equity","ARD_ST_LOANS","FY 2013","FY 2013","Currency=INR","Period=FY","BEST_FPERIOD_OVERRIDE=FY","FILING_STATUS=MR","EQY_CONSOLIDATED=Y","SCALING_FORMAT=MLN","Sort=A","Dates=H","DateFormat=P","Fill=—","Direction=H","UseDPDF=Y")</f>
        <v>—</v>
      </c>
      <c r="H46" s="13" t="str">
        <f>_xll.BDH("RCOM IN Equity","ARD_ST_LOANS","FY 2014","FY 2014","Currency=INR","Period=FY","BEST_FPERIOD_OVERRIDE=FY","FILING_STATUS=MR","EQY_CONSOLIDATED=Y","SCALING_FORMAT=MLN","Sort=A","Dates=H","DateFormat=P","Fill=—","Direction=H","UseDPDF=Y")</f>
        <v>—</v>
      </c>
      <c r="I46" s="13" t="str">
        <f>_xll.BDH("RCOM IN Equity","ARD_ST_LOANS","FY 2015","FY 2015","Currency=INR","Period=FY","BEST_FPERIOD_OVERRIDE=FY","FILING_STATUS=MR","EQY_CONSOLIDATED=Y","SCALING_FORMAT=MLN","Sort=A","Dates=H","DateFormat=P","Fill=—","Direction=H","UseDPDF=Y")</f>
        <v>—</v>
      </c>
      <c r="J46" s="13" t="str">
        <f>_xll.BDH("RCOM IN Equity","ARD_ST_LOANS","FY 2016","FY 2016","Currency=INR","Period=FY","BEST_FPERIOD_OVERRIDE=FY","FILING_STATUS=MR","EQY_CONSOLIDATED=Y","SCALING_FORMAT=MLN","Sort=A","Dates=H","DateFormat=P","Fill=—","Direction=H","UseDPDF=Y")</f>
        <v>—</v>
      </c>
      <c r="K46" s="13" t="str">
        <f>_xll.BDH("RCOM IN Equity","ARD_ST_LOANS","FY 2017","FY 2017","Currency=INR","Period=FY","BEST_FPERIOD_OVERRIDE=FY","FILING_STATUS=MR","EQY_CONSOLIDATED=Y","SCALING_FORMAT=MLN","Sort=A","Dates=H","DateFormat=P","Fill=—","Direction=H","UseDPDF=Y")</f>
        <v>—</v>
      </c>
      <c r="L46" s="13" t="str">
        <f>_xll.BDH("RCOM IN Equity","ARD_ST_LOANS","FY 2018","FY 2018","Currency=INR","Period=FY","BEST_FPERIOD_OVERRIDE=FY","FILING_STATUS=MR","EQY_CONSOLIDATED=Y","SCALING_FORMAT=MLN","Sort=A","Dates=H","DateFormat=P","Fill=—","Direction=H","UseDPDF=Y")</f>
        <v>—</v>
      </c>
    </row>
    <row r="47" spans="1:12">
      <c r="A47" s="10" t="s">
        <v>926</v>
      </c>
      <c r="B47" s="10" t="s">
        <v>927</v>
      </c>
      <c r="C47" s="13" t="str">
        <f>_xll.BDH("RCOM IN Equity","ARD_OTHER_FINL_ASSETS_ST","FY 2009","FY 2009","Currency=INR","Period=FY","BEST_FPERIOD_OVERRIDE=FY","FILING_STATUS=MR","EQY_CONSOLIDATED=Y","SCALING_FORMAT=MLN","Sort=A","Dates=H","DateFormat=P","Fill=—","Direction=H","UseDPDF=Y")</f>
        <v>—</v>
      </c>
      <c r="D47" s="13" t="str">
        <f>_xll.BDH("RCOM IN Equity","ARD_OTHER_FINL_ASSETS_ST","FY 2010","FY 2010","Currency=INR","Period=FY","BEST_FPERIOD_OVERRIDE=FY","FILING_STATUS=MR","EQY_CONSOLIDATED=Y","SCALING_FORMAT=MLN","Sort=A","Dates=H","DateFormat=P","Fill=—","Direction=H","UseDPDF=Y")</f>
        <v>—</v>
      </c>
      <c r="E47" s="13" t="str">
        <f>_xll.BDH("RCOM IN Equity","ARD_OTHER_FINL_ASSETS_ST","FY 2011","FY 2011","Currency=INR","Period=FY","BEST_FPERIOD_OVERRIDE=FY","FILING_STATUS=MR","EQY_CONSOLIDATED=Y","SCALING_FORMAT=MLN","Sort=A","Dates=H","DateFormat=P","Fill=—","Direction=H","UseDPDF=Y")</f>
        <v>—</v>
      </c>
      <c r="F47" s="13" t="str">
        <f>_xll.BDH("RCOM IN Equity","ARD_OTHER_FINL_ASSETS_ST","FY 2012","FY 2012","Currency=INR","Period=FY","BEST_FPERIOD_OVERRIDE=FY","FILING_STATUS=MR","EQY_CONSOLIDATED=Y","SCALING_FORMAT=MLN","Sort=A","Dates=H","DateFormat=P","Fill=—","Direction=H","UseDPDF=Y")</f>
        <v>—</v>
      </c>
      <c r="G47" s="13" t="str">
        <f>_xll.BDH("RCOM IN Equity","ARD_OTHER_FINL_ASSETS_ST","FY 2013","FY 2013","Currency=INR","Period=FY","BEST_FPERIOD_OVERRIDE=FY","FILING_STATUS=MR","EQY_CONSOLIDATED=Y","SCALING_FORMAT=MLN","Sort=A","Dates=H","DateFormat=P","Fill=—","Direction=H","UseDPDF=Y")</f>
        <v>—</v>
      </c>
      <c r="H47" s="13" t="str">
        <f>_xll.BDH("RCOM IN Equity","ARD_OTHER_FINL_ASSETS_ST","FY 2014","FY 2014","Currency=INR","Period=FY","BEST_FPERIOD_OVERRIDE=FY","FILING_STATUS=MR","EQY_CONSOLIDATED=Y","SCALING_FORMAT=MLN","Sort=A","Dates=H","DateFormat=P","Fill=—","Direction=H","UseDPDF=Y")</f>
        <v>—</v>
      </c>
      <c r="I47" s="13" t="str">
        <f>_xll.BDH("RCOM IN Equity","ARD_OTHER_FINL_ASSETS_ST","FY 2015","FY 2015","Currency=INR","Period=FY","BEST_FPERIOD_OVERRIDE=FY","FILING_STATUS=MR","EQY_CONSOLIDATED=Y","SCALING_FORMAT=MLN","Sort=A","Dates=H","DateFormat=P","Fill=—","Direction=H","UseDPDF=Y")</f>
        <v>—</v>
      </c>
      <c r="J47" s="13">
        <f>_xll.BDH("RCOM IN Equity","ARD_OTHER_FINL_ASSETS_ST","FY 2016","FY 2016","Currency=INR","Period=FY","BEST_FPERIOD_OVERRIDE=FY","FILING_STATUS=MR","EQY_CONSOLIDATED=Y","SCALING_FORMAT=MLN","Sort=A","Dates=H","DateFormat=P","Fill=—","Direction=H","UseDPDF=Y")</f>
        <v>2830</v>
      </c>
      <c r="K47" s="13">
        <f>_xll.BDH("RCOM IN Equity","ARD_OTHER_FINL_ASSETS_ST","FY 2017","FY 2017","Currency=INR","Period=FY","BEST_FPERIOD_OVERRIDE=FY","FILING_STATUS=MR","EQY_CONSOLIDATED=Y","SCALING_FORMAT=MLN","Sort=A","Dates=H","DateFormat=P","Fill=—","Direction=H","UseDPDF=Y")</f>
        <v>7150</v>
      </c>
      <c r="L47" s="13">
        <f>_xll.BDH("RCOM IN Equity","ARD_OTHER_FINL_ASSETS_ST","FY 2018","FY 2018","Currency=INR","Period=FY","BEST_FPERIOD_OVERRIDE=FY","FILING_STATUS=MR","EQY_CONSOLIDATED=Y","SCALING_FORMAT=MLN","Sort=A","Dates=H","DateFormat=P","Fill=—","Direction=H","UseDPDF=Y")</f>
        <v>1560</v>
      </c>
    </row>
    <row r="48" spans="1:12">
      <c r="A48" s="6" t="s">
        <v>75</v>
      </c>
      <c r="B48" s="6" t="s">
        <v>928</v>
      </c>
      <c r="C48" s="19" t="str">
        <f>_xll.BDH("RCOM IN Equity","ARD_TOTAL_CUR_ASSETS","FY 2009","FY 2009","Currency=INR","Period=FY","BEST_FPERIOD_OVERRIDE=FY","FILING_STATUS=MR","EQY_CONSOLIDATED=Y","SCALING_FORMAT=MLN","Sort=A","Dates=H","DateFormat=P","Fill=—","Direction=H","UseDPDF=Y")</f>
        <v>—</v>
      </c>
      <c r="D48" s="19" t="str">
        <f>_xll.BDH("RCOM IN Equity","ARD_TOTAL_CUR_ASSETS","FY 2010","FY 2010","Currency=INR","Period=FY","BEST_FPERIOD_OVERRIDE=FY","FILING_STATUS=MR","EQY_CONSOLIDATED=Y","SCALING_FORMAT=MLN","Sort=A","Dates=H","DateFormat=P","Fill=—","Direction=H","UseDPDF=Y")</f>
        <v>—</v>
      </c>
      <c r="E48" s="19">
        <f>_xll.BDH("RCOM IN Equity","ARD_TOTAL_CUR_ASSETS","FY 2011","FY 2011","Currency=INR","Period=FY","BEST_FPERIOD_OVERRIDE=FY","FILING_STATUS=MR","EQY_CONSOLIDATED=Y","SCALING_FORMAT=MLN","Sort=A","Dates=H","DateFormat=P","Fill=—","Direction=H","UseDPDF=Y")</f>
        <v>164480</v>
      </c>
      <c r="F48" s="19">
        <f>_xll.BDH("RCOM IN Equity","ARD_TOTAL_CUR_ASSETS","FY 2012","FY 2012","Currency=INR","Period=FY","BEST_FPERIOD_OVERRIDE=FY","FILING_STATUS=MR","EQY_CONSOLIDATED=Y","SCALING_FORMAT=MLN","Sort=A","Dates=H","DateFormat=P","Fill=—","Direction=H","UseDPDF=Y")</f>
        <v>125450</v>
      </c>
      <c r="G48" s="19">
        <f>_xll.BDH("RCOM IN Equity","ARD_TOTAL_CUR_ASSETS","FY 2013","FY 2013","Currency=INR","Period=FY","BEST_FPERIOD_OVERRIDE=FY","FILING_STATUS=MR","EQY_CONSOLIDATED=Y","SCALING_FORMAT=MLN","Sort=A","Dates=H","DateFormat=P","Fill=—","Direction=H","UseDPDF=Y")</f>
        <v>122610</v>
      </c>
      <c r="H48" s="19">
        <f>_xll.BDH("RCOM IN Equity","ARD_TOTAL_CUR_ASSETS","FY 2014","FY 2014","Currency=INR","Period=FY","BEST_FPERIOD_OVERRIDE=FY","FILING_STATUS=MR","EQY_CONSOLIDATED=Y","SCALING_FORMAT=MLN","Sort=A","Dates=H","DateFormat=P","Fill=—","Direction=H","UseDPDF=Y")</f>
        <v>133770</v>
      </c>
      <c r="I48" s="19">
        <f>_xll.BDH("RCOM IN Equity","ARD_TOTAL_CUR_ASSETS","FY 2015","FY 2015","Currency=INR","Period=FY","BEST_FPERIOD_OVERRIDE=FY","FILING_STATUS=MR","EQY_CONSOLIDATED=Y","SCALING_FORMAT=MLN","Sort=A","Dates=H","DateFormat=P","Fill=—","Direction=H","UseDPDF=Y")</f>
        <v>187900</v>
      </c>
      <c r="J48" s="19">
        <f>_xll.BDH("RCOM IN Equity","ARD_TOTAL_CUR_ASSETS","FY 2016","FY 2016","Currency=INR","Period=FY","BEST_FPERIOD_OVERRIDE=FY","FILING_STATUS=MR","EQY_CONSOLIDATED=Y","SCALING_FORMAT=MLN","Sort=A","Dates=H","DateFormat=P","Fill=—","Direction=H","UseDPDF=Y")</f>
        <v>117610</v>
      </c>
      <c r="K48" s="19">
        <f>_xll.BDH("RCOM IN Equity","ARD_TOTAL_CUR_ASSETS","FY 2017","FY 2017","Currency=INR","Period=FY","BEST_FPERIOD_OVERRIDE=FY","FILING_STATUS=MR","EQY_CONSOLIDATED=Y","SCALING_FORMAT=MLN","Sort=A","Dates=H","DateFormat=P","Fill=—","Direction=H","UseDPDF=Y")</f>
        <v>130070</v>
      </c>
      <c r="L48" s="19">
        <f>_xll.BDH("RCOM IN Equity","ARD_TOTAL_CUR_ASSETS","FY 2018","FY 2018","Currency=INR","Period=FY","BEST_FPERIOD_OVERRIDE=FY","FILING_STATUS=MR","EQY_CONSOLIDATED=Y","SCALING_FORMAT=MLN","Sort=A","Dates=H","DateFormat=P","Fill=—","Direction=H","UseDPDF=Y")</f>
        <v>454590</v>
      </c>
    </row>
    <row r="49" spans="1:12">
      <c r="A49" s="10" t="s">
        <v>929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</row>
    <row r="50" spans="1:12">
      <c r="A50" s="10" t="s">
        <v>930</v>
      </c>
      <c r="B50" s="10" t="s">
        <v>931</v>
      </c>
      <c r="C50" s="13" t="str">
        <f>_xll.BDH("RCOM IN Equity","ARD_OTHER_NONCURRENT_ASSET","FY 2009","FY 2009","Currency=INR","Period=FY","BEST_FPERIOD_OVERRIDE=FY","FILING_STATUS=MR","EQY_CONSOLIDATED=Y","SCALING_FORMAT=MLN","Sort=A","Dates=H","DateFormat=P","Fill=—","Direction=H","UseDPDF=Y")</f>
        <v>—</v>
      </c>
      <c r="D50" s="13" t="str">
        <f>_xll.BDH("RCOM IN Equity","ARD_OTHER_NONCURRENT_ASSET","FY 2010","FY 2010","Currency=INR","Period=FY","BEST_FPERIOD_OVERRIDE=FY","FILING_STATUS=MR","EQY_CONSOLIDATED=Y","SCALING_FORMAT=MLN","Sort=A","Dates=H","DateFormat=P","Fill=—","Direction=H","UseDPDF=Y")</f>
        <v>—</v>
      </c>
      <c r="E50" s="13">
        <f>_xll.BDH("RCOM IN Equity","ARD_OTHER_NONCURRENT_ASSET","FY 2011","FY 2011","Currency=INR","Period=FY","BEST_FPERIOD_OVERRIDE=FY","FILING_STATUS=MR","EQY_CONSOLIDATED=Y","SCALING_FORMAT=MLN","Sort=A","Dates=H","DateFormat=P","Fill=—","Direction=H","UseDPDF=Y")</f>
        <v>0</v>
      </c>
      <c r="F50" s="13">
        <f>_xll.BDH("RCOM IN Equity","ARD_OTHER_NONCURRENT_ASSET","FY 2012","FY 2012","Currency=INR","Period=FY","BEST_FPERIOD_OVERRIDE=FY","FILING_STATUS=MR","EQY_CONSOLIDATED=Y","SCALING_FORMAT=MLN","Sort=A","Dates=H","DateFormat=P","Fill=—","Direction=H","UseDPDF=Y")</f>
        <v>6180</v>
      </c>
      <c r="G50" s="13">
        <f>_xll.BDH("RCOM IN Equity","ARD_OTHER_NONCURRENT_ASSET","FY 2013","FY 2013","Currency=INR","Period=FY","BEST_FPERIOD_OVERRIDE=FY","FILING_STATUS=MR","EQY_CONSOLIDATED=Y","SCALING_FORMAT=MLN","Sort=A","Dates=H","DateFormat=P","Fill=—","Direction=H","UseDPDF=Y")</f>
        <v>2230</v>
      </c>
      <c r="H50" s="13">
        <f>_xll.BDH("RCOM IN Equity","ARD_OTHER_NONCURRENT_ASSET","FY 2014","FY 2014","Currency=INR","Period=FY","BEST_FPERIOD_OVERRIDE=FY","FILING_STATUS=MR","EQY_CONSOLIDATED=Y","SCALING_FORMAT=MLN","Sort=A","Dates=H","DateFormat=P","Fill=—","Direction=H","UseDPDF=Y")</f>
        <v>3120</v>
      </c>
      <c r="I50" s="13">
        <f>_xll.BDH("RCOM IN Equity","ARD_OTHER_NONCURRENT_ASSET","FY 2015","FY 2015","Currency=INR","Period=FY","BEST_FPERIOD_OVERRIDE=FY","FILING_STATUS=MR","EQY_CONSOLIDATED=Y","SCALING_FORMAT=MLN","Sort=A","Dates=H","DateFormat=P","Fill=—","Direction=H","UseDPDF=Y")</f>
        <v>2750</v>
      </c>
      <c r="J50" s="13">
        <f>_xll.BDH("RCOM IN Equity","ARD_OTHER_NONCURRENT_ASSET","FY 2016","FY 2016","Currency=INR","Period=FY","BEST_FPERIOD_OVERRIDE=FY","FILING_STATUS=MR","EQY_CONSOLIDATED=Y","SCALING_FORMAT=MLN","Sort=A","Dates=H","DateFormat=P","Fill=—","Direction=H","UseDPDF=Y")</f>
        <v>100060</v>
      </c>
      <c r="K50" s="13">
        <f>_xll.BDH("RCOM IN Equity","ARD_OTHER_NONCURRENT_ASSET","FY 2017","FY 2017","Currency=INR","Period=FY","BEST_FPERIOD_OVERRIDE=FY","FILING_STATUS=MR","EQY_CONSOLIDATED=Y","SCALING_FORMAT=MLN","Sort=A","Dates=H","DateFormat=P","Fill=—","Direction=H","UseDPDF=Y")</f>
        <v>90430</v>
      </c>
      <c r="L50" s="13">
        <f>_xll.BDH("RCOM IN Equity","ARD_OTHER_NONCURRENT_ASSET","FY 2018","FY 2018","Currency=INR","Period=FY","BEST_FPERIOD_OVERRIDE=FY","FILING_STATUS=MR","EQY_CONSOLIDATED=Y","SCALING_FORMAT=MLN","Sort=A","Dates=H","DateFormat=P","Fill=—","Direction=H","UseDPDF=Y")</f>
        <v>42360</v>
      </c>
    </row>
    <row r="51" spans="1:12">
      <c r="A51" s="10" t="s">
        <v>932</v>
      </c>
      <c r="B51" s="10" t="s">
        <v>933</v>
      </c>
      <c r="C51" s="13" t="str">
        <f>_xll.BDH("RCOM IN Equity","ARD_ACCOUNTS_PAYABLE_TRADE","FY 2009","FY 2009","Currency=INR","Period=FY","BEST_FPERIOD_OVERRIDE=FY","FILING_STATUS=MR","EQY_CONSOLIDATED=Y","SCALING_FORMAT=MLN","Sort=A","Dates=H","DateFormat=P","Fill=—","Direction=H","UseDPDF=Y")</f>
        <v>—</v>
      </c>
      <c r="D51" s="13" t="str">
        <f>_xll.BDH("RCOM IN Equity","ARD_ACCOUNTS_PAYABLE_TRADE","FY 2010","FY 2010","Currency=INR","Period=FY","BEST_FPERIOD_OVERRIDE=FY","FILING_STATUS=MR","EQY_CONSOLIDATED=Y","SCALING_FORMAT=MLN","Sort=A","Dates=H","DateFormat=P","Fill=—","Direction=H","UseDPDF=Y")</f>
        <v>—</v>
      </c>
      <c r="E51" s="13">
        <f>_xll.BDH("RCOM IN Equity","ARD_ACCOUNTS_PAYABLE_TRADE","FY 2011","FY 2011","Currency=INR","Period=FY","BEST_FPERIOD_OVERRIDE=FY","FILING_STATUS=MR","EQY_CONSOLIDATED=Y","SCALING_FORMAT=MLN","Sort=A","Dates=H","DateFormat=P","Fill=—","Direction=H","UseDPDF=Y")</f>
        <v>18890</v>
      </c>
      <c r="F51" s="13">
        <f>_xll.BDH("RCOM IN Equity","ARD_ACCOUNTS_PAYABLE_TRADE","FY 2012","FY 2012","Currency=INR","Period=FY","BEST_FPERIOD_OVERRIDE=FY","FILING_STATUS=MR","EQY_CONSOLIDATED=Y","SCALING_FORMAT=MLN","Sort=A","Dates=H","DateFormat=P","Fill=—","Direction=H","UseDPDF=Y")</f>
        <v>23180</v>
      </c>
      <c r="G51" s="13">
        <f>_xll.BDH("RCOM IN Equity","ARD_ACCOUNTS_PAYABLE_TRADE","FY 2013","FY 2013","Currency=INR","Period=FY","BEST_FPERIOD_OVERRIDE=FY","FILING_STATUS=MR","EQY_CONSOLIDATED=Y","SCALING_FORMAT=MLN","Sort=A","Dates=H","DateFormat=P","Fill=—","Direction=H","UseDPDF=Y")</f>
        <v>23640</v>
      </c>
      <c r="H51" s="13">
        <f>_xll.BDH("RCOM IN Equity","ARD_ACCOUNTS_PAYABLE_TRADE","FY 2014","FY 2014","Currency=INR","Period=FY","BEST_FPERIOD_OVERRIDE=FY","FILING_STATUS=MR","EQY_CONSOLIDATED=Y","SCALING_FORMAT=MLN","Sort=A","Dates=H","DateFormat=P","Fill=—","Direction=H","UseDPDF=Y")</f>
        <v>35160</v>
      </c>
      <c r="I51" s="13">
        <f>_xll.BDH("RCOM IN Equity","ARD_ACCOUNTS_PAYABLE_TRADE","FY 2015","FY 2015","Currency=INR","Period=FY","BEST_FPERIOD_OVERRIDE=FY","FILING_STATUS=MR","EQY_CONSOLIDATED=Y","SCALING_FORMAT=MLN","Sort=A","Dates=H","DateFormat=P","Fill=—","Direction=H","UseDPDF=Y")</f>
        <v>62060</v>
      </c>
      <c r="J51" s="13">
        <f>_xll.BDH("RCOM IN Equity","ARD_ACCOUNTS_PAYABLE_TRADE","FY 2016","FY 2016","Currency=INR","Period=FY","BEST_FPERIOD_OVERRIDE=FY","FILING_STATUS=MR","EQY_CONSOLIDATED=Y","SCALING_FORMAT=MLN","Sort=A","Dates=H","DateFormat=P","Fill=—","Direction=H","UseDPDF=Y")</f>
        <v>57750</v>
      </c>
      <c r="K51" s="13">
        <f>_xll.BDH("RCOM IN Equity","ARD_ACCOUNTS_PAYABLE_TRADE","FY 2017","FY 2017","Currency=INR","Period=FY","BEST_FPERIOD_OVERRIDE=FY","FILING_STATUS=MR","EQY_CONSOLIDATED=Y","SCALING_FORMAT=MLN","Sort=A","Dates=H","DateFormat=P","Fill=—","Direction=H","UseDPDF=Y")</f>
        <v>47460</v>
      </c>
      <c r="L51" s="13">
        <f>_xll.BDH("RCOM IN Equity","ARD_ACCOUNTS_PAYABLE_TRADE","FY 2018","FY 2018","Currency=INR","Period=FY","BEST_FPERIOD_OVERRIDE=FY","FILING_STATUS=MR","EQY_CONSOLIDATED=Y","SCALING_FORMAT=MLN","Sort=A","Dates=H","DateFormat=P","Fill=—","Direction=H","UseDPDF=Y")</f>
        <v>48680</v>
      </c>
    </row>
    <row r="52" spans="1:12">
      <c r="A52" s="10" t="s">
        <v>934</v>
      </c>
      <c r="B52" s="10" t="s">
        <v>935</v>
      </c>
      <c r="C52" s="13" t="str">
        <f>_xll.BDH("RCOM IN Equity","ARD_ST_BORROW","FY 2009","FY 2009","Currency=INR","Period=FY","BEST_FPERIOD_OVERRIDE=FY","FILING_STATUS=MR","EQY_CONSOLIDATED=Y","SCALING_FORMAT=MLN","Sort=A","Dates=H","DateFormat=P","Fill=—","Direction=H","UseDPDF=Y")</f>
        <v>—</v>
      </c>
      <c r="D52" s="13" t="str">
        <f>_xll.BDH("RCOM IN Equity","ARD_ST_BORROW","FY 2010","FY 2010","Currency=INR","Period=FY","BEST_FPERIOD_OVERRIDE=FY","FILING_STATUS=MR","EQY_CONSOLIDATED=Y","SCALING_FORMAT=MLN","Sort=A","Dates=H","DateFormat=P","Fill=—","Direction=H","UseDPDF=Y")</f>
        <v>—</v>
      </c>
      <c r="E52" s="13">
        <f>_xll.BDH("RCOM IN Equity","ARD_ST_BORROW","FY 2011","FY 2011","Currency=INR","Period=FY","BEST_FPERIOD_OVERRIDE=FY","FILING_STATUS=MR","EQY_CONSOLIDATED=Y","SCALING_FORMAT=MLN","Sort=A","Dates=H","DateFormat=P","Fill=—","Direction=H","UseDPDF=Y")</f>
        <v>106820</v>
      </c>
      <c r="F52" s="13">
        <f>_xll.BDH("RCOM IN Equity","ARD_ST_BORROW","FY 2012","FY 2012","Currency=INR","Period=FY","BEST_FPERIOD_OVERRIDE=FY","FILING_STATUS=MR","EQY_CONSOLIDATED=Y","SCALING_FORMAT=MLN","Sort=A","Dates=H","DateFormat=P","Fill=—","Direction=H","UseDPDF=Y")</f>
        <v>55390</v>
      </c>
      <c r="G52" s="13">
        <f>_xll.BDH("RCOM IN Equity","ARD_ST_BORROW","FY 2013","FY 2013","Currency=INR","Period=FY","BEST_FPERIOD_OVERRIDE=FY","FILING_STATUS=MR","EQY_CONSOLIDATED=Y","SCALING_FORMAT=MLN","Sort=A","Dates=H","DateFormat=P","Fill=—","Direction=H","UseDPDF=Y")</f>
        <v>88000</v>
      </c>
      <c r="H52" s="13">
        <f>_xll.BDH("RCOM IN Equity","ARD_ST_BORROW","FY 2014","FY 2014","Currency=INR","Period=FY","BEST_FPERIOD_OVERRIDE=FY","FILING_STATUS=MR","EQY_CONSOLIDATED=Y","SCALING_FORMAT=MLN","Sort=A","Dates=H","DateFormat=P","Fill=—","Direction=H","UseDPDF=Y")</f>
        <v>89090</v>
      </c>
      <c r="I52" s="13">
        <f>_xll.BDH("RCOM IN Equity","ARD_ST_BORROW","FY 2015","FY 2015","Currency=INR","Period=FY","BEST_FPERIOD_OVERRIDE=FY","FILING_STATUS=MR","EQY_CONSOLIDATED=Y","SCALING_FORMAT=MLN","Sort=A","Dates=H","DateFormat=P","Fill=—","Direction=H","UseDPDF=Y")</f>
        <v>15870</v>
      </c>
      <c r="J52" s="13">
        <f>_xll.BDH("RCOM IN Equity","ARD_ST_BORROW","FY 2016","FY 2016","Currency=INR","Period=FY","BEST_FPERIOD_OVERRIDE=FY","FILING_STATUS=MR","EQY_CONSOLIDATED=Y","SCALING_FORMAT=MLN","Sort=A","Dates=H","DateFormat=P","Fill=—","Direction=H","UseDPDF=Y")</f>
        <v>43740</v>
      </c>
      <c r="K52" s="13">
        <f>_xll.BDH("RCOM IN Equity","ARD_ST_BORROW","FY 2017","FY 2017","Currency=INR","Period=FY","BEST_FPERIOD_OVERRIDE=FY","FILING_STATUS=MR","EQY_CONSOLIDATED=Y","SCALING_FORMAT=MLN","Sort=A","Dates=H","DateFormat=P","Fill=—","Direction=H","UseDPDF=Y")</f>
        <v>94990</v>
      </c>
      <c r="L52" s="13">
        <f>_xll.BDH("RCOM IN Equity","ARD_ST_BORROW","FY 2018","FY 2018","Currency=INR","Period=FY","BEST_FPERIOD_OVERRIDE=FY","FILING_STATUS=MR","EQY_CONSOLIDATED=Y","SCALING_FORMAT=MLN","Sort=A","Dates=H","DateFormat=P","Fill=—","Direction=H","UseDPDF=Y")</f>
        <v>232420</v>
      </c>
    </row>
    <row r="53" spans="1:12">
      <c r="A53" s="10" t="s">
        <v>936</v>
      </c>
      <c r="B53" s="10" t="s">
        <v>937</v>
      </c>
      <c r="C53" s="13" t="str">
        <f>_xll.BDH("RCOM IN Equity","ARD_DEFERRED_UNEARNED_REV_ST","FY 2009","FY 2009","Currency=INR","Period=FY","BEST_FPERIOD_OVERRIDE=FY","FILING_STATUS=MR","EQY_CONSOLIDATED=Y","SCALING_FORMAT=MLN","Sort=A","Dates=H","DateFormat=P","Fill=—","Direction=H","UseDPDF=Y")</f>
        <v>—</v>
      </c>
      <c r="D53" s="13" t="str">
        <f>_xll.BDH("RCOM IN Equity","ARD_DEFERRED_UNEARNED_REV_ST","FY 2010","FY 2010","Currency=INR","Period=FY","BEST_FPERIOD_OVERRIDE=FY","FILING_STATUS=MR","EQY_CONSOLIDATED=Y","SCALING_FORMAT=MLN","Sort=A","Dates=H","DateFormat=P","Fill=—","Direction=H","UseDPDF=Y")</f>
        <v>—</v>
      </c>
      <c r="E53" s="13" t="str">
        <f>_xll.BDH("RCOM IN Equity","ARD_DEFERRED_UNEARNED_REV_ST","FY 2011","FY 2011","Currency=INR","Period=FY","BEST_FPERIOD_OVERRIDE=FY","FILING_STATUS=MR","EQY_CONSOLIDATED=Y","SCALING_FORMAT=MLN","Sort=A","Dates=H","DateFormat=P","Fill=—","Direction=H","UseDPDF=Y")</f>
        <v>—</v>
      </c>
      <c r="F53" s="13" t="str">
        <f>_xll.BDH("RCOM IN Equity","ARD_DEFERRED_UNEARNED_REV_ST","FY 2012","FY 2012","Currency=INR","Period=FY","BEST_FPERIOD_OVERRIDE=FY","FILING_STATUS=MR","EQY_CONSOLIDATED=Y","SCALING_FORMAT=MLN","Sort=A","Dates=H","DateFormat=P","Fill=—","Direction=H","UseDPDF=Y")</f>
        <v>—</v>
      </c>
      <c r="G53" s="13" t="str">
        <f>_xll.BDH("RCOM IN Equity","ARD_DEFERRED_UNEARNED_REV_ST","FY 2013","FY 2013","Currency=INR","Period=FY","BEST_FPERIOD_OVERRIDE=FY","FILING_STATUS=MR","EQY_CONSOLIDATED=Y","SCALING_FORMAT=MLN","Sort=A","Dates=H","DateFormat=P","Fill=—","Direction=H","UseDPDF=Y")</f>
        <v>—</v>
      </c>
      <c r="H53" s="13" t="str">
        <f>_xll.BDH("RCOM IN Equity","ARD_DEFERRED_UNEARNED_REV_ST","FY 2014","FY 2014","Currency=INR","Period=FY","BEST_FPERIOD_OVERRIDE=FY","FILING_STATUS=MR","EQY_CONSOLIDATED=Y","SCALING_FORMAT=MLN","Sort=A","Dates=H","DateFormat=P","Fill=—","Direction=H","UseDPDF=Y")</f>
        <v>—</v>
      </c>
      <c r="I53" s="13" t="str">
        <f>_xll.BDH("RCOM IN Equity","ARD_DEFERRED_UNEARNED_REV_ST","FY 2015","FY 2015","Currency=INR","Period=FY","BEST_FPERIOD_OVERRIDE=FY","FILING_STATUS=MR","EQY_CONSOLIDATED=Y","SCALING_FORMAT=MLN","Sort=A","Dates=H","DateFormat=P","Fill=—","Direction=H","UseDPDF=Y")</f>
        <v>—</v>
      </c>
      <c r="J53" s="13">
        <f>_xll.BDH("RCOM IN Equity","ARD_DEFERRED_UNEARNED_REV_ST","FY 2016","FY 2016","Currency=INR","Period=FY","BEST_FPERIOD_OVERRIDE=FY","FILING_STATUS=MR","EQY_CONSOLIDATED=Y","SCALING_FORMAT=MLN","Sort=A","Dates=H","DateFormat=P","Fill=—","Direction=H","UseDPDF=Y")</f>
        <v>14860</v>
      </c>
      <c r="K53" s="13">
        <f>_xll.BDH("RCOM IN Equity","ARD_DEFERRED_UNEARNED_REV_ST","FY 2017","FY 2017","Currency=INR","Period=FY","BEST_FPERIOD_OVERRIDE=FY","FILING_STATUS=MR","EQY_CONSOLIDATED=Y","SCALING_FORMAT=MLN","Sort=A","Dates=H","DateFormat=P","Fill=—","Direction=H","UseDPDF=Y")</f>
        <v>13770</v>
      </c>
      <c r="L53" s="13">
        <f>_xll.BDH("RCOM IN Equity","ARD_DEFERRED_UNEARNED_REV_ST","FY 2018","FY 2018","Currency=INR","Period=FY","BEST_FPERIOD_OVERRIDE=FY","FILING_STATUS=MR","EQY_CONSOLIDATED=Y","SCALING_FORMAT=MLN","Sort=A","Dates=H","DateFormat=P","Fill=—","Direction=H","UseDPDF=Y")</f>
        <v>23530</v>
      </c>
    </row>
    <row r="54" spans="1:12">
      <c r="A54" s="10" t="s">
        <v>938</v>
      </c>
      <c r="B54" s="10" t="s">
        <v>939</v>
      </c>
      <c r="C54" s="13">
        <f>_xll.BDH("RCOM IN Equity","ARD_OTHER_CURRENT_LIABILITIES","FY 2009","FY 2009","Currency=INR","Period=FY","BEST_FPERIOD_OVERRIDE=FY","FILING_STATUS=MR","EQY_CONSOLIDATED=Y","SCALING_FORMAT=MLN","Sort=A","Dates=H","DateFormat=P","Fill=—","Direction=H","UseDPDF=Y")</f>
        <v>159718.29999999999</v>
      </c>
      <c r="D54" s="13">
        <f>_xll.BDH("RCOM IN Equity","ARD_OTHER_CURRENT_LIABILITIES","FY 2010","FY 2010","Currency=INR","Period=FY","BEST_FPERIOD_OVERRIDE=FY","FILING_STATUS=MR","EQY_CONSOLIDATED=Y","SCALING_FORMAT=MLN","Sort=A","Dates=H","DateFormat=P","Fill=—","Direction=H","UseDPDF=Y")</f>
        <v>147084.6</v>
      </c>
      <c r="E54" s="13">
        <f>_xll.BDH("RCOM IN Equity","ARD_OTHER_CURRENT_LIABILITIES","FY 2011","FY 2011","Currency=INR","Period=FY","BEST_FPERIOD_OVERRIDE=FY","FILING_STATUS=MR","EQY_CONSOLIDATED=Y","SCALING_FORMAT=MLN","Sort=A","Dates=H","DateFormat=P","Fill=—","Direction=H","UseDPDF=Y")</f>
        <v>166190</v>
      </c>
      <c r="F54" s="13">
        <f>_xll.BDH("RCOM IN Equity","ARD_OTHER_CURRENT_LIABILITIES","FY 2012","FY 2012","Currency=INR","Period=FY","BEST_FPERIOD_OVERRIDE=FY","FILING_STATUS=MR","EQY_CONSOLIDATED=Y","SCALING_FORMAT=MLN","Sort=A","Dates=H","DateFormat=P","Fill=—","Direction=H","UseDPDF=Y")</f>
        <v>118810</v>
      </c>
      <c r="G54" s="13">
        <f>_xll.BDH("RCOM IN Equity","ARD_OTHER_CURRENT_LIABILITIES","FY 2013","FY 2013","Currency=INR","Period=FY","BEST_FPERIOD_OVERRIDE=FY","FILING_STATUS=MR","EQY_CONSOLIDATED=Y","SCALING_FORMAT=MLN","Sort=A","Dates=H","DateFormat=P","Fill=—","Direction=H","UseDPDF=Y")</f>
        <v>104010</v>
      </c>
      <c r="H54" s="13">
        <f>_xll.BDH("RCOM IN Equity","ARD_OTHER_CURRENT_LIABILITIES","FY 2014","FY 2014","Currency=INR","Period=FY","BEST_FPERIOD_OVERRIDE=FY","FILING_STATUS=MR","EQY_CONSOLIDATED=Y","SCALING_FORMAT=MLN","Sort=A","Dates=H","DateFormat=P","Fill=—","Direction=H","UseDPDF=Y")</f>
        <v>118560</v>
      </c>
      <c r="I54" s="13">
        <f>_xll.BDH("RCOM IN Equity","ARD_OTHER_CURRENT_LIABILITIES","FY 2015","FY 2015","Currency=INR","Period=FY","BEST_FPERIOD_OVERRIDE=FY","FILING_STATUS=MR","EQY_CONSOLIDATED=Y","SCALING_FORMAT=MLN","Sort=A","Dates=H","DateFormat=P","Fill=—","Direction=H","UseDPDF=Y")</f>
        <v>118600</v>
      </c>
      <c r="J54" s="13">
        <f>_xll.BDH("RCOM IN Equity","ARD_OTHER_CURRENT_LIABILITIES","FY 2016","FY 2016","Currency=INR","Period=FY","BEST_FPERIOD_OVERRIDE=FY","FILING_STATUS=MR","EQY_CONSOLIDATED=Y","SCALING_FORMAT=MLN","Sort=A","Dates=H","DateFormat=P","Fill=—","Direction=H","UseDPDF=Y")</f>
        <v>23740</v>
      </c>
      <c r="K54" s="13">
        <f>_xll.BDH("RCOM IN Equity","ARD_OTHER_CURRENT_LIABILITIES","FY 2017","FY 2017","Currency=INR","Period=FY","BEST_FPERIOD_OVERRIDE=FY","FILING_STATUS=MR","EQY_CONSOLIDATED=Y","SCALING_FORMAT=MLN","Sort=A","Dates=H","DateFormat=P","Fill=—","Direction=H","UseDPDF=Y")</f>
        <v>17640</v>
      </c>
      <c r="L54" s="13">
        <f>_xll.BDH("RCOM IN Equity","ARD_OTHER_CURRENT_LIABILITIES","FY 2018","FY 2018","Currency=INR","Period=FY","BEST_FPERIOD_OVERRIDE=FY","FILING_STATUS=MR","EQY_CONSOLIDATED=Y","SCALING_FORMAT=MLN","Sort=A","Dates=H","DateFormat=P","Fill=—","Direction=H","UseDPDF=Y")</f>
        <v>79920</v>
      </c>
    </row>
    <row r="55" spans="1:12">
      <c r="A55" s="10" t="s">
        <v>940</v>
      </c>
      <c r="B55" s="10" t="s">
        <v>941</v>
      </c>
      <c r="C55" s="13" t="str">
        <f>_xll.BDH("RCOM IN Equity","ARD_INCOME_TAX_ACCRUED_PAYABLE","FY 2009","FY 2009","Currency=INR","Period=FY","BEST_FPERIOD_OVERRIDE=FY","FILING_STATUS=MR","EQY_CONSOLIDATED=Y","SCALING_FORMAT=MLN","Sort=A","Dates=H","DateFormat=P","Fill=—","Direction=H","UseDPDF=Y")</f>
        <v>—</v>
      </c>
      <c r="D55" s="13" t="str">
        <f>_xll.BDH("RCOM IN Equity","ARD_INCOME_TAX_ACCRUED_PAYABLE","FY 2010","FY 2010","Currency=INR","Period=FY","BEST_FPERIOD_OVERRIDE=FY","FILING_STATUS=MR","EQY_CONSOLIDATED=Y","SCALING_FORMAT=MLN","Sort=A","Dates=H","DateFormat=P","Fill=—","Direction=H","UseDPDF=Y")</f>
        <v>—</v>
      </c>
      <c r="E55" s="13" t="str">
        <f>_xll.BDH("RCOM IN Equity","ARD_INCOME_TAX_ACCRUED_PAYABLE","FY 2011","FY 2011","Currency=INR","Period=FY","BEST_FPERIOD_OVERRIDE=FY","FILING_STATUS=MR","EQY_CONSOLIDATED=Y","SCALING_FORMAT=MLN","Sort=A","Dates=H","DateFormat=P","Fill=—","Direction=H","UseDPDF=Y")</f>
        <v>—</v>
      </c>
      <c r="F55" s="13" t="str">
        <f>_xll.BDH("RCOM IN Equity","ARD_INCOME_TAX_ACCRUED_PAYABLE","FY 2012","FY 2012","Currency=INR","Period=FY","BEST_FPERIOD_OVERRIDE=FY","FILING_STATUS=MR","EQY_CONSOLIDATED=Y","SCALING_FORMAT=MLN","Sort=A","Dates=H","DateFormat=P","Fill=—","Direction=H","UseDPDF=Y")</f>
        <v>—</v>
      </c>
      <c r="G55" s="13" t="str">
        <f>_xll.BDH("RCOM IN Equity","ARD_INCOME_TAX_ACCRUED_PAYABLE","FY 2013","FY 2013","Currency=INR","Period=FY","BEST_FPERIOD_OVERRIDE=FY","FILING_STATUS=MR","EQY_CONSOLIDATED=Y","SCALING_FORMAT=MLN","Sort=A","Dates=H","DateFormat=P","Fill=—","Direction=H","UseDPDF=Y")</f>
        <v>—</v>
      </c>
      <c r="H55" s="13" t="str">
        <f>_xll.BDH("RCOM IN Equity","ARD_INCOME_TAX_ACCRUED_PAYABLE","FY 2014","FY 2014","Currency=INR","Period=FY","BEST_FPERIOD_OVERRIDE=FY","FILING_STATUS=MR","EQY_CONSOLIDATED=Y","SCALING_FORMAT=MLN","Sort=A","Dates=H","DateFormat=P","Fill=—","Direction=H","UseDPDF=Y")</f>
        <v>—</v>
      </c>
      <c r="I55" s="13" t="str">
        <f>_xll.BDH("RCOM IN Equity","ARD_INCOME_TAX_ACCRUED_PAYABLE","FY 2015","FY 2015","Currency=INR","Period=FY","BEST_FPERIOD_OVERRIDE=FY","FILING_STATUS=MR","EQY_CONSOLIDATED=Y","SCALING_FORMAT=MLN","Sort=A","Dates=H","DateFormat=P","Fill=—","Direction=H","UseDPDF=Y")</f>
        <v>—</v>
      </c>
      <c r="J55" s="13">
        <f>_xll.BDH("RCOM IN Equity","ARD_INCOME_TAX_ACCRUED_PAYABLE","FY 2016","FY 2016","Currency=INR","Period=FY","BEST_FPERIOD_OVERRIDE=FY","FILING_STATUS=MR","EQY_CONSOLIDATED=Y","SCALING_FORMAT=MLN","Sort=A","Dates=H","DateFormat=P","Fill=—","Direction=H","UseDPDF=Y")</f>
        <v>250</v>
      </c>
      <c r="K55" s="13">
        <f>_xll.BDH("RCOM IN Equity","ARD_INCOME_TAX_ACCRUED_PAYABLE","FY 2017","FY 2017","Currency=INR","Period=FY","BEST_FPERIOD_OVERRIDE=FY","FILING_STATUS=MR","EQY_CONSOLIDATED=Y","SCALING_FORMAT=MLN","Sort=A","Dates=H","DateFormat=P","Fill=—","Direction=H","UseDPDF=Y")</f>
        <v>120</v>
      </c>
      <c r="L55" s="13">
        <f>_xll.BDH("RCOM IN Equity","ARD_INCOME_TAX_ACCRUED_PAYABLE","FY 2018","FY 2018","Currency=INR","Period=FY","BEST_FPERIOD_OVERRIDE=FY","FILING_STATUS=MR","EQY_CONSOLIDATED=Y","SCALING_FORMAT=MLN","Sort=A","Dates=H","DateFormat=P","Fill=—","Direction=H","UseDPDF=Y")</f>
        <v>130</v>
      </c>
    </row>
    <row r="56" spans="1:12">
      <c r="A56" s="10" t="s">
        <v>77</v>
      </c>
      <c r="B56" s="10" t="s">
        <v>942</v>
      </c>
      <c r="C56" s="13" t="str">
        <f>_xll.BDH("RCOM IN Equity","ARD_TOT_ASSETS","FY 2009","FY 2009","Currency=INR","Period=FY","BEST_FPERIOD_OVERRIDE=FY","FILING_STATUS=MR","EQY_CONSOLIDATED=Y","SCALING_FORMAT=MLN","Sort=A","Dates=H","DateFormat=P","Fill=—","Direction=H","UseDPDF=Y")</f>
        <v>—</v>
      </c>
      <c r="D56" s="13" t="str">
        <f>_xll.BDH("RCOM IN Equity","ARD_TOT_ASSETS","FY 2010","FY 2010","Currency=INR","Period=FY","BEST_FPERIOD_OVERRIDE=FY","FILING_STATUS=MR","EQY_CONSOLIDATED=Y","SCALING_FORMAT=MLN","Sort=A","Dates=H","DateFormat=P","Fill=—","Direction=H","UseDPDF=Y")</f>
        <v>—</v>
      </c>
      <c r="E56" s="13">
        <f>_xll.BDH("RCOM IN Equity","ARD_TOT_ASSETS","FY 2011","FY 2011","Currency=INR","Period=FY","BEST_FPERIOD_OVERRIDE=FY","FILING_STATUS=MR","EQY_CONSOLIDATED=Y","SCALING_FORMAT=MLN","Sort=A","Dates=H","DateFormat=P","Fill=—","Direction=H","UseDPDF=Y")</f>
        <v>947230</v>
      </c>
      <c r="F56" s="13">
        <f>_xll.BDH("RCOM IN Equity","ARD_TOT_ASSETS","FY 2012","FY 2012","Currency=INR","Period=FY","BEST_FPERIOD_OVERRIDE=FY","FILING_STATUS=MR","EQY_CONSOLIDATED=Y","SCALING_FORMAT=MLN","Sort=A","Dates=H","DateFormat=P","Fill=—","Direction=H","UseDPDF=Y")</f>
        <v>922650</v>
      </c>
      <c r="G56" s="13">
        <f>_xll.BDH("RCOM IN Equity","ARD_TOT_ASSETS","FY 2013","FY 2013","Currency=INR","Period=FY","BEST_FPERIOD_OVERRIDE=FY","FILING_STATUS=MR","EQY_CONSOLIDATED=Y","SCALING_FORMAT=MLN","Sort=A","Dates=H","DateFormat=P","Fill=—","Direction=H","UseDPDF=Y")</f>
        <v>901820</v>
      </c>
      <c r="H56" s="13">
        <f>_xll.BDH("RCOM IN Equity","ARD_TOT_ASSETS","FY 2014","FY 2014","Currency=INR","Period=FY","BEST_FPERIOD_OVERRIDE=FY","FILING_STATUS=MR","EQY_CONSOLIDATED=Y","SCALING_FORMAT=MLN","Sort=A","Dates=H","DateFormat=P","Fill=—","Direction=H","UseDPDF=Y")</f>
        <v>907390</v>
      </c>
      <c r="I56" s="13">
        <f>_xll.BDH("RCOM IN Equity","ARD_TOT_ASSETS","FY 2015","FY 2015","Currency=INR","Period=FY","BEST_FPERIOD_OVERRIDE=FY","FILING_STATUS=MR","EQY_CONSOLIDATED=Y","SCALING_FORMAT=MLN","Sort=A","Dates=H","DateFormat=P","Fill=—","Direction=H","UseDPDF=Y")</f>
        <v>912840</v>
      </c>
      <c r="J56" s="13">
        <f>_xll.BDH("RCOM IN Equity","ARD_TOT_ASSETS","FY 2016","FY 2016","Currency=INR","Period=FY","BEST_FPERIOD_OVERRIDE=FY","FILING_STATUS=MR","EQY_CONSOLIDATED=Y","SCALING_FORMAT=MLN","Sort=A","Dates=H","DateFormat=P","Fill=—","Direction=H","UseDPDF=Y")</f>
        <v>1034540</v>
      </c>
      <c r="K56" s="13">
        <f>_xll.BDH("RCOM IN Equity","ARD_TOT_ASSETS","FY 2017","FY 2017","Currency=INR","Period=FY","BEST_FPERIOD_OVERRIDE=FY","FILING_STATUS=MR","EQY_CONSOLIDATED=Y","SCALING_FORMAT=MLN","Sort=A","Dates=H","DateFormat=P","Fill=—","Direction=H","UseDPDF=Y")</f>
        <v>997310</v>
      </c>
      <c r="L56" s="13">
        <f>_xll.BDH("RCOM IN Equity","ARD_TOT_ASSETS","FY 2018","FY 2018","Currency=INR","Period=FY","BEST_FPERIOD_OVERRIDE=FY","FILING_STATUS=MR","EQY_CONSOLIDATED=Y","SCALING_FORMAT=MLN","Sort=A","Dates=H","DateFormat=P","Fill=—","Direction=H","UseDPDF=Y")</f>
        <v>745780</v>
      </c>
    </row>
    <row r="57" spans="1:12">
      <c r="A57" s="10" t="s">
        <v>943</v>
      </c>
      <c r="B57" s="10" t="s">
        <v>944</v>
      </c>
      <c r="C57" s="13" t="str">
        <f>_xll.BDH("RCOM IN Equity","ARD_NET_CURRENT_ASSETS","FY 2009","FY 2009","Currency=INR","Period=FY","BEST_FPERIOD_OVERRIDE=FY","FILING_STATUS=MR","EQY_CONSOLIDATED=Y","SCALING_FORMAT=MLN","Sort=A","Dates=H","DateFormat=P","Fill=—","Direction=H","UseDPDF=Y")</f>
        <v>—</v>
      </c>
      <c r="D57" s="13" t="str">
        <f>_xll.BDH("RCOM IN Equity","ARD_NET_CURRENT_ASSETS","FY 2010","FY 2010","Currency=INR","Period=FY","BEST_FPERIOD_OVERRIDE=FY","FILING_STATUS=MR","EQY_CONSOLIDATED=Y","SCALING_FORMAT=MLN","Sort=A","Dates=H","DateFormat=P","Fill=—","Direction=H","UseDPDF=Y")</f>
        <v>—</v>
      </c>
      <c r="E57" s="13" t="str">
        <f>_xll.BDH("RCOM IN Equity","ARD_NET_CURRENT_ASSETS","FY 2011","FY 2011","Currency=INR","Period=FY","BEST_FPERIOD_OVERRIDE=FY","FILING_STATUS=MR","EQY_CONSOLIDATED=Y","SCALING_FORMAT=MLN","Sort=A","Dates=H","DateFormat=P","Fill=—","Direction=H","UseDPDF=Y")</f>
        <v>—</v>
      </c>
      <c r="F57" s="13" t="str">
        <f>_xll.BDH("RCOM IN Equity","ARD_NET_CURRENT_ASSETS","FY 2012","FY 2012","Currency=INR","Period=FY","BEST_FPERIOD_OVERRIDE=FY","FILING_STATUS=MR","EQY_CONSOLIDATED=Y","SCALING_FORMAT=MLN","Sort=A","Dates=H","DateFormat=P","Fill=—","Direction=H","UseDPDF=Y")</f>
        <v>—</v>
      </c>
      <c r="G57" s="13" t="str">
        <f>_xll.BDH("RCOM IN Equity","ARD_NET_CURRENT_ASSETS","FY 2013","FY 2013","Currency=INR","Period=FY","BEST_FPERIOD_OVERRIDE=FY","FILING_STATUS=MR","EQY_CONSOLIDATED=Y","SCALING_FORMAT=MLN","Sort=A","Dates=H","DateFormat=P","Fill=—","Direction=H","UseDPDF=Y")</f>
        <v>—</v>
      </c>
      <c r="H57" s="13" t="str">
        <f>_xll.BDH("RCOM IN Equity","ARD_NET_CURRENT_ASSETS","FY 2014","FY 2014","Currency=INR","Period=FY","BEST_FPERIOD_OVERRIDE=FY","FILING_STATUS=MR","EQY_CONSOLIDATED=Y","SCALING_FORMAT=MLN","Sort=A","Dates=H","DateFormat=P","Fill=—","Direction=H","UseDPDF=Y")</f>
        <v>—</v>
      </c>
      <c r="I57" s="13" t="str">
        <f>_xll.BDH("RCOM IN Equity","ARD_NET_CURRENT_ASSETS","FY 2015","FY 2015","Currency=INR","Period=FY","BEST_FPERIOD_OVERRIDE=FY","FILING_STATUS=MR","EQY_CONSOLIDATED=Y","SCALING_FORMAT=MLN","Sort=A","Dates=H","DateFormat=P","Fill=—","Direction=H","UseDPDF=Y")</f>
        <v>—</v>
      </c>
      <c r="J57" s="13" t="str">
        <f>_xll.BDH("RCOM IN Equity","ARD_NET_CURRENT_ASSETS","FY 2016","FY 2016","Currency=INR","Period=FY","BEST_FPERIOD_OVERRIDE=FY","FILING_STATUS=MR","EQY_CONSOLIDATED=Y","SCALING_FORMAT=MLN","Sort=A","Dates=H","DateFormat=P","Fill=—","Direction=H","UseDPDF=Y")</f>
        <v>—</v>
      </c>
      <c r="K57" s="13" t="str">
        <f>_xll.BDH("RCOM IN Equity","ARD_NET_CURRENT_ASSETS","FY 2017","FY 2017","Currency=INR","Period=FY","BEST_FPERIOD_OVERRIDE=FY","FILING_STATUS=MR","EQY_CONSOLIDATED=Y","SCALING_FORMAT=MLN","Sort=A","Dates=H","DateFormat=P","Fill=—","Direction=H","UseDPDF=Y")</f>
        <v>—</v>
      </c>
      <c r="L57" s="13" t="str">
        <f>_xll.BDH("RCOM IN Equity","ARD_NET_CURRENT_ASSETS","FY 2018","FY 2018","Currency=INR","Period=FY","BEST_FPERIOD_OVERRIDE=FY","FILING_STATUS=MR","EQY_CONSOLIDATED=Y","SCALING_FORMAT=MLN","Sort=A","Dates=H","DateFormat=P","Fill=—","Direction=H","UseDPDF=Y")</f>
        <v>—</v>
      </c>
    </row>
    <row r="58" spans="1:12">
      <c r="A58" s="10" t="s">
        <v>945</v>
      </c>
      <c r="B58" s="10" t="s">
        <v>946</v>
      </c>
      <c r="C58" s="13" t="str">
        <f>_xll.BDH("RCOM IN Equity","ARD_TOTAL_NONCURRENT_ASSETS","FY 2009","FY 2009","Currency=INR","Period=FY","BEST_FPERIOD_OVERRIDE=FY","FILING_STATUS=MR","EQY_CONSOLIDATED=Y","SCALING_FORMAT=MLN","Sort=A","Dates=H","DateFormat=P","Fill=—","Direction=H","UseDPDF=Y")</f>
        <v>—</v>
      </c>
      <c r="D58" s="13" t="str">
        <f>_xll.BDH("RCOM IN Equity","ARD_TOTAL_NONCURRENT_ASSETS","FY 2010","FY 2010","Currency=INR","Period=FY","BEST_FPERIOD_OVERRIDE=FY","FILING_STATUS=MR","EQY_CONSOLIDATED=Y","SCALING_FORMAT=MLN","Sort=A","Dates=H","DateFormat=P","Fill=—","Direction=H","UseDPDF=Y")</f>
        <v>—</v>
      </c>
      <c r="E58" s="13">
        <f>_xll.BDH("RCOM IN Equity","ARD_TOTAL_NONCURRENT_ASSETS","FY 2011","FY 2011","Currency=INR","Period=FY","BEST_FPERIOD_OVERRIDE=FY","FILING_STATUS=MR","EQY_CONSOLIDATED=Y","SCALING_FORMAT=MLN","Sort=A","Dates=H","DateFormat=P","Fill=—","Direction=H","UseDPDF=Y")</f>
        <v>782750</v>
      </c>
      <c r="F58" s="13">
        <f>_xll.BDH("RCOM IN Equity","ARD_TOTAL_NONCURRENT_ASSETS","FY 2012","FY 2012","Currency=INR","Period=FY","BEST_FPERIOD_OVERRIDE=FY","FILING_STATUS=MR","EQY_CONSOLIDATED=Y","SCALING_FORMAT=MLN","Sort=A","Dates=H","DateFormat=P","Fill=—","Direction=H","UseDPDF=Y")</f>
        <v>797200</v>
      </c>
      <c r="G58" s="13">
        <f>_xll.BDH("RCOM IN Equity","ARD_TOTAL_NONCURRENT_ASSETS","FY 2013","FY 2013","Currency=INR","Period=FY","BEST_FPERIOD_OVERRIDE=FY","FILING_STATUS=MR","EQY_CONSOLIDATED=Y","SCALING_FORMAT=MLN","Sort=A","Dates=H","DateFormat=P","Fill=—","Direction=H","UseDPDF=Y")</f>
        <v>779210</v>
      </c>
      <c r="H58" s="13">
        <f>_xll.BDH("RCOM IN Equity","ARD_TOTAL_NONCURRENT_ASSETS","FY 2014","FY 2014","Currency=INR","Period=FY","BEST_FPERIOD_OVERRIDE=FY","FILING_STATUS=MR","EQY_CONSOLIDATED=Y","SCALING_FORMAT=MLN","Sort=A","Dates=H","DateFormat=P","Fill=—","Direction=H","UseDPDF=Y")</f>
        <v>773620</v>
      </c>
      <c r="I58" s="13">
        <f>_xll.BDH("RCOM IN Equity","ARD_TOTAL_NONCURRENT_ASSETS","FY 2015","FY 2015","Currency=INR","Period=FY","BEST_FPERIOD_OVERRIDE=FY","FILING_STATUS=MR","EQY_CONSOLIDATED=Y","SCALING_FORMAT=MLN","Sort=A","Dates=H","DateFormat=P","Fill=—","Direction=H","UseDPDF=Y")</f>
        <v>724940</v>
      </c>
      <c r="J58" s="13">
        <f>_xll.BDH("RCOM IN Equity","ARD_TOTAL_NONCURRENT_ASSETS","FY 2016","FY 2016","Currency=INR","Period=FY","BEST_FPERIOD_OVERRIDE=FY","FILING_STATUS=MR","EQY_CONSOLIDATED=Y","SCALING_FORMAT=MLN","Sort=A","Dates=H","DateFormat=P","Fill=—","Direction=H","UseDPDF=Y")</f>
        <v>916930</v>
      </c>
      <c r="K58" s="13">
        <f>_xll.BDH("RCOM IN Equity","ARD_TOTAL_NONCURRENT_ASSETS","FY 2017","FY 2017","Currency=INR","Period=FY","BEST_FPERIOD_OVERRIDE=FY","FILING_STATUS=MR","EQY_CONSOLIDATED=Y","SCALING_FORMAT=MLN","Sort=A","Dates=H","DateFormat=P","Fill=—","Direction=H","UseDPDF=Y")</f>
        <v>867240</v>
      </c>
      <c r="L58" s="13">
        <f>_xll.BDH("RCOM IN Equity","ARD_TOTAL_NONCURRENT_ASSETS","FY 2018","FY 2018","Currency=INR","Period=FY","BEST_FPERIOD_OVERRIDE=FY","FILING_STATUS=MR","EQY_CONSOLIDATED=Y","SCALING_FORMAT=MLN","Sort=A","Dates=H","DateFormat=P","Fill=—","Direction=H","UseDPDF=Y")</f>
        <v>291190</v>
      </c>
    </row>
    <row r="59" spans="1:12">
      <c r="A59" s="10" t="s">
        <v>947</v>
      </c>
      <c r="B59" s="10" t="s">
        <v>948</v>
      </c>
      <c r="C59" s="13">
        <f>_xll.BDH("RCOM IN Equity","ARD_ST_PROVISIONS","FY 2009","FY 2009","Currency=INR","Period=FY","BEST_FPERIOD_OVERRIDE=FY","FILING_STATUS=MR","EQY_CONSOLIDATED=Y","SCALING_FORMAT=MLN","Sort=A","Dates=H","DateFormat=P","Fill=—","Direction=H","UseDPDF=Y")</f>
        <v>41095.699999999997</v>
      </c>
      <c r="D59" s="13">
        <f>_xll.BDH("RCOM IN Equity","ARD_ST_PROVISIONS","FY 2010","FY 2010","Currency=INR","Period=FY","BEST_FPERIOD_OVERRIDE=FY","FILING_STATUS=MR","EQY_CONSOLIDATED=Y","SCALING_FORMAT=MLN","Sort=A","Dates=H","DateFormat=P","Fill=—","Direction=H","UseDPDF=Y")</f>
        <v>40266.699999999997</v>
      </c>
      <c r="E59" s="13">
        <f>_xll.BDH("RCOM IN Equity","ARD_ST_PROVISIONS","FY 2011","FY 2011","Currency=INR","Period=FY","BEST_FPERIOD_OVERRIDE=FY","FILING_STATUS=MR","EQY_CONSOLIDATED=Y","SCALING_FORMAT=MLN","Sort=A","Dates=H","DateFormat=P","Fill=—","Direction=H","UseDPDF=Y")</f>
        <v>31120</v>
      </c>
      <c r="F59" s="13">
        <f>_xll.BDH("RCOM IN Equity","ARD_ST_PROVISIONS","FY 2012","FY 2012","Currency=INR","Period=FY","BEST_FPERIOD_OVERRIDE=FY","FILING_STATUS=MR","EQY_CONSOLIDATED=Y","SCALING_FORMAT=MLN","Sort=A","Dates=H","DateFormat=P","Fill=—","Direction=H","UseDPDF=Y")</f>
        <v>26660</v>
      </c>
      <c r="G59" s="13">
        <f>_xll.BDH("RCOM IN Equity","ARD_ST_PROVISIONS","FY 2013","FY 2013","Currency=INR","Period=FY","BEST_FPERIOD_OVERRIDE=FY","FILING_STATUS=MR","EQY_CONSOLIDATED=Y","SCALING_FORMAT=MLN","Sort=A","Dates=H","DateFormat=P","Fill=—","Direction=H","UseDPDF=Y")</f>
        <v>18740</v>
      </c>
      <c r="H59" s="13">
        <f>_xll.BDH("RCOM IN Equity","ARD_ST_PROVISIONS","FY 2014","FY 2014","Currency=INR","Period=FY","BEST_FPERIOD_OVERRIDE=FY","FILING_STATUS=MR","EQY_CONSOLIDATED=Y","SCALING_FORMAT=MLN","Sort=A","Dates=H","DateFormat=P","Fill=—","Direction=H","UseDPDF=Y")</f>
        <v>12570</v>
      </c>
      <c r="I59" s="13">
        <f>_xll.BDH("RCOM IN Equity","ARD_ST_PROVISIONS","FY 2015","FY 2015","Currency=INR","Period=FY","BEST_FPERIOD_OVERRIDE=FY","FILING_STATUS=MR","EQY_CONSOLIDATED=Y","SCALING_FORMAT=MLN","Sort=A","Dates=H","DateFormat=P","Fill=—","Direction=H","UseDPDF=Y")</f>
        <v>12700</v>
      </c>
      <c r="J59" s="13">
        <f>_xll.BDH("RCOM IN Equity","ARD_ST_PROVISIONS","FY 2016","FY 2016","Currency=INR","Period=FY","BEST_FPERIOD_OVERRIDE=FY","FILING_STATUS=MR","EQY_CONSOLIDATED=Y","SCALING_FORMAT=MLN","Sort=A","Dates=H","DateFormat=P","Fill=—","Direction=H","UseDPDF=Y")</f>
        <v>12430</v>
      </c>
      <c r="K59" s="13">
        <f>_xll.BDH("RCOM IN Equity","ARD_ST_PROVISIONS","FY 2017","FY 2017","Currency=INR","Period=FY","BEST_FPERIOD_OVERRIDE=FY","FILING_STATUS=MR","EQY_CONSOLIDATED=Y","SCALING_FORMAT=MLN","Sort=A","Dates=H","DateFormat=P","Fill=—","Direction=H","UseDPDF=Y")</f>
        <v>12450</v>
      </c>
      <c r="L59" s="13">
        <f>_xll.BDH("RCOM IN Equity","ARD_ST_PROVISIONS","FY 2018","FY 2018","Currency=INR","Period=FY","BEST_FPERIOD_OVERRIDE=FY","FILING_STATUS=MR","EQY_CONSOLIDATED=Y","SCALING_FORMAT=MLN","Sort=A","Dates=H","DateFormat=P","Fill=—","Direction=H","UseDPDF=Y")</f>
        <v>12370</v>
      </c>
    </row>
    <row r="60" spans="1:12">
      <c r="A60" s="10" t="s">
        <v>949</v>
      </c>
      <c r="B60" s="10" t="s">
        <v>950</v>
      </c>
      <c r="C60" s="13" t="str">
        <f>_xll.BDH("RCOM IN Equity","ARD_OTHER_FINANCIAL_LIAB_ST","FY 2009","FY 2009","Currency=INR","Period=FY","BEST_FPERIOD_OVERRIDE=FY","FILING_STATUS=MR","EQY_CONSOLIDATED=Y","SCALING_FORMAT=MLN","Sort=A","Dates=H","DateFormat=P","Fill=—","Direction=H","UseDPDF=Y")</f>
        <v>—</v>
      </c>
      <c r="D60" s="13" t="str">
        <f>_xll.BDH("RCOM IN Equity","ARD_OTHER_FINANCIAL_LIAB_ST","FY 2010","FY 2010","Currency=INR","Period=FY","BEST_FPERIOD_OVERRIDE=FY","FILING_STATUS=MR","EQY_CONSOLIDATED=Y","SCALING_FORMAT=MLN","Sort=A","Dates=H","DateFormat=P","Fill=—","Direction=H","UseDPDF=Y")</f>
        <v>—</v>
      </c>
      <c r="E60" s="13" t="str">
        <f>_xll.BDH("RCOM IN Equity","ARD_OTHER_FINANCIAL_LIAB_ST","FY 2011","FY 2011","Currency=INR","Period=FY","BEST_FPERIOD_OVERRIDE=FY","FILING_STATUS=MR","EQY_CONSOLIDATED=Y","SCALING_FORMAT=MLN","Sort=A","Dates=H","DateFormat=P","Fill=—","Direction=H","UseDPDF=Y")</f>
        <v>—</v>
      </c>
      <c r="F60" s="13" t="str">
        <f>_xll.BDH("RCOM IN Equity","ARD_OTHER_FINANCIAL_LIAB_ST","FY 2012","FY 2012","Currency=INR","Period=FY","BEST_FPERIOD_OVERRIDE=FY","FILING_STATUS=MR","EQY_CONSOLIDATED=Y","SCALING_FORMAT=MLN","Sort=A","Dates=H","DateFormat=P","Fill=—","Direction=H","UseDPDF=Y")</f>
        <v>—</v>
      </c>
      <c r="G60" s="13" t="str">
        <f>_xll.BDH("RCOM IN Equity","ARD_OTHER_FINANCIAL_LIAB_ST","FY 2013","FY 2013","Currency=INR","Period=FY","BEST_FPERIOD_OVERRIDE=FY","FILING_STATUS=MR","EQY_CONSOLIDATED=Y","SCALING_FORMAT=MLN","Sort=A","Dates=H","DateFormat=P","Fill=—","Direction=H","UseDPDF=Y")</f>
        <v>—</v>
      </c>
      <c r="H60" s="13" t="str">
        <f>_xll.BDH("RCOM IN Equity","ARD_OTHER_FINANCIAL_LIAB_ST","FY 2014","FY 2014","Currency=INR","Period=FY","BEST_FPERIOD_OVERRIDE=FY","FILING_STATUS=MR","EQY_CONSOLIDATED=Y","SCALING_FORMAT=MLN","Sort=A","Dates=H","DateFormat=P","Fill=—","Direction=H","UseDPDF=Y")</f>
        <v>—</v>
      </c>
      <c r="I60" s="13" t="str">
        <f>_xll.BDH("RCOM IN Equity","ARD_OTHER_FINANCIAL_LIAB_ST","FY 2015","FY 2015","Currency=INR","Period=FY","BEST_FPERIOD_OVERRIDE=FY","FILING_STATUS=MR","EQY_CONSOLIDATED=Y","SCALING_FORMAT=MLN","Sort=A","Dates=H","DateFormat=P","Fill=—","Direction=H","UseDPDF=Y")</f>
        <v>—</v>
      </c>
      <c r="J60" s="13">
        <f>_xll.BDH("RCOM IN Equity","ARD_OTHER_FINANCIAL_LIAB_ST","FY 2016","FY 2016","Currency=INR","Period=FY","BEST_FPERIOD_OVERRIDE=FY","FILING_STATUS=MR","EQY_CONSOLIDATED=Y","SCALING_FORMAT=MLN","Sort=A","Dates=H","DateFormat=P","Fill=—","Direction=H","UseDPDF=Y")</f>
        <v>123990</v>
      </c>
      <c r="K60" s="13">
        <f>_xll.BDH("RCOM IN Equity","ARD_OTHER_FINANCIAL_LIAB_ST","FY 2017","FY 2017","Currency=INR","Period=FY","BEST_FPERIOD_OVERRIDE=FY","FILING_STATUS=MR","EQY_CONSOLIDATED=Y","SCALING_FORMAT=MLN","Sort=A","Dates=H","DateFormat=P","Fill=—","Direction=H","UseDPDF=Y")</f>
        <v>173910</v>
      </c>
      <c r="L60" s="13">
        <f>_xll.BDH("RCOM IN Equity","ARD_OTHER_FINANCIAL_LIAB_ST","FY 2018","FY 2018","Currency=INR","Period=FY","BEST_FPERIOD_OVERRIDE=FY","FILING_STATUS=MR","EQY_CONSOLIDATED=Y","SCALING_FORMAT=MLN","Sort=A","Dates=H","DateFormat=P","Fill=—","Direction=H","UseDPDF=Y")</f>
        <v>127730</v>
      </c>
    </row>
    <row r="61" spans="1:12">
      <c r="A61" s="10" t="s">
        <v>489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</row>
    <row r="62" spans="1:12">
      <c r="A62" s="10" t="s">
        <v>912</v>
      </c>
      <c r="B62" s="10" t="s">
        <v>951</v>
      </c>
      <c r="C62" s="13">
        <f>_xll.BDH("RCOM IN Equity","ARDR_ACCTS_RECEIVABLE_TRADE","FY 2009","FY 2009","Currency=INR","Period=FY","BEST_FPERIOD_OVERRIDE=FY","FILING_STATUS=MR","EQY_CONSOLIDATED=Y","SCALING_FORMAT=MLN","Sort=A","Dates=H","DateFormat=P","Fill=—","Direction=H","UseDPDF=Y")</f>
        <v>8512.7999999999993</v>
      </c>
      <c r="D62" s="13">
        <f>_xll.BDH("RCOM IN Equity","ARDR_ACCTS_RECEIVABLE_TRADE","FY 2010","FY 2010","Currency=INR","Period=FY","BEST_FPERIOD_OVERRIDE=FY","FILING_STATUS=MR","EQY_CONSOLIDATED=Y","SCALING_FORMAT=MLN","Sort=A","Dates=H","DateFormat=P","Fill=—","Direction=H","UseDPDF=Y")</f>
        <v>9904.4</v>
      </c>
      <c r="E62" s="13">
        <f>_xll.BDH("RCOM IN Equity","ARDR_ACCTS_RECEIVABLE_TRADE","FY 2011","FY 2011","Currency=INR","Period=FY","BEST_FPERIOD_OVERRIDE=FY","FILING_STATUS=MR","EQY_CONSOLIDATED=Y","SCALING_FORMAT=MLN","Sort=A","Dates=H","DateFormat=P","Fill=—","Direction=H","UseDPDF=Y")</f>
        <v>13380</v>
      </c>
      <c r="F62" s="13">
        <f>_xll.BDH("RCOM IN Equity","ARDR_ACCTS_RECEIVABLE_TRADE","FY 2012","FY 2012","Currency=INR","Period=FY","BEST_FPERIOD_OVERRIDE=FY","FILING_STATUS=MR","EQY_CONSOLIDATED=Y","SCALING_FORMAT=MLN","Sort=A","Dates=H","DateFormat=P","Fill=—","Direction=H","UseDPDF=Y")</f>
        <v>18420</v>
      </c>
      <c r="G62" s="13">
        <f>_xll.BDH("RCOM IN Equity","ARDR_ACCTS_RECEIVABLE_TRADE","FY 2013","FY 2013","Currency=INR","Period=FY","BEST_FPERIOD_OVERRIDE=FY","FILING_STATUS=MR","EQY_CONSOLIDATED=Y","SCALING_FORMAT=MLN","Sort=A","Dates=H","DateFormat=P","Fill=—","Direction=H","UseDPDF=Y")</f>
        <v>15740</v>
      </c>
      <c r="H62" s="13">
        <f>_xll.BDH("RCOM IN Equity","ARDR_ACCTS_RECEIVABLE_TRADE","FY 2014","FY 2014","Currency=INR","Period=FY","BEST_FPERIOD_OVERRIDE=FY","FILING_STATUS=MR","EQY_CONSOLIDATED=Y","SCALING_FORMAT=MLN","Sort=A","Dates=H","DateFormat=P","Fill=—","Direction=H","UseDPDF=Y")</f>
        <v>11270</v>
      </c>
      <c r="I62" s="13">
        <f>_xll.BDH("RCOM IN Equity","ARDR_ACCTS_RECEIVABLE_TRADE","FY 2015","FY 2015","Currency=INR","Period=FY","BEST_FPERIOD_OVERRIDE=FY","FILING_STATUS=MR","EQY_CONSOLIDATED=Y","SCALING_FORMAT=MLN","Sort=A","Dates=H","DateFormat=P","Fill=—","Direction=H","UseDPDF=Y")</f>
        <v>11940</v>
      </c>
      <c r="J62" s="13">
        <f>_xll.BDH("RCOM IN Equity","ARDR_ACCTS_RECEIVABLE_TRADE","FY 2016","FY 2016","Currency=INR","Period=FY","BEST_FPERIOD_OVERRIDE=FY","FILING_STATUS=MR","EQY_CONSOLIDATED=Y","SCALING_FORMAT=MLN","Sort=A","Dates=H","DateFormat=P","Fill=—","Direction=H","UseDPDF=Y")</f>
        <v>29810</v>
      </c>
      <c r="K62" s="13">
        <f>_xll.BDH("RCOM IN Equity","ARDR_ACCTS_RECEIVABLE_TRADE","FY 2017","FY 2017","Currency=INR","Period=FY","BEST_FPERIOD_OVERRIDE=FY","FILING_STATUS=MR","EQY_CONSOLIDATED=Y","SCALING_FORMAT=MLN","Sort=A","Dates=H","DateFormat=P","Fill=—","Direction=H","UseDPDF=Y")</f>
        <v>32510</v>
      </c>
      <c r="L62" s="13">
        <f>_xll.BDH("RCOM IN Equity","ARDR_ACCTS_RECEIVABLE_TRADE","FY 2018","FY 2018","Currency=INR","Period=FY","BEST_FPERIOD_OVERRIDE=FY","FILING_STATUS=MR","EQY_CONSOLIDATED=Y","SCALING_FORMAT=MLN","Sort=A","Dates=H","DateFormat=P","Fill=—","Direction=H","UseDPDF=Y")</f>
        <v>21330</v>
      </c>
    </row>
    <row r="63" spans="1:12">
      <c r="A63" s="10" t="s">
        <v>914</v>
      </c>
      <c r="B63" s="10" t="s">
        <v>952</v>
      </c>
      <c r="C63" s="13" t="str">
        <f>_xll.BDH("RCOM IN Equity","ARDR_INVENTORY","FY 2009","FY 2009","Currency=INR","Period=FY","BEST_FPERIOD_OVERRIDE=FY","FILING_STATUS=MR","EQY_CONSOLIDATED=Y","SCALING_FORMAT=MLN","Sort=A","Dates=H","DateFormat=P","Fill=—","Direction=H","UseDPDF=Y")</f>
        <v>—</v>
      </c>
      <c r="D63" s="13" t="str">
        <f>_xll.BDH("RCOM IN Equity","ARDR_INVENTORY","FY 2010","FY 2010","Currency=INR","Period=FY","BEST_FPERIOD_OVERRIDE=FY","FILING_STATUS=MR","EQY_CONSOLIDATED=Y","SCALING_FORMAT=MLN","Sort=A","Dates=H","DateFormat=P","Fill=—","Direction=H","UseDPDF=Y")</f>
        <v>—</v>
      </c>
      <c r="E63" s="13" t="str">
        <f>_xll.BDH("RCOM IN Equity","ARDR_INVENTORY","FY 2011","FY 2011","Currency=INR","Period=FY","BEST_FPERIOD_OVERRIDE=FY","FILING_STATUS=MR","EQY_CONSOLIDATED=Y","SCALING_FORMAT=MLN","Sort=A","Dates=H","DateFormat=P","Fill=—","Direction=H","UseDPDF=Y")</f>
        <v>—</v>
      </c>
      <c r="F63" s="13" t="str">
        <f>_xll.BDH("RCOM IN Equity","ARDR_INVENTORY","FY 2012","FY 2012","Currency=INR","Period=FY","BEST_FPERIOD_OVERRIDE=FY","FILING_STATUS=MR","EQY_CONSOLIDATED=Y","SCALING_FORMAT=MLN","Sort=A","Dates=H","DateFormat=P","Fill=—","Direction=H","UseDPDF=Y")</f>
        <v>—</v>
      </c>
      <c r="G63" s="13" t="str">
        <f>_xll.BDH("RCOM IN Equity","ARDR_INVENTORY","FY 2013","FY 2013","Currency=INR","Period=FY","BEST_FPERIOD_OVERRIDE=FY","FILING_STATUS=MR","EQY_CONSOLIDATED=Y","SCALING_FORMAT=MLN","Sort=A","Dates=H","DateFormat=P","Fill=—","Direction=H","UseDPDF=Y")</f>
        <v>—</v>
      </c>
      <c r="H63" s="13" t="str">
        <f>_xll.BDH("RCOM IN Equity","ARDR_INVENTORY","FY 2014","FY 2014","Currency=INR","Period=FY","BEST_FPERIOD_OVERRIDE=FY","FILING_STATUS=MR","EQY_CONSOLIDATED=Y","SCALING_FORMAT=MLN","Sort=A","Dates=H","DateFormat=P","Fill=—","Direction=H","UseDPDF=Y")</f>
        <v>—</v>
      </c>
      <c r="I63" s="13" t="str">
        <f>_xll.BDH("RCOM IN Equity","ARDR_INVENTORY","FY 2015","FY 2015","Currency=INR","Period=FY","BEST_FPERIOD_OVERRIDE=FY","FILING_STATUS=MR","EQY_CONSOLIDATED=Y","SCALING_FORMAT=MLN","Sort=A","Dates=H","DateFormat=P","Fill=—","Direction=H","UseDPDF=Y")</f>
        <v>—</v>
      </c>
      <c r="J63" s="13">
        <f>_xll.BDH("RCOM IN Equity","ARDR_INVENTORY","FY 2016","FY 2016","Currency=INR","Period=FY","BEST_FPERIOD_OVERRIDE=FY","FILING_STATUS=MR","EQY_CONSOLIDATED=Y","SCALING_FORMAT=MLN","Sort=A","Dates=H","DateFormat=P","Fill=—","Direction=H","UseDPDF=Y")</f>
        <v>2080</v>
      </c>
      <c r="K63" s="13">
        <f>_xll.BDH("RCOM IN Equity","ARDR_INVENTORY","FY 2017","FY 2017","Currency=INR","Period=FY","BEST_FPERIOD_OVERRIDE=FY","FILING_STATUS=MR","EQY_CONSOLIDATED=Y","SCALING_FORMAT=MLN","Sort=A","Dates=H","DateFormat=P","Fill=—","Direction=H","UseDPDF=Y")</f>
        <v>2350</v>
      </c>
      <c r="L63" s="13">
        <f>_xll.BDH("RCOM IN Equity","ARDR_INVENTORY","FY 2018","FY 2018","Currency=INR","Period=FY","BEST_FPERIOD_OVERRIDE=FY","FILING_STATUS=MR","EQY_CONSOLIDATED=Y","SCALING_FORMAT=MLN","Sort=A","Dates=H","DateFormat=P","Fill=—","Direction=H","UseDPDF=Y")</f>
        <v>790</v>
      </c>
    </row>
    <row r="64" spans="1:12">
      <c r="A64" s="10" t="s">
        <v>953</v>
      </c>
      <c r="B64" s="10" t="s">
        <v>954</v>
      </c>
      <c r="C64" s="13" t="str">
        <f>_xll.BDH("RCOM IN Equity","ARDR_RESTRICTED_CASH_ST","FY 2009","FY 2009","Currency=INR","Period=FY","BEST_FPERIOD_OVERRIDE=FY","FILING_STATUS=MR","EQY_CONSOLIDATED=Y","SCALING_FORMAT=MLN","Sort=A","Dates=H","DateFormat=P","Fill=—","Direction=H","UseDPDF=Y")</f>
        <v>—</v>
      </c>
      <c r="D64" s="13" t="str">
        <f>_xll.BDH("RCOM IN Equity","ARDR_RESTRICTED_CASH_ST","FY 2010","FY 2010","Currency=INR","Period=FY","BEST_FPERIOD_OVERRIDE=FY","FILING_STATUS=MR","EQY_CONSOLIDATED=Y","SCALING_FORMAT=MLN","Sort=A","Dates=H","DateFormat=P","Fill=—","Direction=H","UseDPDF=Y")</f>
        <v>—</v>
      </c>
      <c r="E64" s="13" t="str">
        <f>_xll.BDH("RCOM IN Equity","ARDR_RESTRICTED_CASH_ST","FY 2011","FY 2011","Currency=INR","Period=FY","BEST_FPERIOD_OVERRIDE=FY","FILING_STATUS=MR","EQY_CONSOLIDATED=Y","SCALING_FORMAT=MLN","Sort=A","Dates=H","DateFormat=P","Fill=—","Direction=H","UseDPDF=Y")</f>
        <v>—</v>
      </c>
      <c r="F64" s="13" t="str">
        <f>_xll.BDH("RCOM IN Equity","ARDR_RESTRICTED_CASH_ST","FY 2012","FY 2012","Currency=INR","Period=FY","BEST_FPERIOD_OVERRIDE=FY","FILING_STATUS=MR","EQY_CONSOLIDATED=Y","SCALING_FORMAT=MLN","Sort=A","Dates=H","DateFormat=P","Fill=—","Direction=H","UseDPDF=Y")</f>
        <v>—</v>
      </c>
      <c r="G64" s="13" t="str">
        <f>_xll.BDH("RCOM IN Equity","ARDR_RESTRICTED_CASH_ST","FY 2013","FY 2013","Currency=INR","Period=FY","BEST_FPERIOD_OVERRIDE=FY","FILING_STATUS=MR","EQY_CONSOLIDATED=Y","SCALING_FORMAT=MLN","Sort=A","Dates=H","DateFormat=P","Fill=—","Direction=H","UseDPDF=Y")</f>
        <v>—</v>
      </c>
      <c r="H64" s="13" t="str">
        <f>_xll.BDH("RCOM IN Equity","ARDR_RESTRICTED_CASH_ST","FY 2014","FY 2014","Currency=INR","Period=FY","BEST_FPERIOD_OVERRIDE=FY","FILING_STATUS=MR","EQY_CONSOLIDATED=Y","SCALING_FORMAT=MLN","Sort=A","Dates=H","DateFormat=P","Fill=—","Direction=H","UseDPDF=Y")</f>
        <v>—</v>
      </c>
      <c r="I64" s="13" t="str">
        <f>_xll.BDH("RCOM IN Equity","ARDR_RESTRICTED_CASH_ST","FY 2015","FY 2015","Currency=INR","Period=FY","BEST_FPERIOD_OVERRIDE=FY","FILING_STATUS=MR","EQY_CONSOLIDATED=Y","SCALING_FORMAT=MLN","Sort=A","Dates=H","DateFormat=P","Fill=—","Direction=H","UseDPDF=Y")</f>
        <v>—</v>
      </c>
      <c r="J64" s="13">
        <f>_xll.BDH("RCOM IN Equity","ARDR_RESTRICTED_CASH_ST","FY 2016","FY 2016","Currency=INR","Period=FY","BEST_FPERIOD_OVERRIDE=FY","FILING_STATUS=MR","EQY_CONSOLIDATED=Y","SCALING_FORMAT=MLN","Sort=A","Dates=H","DateFormat=P","Fill=—","Direction=H","UseDPDF=Y")</f>
        <v>70</v>
      </c>
      <c r="K64" s="13">
        <f>_xll.BDH("RCOM IN Equity","ARDR_RESTRICTED_CASH_ST","FY 2017","FY 2017","Currency=INR","Period=FY","BEST_FPERIOD_OVERRIDE=FY","FILING_STATUS=MR","EQY_CONSOLIDATED=Y","SCALING_FORMAT=MLN","Sort=A","Dates=H","DateFormat=P","Fill=—","Direction=H","UseDPDF=Y")</f>
        <v>50</v>
      </c>
      <c r="L64" s="13">
        <f>_xll.BDH("RCOM IN Equity","ARDR_RESTRICTED_CASH_ST","FY 2018","FY 2018","Currency=INR","Period=FY","BEST_FPERIOD_OVERRIDE=FY","FILING_STATUS=MR","EQY_CONSOLIDATED=Y","SCALING_FORMAT=MLN","Sort=A","Dates=H","DateFormat=P","Fill=—","Direction=H","UseDPDF=Y")</f>
        <v>30</v>
      </c>
    </row>
    <row r="65" spans="1:12">
      <c r="A65" s="10" t="s">
        <v>916</v>
      </c>
      <c r="B65" s="10" t="s">
        <v>955</v>
      </c>
      <c r="C65" s="13" t="str">
        <f>_xll.BDH("RCOM IN Equity","ARDR_ASSETS_HELD_SALE","FY 2009","FY 2009","Currency=INR","Period=FY","BEST_FPERIOD_OVERRIDE=FY","FILING_STATUS=MR","EQY_CONSOLIDATED=Y","SCALING_FORMAT=MLN","Sort=A","Dates=H","DateFormat=P","Fill=—","Direction=H","UseDPDF=Y")</f>
        <v>—</v>
      </c>
      <c r="D65" s="13" t="str">
        <f>_xll.BDH("RCOM IN Equity","ARDR_ASSETS_HELD_SALE","FY 2010","FY 2010","Currency=INR","Period=FY","BEST_FPERIOD_OVERRIDE=FY","FILING_STATUS=MR","EQY_CONSOLIDATED=Y","SCALING_FORMAT=MLN","Sort=A","Dates=H","DateFormat=P","Fill=—","Direction=H","UseDPDF=Y")</f>
        <v>—</v>
      </c>
      <c r="E65" s="13" t="str">
        <f>_xll.BDH("RCOM IN Equity","ARDR_ASSETS_HELD_SALE","FY 2011","FY 2011","Currency=INR","Period=FY","BEST_FPERIOD_OVERRIDE=FY","FILING_STATUS=MR","EQY_CONSOLIDATED=Y","SCALING_FORMAT=MLN","Sort=A","Dates=H","DateFormat=P","Fill=—","Direction=H","UseDPDF=Y")</f>
        <v>—</v>
      </c>
      <c r="F65" s="13" t="str">
        <f>_xll.BDH("RCOM IN Equity","ARDR_ASSETS_HELD_SALE","FY 2012","FY 2012","Currency=INR","Period=FY","BEST_FPERIOD_OVERRIDE=FY","FILING_STATUS=MR","EQY_CONSOLIDATED=Y","SCALING_FORMAT=MLN","Sort=A","Dates=H","DateFormat=P","Fill=—","Direction=H","UseDPDF=Y")</f>
        <v>—</v>
      </c>
      <c r="G65" s="13" t="str">
        <f>_xll.BDH("RCOM IN Equity","ARDR_ASSETS_HELD_SALE","FY 2013","FY 2013","Currency=INR","Period=FY","BEST_FPERIOD_OVERRIDE=FY","FILING_STATUS=MR","EQY_CONSOLIDATED=Y","SCALING_FORMAT=MLN","Sort=A","Dates=H","DateFormat=P","Fill=—","Direction=H","UseDPDF=Y")</f>
        <v>—</v>
      </c>
      <c r="H65" s="13" t="str">
        <f>_xll.BDH("RCOM IN Equity","ARDR_ASSETS_HELD_SALE","FY 2014","FY 2014","Currency=INR","Period=FY","BEST_FPERIOD_OVERRIDE=FY","FILING_STATUS=MR","EQY_CONSOLIDATED=Y","SCALING_FORMAT=MLN","Sort=A","Dates=H","DateFormat=P","Fill=—","Direction=H","UseDPDF=Y")</f>
        <v>—</v>
      </c>
      <c r="I65" s="13" t="str">
        <f>_xll.BDH("RCOM IN Equity","ARDR_ASSETS_HELD_SALE","FY 2015","FY 2015","Currency=INR","Period=FY","BEST_FPERIOD_OVERRIDE=FY","FILING_STATUS=MR","EQY_CONSOLIDATED=Y","SCALING_FORMAT=MLN","Sort=A","Dates=H","DateFormat=P","Fill=—","Direction=H","UseDPDF=Y")</f>
        <v>—</v>
      </c>
      <c r="J65" s="13" t="str">
        <f>_xll.BDH("RCOM IN Equity","ARDR_ASSETS_HELD_SALE","FY 2016","FY 2016","Currency=INR","Period=FY","BEST_FPERIOD_OVERRIDE=FY","FILING_STATUS=MR","EQY_CONSOLIDATED=Y","SCALING_FORMAT=MLN","Sort=A","Dates=H","DateFormat=P","Fill=—","Direction=H","UseDPDF=Y")</f>
        <v>—</v>
      </c>
      <c r="K65" s="13" t="str">
        <f>_xll.BDH("RCOM IN Equity","ARDR_ASSETS_HELD_SALE","FY 2017","FY 2017","Currency=INR","Period=FY","BEST_FPERIOD_OVERRIDE=FY","FILING_STATUS=MR","EQY_CONSOLIDATED=Y","SCALING_FORMAT=MLN","Sort=A","Dates=H","DateFormat=P","Fill=—","Direction=H","UseDPDF=Y")</f>
        <v>—</v>
      </c>
      <c r="L65" s="13">
        <f>_xll.BDH("RCOM IN Equity","ARDR_ASSETS_HELD_SALE","FY 2018","FY 2018","Currency=INR","Period=FY","BEST_FPERIOD_OVERRIDE=FY","FILING_STATUS=MR","EQY_CONSOLIDATED=Y","SCALING_FORMAT=MLN","Sort=A","Dates=H","DateFormat=P","Fill=—","Direction=H","UseDPDF=Y")</f>
        <v>368340</v>
      </c>
    </row>
    <row r="66" spans="1:12">
      <c r="A66" s="10" t="s">
        <v>918</v>
      </c>
      <c r="B66" s="10" t="s">
        <v>956</v>
      </c>
      <c r="C66" s="13">
        <f>_xll.BDH("RCOM IN Equity","ARDR_OTHER_CURRENT_ASSETS","FY 2009","FY 2009","Currency=INR","Period=FY","BEST_FPERIOD_OVERRIDE=FY","FILING_STATUS=MR","EQY_CONSOLIDATED=Y","SCALING_FORMAT=MLN","Sort=A","Dates=H","DateFormat=P","Fill=—","Direction=H","UseDPDF=Y")</f>
        <v>67677.899999999994</v>
      </c>
      <c r="D66" s="13">
        <f>_xll.BDH("RCOM IN Equity","ARDR_OTHER_CURRENT_ASSETS","FY 2010","FY 2010","Currency=INR","Period=FY","BEST_FPERIOD_OVERRIDE=FY","FILING_STATUS=MR","EQY_CONSOLIDATED=Y","SCALING_FORMAT=MLN","Sort=A","Dates=H","DateFormat=P","Fill=—","Direction=H","UseDPDF=Y")</f>
        <v>57682.2</v>
      </c>
      <c r="E66" s="13">
        <f>_xll.BDH("RCOM IN Equity","ARDR_OTHER_CURRENT_ASSETS","FY 2011","FY 2011","Currency=INR","Period=FY","BEST_FPERIOD_OVERRIDE=FY","FILING_STATUS=MR","EQY_CONSOLIDATED=Y","SCALING_FORMAT=MLN","Sort=A","Dates=H","DateFormat=P","Fill=—","Direction=H","UseDPDF=Y")</f>
        <v>51620</v>
      </c>
      <c r="F66" s="13">
        <f>_xll.BDH("RCOM IN Equity","ARDR_OTHER_CURRENT_ASSETS","FY 2012","FY 2012","Currency=INR","Period=FY","BEST_FPERIOD_OVERRIDE=FY","FILING_STATUS=MR","EQY_CONSOLIDATED=Y","SCALING_FORMAT=MLN","Sort=A","Dates=H","DateFormat=P","Fill=—","Direction=H","UseDPDF=Y")</f>
        <v>55930</v>
      </c>
      <c r="G66" s="13">
        <f>_xll.BDH("RCOM IN Equity","ARDR_OTHER_CURRENT_ASSETS","FY 2013","FY 2013","Currency=INR","Period=FY","BEST_FPERIOD_OVERRIDE=FY","FILING_STATUS=MR","EQY_CONSOLIDATED=Y","SCALING_FORMAT=MLN","Sort=A","Dates=H","DateFormat=P","Fill=—","Direction=H","UseDPDF=Y")</f>
        <v>48610</v>
      </c>
      <c r="H66" s="13">
        <f>_xll.BDH("RCOM IN Equity","ARDR_OTHER_CURRENT_ASSETS","FY 2014","FY 2014","Currency=INR","Period=FY","BEST_FPERIOD_OVERRIDE=FY","FILING_STATUS=MR","EQY_CONSOLIDATED=Y","SCALING_FORMAT=MLN","Sort=A","Dates=H","DateFormat=P","Fill=—","Direction=H","UseDPDF=Y")</f>
        <v>62510</v>
      </c>
      <c r="I66" s="13">
        <f>_xll.BDH("RCOM IN Equity","ARDR_OTHER_CURRENT_ASSETS","FY 2015","FY 2015","Currency=INR","Period=FY","BEST_FPERIOD_OVERRIDE=FY","FILING_STATUS=MR","EQY_CONSOLIDATED=Y","SCALING_FORMAT=MLN","Sort=A","Dates=H","DateFormat=P","Fill=—","Direction=H","UseDPDF=Y")</f>
        <v>90820</v>
      </c>
      <c r="J66" s="13">
        <f>_xll.BDH("RCOM IN Equity","ARDR_OTHER_CURRENT_ASSETS","FY 2016","FY 2016","Currency=INR","Period=FY","BEST_FPERIOD_OVERRIDE=FY","FILING_STATUS=MR","EQY_CONSOLIDATED=Y","SCALING_FORMAT=MLN","Sort=A","Dates=H","DateFormat=P","Fill=—","Direction=H","UseDPDF=Y")</f>
        <v>270</v>
      </c>
      <c r="K66" s="13">
        <f>_xll.BDH("RCOM IN Equity","ARDR_OTHER_CURRENT_ASSETS","FY 2017","FY 2017","Currency=INR","Period=FY","BEST_FPERIOD_OVERRIDE=FY","FILING_STATUS=MR","EQY_CONSOLIDATED=Y","SCALING_FORMAT=MLN","Sort=A","Dates=H","DateFormat=P","Fill=—","Direction=H","UseDPDF=Y")</f>
        <v>300</v>
      </c>
      <c r="L66" s="13">
        <f>_xll.BDH("RCOM IN Equity","ARDR_OTHER_CURRENT_ASSETS","FY 2018","FY 2018","Currency=INR","Period=FY","BEST_FPERIOD_OVERRIDE=FY","FILING_STATUS=MR","EQY_CONSOLIDATED=Y","SCALING_FORMAT=MLN","Sort=A","Dates=H","DateFormat=P","Fill=—","Direction=H","UseDPDF=Y")</f>
        <v>170</v>
      </c>
    </row>
    <row r="67" spans="1:12">
      <c r="A67" s="10" t="s">
        <v>888</v>
      </c>
      <c r="B67" s="10" t="s">
        <v>957</v>
      </c>
      <c r="C67" s="13" t="str">
        <f>_xll.BDH("RCOM IN Equity","ARDR_LT_INVEST","FY 2009","FY 2009","Currency=INR","Period=FY","BEST_FPERIOD_OVERRIDE=FY","FILING_STATUS=MR","EQY_CONSOLIDATED=Y","SCALING_FORMAT=MLN","Sort=A","Dates=H","DateFormat=P","Fill=—","Direction=H","UseDPDF=Y")</f>
        <v>—</v>
      </c>
      <c r="D67" s="13" t="str">
        <f>_xll.BDH("RCOM IN Equity","ARDR_LT_INVEST","FY 2010","FY 2010","Currency=INR","Period=FY","BEST_FPERIOD_OVERRIDE=FY","FILING_STATUS=MR","EQY_CONSOLIDATED=Y","SCALING_FORMAT=MLN","Sort=A","Dates=H","DateFormat=P","Fill=—","Direction=H","UseDPDF=Y")</f>
        <v>—</v>
      </c>
      <c r="E67" s="13" t="str">
        <f>_xll.BDH("RCOM IN Equity","ARDR_LT_INVEST","FY 2011","FY 2011","Currency=INR","Period=FY","BEST_FPERIOD_OVERRIDE=FY","FILING_STATUS=MR","EQY_CONSOLIDATED=Y","SCALING_FORMAT=MLN","Sort=A","Dates=H","DateFormat=P","Fill=—","Direction=H","UseDPDF=Y")</f>
        <v>—</v>
      </c>
      <c r="F67" s="13" t="str">
        <f>_xll.BDH("RCOM IN Equity","ARDR_LT_INVEST","FY 2012","FY 2012","Currency=INR","Period=FY","BEST_FPERIOD_OVERRIDE=FY","FILING_STATUS=MR","EQY_CONSOLIDATED=Y","SCALING_FORMAT=MLN","Sort=A","Dates=H","DateFormat=P","Fill=—","Direction=H","UseDPDF=Y")</f>
        <v>—</v>
      </c>
      <c r="G67" s="13" t="str">
        <f>_xll.BDH("RCOM IN Equity","ARDR_LT_INVEST","FY 2013","FY 2013","Currency=INR","Period=FY","BEST_FPERIOD_OVERRIDE=FY","FILING_STATUS=MR","EQY_CONSOLIDATED=Y","SCALING_FORMAT=MLN","Sort=A","Dates=H","DateFormat=P","Fill=—","Direction=H","UseDPDF=Y")</f>
        <v>—</v>
      </c>
      <c r="H67" s="13" t="str">
        <f>_xll.BDH("RCOM IN Equity","ARDR_LT_INVEST","FY 2014","FY 2014","Currency=INR","Period=FY","BEST_FPERIOD_OVERRIDE=FY","FILING_STATUS=MR","EQY_CONSOLIDATED=Y","SCALING_FORMAT=MLN","Sort=A","Dates=H","DateFormat=P","Fill=—","Direction=H","UseDPDF=Y")</f>
        <v>—</v>
      </c>
      <c r="I67" s="13" t="str">
        <f>_xll.BDH("RCOM IN Equity","ARDR_LT_INVEST","FY 2015","FY 2015","Currency=INR","Period=FY","BEST_FPERIOD_OVERRIDE=FY","FILING_STATUS=MR","EQY_CONSOLIDATED=Y","SCALING_FORMAT=MLN","Sort=A","Dates=H","DateFormat=P","Fill=—","Direction=H","UseDPDF=Y")</f>
        <v>—</v>
      </c>
      <c r="J67" s="13">
        <f>_xll.BDH("RCOM IN Equity","ARDR_LT_INVEST","FY 2016","FY 2016","Currency=INR","Period=FY","BEST_FPERIOD_OVERRIDE=FY","FILING_STATUS=MR","EQY_CONSOLIDATED=Y","SCALING_FORMAT=MLN","Sort=A","Dates=H","DateFormat=P","Fill=—","Direction=H","UseDPDF=Y")</f>
        <v>0</v>
      </c>
      <c r="K67" s="13">
        <f>_xll.BDH("RCOM IN Equity","ARDR_LT_INVEST","FY 2017","FY 2017","Currency=INR","Period=FY","BEST_FPERIOD_OVERRIDE=FY","FILING_STATUS=MR","EQY_CONSOLIDATED=Y","SCALING_FORMAT=MLN","Sort=A","Dates=H","DateFormat=P","Fill=—","Direction=H","UseDPDF=Y")</f>
        <v>0</v>
      </c>
      <c r="L67" s="13">
        <f>_xll.BDH("RCOM IN Equity","ARDR_LT_INVEST","FY 2018","FY 2018","Currency=INR","Period=FY","BEST_FPERIOD_OVERRIDE=FY","FILING_STATUS=MR","EQY_CONSOLIDATED=Y","SCALING_FORMAT=MLN","Sort=A","Dates=H","DateFormat=P","Fill=—","Direction=H","UseDPDF=Y")</f>
        <v>320</v>
      </c>
    </row>
    <row r="68" spans="1:12">
      <c r="A68" s="10" t="s">
        <v>958</v>
      </c>
      <c r="B68" s="10" t="s">
        <v>959</v>
      </c>
      <c r="C68" s="13">
        <f>_xll.BDH("RCOM IN Equity","ARDR_BUILDING","FY 2009","FY 2009","Currency=INR","Period=FY","BEST_FPERIOD_OVERRIDE=FY","FILING_STATUS=MR","EQY_CONSOLIDATED=Y","SCALING_FORMAT=MLN","Sort=A","Dates=H","DateFormat=P","Fill=—","Direction=H","UseDPDF=Y")</f>
        <v>22388.7</v>
      </c>
      <c r="D68" s="13">
        <f>_xll.BDH("RCOM IN Equity","ARDR_BUILDING","FY 2010","FY 2010","Currency=INR","Period=FY","BEST_FPERIOD_OVERRIDE=FY","FILING_STATUS=MR","EQY_CONSOLIDATED=Y","SCALING_FORMAT=MLN","Sort=A","Dates=H","DateFormat=P","Fill=—","Direction=H","UseDPDF=Y")</f>
        <v>23055.7</v>
      </c>
      <c r="E68" s="13">
        <f>_xll.BDH("RCOM IN Equity","ARDR_BUILDING","FY 2011","FY 2011","Currency=INR","Period=FY","BEST_FPERIOD_OVERRIDE=FY","FILING_STATUS=MR","EQY_CONSOLIDATED=Y","SCALING_FORMAT=MLN","Sort=A","Dates=H","DateFormat=P","Fill=—","Direction=H","UseDPDF=Y")</f>
        <v>23890</v>
      </c>
      <c r="F68" s="13">
        <f>_xll.BDH("RCOM IN Equity","ARDR_BUILDING","FY 2012","FY 2012","Currency=INR","Period=FY","BEST_FPERIOD_OVERRIDE=FY","FILING_STATUS=MR","EQY_CONSOLIDATED=Y","SCALING_FORMAT=MLN","Sort=A","Dates=H","DateFormat=P","Fill=—","Direction=H","UseDPDF=Y")</f>
        <v>23960</v>
      </c>
      <c r="G68" s="13">
        <f>_xll.BDH("RCOM IN Equity","ARDR_BUILDING","FY 2013","FY 2013","Currency=INR","Period=FY","BEST_FPERIOD_OVERRIDE=FY","FILING_STATUS=MR","EQY_CONSOLIDATED=Y","SCALING_FORMAT=MLN","Sort=A","Dates=H","DateFormat=P","Fill=—","Direction=H","UseDPDF=Y")</f>
        <v>24040</v>
      </c>
      <c r="H68" s="13">
        <f>_xll.BDH("RCOM IN Equity","ARDR_BUILDING","FY 2014","FY 2014","Currency=INR","Period=FY","BEST_FPERIOD_OVERRIDE=FY","FILING_STATUS=MR","EQY_CONSOLIDATED=Y","SCALING_FORMAT=MLN","Sort=A","Dates=H","DateFormat=P","Fill=—","Direction=H","UseDPDF=Y")</f>
        <v>24150</v>
      </c>
      <c r="I68" s="13">
        <f>_xll.BDH("RCOM IN Equity","ARDR_BUILDING","FY 2015","FY 2015","Currency=INR","Period=FY","BEST_FPERIOD_OVERRIDE=FY","FILING_STATUS=MR","EQY_CONSOLIDATED=Y","SCALING_FORMAT=MLN","Sort=A","Dates=H","DateFormat=P","Fill=—","Direction=H","UseDPDF=Y")</f>
        <v>24190</v>
      </c>
      <c r="J68" s="13">
        <f>_xll.BDH("RCOM IN Equity","ARDR_BUILDING","FY 2016","FY 2016","Currency=INR","Period=FY","BEST_FPERIOD_OVERRIDE=FY","FILING_STATUS=MR","EQY_CONSOLIDATED=Y","SCALING_FORMAT=MLN","Sort=A","Dates=H","DateFormat=P","Fill=—","Direction=H","UseDPDF=Y")</f>
        <v>14470</v>
      </c>
      <c r="K68" s="13">
        <f>_xll.BDH("RCOM IN Equity","ARDR_BUILDING","FY 2017","FY 2017","Currency=INR","Period=FY","BEST_FPERIOD_OVERRIDE=FY","FILING_STATUS=MR","EQY_CONSOLIDATED=Y","SCALING_FORMAT=MLN","Sort=A","Dates=H","DateFormat=P","Fill=—","Direction=H","UseDPDF=Y")</f>
        <v>13160</v>
      </c>
      <c r="L68" s="13">
        <f>_xll.BDH("RCOM IN Equity","ARDR_BUILDING","FY 2018","FY 2018","Currency=INR","Period=FY","BEST_FPERIOD_OVERRIDE=FY","FILING_STATUS=MR","EQY_CONSOLIDATED=Y","SCALING_FORMAT=MLN","Sort=A","Dates=H","DateFormat=P","Fill=—","Direction=H","UseDPDF=Y")</f>
        <v>3380</v>
      </c>
    </row>
    <row r="69" spans="1:12">
      <c r="A69" s="10" t="s">
        <v>960</v>
      </c>
      <c r="B69" s="10" t="s">
        <v>961</v>
      </c>
      <c r="C69" s="13">
        <f>_xll.BDH("RCOM IN Equity","ARDR_LEASEHOLD_IMPROVEMENTS","FY 2009","FY 2009","Currency=INR","Period=FY","BEST_FPERIOD_OVERRIDE=FY","FILING_STATUS=MR","EQY_CONSOLIDATED=Y","SCALING_FORMAT=MLN","Sort=A","Dates=H","DateFormat=P","Fill=—","Direction=H","UseDPDF=Y")</f>
        <v>818.3</v>
      </c>
      <c r="D69" s="13">
        <f>_xll.BDH("RCOM IN Equity","ARDR_LEASEHOLD_IMPROVEMENTS","FY 2010","FY 2010","Currency=INR","Period=FY","BEST_FPERIOD_OVERRIDE=FY","FILING_STATUS=MR","EQY_CONSOLIDATED=Y","SCALING_FORMAT=MLN","Sort=A","Dates=H","DateFormat=P","Fill=—","Direction=H","UseDPDF=Y")</f>
        <v>766.3</v>
      </c>
      <c r="E69" s="13">
        <f>_xll.BDH("RCOM IN Equity","ARDR_LEASEHOLD_IMPROVEMENTS","FY 2011","FY 2011","Currency=INR","Period=FY","BEST_FPERIOD_OVERRIDE=FY","FILING_STATUS=MR","EQY_CONSOLIDATED=Y","SCALING_FORMAT=MLN","Sort=A","Dates=H","DateFormat=P","Fill=—","Direction=H","UseDPDF=Y")</f>
        <v>1630</v>
      </c>
      <c r="F69" s="13">
        <f>_xll.BDH("RCOM IN Equity","ARDR_LEASEHOLD_IMPROVEMENTS","FY 2012","FY 2012","Currency=INR","Period=FY","BEST_FPERIOD_OVERRIDE=FY","FILING_STATUS=MR","EQY_CONSOLIDATED=Y","SCALING_FORMAT=MLN","Sort=A","Dates=H","DateFormat=P","Fill=—","Direction=H","UseDPDF=Y")</f>
        <v>1710</v>
      </c>
      <c r="G69" s="13">
        <f>_xll.BDH("RCOM IN Equity","ARDR_LEASEHOLD_IMPROVEMENTS","FY 2013","FY 2013","Currency=INR","Period=FY","BEST_FPERIOD_OVERRIDE=FY","FILING_STATUS=MR","EQY_CONSOLIDATED=Y","SCALING_FORMAT=MLN","Sort=A","Dates=H","DateFormat=P","Fill=—","Direction=H","UseDPDF=Y")</f>
        <v>1750</v>
      </c>
      <c r="H69" s="13">
        <f>_xll.BDH("RCOM IN Equity","ARDR_LEASEHOLD_IMPROVEMENTS","FY 2014","FY 2014","Currency=INR","Period=FY","BEST_FPERIOD_OVERRIDE=FY","FILING_STATUS=MR","EQY_CONSOLIDATED=Y","SCALING_FORMAT=MLN","Sort=A","Dates=H","DateFormat=P","Fill=—","Direction=H","UseDPDF=Y")</f>
        <v>1850</v>
      </c>
      <c r="I69" s="13">
        <f>_xll.BDH("RCOM IN Equity","ARDR_LEASEHOLD_IMPROVEMENTS","FY 2015","FY 2015","Currency=INR","Period=FY","BEST_FPERIOD_OVERRIDE=FY","FILING_STATUS=MR","EQY_CONSOLIDATED=Y","SCALING_FORMAT=MLN","Sort=A","Dates=H","DateFormat=P","Fill=—","Direction=H","UseDPDF=Y")</f>
        <v>1570</v>
      </c>
      <c r="J69" s="13">
        <f>_xll.BDH("RCOM IN Equity","ARDR_LEASEHOLD_IMPROVEMENTS","FY 2016","FY 2016","Currency=INR","Period=FY","BEST_FPERIOD_OVERRIDE=FY","FILING_STATUS=MR","EQY_CONSOLIDATED=Y","SCALING_FORMAT=MLN","Sort=A","Dates=H","DateFormat=P","Fill=—","Direction=H","UseDPDF=Y")</f>
        <v>790</v>
      </c>
      <c r="K69" s="13">
        <f>_xll.BDH("RCOM IN Equity","ARDR_LEASEHOLD_IMPROVEMENTS","FY 2017","FY 2017","Currency=INR","Period=FY","BEST_FPERIOD_OVERRIDE=FY","FILING_STATUS=MR","EQY_CONSOLIDATED=Y","SCALING_FORMAT=MLN","Sort=A","Dates=H","DateFormat=P","Fill=—","Direction=H","UseDPDF=Y")</f>
        <v>670</v>
      </c>
      <c r="L69" s="13">
        <f>_xll.BDH("RCOM IN Equity","ARDR_LEASEHOLD_IMPROVEMENTS","FY 2018","FY 2018","Currency=INR","Period=FY","BEST_FPERIOD_OVERRIDE=FY","FILING_STATUS=MR","EQY_CONSOLIDATED=Y","SCALING_FORMAT=MLN","Sort=A","Dates=H","DateFormat=P","Fill=—","Direction=H","UseDPDF=Y")</f>
        <v>600</v>
      </c>
    </row>
    <row r="70" spans="1:12">
      <c r="A70" s="10" t="s">
        <v>962</v>
      </c>
      <c r="B70" s="10" t="s">
        <v>963</v>
      </c>
      <c r="C70" s="13">
        <f>_xll.BDH("RCOM IN Equity","ARDR_CONSTRUCTION_IN_PROGRESS","FY 2009","FY 2009","Currency=INR","Period=FY","BEST_FPERIOD_OVERRIDE=FY","FILING_STATUS=MR","EQY_CONSOLIDATED=Y","SCALING_FORMAT=MLN","Sort=A","Dates=H","DateFormat=P","Fill=—","Direction=H","UseDPDF=Y")</f>
        <v>113096</v>
      </c>
      <c r="D70" s="13">
        <f>_xll.BDH("RCOM IN Equity","ARDR_CONSTRUCTION_IN_PROGRESS","FY 2010","FY 2010","Currency=INR","Period=FY","BEST_FPERIOD_OVERRIDE=FY","FILING_STATUS=MR","EQY_CONSOLIDATED=Y","SCALING_FORMAT=MLN","Sort=A","Dates=H","DateFormat=P","Fill=—","Direction=H","UseDPDF=Y")</f>
        <v>116556.5</v>
      </c>
      <c r="E70" s="13">
        <f>_xll.BDH("RCOM IN Equity","ARDR_CONSTRUCTION_IN_PROGRESS","FY 2011","FY 2011","Currency=INR","Period=FY","BEST_FPERIOD_OVERRIDE=FY","FILING_STATUS=MR","EQY_CONSOLIDATED=Y","SCALING_FORMAT=MLN","Sort=A","Dates=H","DateFormat=P","Fill=—","Direction=H","UseDPDF=Y")</f>
        <v>166000</v>
      </c>
      <c r="F70" s="13">
        <f>_xll.BDH("RCOM IN Equity","ARDR_CONSTRUCTION_IN_PROGRESS","FY 2012","FY 2012","Currency=INR","Period=FY","BEST_FPERIOD_OVERRIDE=FY","FILING_STATUS=MR","EQY_CONSOLIDATED=Y","SCALING_FORMAT=MLN","Sort=A","Dates=H","DateFormat=P","Fill=—","Direction=H","UseDPDF=Y")</f>
        <v>50260</v>
      </c>
      <c r="G70" s="13">
        <f>_xll.BDH("RCOM IN Equity","ARDR_CONSTRUCTION_IN_PROGRESS","FY 2013","FY 2013","Currency=INR","Period=FY","BEST_FPERIOD_OVERRIDE=FY","FILING_STATUS=MR","EQY_CONSOLIDATED=Y","SCALING_FORMAT=MLN","Sort=A","Dates=H","DateFormat=P","Fill=—","Direction=H","UseDPDF=Y")</f>
        <v>38640</v>
      </c>
      <c r="H70" s="13">
        <f>_xll.BDH("RCOM IN Equity","ARDR_CONSTRUCTION_IN_PROGRESS","FY 2014","FY 2014","Currency=INR","Period=FY","BEST_FPERIOD_OVERRIDE=FY","FILING_STATUS=MR","EQY_CONSOLIDATED=Y","SCALING_FORMAT=MLN","Sort=A","Dates=H","DateFormat=P","Fill=—","Direction=H","UseDPDF=Y")</f>
        <v>31900</v>
      </c>
      <c r="I70" s="13" t="str">
        <f>_xll.BDH("RCOM IN Equity","ARDR_CONSTRUCTION_IN_PROGRESS","FY 2015","FY 2015","Currency=INR","Period=FY","BEST_FPERIOD_OVERRIDE=FY","FILING_STATUS=MR","EQY_CONSOLIDATED=Y","SCALING_FORMAT=MLN","Sort=A","Dates=H","DateFormat=P","Fill=—","Direction=H","UseDPDF=Y")</f>
        <v>—</v>
      </c>
      <c r="J70" s="13">
        <f>_xll.BDH("RCOM IN Equity","ARDR_CONSTRUCTION_IN_PROGRESS","FY 2016","FY 2016","Currency=INR","Period=FY","BEST_FPERIOD_OVERRIDE=FY","FILING_STATUS=MR","EQY_CONSOLIDATED=Y","SCALING_FORMAT=MLN","Sort=A","Dates=H","DateFormat=P","Fill=—","Direction=H","UseDPDF=Y")</f>
        <v>17540</v>
      </c>
      <c r="K70" s="13">
        <f>_xll.BDH("RCOM IN Equity","ARDR_CONSTRUCTION_IN_PROGRESS","FY 2017","FY 2017","Currency=INR","Period=FY","BEST_FPERIOD_OVERRIDE=FY","FILING_STATUS=MR","EQY_CONSOLIDATED=Y","SCALING_FORMAT=MLN","Sort=A","Dates=H","DateFormat=P","Fill=—","Direction=H","UseDPDF=Y")</f>
        <v>19090</v>
      </c>
      <c r="L70" s="13" t="str">
        <f>_xll.BDH("RCOM IN Equity","ARDR_CONSTRUCTION_IN_PROGRESS","FY 2018","FY 2018","Currency=INR","Period=FY","BEST_FPERIOD_OVERRIDE=FY","FILING_STATUS=MR","EQY_CONSOLIDATED=Y","SCALING_FORMAT=MLN","Sort=A","Dates=H","DateFormat=P","Fill=—","Direction=H","UseDPDF=Y")</f>
        <v>—</v>
      </c>
    </row>
    <row r="71" spans="1:12">
      <c r="A71" s="10" t="s">
        <v>964</v>
      </c>
      <c r="B71" s="10" t="s">
        <v>965</v>
      </c>
      <c r="C71" s="13">
        <f>_xll.BDH("RCOM IN Equity","ARDR_FURNITURE_MACHINERY_EQUIP","FY 2009","FY 2009","Currency=INR","Period=FY","BEST_FPERIOD_OVERRIDE=FY","FILING_STATUS=MR","EQY_CONSOLIDATED=Y","SCALING_FORMAT=MLN","Sort=A","Dates=H","DateFormat=P","Fill=—","Direction=H","UseDPDF=Y")</f>
        <v>32.5</v>
      </c>
      <c r="D71" s="13">
        <f>_xll.BDH("RCOM IN Equity","ARDR_FURNITURE_MACHINERY_EQUIP","FY 2010","FY 2010","Currency=INR","Period=FY","BEST_FPERIOD_OVERRIDE=FY","FILING_STATUS=MR","EQY_CONSOLIDATED=Y","SCALING_FORMAT=MLN","Sort=A","Dates=H","DateFormat=P","Fill=—","Direction=H","UseDPDF=Y")</f>
        <v>34.4</v>
      </c>
      <c r="E71" s="13">
        <f>_xll.BDH("RCOM IN Equity","ARDR_FURNITURE_MACHINERY_EQUIP","FY 2011","FY 2011","Currency=INR","Period=FY","BEST_FPERIOD_OVERRIDE=FY","FILING_STATUS=MR","EQY_CONSOLIDATED=Y","SCALING_FORMAT=MLN","Sort=A","Dates=H","DateFormat=P","Fill=—","Direction=H","UseDPDF=Y")</f>
        <v>1320</v>
      </c>
      <c r="F71" s="13">
        <f>_xll.BDH("RCOM IN Equity","ARDR_FURNITURE_MACHINERY_EQUIP","FY 2012","FY 2012","Currency=INR","Period=FY","BEST_FPERIOD_OVERRIDE=FY","FILING_STATUS=MR","EQY_CONSOLIDATED=Y","SCALING_FORMAT=MLN","Sort=A","Dates=H","DateFormat=P","Fill=—","Direction=H","UseDPDF=Y")</f>
        <v>1330</v>
      </c>
      <c r="G71" s="13">
        <f>_xll.BDH("RCOM IN Equity","ARDR_FURNITURE_MACHINERY_EQUIP","FY 2013","FY 2013","Currency=INR","Period=FY","BEST_FPERIOD_OVERRIDE=FY","FILING_STATUS=MR","EQY_CONSOLIDATED=Y","SCALING_FORMAT=MLN","Sort=A","Dates=H","DateFormat=P","Fill=—","Direction=H","UseDPDF=Y")</f>
        <v>1210</v>
      </c>
      <c r="H71" s="13">
        <f>_xll.BDH("RCOM IN Equity","ARDR_FURNITURE_MACHINERY_EQUIP","FY 2014","FY 2014","Currency=INR","Period=FY","BEST_FPERIOD_OVERRIDE=FY","FILING_STATUS=MR","EQY_CONSOLIDATED=Y","SCALING_FORMAT=MLN","Sort=A","Dates=H","DateFormat=P","Fill=—","Direction=H","UseDPDF=Y")</f>
        <v>1220</v>
      </c>
      <c r="I71" s="13">
        <f>_xll.BDH("RCOM IN Equity","ARDR_FURNITURE_MACHINERY_EQUIP","FY 2015","FY 2015","Currency=INR","Period=FY","BEST_FPERIOD_OVERRIDE=FY","FILING_STATUS=MR","EQY_CONSOLIDATED=Y","SCALING_FORMAT=MLN","Sort=A","Dates=H","DateFormat=P","Fill=—","Direction=H","UseDPDF=Y")</f>
        <v>1220</v>
      </c>
      <c r="J71" s="13">
        <f>_xll.BDH("RCOM IN Equity","ARDR_FURNITURE_MACHINERY_EQUIP","FY 2016","FY 2016","Currency=INR","Period=FY","BEST_FPERIOD_OVERRIDE=FY","FILING_STATUS=MR","EQY_CONSOLIDATED=Y","SCALING_FORMAT=MLN","Sort=A","Dates=H","DateFormat=P","Fill=—","Direction=H","UseDPDF=Y")</f>
        <v>1220</v>
      </c>
      <c r="K71" s="13">
        <f>_xll.BDH("RCOM IN Equity","ARDR_FURNITURE_MACHINERY_EQUIP","FY 2017","FY 2017","Currency=INR","Period=FY","BEST_FPERIOD_OVERRIDE=FY","FILING_STATUS=MR","EQY_CONSOLIDATED=Y","SCALING_FORMAT=MLN","Sort=A","Dates=H","DateFormat=P","Fill=—","Direction=H","UseDPDF=Y")</f>
        <v>1210</v>
      </c>
      <c r="L71" s="13">
        <f>_xll.BDH("RCOM IN Equity","ARDR_FURNITURE_MACHINERY_EQUIP","FY 2018","FY 2018","Currency=INR","Period=FY","BEST_FPERIOD_OVERRIDE=FY","FILING_STATUS=MR","EQY_CONSOLIDATED=Y","SCALING_FORMAT=MLN","Sort=A","Dates=H","DateFormat=P","Fill=—","Direction=H","UseDPDF=Y")</f>
        <v>1040</v>
      </c>
    </row>
    <row r="72" spans="1:12">
      <c r="A72" s="10" t="s">
        <v>966</v>
      </c>
      <c r="B72" s="10" t="s">
        <v>967</v>
      </c>
      <c r="C72" s="13" t="str">
        <f>_xll.BDH("RCOM IN Equity","ARDR_PROPERTY_PLANT_EQUIP_GROSS","FY 2009","FY 2009","Currency=INR","Period=FY","BEST_FPERIOD_OVERRIDE=FY","FILING_STATUS=MR","EQY_CONSOLIDATED=Y","SCALING_FORMAT=MLN","Sort=A","Dates=H","DateFormat=P","Fill=—","Direction=H","UseDPDF=Y")</f>
        <v>—</v>
      </c>
      <c r="D72" s="13" t="str">
        <f>_xll.BDH("RCOM IN Equity","ARDR_PROPERTY_PLANT_EQUIP_GROSS","FY 2010","FY 2010","Currency=INR","Period=FY","BEST_FPERIOD_OVERRIDE=FY","FILING_STATUS=MR","EQY_CONSOLIDATED=Y","SCALING_FORMAT=MLN","Sort=A","Dates=H","DateFormat=P","Fill=—","Direction=H","UseDPDF=Y")</f>
        <v>—</v>
      </c>
      <c r="E72" s="13" t="str">
        <f>_xll.BDH("RCOM IN Equity","ARDR_PROPERTY_PLANT_EQUIP_GROSS","FY 2011","FY 2011","Currency=INR","Period=FY","BEST_FPERIOD_OVERRIDE=FY","FILING_STATUS=MR","EQY_CONSOLIDATED=Y","SCALING_FORMAT=MLN","Sort=A","Dates=H","DateFormat=P","Fill=—","Direction=H","UseDPDF=Y")</f>
        <v>—</v>
      </c>
      <c r="F72" s="13" t="str">
        <f>_xll.BDH("RCOM IN Equity","ARDR_PROPERTY_PLANT_EQUIP_GROSS","FY 2012","FY 2012","Currency=INR","Period=FY","BEST_FPERIOD_OVERRIDE=FY","FILING_STATUS=MR","EQY_CONSOLIDATED=Y","SCALING_FORMAT=MLN","Sort=A","Dates=H","DateFormat=P","Fill=—","Direction=H","UseDPDF=Y")</f>
        <v>—</v>
      </c>
      <c r="G72" s="13" t="str">
        <f>_xll.BDH("RCOM IN Equity","ARDR_PROPERTY_PLANT_EQUIP_GROSS","FY 2013","FY 2013","Currency=INR","Period=FY","BEST_FPERIOD_OVERRIDE=FY","FILING_STATUS=MR","EQY_CONSOLIDATED=Y","SCALING_FORMAT=MLN","Sort=A","Dates=H","DateFormat=P","Fill=—","Direction=H","UseDPDF=Y")</f>
        <v>—</v>
      </c>
      <c r="H72" s="13" t="str">
        <f>_xll.BDH("RCOM IN Equity","ARDR_PROPERTY_PLANT_EQUIP_GROSS","FY 2014","FY 2014","Currency=INR","Period=FY","BEST_FPERIOD_OVERRIDE=FY","FILING_STATUS=MR","EQY_CONSOLIDATED=Y","SCALING_FORMAT=MLN","Sort=A","Dates=H","DateFormat=P","Fill=—","Direction=H","UseDPDF=Y")</f>
        <v>—</v>
      </c>
      <c r="I72" s="13" t="str">
        <f>_xll.BDH("RCOM IN Equity","ARDR_PROPERTY_PLANT_EQUIP_GROSS","FY 2015","FY 2015","Currency=INR","Period=FY","BEST_FPERIOD_OVERRIDE=FY","FILING_STATUS=MR","EQY_CONSOLIDATED=Y","SCALING_FORMAT=MLN","Sort=A","Dates=H","DateFormat=P","Fill=—","Direction=H","UseDPDF=Y")</f>
        <v>—</v>
      </c>
      <c r="J72" s="13">
        <f>_xll.BDH("RCOM IN Equity","ARDR_PROPERTY_PLANT_EQUIP_GROSS","FY 2016","FY 2016","Currency=INR","Period=FY","BEST_FPERIOD_OVERRIDE=FY","FILING_STATUS=MR","EQY_CONSOLIDATED=Y","SCALING_FORMAT=MLN","Sort=A","Dates=H","DateFormat=P","Fill=—","Direction=H","UseDPDF=Y")</f>
        <v>769710</v>
      </c>
      <c r="K72" s="13">
        <f>_xll.BDH("RCOM IN Equity","ARDR_PROPERTY_PLANT_EQUIP_GROSS","FY 2017","FY 2017","Currency=INR","Period=FY","BEST_FPERIOD_OVERRIDE=FY","FILING_STATUS=MR","EQY_CONSOLIDATED=Y","SCALING_FORMAT=MLN","Sort=A","Dates=H","DateFormat=P","Fill=—","Direction=H","UseDPDF=Y")</f>
        <v>785360</v>
      </c>
      <c r="L72" s="13">
        <f>_xll.BDH("RCOM IN Equity","ARDR_PROPERTY_PLANT_EQUIP_GROSS","FY 2018","FY 2018","Currency=INR","Period=FY","BEST_FPERIOD_OVERRIDE=FY","FILING_STATUS=MR","EQY_CONSOLIDATED=Y","SCALING_FORMAT=MLN","Sort=A","Dates=H","DateFormat=P","Fill=—","Direction=H","UseDPDF=Y")</f>
        <v>406500</v>
      </c>
    </row>
    <row r="73" spans="1:12">
      <c r="A73" s="10" t="s">
        <v>968</v>
      </c>
      <c r="B73" s="10" t="s">
        <v>969</v>
      </c>
      <c r="C73" s="13">
        <f>_xll.BDH("RCOM IN Equity","ARDR_ACCUMULATED_DEPREC","FY 2009","FY 2009","Currency=INR","Period=FY","BEST_FPERIOD_OVERRIDE=FY","FILING_STATUS=MR","EQY_CONSOLIDATED=Y","SCALING_FORMAT=MLN","Sort=A","Dates=H","DateFormat=P","Fill=—","Direction=H","UseDPDF=Y")</f>
        <v>128354.2</v>
      </c>
      <c r="D73" s="13">
        <f>_xll.BDH("RCOM IN Equity","ARDR_ACCUMULATED_DEPREC","FY 2010","FY 2010","Currency=INR","Period=FY","BEST_FPERIOD_OVERRIDE=FY","FILING_STATUS=MR","EQY_CONSOLIDATED=Y","SCALING_FORMAT=MLN","Sort=A","Dates=H","DateFormat=P","Fill=—","Direction=H","UseDPDF=Y")</f>
        <v>160732.70000000001</v>
      </c>
      <c r="E73" s="13">
        <f>_xll.BDH("RCOM IN Equity","ARDR_ACCUMULATED_DEPREC","FY 2011","FY 2011","Currency=INR","Period=FY","BEST_FPERIOD_OVERRIDE=FY","FILING_STATUS=MR","EQY_CONSOLIDATED=Y","SCALING_FORMAT=MLN","Sort=A","Dates=H","DateFormat=P","Fill=—","Direction=H","UseDPDF=Y")</f>
        <v>216740</v>
      </c>
      <c r="F73" s="13">
        <f>_xll.BDH("RCOM IN Equity","ARDR_ACCUMULATED_DEPREC","FY 2012","FY 2012","Currency=INR","Period=FY","BEST_FPERIOD_OVERRIDE=FY","FILING_STATUS=MR","EQY_CONSOLIDATED=Y","SCALING_FORMAT=MLN","Sort=A","Dates=H","DateFormat=P","Fill=—","Direction=H","UseDPDF=Y")</f>
        <v>252810</v>
      </c>
      <c r="G73" s="13">
        <f>_xll.BDH("RCOM IN Equity","ARDR_ACCUMULATED_DEPREC","FY 2013","FY 2013","Currency=INR","Period=FY","BEST_FPERIOD_OVERRIDE=FY","FILING_STATUS=MR","EQY_CONSOLIDATED=Y","SCALING_FORMAT=MLN","Sort=A","Dates=H","DateFormat=P","Fill=—","Direction=H","UseDPDF=Y")</f>
        <v>293280</v>
      </c>
      <c r="H73" s="13">
        <f>_xll.BDH("RCOM IN Equity","ARDR_ACCUMULATED_DEPREC","FY 2014","FY 2014","Currency=INR","Period=FY","BEST_FPERIOD_OVERRIDE=FY","FILING_STATUS=MR","EQY_CONSOLIDATED=Y","SCALING_FORMAT=MLN","Sort=A","Dates=H","DateFormat=P","Fill=—","Direction=H","UseDPDF=Y")</f>
        <v>345080</v>
      </c>
      <c r="I73" s="13">
        <f>_xll.BDH("RCOM IN Equity","ARDR_ACCUMULATED_DEPREC","FY 2015","FY 2015","Currency=INR","Period=FY","BEST_FPERIOD_OVERRIDE=FY","FILING_STATUS=MR","EQY_CONSOLIDATED=Y","SCALING_FORMAT=MLN","Sort=A","Dates=H","DateFormat=P","Fill=—","Direction=H","UseDPDF=Y")</f>
        <v>379860</v>
      </c>
      <c r="J73" s="13">
        <f>_xll.BDH("RCOM IN Equity","ARDR_ACCUMULATED_DEPREC","FY 2016","FY 2016","Currency=INR","Period=FY","BEST_FPERIOD_OVERRIDE=FY","FILING_STATUS=MR","EQY_CONSOLIDATED=Y","SCALING_FORMAT=MLN","Sort=A","Dates=H","DateFormat=P","Fill=—","Direction=H","UseDPDF=Y")</f>
        <v>261970</v>
      </c>
      <c r="K73" s="13">
        <f>_xll.BDH("RCOM IN Equity","ARDR_ACCUMULATED_DEPREC","FY 2017","FY 2017","Currency=INR","Period=FY","BEST_FPERIOD_OVERRIDE=FY","FILING_STATUS=MR","EQY_CONSOLIDATED=Y","SCALING_FORMAT=MLN","Sort=A","Dates=H","DateFormat=P","Fill=—","Direction=H","UseDPDF=Y")</f>
        <v>287350</v>
      </c>
      <c r="L73" s="13">
        <f>_xll.BDH("RCOM IN Equity","ARDR_ACCUMULATED_DEPREC","FY 2018","FY 2018","Currency=INR","Period=FY","BEST_FPERIOD_OVERRIDE=FY","FILING_STATUS=MR","EQY_CONSOLIDATED=Y","SCALING_FORMAT=MLN","Sort=A","Dates=H","DateFormat=P","Fill=—","Direction=H","UseDPDF=Y")</f>
        <v>241490</v>
      </c>
    </row>
    <row r="74" spans="1:12">
      <c r="A74" s="10" t="s">
        <v>890</v>
      </c>
      <c r="B74" s="10" t="s">
        <v>970</v>
      </c>
      <c r="C74" s="13" t="str">
        <f>_xll.BDH("RCOM IN Equity","ARDR_PROPERTY_PLANT_EQUIP_NET","FY 2009","FY 2009","Currency=INR","Period=FY","BEST_FPERIOD_OVERRIDE=FY","FILING_STATUS=MR","EQY_CONSOLIDATED=Y","SCALING_FORMAT=MLN","Sort=A","Dates=H","DateFormat=P","Fill=—","Direction=H","UseDPDF=Y")</f>
        <v>—</v>
      </c>
      <c r="D74" s="13" t="str">
        <f>_xll.BDH("RCOM IN Equity","ARDR_PROPERTY_PLANT_EQUIP_NET","FY 2010","FY 2010","Currency=INR","Period=FY","BEST_FPERIOD_OVERRIDE=FY","FILING_STATUS=MR","EQY_CONSOLIDATED=Y","SCALING_FORMAT=MLN","Sort=A","Dates=H","DateFormat=P","Fill=—","Direction=H","UseDPDF=Y")</f>
        <v>—</v>
      </c>
      <c r="E74" s="13" t="str">
        <f>_xll.BDH("RCOM IN Equity","ARDR_PROPERTY_PLANT_EQUIP_NET","FY 2011","FY 2011","Currency=INR","Period=FY","BEST_FPERIOD_OVERRIDE=FY","FILING_STATUS=MR","EQY_CONSOLIDATED=Y","SCALING_FORMAT=MLN","Sort=A","Dates=H","DateFormat=P","Fill=—","Direction=H","UseDPDF=Y")</f>
        <v>—</v>
      </c>
      <c r="F74" s="13" t="str">
        <f>_xll.BDH("RCOM IN Equity","ARDR_PROPERTY_PLANT_EQUIP_NET","FY 2012","FY 2012","Currency=INR","Period=FY","BEST_FPERIOD_OVERRIDE=FY","FILING_STATUS=MR","EQY_CONSOLIDATED=Y","SCALING_FORMAT=MLN","Sort=A","Dates=H","DateFormat=P","Fill=—","Direction=H","UseDPDF=Y")</f>
        <v>—</v>
      </c>
      <c r="G74" s="13" t="str">
        <f>_xll.BDH("RCOM IN Equity","ARDR_PROPERTY_PLANT_EQUIP_NET","FY 2013","FY 2013","Currency=INR","Period=FY","BEST_FPERIOD_OVERRIDE=FY","FILING_STATUS=MR","EQY_CONSOLIDATED=Y","SCALING_FORMAT=MLN","Sort=A","Dates=H","DateFormat=P","Fill=—","Direction=H","UseDPDF=Y")</f>
        <v>—</v>
      </c>
      <c r="H74" s="13" t="str">
        <f>_xll.BDH("RCOM IN Equity","ARDR_PROPERTY_PLANT_EQUIP_NET","FY 2014","FY 2014","Currency=INR","Period=FY","BEST_FPERIOD_OVERRIDE=FY","FILING_STATUS=MR","EQY_CONSOLIDATED=Y","SCALING_FORMAT=MLN","Sort=A","Dates=H","DateFormat=P","Fill=—","Direction=H","UseDPDF=Y")</f>
        <v>—</v>
      </c>
      <c r="I74" s="13">
        <f>_xll.BDH("RCOM IN Equity","ARDR_PROPERTY_PLANT_EQUIP_NET","FY 2015","FY 2015","Currency=INR","Period=FY","BEST_FPERIOD_OVERRIDE=FY","FILING_STATUS=MR","EQY_CONSOLIDATED=Y","SCALING_FORMAT=MLN","Sort=A","Dates=H","DateFormat=P","Fill=—","Direction=H","UseDPDF=Y")</f>
        <v>425900</v>
      </c>
      <c r="J74" s="13">
        <f>_xll.BDH("RCOM IN Equity","ARDR_PROPERTY_PLANT_EQUIP_NET","FY 2016","FY 2016","Currency=INR","Period=FY","BEST_FPERIOD_OVERRIDE=FY","FILING_STATUS=MR","EQY_CONSOLIDATED=Y","SCALING_FORMAT=MLN","Sort=A","Dates=H","DateFormat=P","Fill=—","Direction=H","UseDPDF=Y")</f>
        <v>507740</v>
      </c>
      <c r="K74" s="13">
        <f>_xll.BDH("RCOM IN Equity","ARDR_PROPERTY_PLANT_EQUIP_NET","FY 2017","FY 2017","Currency=INR","Period=FY","BEST_FPERIOD_OVERRIDE=FY","FILING_STATUS=MR","EQY_CONSOLIDATED=Y","SCALING_FORMAT=MLN","Sort=A","Dates=H","DateFormat=P","Fill=—","Direction=H","UseDPDF=Y")</f>
        <v>498010</v>
      </c>
      <c r="L74" s="13">
        <f>_xll.BDH("RCOM IN Equity","ARDR_PROPERTY_PLANT_EQUIP_NET","FY 2018","FY 2018","Currency=INR","Period=FY","BEST_FPERIOD_OVERRIDE=FY","FILING_STATUS=MR","EQY_CONSOLIDATED=Y","SCALING_FORMAT=MLN","Sort=A","Dates=H","DateFormat=P","Fill=—","Direction=H","UseDPDF=Y")</f>
        <v>165010</v>
      </c>
    </row>
    <row r="75" spans="1:12">
      <c r="A75" s="10" t="s">
        <v>971</v>
      </c>
      <c r="B75" s="10" t="s">
        <v>972</v>
      </c>
      <c r="C75" s="13" t="str">
        <f>_xll.BDH("RCOM IN Equity","ARDR_TOTAL_INTANGIBLE_ASSET_NET","FY 2009","FY 2009","Currency=INR","Period=FY","BEST_FPERIOD_OVERRIDE=FY","FILING_STATUS=MR","EQY_CONSOLIDATED=Y","SCALING_FORMAT=MLN","Sort=A","Dates=H","DateFormat=P","Fill=—","Direction=H","UseDPDF=Y")</f>
        <v>—</v>
      </c>
      <c r="D75" s="13" t="str">
        <f>_xll.BDH("RCOM IN Equity","ARDR_TOTAL_INTANGIBLE_ASSET_NET","FY 2010","FY 2010","Currency=INR","Period=FY","BEST_FPERIOD_OVERRIDE=FY","FILING_STATUS=MR","EQY_CONSOLIDATED=Y","SCALING_FORMAT=MLN","Sort=A","Dates=H","DateFormat=P","Fill=—","Direction=H","UseDPDF=Y")</f>
        <v>—</v>
      </c>
      <c r="E75" s="13" t="str">
        <f>_xll.BDH("RCOM IN Equity","ARDR_TOTAL_INTANGIBLE_ASSET_NET","FY 2011","FY 2011","Currency=INR","Period=FY","BEST_FPERIOD_OVERRIDE=FY","FILING_STATUS=MR","EQY_CONSOLIDATED=Y","SCALING_FORMAT=MLN","Sort=A","Dates=H","DateFormat=P","Fill=—","Direction=H","UseDPDF=Y")</f>
        <v>—</v>
      </c>
      <c r="F75" s="13" t="str">
        <f>_xll.BDH("RCOM IN Equity","ARDR_TOTAL_INTANGIBLE_ASSET_NET","FY 2012","FY 2012","Currency=INR","Period=FY","BEST_FPERIOD_OVERRIDE=FY","FILING_STATUS=MR","EQY_CONSOLIDATED=Y","SCALING_FORMAT=MLN","Sort=A","Dates=H","DateFormat=P","Fill=—","Direction=H","UseDPDF=Y")</f>
        <v>—</v>
      </c>
      <c r="G75" s="13" t="str">
        <f>_xll.BDH("RCOM IN Equity","ARDR_TOTAL_INTANGIBLE_ASSET_NET","FY 2013","FY 2013","Currency=INR","Period=FY","BEST_FPERIOD_OVERRIDE=FY","FILING_STATUS=MR","EQY_CONSOLIDATED=Y","SCALING_FORMAT=MLN","Sort=A","Dates=H","DateFormat=P","Fill=—","Direction=H","UseDPDF=Y")</f>
        <v>—</v>
      </c>
      <c r="H75" s="13" t="str">
        <f>_xll.BDH("RCOM IN Equity","ARDR_TOTAL_INTANGIBLE_ASSET_NET","FY 2014","FY 2014","Currency=INR","Period=FY","BEST_FPERIOD_OVERRIDE=FY","FILING_STATUS=MR","EQY_CONSOLIDATED=Y","SCALING_FORMAT=MLN","Sort=A","Dates=H","DateFormat=P","Fill=—","Direction=H","UseDPDF=Y")</f>
        <v>—</v>
      </c>
      <c r="I75" s="13" t="str">
        <f>_xll.BDH("RCOM IN Equity","ARDR_TOTAL_INTANGIBLE_ASSET_NET","FY 2015","FY 2015","Currency=INR","Period=FY","BEST_FPERIOD_OVERRIDE=FY","FILING_STATUS=MR","EQY_CONSOLIDATED=Y","SCALING_FORMAT=MLN","Sort=A","Dates=H","DateFormat=P","Fill=—","Direction=H","UseDPDF=Y")</f>
        <v>—</v>
      </c>
      <c r="J75" s="13" t="str">
        <f>_xll.BDH("RCOM IN Equity","ARDR_TOTAL_INTANGIBLE_ASSET_NET","FY 2016","FY 2016","Currency=INR","Period=FY","BEST_FPERIOD_OVERRIDE=FY","FILING_STATUS=MR","EQY_CONSOLIDATED=Y","SCALING_FORMAT=MLN","Sort=A","Dates=H","DateFormat=P","Fill=—","Direction=H","UseDPDF=Y")</f>
        <v>—</v>
      </c>
      <c r="K75" s="13" t="str">
        <f>_xll.BDH("RCOM IN Equity","ARDR_TOTAL_INTANGIBLE_ASSET_NET","FY 2017","FY 2017","Currency=INR","Period=FY","BEST_FPERIOD_OVERRIDE=FY","FILING_STATUS=MR","EQY_CONSOLIDATED=Y","SCALING_FORMAT=MLN","Sort=A","Dates=H","DateFormat=P","Fill=—","Direction=H","UseDPDF=Y")</f>
        <v>—</v>
      </c>
      <c r="L75" s="13" t="str">
        <f>_xll.BDH("RCOM IN Equity","ARDR_TOTAL_INTANGIBLE_ASSET_NET","FY 2018","FY 2018","Currency=INR","Period=FY","BEST_FPERIOD_OVERRIDE=FY","FILING_STATUS=MR","EQY_CONSOLIDATED=Y","SCALING_FORMAT=MLN","Sort=A","Dates=H","DateFormat=P","Fill=—","Direction=H","UseDPDF=Y")</f>
        <v>—</v>
      </c>
    </row>
    <row r="76" spans="1:12">
      <c r="A76" s="10" t="s">
        <v>892</v>
      </c>
      <c r="B76" s="10" t="s">
        <v>973</v>
      </c>
      <c r="C76" s="13" t="str">
        <f>_xll.BDH("RCOM IN Equity","ARDR_OTHER_INTANGIBLE_ASSET","FY 2009","FY 2009","Currency=INR","Period=FY","BEST_FPERIOD_OVERRIDE=FY","FILING_STATUS=MR","EQY_CONSOLIDATED=Y","SCALING_FORMAT=MLN","Sort=A","Dates=H","DateFormat=P","Fill=—","Direction=H","UseDPDF=Y")</f>
        <v>—</v>
      </c>
      <c r="D76" s="13" t="str">
        <f>_xll.BDH("RCOM IN Equity","ARDR_OTHER_INTANGIBLE_ASSET","FY 2010","FY 2010","Currency=INR","Period=FY","BEST_FPERIOD_OVERRIDE=FY","FILING_STATUS=MR","EQY_CONSOLIDATED=Y","SCALING_FORMAT=MLN","Sort=A","Dates=H","DateFormat=P","Fill=—","Direction=H","UseDPDF=Y")</f>
        <v>—</v>
      </c>
      <c r="E76" s="13" t="str">
        <f>_xll.BDH("RCOM IN Equity","ARDR_OTHER_INTANGIBLE_ASSET","FY 2011","FY 2011","Currency=INR","Period=FY","BEST_FPERIOD_OVERRIDE=FY","FILING_STATUS=MR","EQY_CONSOLIDATED=Y","SCALING_FORMAT=MLN","Sort=A","Dates=H","DateFormat=P","Fill=—","Direction=H","UseDPDF=Y")</f>
        <v>—</v>
      </c>
      <c r="F76" s="13" t="str">
        <f>_xll.BDH("RCOM IN Equity","ARDR_OTHER_INTANGIBLE_ASSET","FY 2012","FY 2012","Currency=INR","Period=FY","BEST_FPERIOD_OVERRIDE=FY","FILING_STATUS=MR","EQY_CONSOLIDATED=Y","SCALING_FORMAT=MLN","Sort=A","Dates=H","DateFormat=P","Fill=—","Direction=H","UseDPDF=Y")</f>
        <v>—</v>
      </c>
      <c r="G76" s="13" t="str">
        <f>_xll.BDH("RCOM IN Equity","ARDR_OTHER_INTANGIBLE_ASSET","FY 2013","FY 2013","Currency=INR","Period=FY","BEST_FPERIOD_OVERRIDE=FY","FILING_STATUS=MR","EQY_CONSOLIDATED=Y","SCALING_FORMAT=MLN","Sort=A","Dates=H","DateFormat=P","Fill=—","Direction=H","UseDPDF=Y")</f>
        <v>—</v>
      </c>
      <c r="H76" s="13" t="str">
        <f>_xll.BDH("RCOM IN Equity","ARDR_OTHER_INTANGIBLE_ASSET","FY 2014","FY 2014","Currency=INR","Period=FY","BEST_FPERIOD_OVERRIDE=FY","FILING_STATUS=MR","EQY_CONSOLIDATED=Y","SCALING_FORMAT=MLN","Sort=A","Dates=H","DateFormat=P","Fill=—","Direction=H","UseDPDF=Y")</f>
        <v>—</v>
      </c>
      <c r="I76" s="13" t="str">
        <f>_xll.BDH("RCOM IN Equity","ARDR_OTHER_INTANGIBLE_ASSET","FY 2015","FY 2015","Currency=INR","Period=FY","BEST_FPERIOD_OVERRIDE=FY","FILING_STATUS=MR","EQY_CONSOLIDATED=Y","SCALING_FORMAT=MLN","Sort=A","Dates=H","DateFormat=P","Fill=—","Direction=H","UseDPDF=Y")</f>
        <v>—</v>
      </c>
      <c r="J76" s="13">
        <f>_xll.BDH("RCOM IN Equity","ARDR_OTHER_INTANGIBLE_ASSET","FY 2016","FY 2016","Currency=INR","Period=FY","BEST_FPERIOD_OVERRIDE=FY","FILING_STATUS=MR","EQY_CONSOLIDATED=Y","SCALING_FORMAT=MLN","Sort=A","Dates=H","DateFormat=P","Fill=—","Direction=H","UseDPDF=Y")</f>
        <v>80860</v>
      </c>
      <c r="K76" s="13">
        <f>_xll.BDH("RCOM IN Equity","ARDR_OTHER_INTANGIBLE_ASSET","FY 2017","FY 2017","Currency=INR","Period=FY","BEST_FPERIOD_OVERRIDE=FY","FILING_STATUS=MR","EQY_CONSOLIDATED=Y","SCALING_FORMAT=MLN","Sort=A","Dates=H","DateFormat=P","Fill=—","Direction=H","UseDPDF=Y")</f>
        <v>9810</v>
      </c>
      <c r="L76" s="13">
        <f>_xll.BDH("RCOM IN Equity","ARDR_OTHER_INTANGIBLE_ASSET","FY 2018","FY 2018","Currency=INR","Period=FY","BEST_FPERIOD_OVERRIDE=FY","FILING_STATUS=MR","EQY_CONSOLIDATED=Y","SCALING_FORMAT=MLN","Sort=A","Dates=H","DateFormat=P","Fill=—","Direction=H","UseDPDF=Y")</f>
        <v>0</v>
      </c>
    </row>
    <row r="77" spans="1:12">
      <c r="A77" s="10" t="s">
        <v>894</v>
      </c>
      <c r="B77" s="10" t="s">
        <v>974</v>
      </c>
      <c r="C77" s="13" t="str">
        <f>_xll.BDH("RCOM IN Equity","ARDR_GOODWLL","FY 2009","FY 2009","Currency=INR","Period=FY","BEST_FPERIOD_OVERRIDE=FY","FILING_STATUS=MR","EQY_CONSOLIDATED=Y","SCALING_FORMAT=MLN","Sort=A","Dates=H","DateFormat=P","Fill=—","Direction=H","UseDPDF=Y")</f>
        <v>—</v>
      </c>
      <c r="D77" s="13" t="str">
        <f>_xll.BDH("RCOM IN Equity","ARDR_GOODWLL","FY 2010","FY 2010","Currency=INR","Period=FY","BEST_FPERIOD_OVERRIDE=FY","FILING_STATUS=MR","EQY_CONSOLIDATED=Y","SCALING_FORMAT=MLN","Sort=A","Dates=H","DateFormat=P","Fill=—","Direction=H","UseDPDF=Y")</f>
        <v>—</v>
      </c>
      <c r="E77" s="13">
        <f>_xll.BDH("RCOM IN Equity","ARDR_GOODWLL","FY 2011","FY 2011","Currency=INR","Period=FY","BEST_FPERIOD_OVERRIDE=FY","FILING_STATUS=MR","EQY_CONSOLIDATED=Y","SCALING_FORMAT=MLN","Sort=A","Dates=H","DateFormat=P","Fill=—","Direction=H","UseDPDF=Y")</f>
        <v>47470</v>
      </c>
      <c r="F77" s="13">
        <f>_xll.BDH("RCOM IN Equity","ARDR_GOODWLL","FY 2012","FY 2012","Currency=INR","Period=FY","BEST_FPERIOD_OVERRIDE=FY","FILING_STATUS=MR","EQY_CONSOLIDATED=Y","SCALING_FORMAT=MLN","Sort=A","Dates=H","DateFormat=P","Fill=—","Direction=H","UseDPDF=Y")</f>
        <v>50090</v>
      </c>
      <c r="G77" s="13">
        <f>_xll.BDH("RCOM IN Equity","ARDR_GOODWLL","FY 2013","FY 2013","Currency=INR","Period=FY","BEST_FPERIOD_OVERRIDE=FY","FILING_STATUS=MR","EQY_CONSOLIDATED=Y","SCALING_FORMAT=MLN","Sort=A","Dates=H","DateFormat=P","Fill=—","Direction=H","UseDPDF=Y")</f>
        <v>51250</v>
      </c>
      <c r="H77" s="13">
        <f>_xll.BDH("RCOM IN Equity","ARDR_GOODWLL","FY 2014","FY 2014","Currency=INR","Period=FY","BEST_FPERIOD_OVERRIDE=FY","FILING_STATUS=MR","EQY_CONSOLIDATED=Y","SCALING_FORMAT=MLN","Sort=A","Dates=H","DateFormat=P","Fill=—","Direction=H","UseDPDF=Y")</f>
        <v>53000</v>
      </c>
      <c r="I77" s="13">
        <f>_xll.BDH("RCOM IN Equity","ARDR_GOODWLL","FY 2015","FY 2015","Currency=INR","Period=FY","BEST_FPERIOD_OVERRIDE=FY","FILING_STATUS=MR","EQY_CONSOLIDATED=Y","SCALING_FORMAT=MLN","Sort=A","Dates=H","DateFormat=P","Fill=—","Direction=H","UseDPDF=Y")</f>
        <v>54230</v>
      </c>
      <c r="J77" s="13">
        <f>_xll.BDH("RCOM IN Equity","ARDR_GOODWLL","FY 2016","FY 2016","Currency=INR","Period=FY","BEST_FPERIOD_OVERRIDE=FY","FILING_STATUS=MR","EQY_CONSOLIDATED=Y","SCALING_FORMAT=MLN","Sort=A","Dates=H","DateFormat=P","Fill=—","Direction=H","UseDPDF=Y")</f>
        <v>35510</v>
      </c>
      <c r="K77" s="13">
        <f>_xll.BDH("RCOM IN Equity","ARDR_GOODWLL","FY 2017","FY 2017","Currency=INR","Period=FY","BEST_FPERIOD_OVERRIDE=FY","FILING_STATUS=MR","EQY_CONSOLIDATED=Y","SCALING_FORMAT=MLN","Sort=A","Dates=H","DateFormat=P","Fill=—","Direction=H","UseDPDF=Y")</f>
        <v>35480</v>
      </c>
      <c r="L77" s="13" t="str">
        <f>_xll.BDH("RCOM IN Equity","ARDR_GOODWLL","FY 2018","FY 2018","Currency=INR","Period=FY","BEST_FPERIOD_OVERRIDE=FY","FILING_STATUS=MR","EQY_CONSOLIDATED=Y","SCALING_FORMAT=MLN","Sort=A","Dates=H","DateFormat=P","Fill=—","Direction=H","UseDPDF=Y")</f>
        <v>—</v>
      </c>
    </row>
    <row r="78" spans="1:12">
      <c r="A78" s="10" t="s">
        <v>975</v>
      </c>
      <c r="B78" s="10" t="s">
        <v>976</v>
      </c>
      <c r="C78" s="13">
        <f>_xll.BDH("RCOM IN Equity","ARDR_PATENTS_TRADEMRK_COPYRIGHT","FY 2009","FY 2009","Currency=INR","Period=FY","BEST_FPERIOD_OVERRIDE=FY","FILING_STATUS=MR","EQY_CONSOLIDATED=Y","SCALING_FORMAT=MLN","Sort=A","Dates=H","DateFormat=P","Fill=—","Direction=H","UseDPDF=Y")</f>
        <v>11867.6</v>
      </c>
      <c r="D78" s="13">
        <f>_xll.BDH("RCOM IN Equity","ARDR_PATENTS_TRADEMRK_COPYRIGHT","FY 2010","FY 2010","Currency=INR","Period=FY","BEST_FPERIOD_OVERRIDE=FY","FILING_STATUS=MR","EQY_CONSOLIDATED=Y","SCALING_FORMAT=MLN","Sort=A","Dates=H","DateFormat=P","Fill=—","Direction=H","UseDPDF=Y")</f>
        <v>10116.799999999999</v>
      </c>
      <c r="E78" s="13">
        <f>_xll.BDH("RCOM IN Equity","ARDR_PATENTS_TRADEMRK_COPYRIGHT","FY 2011","FY 2011","Currency=INR","Period=FY","BEST_FPERIOD_OVERRIDE=FY","FILING_STATUS=MR","EQY_CONSOLIDATED=Y","SCALING_FORMAT=MLN","Sort=A","Dates=H","DateFormat=P","Fill=—","Direction=H","UseDPDF=Y")</f>
        <v>530</v>
      </c>
      <c r="F78" s="13">
        <f>_xll.BDH("RCOM IN Equity","ARDR_PATENTS_TRADEMRK_COPYRIGHT","FY 2012","FY 2012","Currency=INR","Period=FY","BEST_FPERIOD_OVERRIDE=FY","FILING_STATUS=MR","EQY_CONSOLIDATED=Y","SCALING_FORMAT=MLN","Sort=A","Dates=H","DateFormat=P","Fill=—","Direction=H","UseDPDF=Y")</f>
        <v>810</v>
      </c>
      <c r="G78" s="13">
        <f>_xll.BDH("RCOM IN Equity","ARDR_PATENTS_TRADEMRK_COPYRIGHT","FY 2013","FY 2013","Currency=INR","Period=FY","BEST_FPERIOD_OVERRIDE=FY","FILING_STATUS=MR","EQY_CONSOLIDATED=Y","SCALING_FORMAT=MLN","Sort=A","Dates=H","DateFormat=P","Fill=—","Direction=H","UseDPDF=Y")</f>
        <v>210</v>
      </c>
      <c r="H78" s="13">
        <f>_xll.BDH("RCOM IN Equity","ARDR_PATENTS_TRADEMRK_COPYRIGHT","FY 2014","FY 2014","Currency=INR","Period=FY","BEST_FPERIOD_OVERRIDE=FY","FILING_STATUS=MR","EQY_CONSOLIDATED=Y","SCALING_FORMAT=MLN","Sort=A","Dates=H","DateFormat=P","Fill=—","Direction=H","UseDPDF=Y")</f>
        <v>3340</v>
      </c>
      <c r="I78" s="13">
        <f>_xll.BDH("RCOM IN Equity","ARDR_PATENTS_TRADEMRK_COPYRIGHT","FY 2015","FY 2015","Currency=INR","Period=FY","BEST_FPERIOD_OVERRIDE=FY","FILING_STATUS=MR","EQY_CONSOLIDATED=Y","SCALING_FORMAT=MLN","Sort=A","Dates=H","DateFormat=P","Fill=—","Direction=H","UseDPDF=Y")</f>
        <v>1790</v>
      </c>
      <c r="J78" s="13">
        <f>_xll.BDH("RCOM IN Equity","ARDR_PATENTS_TRADEMRK_COPYRIGHT","FY 2016","FY 2016","Currency=INR","Period=FY","BEST_FPERIOD_OVERRIDE=FY","FILING_STATUS=MR","EQY_CONSOLIDATED=Y","SCALING_FORMAT=MLN","Sort=A","Dates=H","DateFormat=P","Fill=—","Direction=H","UseDPDF=Y")</f>
        <v>8880</v>
      </c>
      <c r="K78" s="13">
        <f>_xll.BDH("RCOM IN Equity","ARDR_PATENTS_TRADEMRK_COPYRIGHT","FY 2017","FY 2017","Currency=INR","Period=FY","BEST_FPERIOD_OVERRIDE=FY","FILING_STATUS=MR","EQY_CONSOLIDATED=Y","SCALING_FORMAT=MLN","Sort=A","Dates=H","DateFormat=P","Fill=—","Direction=H","UseDPDF=Y")</f>
        <v>8250</v>
      </c>
      <c r="L78" s="13">
        <f>_xll.BDH("RCOM IN Equity","ARDR_PATENTS_TRADEMRK_COPYRIGHT","FY 2018","FY 2018","Currency=INR","Period=FY","BEST_FPERIOD_OVERRIDE=FY","FILING_STATUS=MR","EQY_CONSOLIDATED=Y","SCALING_FORMAT=MLN","Sort=A","Dates=H","DateFormat=P","Fill=—","Direction=H","UseDPDF=Y")</f>
        <v>7500</v>
      </c>
    </row>
    <row r="79" spans="1:12">
      <c r="A79" s="10" t="s">
        <v>930</v>
      </c>
      <c r="B79" s="10" t="s">
        <v>977</v>
      </c>
      <c r="C79" s="13" t="str">
        <f>_xll.BDH("RCOM IN Equity","ARDR_OTHER_NONCURRENT_ASSET","FY 2009","FY 2009","Currency=INR","Period=FY","BEST_FPERIOD_OVERRIDE=FY","FILING_STATUS=MR","EQY_CONSOLIDATED=Y","SCALING_FORMAT=MLN","Sort=A","Dates=H","DateFormat=P","Fill=—","Direction=H","UseDPDF=Y")</f>
        <v>—</v>
      </c>
      <c r="D79" s="13" t="str">
        <f>_xll.BDH("RCOM IN Equity","ARDR_OTHER_NONCURRENT_ASSET","FY 2010","FY 2010","Currency=INR","Period=FY","BEST_FPERIOD_OVERRIDE=FY","FILING_STATUS=MR","EQY_CONSOLIDATED=Y","SCALING_FORMAT=MLN","Sort=A","Dates=H","DateFormat=P","Fill=—","Direction=H","UseDPDF=Y")</f>
        <v>—</v>
      </c>
      <c r="E79" s="13">
        <f>_xll.BDH("RCOM IN Equity","ARDR_OTHER_NONCURRENT_ASSET","FY 2011","FY 2011","Currency=INR","Period=FY","BEST_FPERIOD_OVERRIDE=FY","FILING_STATUS=MR","EQY_CONSOLIDATED=Y","SCALING_FORMAT=MLN","Sort=A","Dates=H","DateFormat=P","Fill=—","Direction=H","UseDPDF=Y")</f>
        <v>5430</v>
      </c>
      <c r="F79" s="13">
        <f>_xll.BDH("RCOM IN Equity","ARDR_OTHER_NONCURRENT_ASSET","FY 2012","FY 2012","Currency=INR","Period=FY","BEST_FPERIOD_OVERRIDE=FY","FILING_STATUS=MR","EQY_CONSOLIDATED=Y","SCALING_FORMAT=MLN","Sort=A","Dates=H","DateFormat=P","Fill=—","Direction=H","UseDPDF=Y")</f>
        <v>14050</v>
      </c>
      <c r="G79" s="13">
        <f>_xll.BDH("RCOM IN Equity","ARDR_OTHER_NONCURRENT_ASSET","FY 2013","FY 2013","Currency=INR","Period=FY","BEST_FPERIOD_OVERRIDE=FY","FILING_STATUS=MR","EQY_CONSOLIDATED=Y","SCALING_FORMAT=MLN","Sort=A","Dates=H","DateFormat=P","Fill=—","Direction=H","UseDPDF=Y")</f>
        <v>10580</v>
      </c>
      <c r="H79" s="13">
        <f>_xll.BDH("RCOM IN Equity","ARDR_OTHER_NONCURRENT_ASSET","FY 2014","FY 2014","Currency=INR","Period=FY","BEST_FPERIOD_OVERRIDE=FY","FILING_STATUS=MR","EQY_CONSOLIDATED=Y","SCALING_FORMAT=MLN","Sort=A","Dates=H","DateFormat=P","Fill=—","Direction=H","UseDPDF=Y")</f>
        <v>12620</v>
      </c>
      <c r="I79" s="13">
        <f>_xll.BDH("RCOM IN Equity","ARDR_OTHER_NONCURRENT_ASSET","FY 2015","FY 2015","Currency=INR","Period=FY","BEST_FPERIOD_OVERRIDE=FY","FILING_STATUS=MR","EQY_CONSOLIDATED=Y","SCALING_FORMAT=MLN","Sort=A","Dates=H","DateFormat=P","Fill=—","Direction=H","UseDPDF=Y")</f>
        <v>15520</v>
      </c>
      <c r="J79" s="13">
        <f>_xll.BDH("RCOM IN Equity","ARDR_OTHER_NONCURRENT_ASSET","FY 2016","FY 2016","Currency=INR","Period=FY","BEST_FPERIOD_OVERRIDE=FY","FILING_STATUS=MR","EQY_CONSOLIDATED=Y","SCALING_FORMAT=MLN","Sort=A","Dates=H","DateFormat=P","Fill=—","Direction=H","UseDPDF=Y")</f>
        <v>95100</v>
      </c>
      <c r="K79" s="13">
        <f>_xll.BDH("RCOM IN Equity","ARDR_OTHER_NONCURRENT_ASSET","FY 2017","FY 2017","Currency=INR","Period=FY","BEST_FPERIOD_OVERRIDE=FY","FILING_STATUS=MR","EQY_CONSOLIDATED=Y","SCALING_FORMAT=MLN","Sort=A","Dates=H","DateFormat=P","Fill=—","Direction=H","UseDPDF=Y")</f>
        <v>85650</v>
      </c>
      <c r="L79" s="13">
        <f>_xll.BDH("RCOM IN Equity","ARDR_OTHER_NONCURRENT_ASSET","FY 2018","FY 2018","Currency=INR","Period=FY","BEST_FPERIOD_OVERRIDE=FY","FILING_STATUS=MR","EQY_CONSOLIDATED=Y","SCALING_FORMAT=MLN","Sort=A","Dates=H","DateFormat=P","Fill=—","Direction=H","UseDPDF=Y")</f>
        <v>34570</v>
      </c>
    </row>
    <row r="80" spans="1:12">
      <c r="A80" s="10" t="s">
        <v>932</v>
      </c>
      <c r="B80" s="10" t="s">
        <v>978</v>
      </c>
      <c r="C80" s="13">
        <f>_xll.BDH("RCOM IN Equity","ARDR_ACCOUNTS_PAYABLE_TRADE","FY 2009","FY 2009","Currency=INR","Period=FY","BEST_FPERIOD_OVERRIDE=FY","FILING_STATUS=MR","EQY_CONSOLIDATED=Y","SCALING_FORMAT=MLN","Sort=A","Dates=H","DateFormat=P","Fill=—","Direction=H","UseDPDF=Y")</f>
        <v>4765.3999999999996</v>
      </c>
      <c r="D80" s="13">
        <f>_xll.BDH("RCOM IN Equity","ARDR_ACCOUNTS_PAYABLE_TRADE","FY 2010","FY 2010","Currency=INR","Period=FY","BEST_FPERIOD_OVERRIDE=FY","FILING_STATUS=MR","EQY_CONSOLIDATED=Y","SCALING_FORMAT=MLN","Sort=A","Dates=H","DateFormat=P","Fill=—","Direction=H","UseDPDF=Y")</f>
        <v>19290.099999999999</v>
      </c>
      <c r="E80" s="13">
        <f>_xll.BDH("RCOM IN Equity","ARDR_ACCOUNTS_PAYABLE_TRADE","FY 2011","FY 2011","Currency=INR","Period=FY","BEST_FPERIOD_OVERRIDE=FY","FILING_STATUS=MR","EQY_CONSOLIDATED=Y","SCALING_FORMAT=MLN","Sort=A","Dates=H","DateFormat=P","Fill=—","Direction=H","UseDPDF=Y")</f>
        <v>18890</v>
      </c>
      <c r="F80" s="13">
        <f>_xll.BDH("RCOM IN Equity","ARDR_ACCOUNTS_PAYABLE_TRADE","FY 2012","FY 2012","Currency=INR","Period=FY","BEST_FPERIOD_OVERRIDE=FY","FILING_STATUS=MR","EQY_CONSOLIDATED=Y","SCALING_FORMAT=MLN","Sort=A","Dates=H","DateFormat=P","Fill=—","Direction=H","UseDPDF=Y")</f>
        <v>23180</v>
      </c>
      <c r="G80" s="13">
        <f>_xll.BDH("RCOM IN Equity","ARDR_ACCOUNTS_PAYABLE_TRADE","FY 2013","FY 2013","Currency=INR","Period=FY","BEST_FPERIOD_OVERRIDE=FY","FILING_STATUS=MR","EQY_CONSOLIDATED=Y","SCALING_FORMAT=MLN","Sort=A","Dates=H","DateFormat=P","Fill=—","Direction=H","UseDPDF=Y")</f>
        <v>23640</v>
      </c>
      <c r="H80" s="13">
        <f>_xll.BDH("RCOM IN Equity","ARDR_ACCOUNTS_PAYABLE_TRADE","FY 2014","FY 2014","Currency=INR","Period=FY","BEST_FPERIOD_OVERRIDE=FY","FILING_STATUS=MR","EQY_CONSOLIDATED=Y","SCALING_FORMAT=MLN","Sort=A","Dates=H","DateFormat=P","Fill=—","Direction=H","UseDPDF=Y")</f>
        <v>35160</v>
      </c>
      <c r="I80" s="13">
        <f>_xll.BDH("RCOM IN Equity","ARDR_ACCOUNTS_PAYABLE_TRADE","FY 2015","FY 2015","Currency=INR","Period=FY","BEST_FPERIOD_OVERRIDE=FY","FILING_STATUS=MR","EQY_CONSOLIDATED=Y","SCALING_FORMAT=MLN","Sort=A","Dates=H","DateFormat=P","Fill=—","Direction=H","UseDPDF=Y")</f>
        <v>62060</v>
      </c>
      <c r="J80" s="13">
        <f>_xll.BDH("RCOM IN Equity","ARDR_ACCOUNTS_PAYABLE_TRADE","FY 2016","FY 2016","Currency=INR","Period=FY","BEST_FPERIOD_OVERRIDE=FY","FILING_STATUS=MR","EQY_CONSOLIDATED=Y","SCALING_FORMAT=MLN","Sort=A","Dates=H","DateFormat=P","Fill=—","Direction=H","UseDPDF=Y")</f>
        <v>57750</v>
      </c>
      <c r="K80" s="13">
        <f>_xll.BDH("RCOM IN Equity","ARDR_ACCOUNTS_PAYABLE_TRADE","FY 2017","FY 2017","Currency=INR","Period=FY","BEST_FPERIOD_OVERRIDE=FY","FILING_STATUS=MR","EQY_CONSOLIDATED=Y","SCALING_FORMAT=MLN","Sort=A","Dates=H","DateFormat=P","Fill=—","Direction=H","UseDPDF=Y")</f>
        <v>47460</v>
      </c>
      <c r="L80" s="13">
        <f>_xll.BDH("RCOM IN Equity","ARDR_ACCOUNTS_PAYABLE_TRADE","FY 2018","FY 2018","Currency=INR","Period=FY","BEST_FPERIOD_OVERRIDE=FY","FILING_STATUS=MR","EQY_CONSOLIDATED=Y","SCALING_FORMAT=MLN","Sort=A","Dates=H","DateFormat=P","Fill=—","Direction=H","UseDPDF=Y")</f>
        <v>48680</v>
      </c>
    </row>
    <row r="81" spans="1:12">
      <c r="A81" s="10" t="s">
        <v>979</v>
      </c>
      <c r="B81" s="10" t="s">
        <v>980</v>
      </c>
      <c r="C81" s="13">
        <f>_xll.BDH("RCOM IN Equity","ARDR_CURRENT_PORTION_OF_LT_DEBT","FY 2009","FY 2009","Currency=INR","Period=FY","BEST_FPERIOD_OVERRIDE=FY","FILING_STATUS=MR","EQY_CONSOLIDATED=Y","SCALING_FORMAT=MLN","Sort=A","Dates=H","DateFormat=P","Fill=—","Direction=H","UseDPDF=Y")</f>
        <v>118716.2</v>
      </c>
      <c r="D81" s="13">
        <f>_xll.BDH("RCOM IN Equity","ARDR_CURRENT_PORTION_OF_LT_DEBT","FY 2010","FY 2010","Currency=INR","Period=FY","BEST_FPERIOD_OVERRIDE=FY","FILING_STATUS=MR","EQY_CONSOLIDATED=Y","SCALING_FORMAT=MLN","Sort=A","Dates=H","DateFormat=P","Fill=—","Direction=H","UseDPDF=Y")</f>
        <v>104636</v>
      </c>
      <c r="E81" s="13">
        <f>_xll.BDH("RCOM IN Equity","ARDR_CURRENT_PORTION_OF_LT_DEBT","FY 2011","FY 2011","Currency=INR","Period=FY","BEST_FPERIOD_OVERRIDE=FY","FILING_STATUS=MR","EQY_CONSOLIDATED=Y","SCALING_FORMAT=MLN","Sort=A","Dates=H","DateFormat=P","Fill=—","Direction=H","UseDPDF=Y")</f>
        <v>90760</v>
      </c>
      <c r="F81" s="13">
        <f>_xll.BDH("RCOM IN Equity","ARDR_CURRENT_PORTION_OF_LT_DEBT","FY 2012","FY 2012","Currency=INR","Period=FY","BEST_FPERIOD_OVERRIDE=FY","FILING_STATUS=MR","EQY_CONSOLIDATED=Y","SCALING_FORMAT=MLN","Sort=A","Dates=H","DateFormat=P","Fill=—","Direction=H","UseDPDF=Y")</f>
        <v>31180</v>
      </c>
      <c r="G81" s="13">
        <f>_xll.BDH("RCOM IN Equity","ARDR_CURRENT_PORTION_OF_LT_DEBT","FY 2013","FY 2013","Currency=INR","Period=FY","BEST_FPERIOD_OVERRIDE=FY","FILING_STATUS=MR","EQY_CONSOLIDATED=Y","SCALING_FORMAT=MLN","Sort=A","Dates=H","DateFormat=P","Fill=—","Direction=H","UseDPDF=Y")</f>
        <v>40690</v>
      </c>
      <c r="H81" s="13">
        <f>_xll.BDH("RCOM IN Equity","ARDR_CURRENT_PORTION_OF_LT_DEBT","FY 2014","FY 2014","Currency=INR","Period=FY","BEST_FPERIOD_OVERRIDE=FY","FILING_STATUS=MR","EQY_CONSOLIDATED=Y","SCALING_FORMAT=MLN","Sort=A","Dates=H","DateFormat=P","Fill=—","Direction=H","UseDPDF=Y")</f>
        <v>51560</v>
      </c>
      <c r="I81" s="13">
        <f>_xll.BDH("RCOM IN Equity","ARDR_CURRENT_PORTION_OF_LT_DEBT","FY 2015","FY 2015","Currency=INR","Period=FY","BEST_FPERIOD_OVERRIDE=FY","FILING_STATUS=MR","EQY_CONSOLIDATED=Y","SCALING_FORMAT=MLN","Sort=A","Dates=H","DateFormat=P","Fill=—","Direction=H","UseDPDF=Y")</f>
        <v>78850</v>
      </c>
      <c r="J81" s="13">
        <f>_xll.BDH("RCOM IN Equity","ARDR_CURRENT_PORTION_OF_LT_DEBT","FY 2016","FY 2016","Currency=INR","Period=FY","BEST_FPERIOD_OVERRIDE=FY","FILING_STATUS=MR","EQY_CONSOLIDATED=Y","SCALING_FORMAT=MLN","Sort=A","Dates=H","DateFormat=P","Fill=—","Direction=H","UseDPDF=Y")</f>
        <v>101290</v>
      </c>
      <c r="K81" s="13">
        <f>_xll.BDH("RCOM IN Equity","ARDR_CURRENT_PORTION_OF_LT_DEBT","FY 2017","FY 2017","Currency=INR","Period=FY","BEST_FPERIOD_OVERRIDE=FY","FILING_STATUS=MR","EQY_CONSOLIDATED=Y","SCALING_FORMAT=MLN","Sort=A","Dates=H","DateFormat=P","Fill=—","Direction=H","UseDPDF=Y")</f>
        <v>136840</v>
      </c>
      <c r="L81" s="13">
        <f>_xll.BDH("RCOM IN Equity","ARDR_CURRENT_PORTION_OF_LT_DEBT","FY 2018","FY 2018","Currency=INR","Period=FY","BEST_FPERIOD_OVERRIDE=FY","FILING_STATUS=MR","EQY_CONSOLIDATED=Y","SCALING_FORMAT=MLN","Sort=A","Dates=H","DateFormat=P","Fill=—","Direction=H","UseDPDF=Y")</f>
        <v>109130</v>
      </c>
    </row>
    <row r="82" spans="1:12">
      <c r="A82" s="10" t="s">
        <v>981</v>
      </c>
      <c r="B82" s="10" t="s">
        <v>982</v>
      </c>
      <c r="C82" s="13" t="str">
        <f>_xll.BDH("RCOM IN Equity","ARDR_ST_CAP_LEASE_OBLIGATIONS","FY 2009","FY 2009","Currency=INR","Period=FY","BEST_FPERIOD_OVERRIDE=FY","FILING_STATUS=MR","EQY_CONSOLIDATED=Y","SCALING_FORMAT=MLN","Sort=A","Dates=H","DateFormat=P","Fill=—","Direction=H","UseDPDF=Y")</f>
        <v>—</v>
      </c>
      <c r="D82" s="13" t="str">
        <f>_xll.BDH("RCOM IN Equity","ARDR_ST_CAP_LEASE_OBLIGATIONS","FY 2010","FY 2010","Currency=INR","Period=FY","BEST_FPERIOD_OVERRIDE=FY","FILING_STATUS=MR","EQY_CONSOLIDATED=Y","SCALING_FORMAT=MLN","Sort=A","Dates=H","DateFormat=P","Fill=—","Direction=H","UseDPDF=Y")</f>
        <v>—</v>
      </c>
      <c r="E82" s="13" t="str">
        <f>_xll.BDH("RCOM IN Equity","ARDR_ST_CAP_LEASE_OBLIGATIONS","FY 2011","FY 2011","Currency=INR","Period=FY","BEST_FPERIOD_OVERRIDE=FY","FILING_STATUS=MR","EQY_CONSOLIDATED=Y","SCALING_FORMAT=MLN","Sort=A","Dates=H","DateFormat=P","Fill=—","Direction=H","UseDPDF=Y")</f>
        <v>—</v>
      </c>
      <c r="F82" s="13" t="str">
        <f>_xll.BDH("RCOM IN Equity","ARDR_ST_CAP_LEASE_OBLIGATIONS","FY 2012","FY 2012","Currency=INR","Period=FY","BEST_FPERIOD_OVERRIDE=FY","FILING_STATUS=MR","EQY_CONSOLIDATED=Y","SCALING_FORMAT=MLN","Sort=A","Dates=H","DateFormat=P","Fill=—","Direction=H","UseDPDF=Y")</f>
        <v>—</v>
      </c>
      <c r="G82" s="13" t="str">
        <f>_xll.BDH("RCOM IN Equity","ARDR_ST_CAP_LEASE_OBLIGATIONS","FY 2013","FY 2013","Currency=INR","Period=FY","BEST_FPERIOD_OVERRIDE=FY","FILING_STATUS=MR","EQY_CONSOLIDATED=Y","SCALING_FORMAT=MLN","Sort=A","Dates=H","DateFormat=P","Fill=—","Direction=H","UseDPDF=Y")</f>
        <v>—</v>
      </c>
      <c r="H82" s="13">
        <f>_xll.BDH("RCOM IN Equity","ARDR_ST_CAP_LEASE_OBLIGATIONS","FY 2014","FY 2014","Currency=INR","Period=FY","BEST_FPERIOD_OVERRIDE=FY","FILING_STATUS=MR","EQY_CONSOLIDATED=Y","SCALING_FORMAT=MLN","Sort=A","Dates=H","DateFormat=P","Fill=—","Direction=H","UseDPDF=Y")</f>
        <v>200</v>
      </c>
      <c r="I82" s="13">
        <f>_xll.BDH("RCOM IN Equity","ARDR_ST_CAP_LEASE_OBLIGATIONS","FY 2015","FY 2015","Currency=INR","Period=FY","BEST_FPERIOD_OVERRIDE=FY","FILING_STATUS=MR","EQY_CONSOLIDATED=Y","SCALING_FORMAT=MLN","Sort=A","Dates=H","DateFormat=P","Fill=—","Direction=H","UseDPDF=Y")</f>
        <v>110</v>
      </c>
      <c r="J82" s="13">
        <f>_xll.BDH("RCOM IN Equity","ARDR_ST_CAP_LEASE_OBLIGATIONS","FY 2016","FY 2016","Currency=INR","Period=FY","BEST_FPERIOD_OVERRIDE=FY","FILING_STATUS=MR","EQY_CONSOLIDATED=Y","SCALING_FORMAT=MLN","Sort=A","Dates=H","DateFormat=P","Fill=—","Direction=H","UseDPDF=Y")</f>
        <v>100</v>
      </c>
      <c r="K82" s="13">
        <f>_xll.BDH("RCOM IN Equity","ARDR_ST_CAP_LEASE_OBLIGATIONS","FY 2017","FY 2017","Currency=INR","Period=FY","BEST_FPERIOD_OVERRIDE=FY","FILING_STATUS=MR","EQY_CONSOLIDATED=Y","SCALING_FORMAT=MLN","Sort=A","Dates=H","DateFormat=P","Fill=—","Direction=H","UseDPDF=Y")</f>
        <v>20</v>
      </c>
      <c r="L82" s="13">
        <f>_xll.BDH("RCOM IN Equity","ARDR_ST_CAP_LEASE_OBLIGATIONS","FY 2018","FY 2018","Currency=INR","Period=FY","BEST_FPERIOD_OVERRIDE=FY","FILING_STATUS=MR","EQY_CONSOLIDATED=Y","SCALING_FORMAT=MLN","Sort=A","Dates=H","DateFormat=P","Fill=—","Direction=H","UseDPDF=Y")</f>
        <v>0</v>
      </c>
    </row>
    <row r="83" spans="1:12">
      <c r="A83" s="10" t="s">
        <v>934</v>
      </c>
      <c r="B83" s="10" t="s">
        <v>983</v>
      </c>
      <c r="C83" s="13" t="str">
        <f>_xll.BDH("RCOM IN Equity","ARDR_ST_BORROW","FY 2009","FY 2009","Currency=INR","Period=FY","BEST_FPERIOD_OVERRIDE=FY","FILING_STATUS=MR","EQY_CONSOLIDATED=Y","SCALING_FORMAT=MLN","Sort=A","Dates=H","DateFormat=P","Fill=—","Direction=H","UseDPDF=Y")</f>
        <v>—</v>
      </c>
      <c r="D83" s="13" t="str">
        <f>_xll.BDH("RCOM IN Equity","ARDR_ST_BORROW","FY 2010","FY 2010","Currency=INR","Period=FY","BEST_FPERIOD_OVERRIDE=FY","FILING_STATUS=MR","EQY_CONSOLIDATED=Y","SCALING_FORMAT=MLN","Sort=A","Dates=H","DateFormat=P","Fill=—","Direction=H","UseDPDF=Y")</f>
        <v>—</v>
      </c>
      <c r="E83" s="13">
        <f>_xll.BDH("RCOM IN Equity","ARDR_ST_BORROW","FY 2011","FY 2011","Currency=INR","Period=FY","BEST_FPERIOD_OVERRIDE=FY","FILING_STATUS=MR","EQY_CONSOLIDATED=Y","SCALING_FORMAT=MLN","Sort=A","Dates=H","DateFormat=P","Fill=—","Direction=H","UseDPDF=Y")</f>
        <v>106820</v>
      </c>
      <c r="F83" s="13">
        <f>_xll.BDH("RCOM IN Equity","ARDR_ST_BORROW","FY 2012","FY 2012","Currency=INR","Period=FY","BEST_FPERIOD_OVERRIDE=FY","FILING_STATUS=MR","EQY_CONSOLIDATED=Y","SCALING_FORMAT=MLN","Sort=A","Dates=H","DateFormat=P","Fill=—","Direction=H","UseDPDF=Y")</f>
        <v>55390</v>
      </c>
      <c r="G83" s="13">
        <f>_xll.BDH("RCOM IN Equity","ARDR_ST_BORROW","FY 2013","FY 2013","Currency=INR","Period=FY","BEST_FPERIOD_OVERRIDE=FY","FILING_STATUS=MR","EQY_CONSOLIDATED=Y","SCALING_FORMAT=MLN","Sort=A","Dates=H","DateFormat=P","Fill=—","Direction=H","UseDPDF=Y")</f>
        <v>88000</v>
      </c>
      <c r="H83" s="13">
        <f>_xll.BDH("RCOM IN Equity","ARDR_ST_BORROW","FY 2014","FY 2014","Currency=INR","Period=FY","BEST_FPERIOD_OVERRIDE=FY","FILING_STATUS=MR","EQY_CONSOLIDATED=Y","SCALING_FORMAT=MLN","Sort=A","Dates=H","DateFormat=P","Fill=—","Direction=H","UseDPDF=Y")</f>
        <v>89090</v>
      </c>
      <c r="I83" s="13">
        <f>_xll.BDH("RCOM IN Equity","ARDR_ST_BORROW","FY 2015","FY 2015","Currency=INR","Period=FY","BEST_FPERIOD_OVERRIDE=FY","FILING_STATUS=MR","EQY_CONSOLIDATED=Y","SCALING_FORMAT=MLN","Sort=A","Dates=H","DateFormat=P","Fill=—","Direction=H","UseDPDF=Y")</f>
        <v>15870</v>
      </c>
      <c r="J83" s="13">
        <f>_xll.BDH("RCOM IN Equity","ARDR_ST_BORROW","FY 2016","FY 2016","Currency=INR","Period=FY","BEST_FPERIOD_OVERRIDE=FY","FILING_STATUS=MR","EQY_CONSOLIDATED=Y","SCALING_FORMAT=MLN","Sort=A","Dates=H","DateFormat=P","Fill=—","Direction=H","UseDPDF=Y")</f>
        <v>43740</v>
      </c>
      <c r="K83" s="13">
        <f>_xll.BDH("RCOM IN Equity","ARDR_ST_BORROW","FY 2017","FY 2017","Currency=INR","Period=FY","BEST_FPERIOD_OVERRIDE=FY","FILING_STATUS=MR","EQY_CONSOLIDATED=Y","SCALING_FORMAT=MLN","Sort=A","Dates=H","DateFormat=P","Fill=—","Direction=H","UseDPDF=Y")</f>
        <v>94990</v>
      </c>
      <c r="L83" s="13">
        <f>_xll.BDH("RCOM IN Equity","ARDR_ST_BORROW","FY 2018","FY 2018","Currency=INR","Period=FY","BEST_FPERIOD_OVERRIDE=FY","FILING_STATUS=MR","EQY_CONSOLIDATED=Y","SCALING_FORMAT=MLN","Sort=A","Dates=H","DateFormat=P","Fill=—","Direction=H","UseDPDF=Y")</f>
        <v>232420</v>
      </c>
    </row>
    <row r="84" spans="1:12">
      <c r="A84" s="10" t="s">
        <v>984</v>
      </c>
      <c r="B84" s="10" t="s">
        <v>985</v>
      </c>
      <c r="C84" s="13">
        <f>_xll.BDH("RCOM IN Equity","ARDR_ACC_COMP_POSTRETIRE_OBLIG","FY 2009","FY 2009","Currency=INR","Period=FY","BEST_FPERIOD_OVERRIDE=FY","FILING_STATUS=MR","EQY_CONSOLIDATED=Y","SCALING_FORMAT=MLN","Sort=A","Dates=H","DateFormat=P","Fill=—","Direction=H","UseDPDF=Y")</f>
        <v>1448.4</v>
      </c>
      <c r="D84" s="13">
        <f>_xll.BDH("RCOM IN Equity","ARDR_ACC_COMP_POSTRETIRE_OBLIG","FY 2010","FY 2010","Currency=INR","Period=FY","BEST_FPERIOD_OVERRIDE=FY","FILING_STATUS=MR","EQY_CONSOLIDATED=Y","SCALING_FORMAT=MLN","Sort=A","Dates=H","DateFormat=P","Fill=—","Direction=H","UseDPDF=Y")</f>
        <v>1167</v>
      </c>
      <c r="E84" s="13">
        <f>_xll.BDH("RCOM IN Equity","ARDR_ACC_COMP_POSTRETIRE_OBLIG","FY 2011","FY 2011","Currency=INR","Period=FY","BEST_FPERIOD_OVERRIDE=FY","FILING_STATUS=MR","EQY_CONSOLIDATED=Y","SCALING_FORMAT=MLN","Sort=A","Dates=H","DateFormat=P","Fill=—","Direction=H","UseDPDF=Y")</f>
        <v>1260</v>
      </c>
      <c r="F84" s="13">
        <f>_xll.BDH("RCOM IN Equity","ARDR_ACC_COMP_POSTRETIRE_OBLIG","FY 2012","FY 2012","Currency=INR","Period=FY","BEST_FPERIOD_OVERRIDE=FY","FILING_STATUS=MR","EQY_CONSOLIDATED=Y","SCALING_FORMAT=MLN","Sort=A","Dates=H","DateFormat=P","Fill=—","Direction=H","UseDPDF=Y")</f>
        <v>530</v>
      </c>
      <c r="G84" s="13">
        <f>_xll.BDH("RCOM IN Equity","ARDR_ACC_COMP_POSTRETIRE_OBLIG","FY 2013","FY 2013","Currency=INR","Period=FY","BEST_FPERIOD_OVERRIDE=FY","FILING_STATUS=MR","EQY_CONSOLIDATED=Y","SCALING_FORMAT=MLN","Sort=A","Dates=H","DateFormat=P","Fill=—","Direction=H","UseDPDF=Y")</f>
        <v>290</v>
      </c>
      <c r="H84" s="13">
        <f>_xll.BDH("RCOM IN Equity","ARDR_ACC_COMP_POSTRETIRE_OBLIG","FY 2014","FY 2014","Currency=INR","Period=FY","BEST_FPERIOD_OVERRIDE=FY","FILING_STATUS=MR","EQY_CONSOLIDATED=Y","SCALING_FORMAT=MLN","Sort=A","Dates=H","DateFormat=P","Fill=—","Direction=H","UseDPDF=Y")</f>
        <v>340</v>
      </c>
      <c r="I84" s="13">
        <f>_xll.BDH("RCOM IN Equity","ARDR_ACC_COMP_POSTRETIRE_OBLIG","FY 2015","FY 2015","Currency=INR","Period=FY","BEST_FPERIOD_OVERRIDE=FY","FILING_STATUS=MR","EQY_CONSOLIDATED=Y","SCALING_FORMAT=MLN","Sort=A","Dates=H","DateFormat=P","Fill=—","Direction=H","UseDPDF=Y")</f>
        <v>270</v>
      </c>
      <c r="J84" s="13">
        <f>_xll.BDH("RCOM IN Equity","ARDR_ACC_COMP_POSTRETIRE_OBLIG","FY 2016","FY 2016","Currency=INR","Period=FY","BEST_FPERIOD_OVERRIDE=FY","FILING_STATUS=MR","EQY_CONSOLIDATED=Y","SCALING_FORMAT=MLN","Sort=A","Dates=H","DateFormat=P","Fill=—","Direction=H","UseDPDF=Y")</f>
        <v>270</v>
      </c>
      <c r="K84" s="13">
        <f>_xll.BDH("RCOM IN Equity","ARDR_ACC_COMP_POSTRETIRE_OBLIG","FY 2017","FY 2017","Currency=INR","Period=FY","BEST_FPERIOD_OVERRIDE=FY","FILING_STATUS=MR","EQY_CONSOLIDATED=Y","SCALING_FORMAT=MLN","Sort=A","Dates=H","DateFormat=P","Fill=—","Direction=H","UseDPDF=Y")</f>
        <v>290</v>
      </c>
      <c r="L84" s="13">
        <f>_xll.BDH("RCOM IN Equity","ARDR_ACC_COMP_POSTRETIRE_OBLIG","FY 2018","FY 2018","Currency=INR","Period=FY","BEST_FPERIOD_OVERRIDE=FY","FILING_STATUS=MR","EQY_CONSOLIDATED=Y","SCALING_FORMAT=MLN","Sort=A","Dates=H","DateFormat=P","Fill=—","Direction=H","UseDPDF=Y")</f>
        <v>210</v>
      </c>
    </row>
    <row r="85" spans="1:12">
      <c r="A85" s="10" t="s">
        <v>986</v>
      </c>
      <c r="B85" s="10" t="s">
        <v>987</v>
      </c>
      <c r="C85" s="13">
        <f>_xll.BDH("RCOM IN Equity","ARDR_INTEREST_ACCRUED_PAYABLE","FY 2009","FY 2009","Currency=INR","Period=FY","BEST_FPERIOD_OVERRIDE=FY","FILING_STATUS=MR","EQY_CONSOLIDATED=Y","SCALING_FORMAT=MLN","Sort=A","Dates=H","DateFormat=P","Fill=—","Direction=H","UseDPDF=Y")</f>
        <v>1097.4000000000001</v>
      </c>
      <c r="D85" s="13">
        <f>_xll.BDH("RCOM IN Equity","ARDR_INTEREST_ACCRUED_PAYABLE","FY 2010","FY 2010","Currency=INR","Period=FY","BEST_FPERIOD_OVERRIDE=FY","FILING_STATUS=MR","EQY_CONSOLIDATED=Y","SCALING_FORMAT=MLN","Sort=A","Dates=H","DateFormat=P","Fill=—","Direction=H","UseDPDF=Y")</f>
        <v>646.6</v>
      </c>
      <c r="E85" s="13">
        <f>_xll.BDH("RCOM IN Equity","ARDR_INTEREST_ACCRUED_PAYABLE","FY 2011","FY 2011","Currency=INR","Period=FY","BEST_FPERIOD_OVERRIDE=FY","FILING_STATUS=MR","EQY_CONSOLIDATED=Y","SCALING_FORMAT=MLN","Sort=A","Dates=H","DateFormat=P","Fill=—","Direction=H","UseDPDF=Y")</f>
        <v>740</v>
      </c>
      <c r="F85" s="13">
        <f>_xll.BDH("RCOM IN Equity","ARDR_INTEREST_ACCRUED_PAYABLE","FY 2012","FY 2012","Currency=INR","Period=FY","BEST_FPERIOD_OVERRIDE=FY","FILING_STATUS=MR","EQY_CONSOLIDATED=Y","SCALING_FORMAT=MLN","Sort=A","Dates=H","DateFormat=P","Fill=—","Direction=H","UseDPDF=Y")</f>
        <v>1190</v>
      </c>
      <c r="G85" s="13">
        <f>_xll.BDH("RCOM IN Equity","ARDR_INTEREST_ACCRUED_PAYABLE","FY 2013","FY 2013","Currency=INR","Period=FY","BEST_FPERIOD_OVERRIDE=FY","FILING_STATUS=MR","EQY_CONSOLIDATED=Y","SCALING_FORMAT=MLN","Sort=A","Dates=H","DateFormat=P","Fill=—","Direction=H","UseDPDF=Y")</f>
        <v>1530</v>
      </c>
      <c r="H85" s="13">
        <f>_xll.BDH("RCOM IN Equity","ARDR_INTEREST_ACCRUED_PAYABLE","FY 2014","FY 2014","Currency=INR","Period=FY","BEST_FPERIOD_OVERRIDE=FY","FILING_STATUS=MR","EQY_CONSOLIDATED=Y","SCALING_FORMAT=MLN","Sort=A","Dates=H","DateFormat=P","Fill=—","Direction=H","UseDPDF=Y")</f>
        <v>1620</v>
      </c>
      <c r="I85" s="13">
        <f>_xll.BDH("RCOM IN Equity","ARDR_INTEREST_ACCRUED_PAYABLE","FY 2015","FY 2015","Currency=INR","Period=FY","BEST_FPERIOD_OVERRIDE=FY","FILING_STATUS=MR","EQY_CONSOLIDATED=Y","SCALING_FORMAT=MLN","Sort=A","Dates=H","DateFormat=P","Fill=—","Direction=H","UseDPDF=Y")</f>
        <v>1850</v>
      </c>
      <c r="J85" s="13">
        <f>_xll.BDH("RCOM IN Equity","ARDR_INTEREST_ACCRUED_PAYABLE","FY 2016","FY 2016","Currency=INR","Period=FY","BEST_FPERIOD_OVERRIDE=FY","FILING_STATUS=MR","EQY_CONSOLIDATED=Y","SCALING_FORMAT=MLN","Sort=A","Dates=H","DateFormat=P","Fill=—","Direction=H","UseDPDF=Y")</f>
        <v>2620</v>
      </c>
      <c r="K85" s="13">
        <f>_xll.BDH("RCOM IN Equity","ARDR_INTEREST_ACCRUED_PAYABLE","FY 2017","FY 2017","Currency=INR","Period=FY","BEST_FPERIOD_OVERRIDE=FY","FILING_STATUS=MR","EQY_CONSOLIDATED=Y","SCALING_FORMAT=MLN","Sort=A","Dates=H","DateFormat=P","Fill=—","Direction=H","UseDPDF=Y")</f>
        <v>12950</v>
      </c>
      <c r="L85" s="13">
        <f>_xll.BDH("RCOM IN Equity","ARDR_INTEREST_ACCRUED_PAYABLE","FY 2018","FY 2018","Currency=INR","Period=FY","BEST_FPERIOD_OVERRIDE=FY","FILING_STATUS=MR","EQY_CONSOLIDATED=Y","SCALING_FORMAT=MLN","Sort=A","Dates=H","DateFormat=P","Fill=—","Direction=H","UseDPDF=Y")</f>
        <v>4770</v>
      </c>
    </row>
    <row r="86" spans="1:12">
      <c r="A86" s="10" t="s">
        <v>988</v>
      </c>
      <c r="B86" s="10" t="s">
        <v>989</v>
      </c>
      <c r="C86" s="13">
        <f>_xll.BDH("RCOM IN Equity","ARDR_DVD_ACCRUED_PAYABLE","FY 2009","FY 2009","Currency=INR","Period=FY","BEST_FPERIOD_OVERRIDE=FY","FILING_STATUS=MR","EQY_CONSOLIDATED=Y","SCALING_FORMAT=MLN","Sort=A","Dates=H","DateFormat=P","Fill=—","Direction=H","UseDPDF=Y")</f>
        <v>1683.2</v>
      </c>
      <c r="D86" s="13">
        <f>_xll.BDH("RCOM IN Equity","ARDR_DVD_ACCRUED_PAYABLE","FY 2010","FY 2010","Currency=INR","Period=FY","BEST_FPERIOD_OVERRIDE=FY","FILING_STATUS=MR","EQY_CONSOLIDATED=Y","SCALING_FORMAT=MLN","Sort=A","Dates=H","DateFormat=P","Fill=—","Direction=H","UseDPDF=Y")</f>
        <v>1807.1</v>
      </c>
      <c r="E86" s="13">
        <f>_xll.BDH("RCOM IN Equity","ARDR_DVD_ACCRUED_PAYABLE","FY 2011","FY 2011","Currency=INR","Period=FY","BEST_FPERIOD_OVERRIDE=FY","FILING_STATUS=MR","EQY_CONSOLIDATED=Y","SCALING_FORMAT=MLN","Sort=A","Dates=H","DateFormat=P","Fill=—","Direction=H","UseDPDF=Y")</f>
        <v>1100</v>
      </c>
      <c r="F86" s="13">
        <f>_xll.BDH("RCOM IN Equity","ARDR_DVD_ACCRUED_PAYABLE","FY 2012","FY 2012","Currency=INR","Period=FY","BEST_FPERIOD_OVERRIDE=FY","FILING_STATUS=MR","EQY_CONSOLIDATED=Y","SCALING_FORMAT=MLN","Sort=A","Dates=H","DateFormat=P","Fill=—","Direction=H","UseDPDF=Y")</f>
        <v>610</v>
      </c>
      <c r="G86" s="13">
        <f>_xll.BDH("RCOM IN Equity","ARDR_DVD_ACCRUED_PAYABLE","FY 2013","FY 2013","Currency=INR","Period=FY","BEST_FPERIOD_OVERRIDE=FY","FILING_STATUS=MR","EQY_CONSOLIDATED=Y","SCALING_FORMAT=MLN","Sort=A","Dates=H","DateFormat=P","Fill=—","Direction=H","UseDPDF=Y")</f>
        <v>610</v>
      </c>
      <c r="H86" s="13">
        <f>_xll.BDH("RCOM IN Equity","ARDR_DVD_ACCRUED_PAYABLE","FY 2014","FY 2014","Currency=INR","Period=FY","BEST_FPERIOD_OVERRIDE=FY","FILING_STATUS=MR","EQY_CONSOLIDATED=Y","SCALING_FORMAT=MLN","Sort=A","Dates=H","DateFormat=P","Fill=—","Direction=H","UseDPDF=Y")</f>
        <v>100</v>
      </c>
      <c r="I86" s="13">
        <f>_xll.BDH("RCOM IN Equity","ARDR_DVD_ACCRUED_PAYABLE","FY 2015","FY 2015","Currency=INR","Period=FY","BEST_FPERIOD_OVERRIDE=FY","FILING_STATUS=MR","EQY_CONSOLIDATED=Y","SCALING_FORMAT=MLN","Sort=A","Dates=H","DateFormat=P","Fill=—","Direction=H","UseDPDF=Y")</f>
        <v>80</v>
      </c>
      <c r="J86" s="13">
        <f>_xll.BDH("RCOM IN Equity","ARDR_DVD_ACCRUED_PAYABLE","FY 2016","FY 2016","Currency=INR","Period=FY","BEST_FPERIOD_OVERRIDE=FY","FILING_STATUS=MR","EQY_CONSOLIDATED=Y","SCALING_FORMAT=MLN","Sort=A","Dates=H","DateFormat=P","Fill=—","Direction=H","UseDPDF=Y")</f>
        <v>70</v>
      </c>
      <c r="K86" s="13">
        <f>_xll.BDH("RCOM IN Equity","ARDR_DVD_ACCRUED_PAYABLE","FY 2017","FY 2017","Currency=INR","Period=FY","BEST_FPERIOD_OVERRIDE=FY","FILING_STATUS=MR","EQY_CONSOLIDATED=Y","SCALING_FORMAT=MLN","Sort=A","Dates=H","DateFormat=P","Fill=—","Direction=H","UseDPDF=Y")</f>
        <v>50</v>
      </c>
      <c r="L86" s="13">
        <f>_xll.BDH("RCOM IN Equity","ARDR_DVD_ACCRUED_PAYABLE","FY 2018","FY 2018","Currency=INR","Period=FY","BEST_FPERIOD_OVERRIDE=FY","FILING_STATUS=MR","EQY_CONSOLIDATED=Y","SCALING_FORMAT=MLN","Sort=A","Dates=H","DateFormat=P","Fill=—","Direction=H","UseDPDF=Y")</f>
        <v>20</v>
      </c>
    </row>
    <row r="87" spans="1:12">
      <c r="A87" s="10" t="s">
        <v>938</v>
      </c>
      <c r="B87" s="10" t="s">
        <v>990</v>
      </c>
      <c r="C87" s="13">
        <f>_xll.BDH("RCOM IN Equity","ARDR_OTHER_CURRENT_LIABILITIES","FY 2009","FY 2009","Currency=INR","Period=FY","BEST_FPERIOD_OVERRIDE=FY","FILING_STATUS=MR","EQY_CONSOLIDATED=Y","SCALING_FORMAT=MLN","Sort=A","Dates=H","DateFormat=P","Fill=—","Direction=H","UseDPDF=Y")</f>
        <v>114890</v>
      </c>
      <c r="D87" s="13">
        <f>_xll.BDH("RCOM IN Equity","ARDR_OTHER_CURRENT_LIABILITIES","FY 2010","FY 2010","Currency=INR","Period=FY","BEST_FPERIOD_OVERRIDE=FY","FILING_STATUS=MR","EQY_CONSOLIDATED=Y","SCALING_FORMAT=MLN","Sort=A","Dates=H","DateFormat=P","Fill=—","Direction=H","UseDPDF=Y")</f>
        <v>107954</v>
      </c>
      <c r="E87" s="13">
        <f>_xll.BDH("RCOM IN Equity","ARDR_OTHER_CURRENT_LIABILITIES","FY 2011","FY 2011","Currency=INR","Period=FY","BEST_FPERIOD_OVERRIDE=FY","FILING_STATUS=MR","EQY_CONSOLIDATED=Y","SCALING_FORMAT=MLN","Sort=A","Dates=H","DateFormat=P","Fill=—","Direction=H","UseDPDF=Y")</f>
        <v>27400</v>
      </c>
      <c r="F87" s="13">
        <f>_xll.BDH("RCOM IN Equity","ARDR_OTHER_CURRENT_LIABILITIES","FY 2012","FY 2012","Currency=INR","Period=FY","BEST_FPERIOD_OVERRIDE=FY","FILING_STATUS=MR","EQY_CONSOLIDATED=Y","SCALING_FORMAT=MLN","Sort=A","Dates=H","DateFormat=P","Fill=—","Direction=H","UseDPDF=Y")</f>
        <v>18360</v>
      </c>
      <c r="G87" s="13">
        <f>_xll.BDH("RCOM IN Equity","ARDR_OTHER_CURRENT_LIABILITIES","FY 2013","FY 2013","Currency=INR","Period=FY","BEST_FPERIOD_OVERRIDE=FY","FILING_STATUS=MR","EQY_CONSOLIDATED=Y","SCALING_FORMAT=MLN","Sort=A","Dates=H","DateFormat=P","Fill=—","Direction=H","UseDPDF=Y")</f>
        <v>11490</v>
      </c>
      <c r="H87" s="13">
        <f>_xll.BDH("RCOM IN Equity","ARDR_OTHER_CURRENT_LIABILITIES","FY 2014","FY 2014","Currency=INR","Period=FY","BEST_FPERIOD_OVERRIDE=FY","FILING_STATUS=MR","EQY_CONSOLIDATED=Y","SCALING_FORMAT=MLN","Sort=A","Dates=H","DateFormat=P","Fill=—","Direction=H","UseDPDF=Y")</f>
        <v>8370</v>
      </c>
      <c r="I87" s="13">
        <f>_xll.BDH("RCOM IN Equity","ARDR_OTHER_CURRENT_LIABILITIES","FY 2015","FY 2015","Currency=INR","Period=FY","BEST_FPERIOD_OVERRIDE=FY","FILING_STATUS=MR","EQY_CONSOLIDATED=Y","SCALING_FORMAT=MLN","Sort=A","Dates=H","DateFormat=P","Fill=—","Direction=H","UseDPDF=Y")</f>
        <v>4840</v>
      </c>
      <c r="J87" s="13">
        <f>_xll.BDH("RCOM IN Equity","ARDR_OTHER_CURRENT_LIABILITIES","FY 2016","FY 2016","Currency=INR","Period=FY","BEST_FPERIOD_OVERRIDE=FY","FILING_STATUS=MR","EQY_CONSOLIDATED=Y","SCALING_FORMAT=MLN","Sort=A","Dates=H","DateFormat=P","Fill=—","Direction=H","UseDPDF=Y")</f>
        <v>12630</v>
      </c>
      <c r="K87" s="13">
        <f>_xll.BDH("RCOM IN Equity","ARDR_OTHER_CURRENT_LIABILITIES","FY 2017","FY 2017","Currency=INR","Period=FY","BEST_FPERIOD_OVERRIDE=FY","FILING_STATUS=MR","EQY_CONSOLIDATED=Y","SCALING_FORMAT=MLN","Sort=A","Dates=H","DateFormat=P","Fill=—","Direction=H","UseDPDF=Y")</f>
        <v>9550</v>
      </c>
      <c r="L87" s="13">
        <f>_xll.BDH("RCOM IN Equity","ARDR_OTHER_CURRENT_LIABILITIES","FY 2018","FY 2018","Currency=INR","Period=FY","BEST_FPERIOD_OVERRIDE=FY","FILING_STATUS=MR","EQY_CONSOLIDATED=Y","SCALING_FORMAT=MLN","Sort=A","Dates=H","DateFormat=P","Fill=—","Direction=H","UseDPDF=Y")</f>
        <v>79270</v>
      </c>
    </row>
    <row r="88" spans="1:12">
      <c r="A88" s="10" t="s">
        <v>991</v>
      </c>
      <c r="B88" s="10" t="s">
        <v>992</v>
      </c>
      <c r="C88" s="13" t="str">
        <f>_xll.BDH("RCOM IN Equity","ARDR_NOTES_PAYABLE_LT","FY 2009","FY 2009","Currency=INR","Period=FY","BEST_FPERIOD_OVERRIDE=FY","FILING_STATUS=MR","EQY_CONSOLIDATED=Y","SCALING_FORMAT=MLN","Sort=A","Dates=H","DateFormat=P","Fill=—","Direction=H","UseDPDF=Y")</f>
        <v>—</v>
      </c>
      <c r="D88" s="13" t="str">
        <f>_xll.BDH("RCOM IN Equity","ARDR_NOTES_PAYABLE_LT","FY 2010","FY 2010","Currency=INR","Period=FY","BEST_FPERIOD_OVERRIDE=FY","FILING_STATUS=MR","EQY_CONSOLIDATED=Y","SCALING_FORMAT=MLN","Sort=A","Dates=H","DateFormat=P","Fill=—","Direction=H","UseDPDF=Y")</f>
        <v>—</v>
      </c>
      <c r="E88" s="13" t="str">
        <f>_xll.BDH("RCOM IN Equity","ARDR_NOTES_PAYABLE_LT","FY 2011","FY 2011","Currency=INR","Period=FY","BEST_FPERIOD_OVERRIDE=FY","FILING_STATUS=MR","EQY_CONSOLIDATED=Y","SCALING_FORMAT=MLN","Sort=A","Dates=H","DateFormat=P","Fill=—","Direction=H","UseDPDF=Y")</f>
        <v>—</v>
      </c>
      <c r="F88" s="13" t="str">
        <f>_xll.BDH("RCOM IN Equity","ARDR_NOTES_PAYABLE_LT","FY 2012","FY 2012","Currency=INR","Period=FY","BEST_FPERIOD_OVERRIDE=FY","FILING_STATUS=MR","EQY_CONSOLIDATED=Y","SCALING_FORMAT=MLN","Sort=A","Dates=H","DateFormat=P","Fill=—","Direction=H","UseDPDF=Y")</f>
        <v>—</v>
      </c>
      <c r="G88" s="13" t="str">
        <f>_xll.BDH("RCOM IN Equity","ARDR_NOTES_PAYABLE_LT","FY 2013","FY 2013","Currency=INR","Period=FY","BEST_FPERIOD_OVERRIDE=FY","FILING_STATUS=MR","EQY_CONSOLIDATED=Y","SCALING_FORMAT=MLN","Sort=A","Dates=H","DateFormat=P","Fill=—","Direction=H","UseDPDF=Y")</f>
        <v>—</v>
      </c>
      <c r="H88" s="13">
        <f>_xll.BDH("RCOM IN Equity","ARDR_NOTES_PAYABLE_LT","FY 2014","FY 2014","Currency=INR","Period=FY","BEST_FPERIOD_OVERRIDE=FY","FILING_STATUS=MR","EQY_CONSOLIDATED=Y","SCALING_FORMAT=MLN","Sort=A","Dates=H","DateFormat=P","Fill=—","Direction=H","UseDPDF=Y")</f>
        <v>0</v>
      </c>
      <c r="I88" s="13">
        <f>_xll.BDH("RCOM IN Equity","ARDR_NOTES_PAYABLE_LT","FY 2015","FY 2015","Currency=INR","Period=FY","BEST_FPERIOD_OVERRIDE=FY","FILING_STATUS=MR","EQY_CONSOLIDATED=Y","SCALING_FORMAT=MLN","Sort=A","Dates=H","DateFormat=P","Fill=—","Direction=H","UseDPDF=Y")</f>
        <v>21880</v>
      </c>
      <c r="J88" s="13" t="str">
        <f>_xll.BDH("RCOM IN Equity","ARDR_NOTES_PAYABLE_LT","FY 2016","FY 2016","Currency=INR","Period=FY","BEST_FPERIOD_OVERRIDE=FY","FILING_STATUS=MR","EQY_CONSOLIDATED=Y","SCALING_FORMAT=MLN","Sort=A","Dates=H","DateFormat=P","Fill=—","Direction=H","UseDPDF=Y")</f>
        <v>—</v>
      </c>
      <c r="K88" s="13" t="str">
        <f>_xll.BDH("RCOM IN Equity","ARDR_NOTES_PAYABLE_LT","FY 2017","FY 2017","Currency=INR","Period=FY","BEST_FPERIOD_OVERRIDE=FY","FILING_STATUS=MR","EQY_CONSOLIDATED=Y","SCALING_FORMAT=MLN","Sort=A","Dates=H","DateFormat=P","Fill=—","Direction=H","UseDPDF=Y")</f>
        <v>—</v>
      </c>
      <c r="L88" s="13" t="str">
        <f>_xll.BDH("RCOM IN Equity","ARDR_NOTES_PAYABLE_LT","FY 2018","FY 2018","Currency=INR","Period=FY","BEST_FPERIOD_OVERRIDE=FY","FILING_STATUS=MR","EQY_CONSOLIDATED=Y","SCALING_FORMAT=MLN","Sort=A","Dates=H","DateFormat=P","Fill=—","Direction=H","UseDPDF=Y")</f>
        <v>—</v>
      </c>
    </row>
    <row r="89" spans="1:12">
      <c r="A89" s="10" t="s">
        <v>993</v>
      </c>
      <c r="B89" s="10" t="s">
        <v>994</v>
      </c>
      <c r="C89" s="13" t="str">
        <f>_xll.BDH("RCOM IN Equity","ARDR_LT_CAP_LEASE_OBLIGATIONS","FY 2009","FY 2009","Currency=INR","Period=FY","BEST_FPERIOD_OVERRIDE=FY","FILING_STATUS=MR","EQY_CONSOLIDATED=Y","SCALING_FORMAT=MLN","Sort=A","Dates=H","DateFormat=P","Fill=—","Direction=H","UseDPDF=Y")</f>
        <v>—</v>
      </c>
      <c r="D89" s="13" t="str">
        <f>_xll.BDH("RCOM IN Equity","ARDR_LT_CAP_LEASE_OBLIGATIONS","FY 2010","FY 2010","Currency=INR","Period=FY","BEST_FPERIOD_OVERRIDE=FY","FILING_STATUS=MR","EQY_CONSOLIDATED=Y","SCALING_FORMAT=MLN","Sort=A","Dates=H","DateFormat=P","Fill=—","Direction=H","UseDPDF=Y")</f>
        <v>—</v>
      </c>
      <c r="E89" s="13" t="str">
        <f>_xll.BDH("RCOM IN Equity","ARDR_LT_CAP_LEASE_OBLIGATIONS","FY 2011","FY 2011","Currency=INR","Period=FY","BEST_FPERIOD_OVERRIDE=FY","FILING_STATUS=MR","EQY_CONSOLIDATED=Y","SCALING_FORMAT=MLN","Sort=A","Dates=H","DateFormat=P","Fill=—","Direction=H","UseDPDF=Y")</f>
        <v>—</v>
      </c>
      <c r="F89" s="13" t="str">
        <f>_xll.BDH("RCOM IN Equity","ARDR_LT_CAP_LEASE_OBLIGATIONS","FY 2012","FY 2012","Currency=INR","Period=FY","BEST_FPERIOD_OVERRIDE=FY","FILING_STATUS=MR","EQY_CONSOLIDATED=Y","SCALING_FORMAT=MLN","Sort=A","Dates=H","DateFormat=P","Fill=—","Direction=H","UseDPDF=Y")</f>
        <v>—</v>
      </c>
      <c r="G89" s="13" t="str">
        <f>_xll.BDH("RCOM IN Equity","ARDR_LT_CAP_LEASE_OBLIGATIONS","FY 2013","FY 2013","Currency=INR","Period=FY","BEST_FPERIOD_OVERRIDE=FY","FILING_STATUS=MR","EQY_CONSOLIDATED=Y","SCALING_FORMAT=MLN","Sort=A","Dates=H","DateFormat=P","Fill=—","Direction=H","UseDPDF=Y")</f>
        <v>—</v>
      </c>
      <c r="H89" s="13">
        <f>_xll.BDH("RCOM IN Equity","ARDR_LT_CAP_LEASE_OBLIGATIONS","FY 2014","FY 2014","Currency=INR","Period=FY","BEST_FPERIOD_OVERRIDE=FY","FILING_STATUS=MR","EQY_CONSOLIDATED=Y","SCALING_FORMAT=MLN","Sort=A","Dates=H","DateFormat=P","Fill=—","Direction=H","UseDPDF=Y")</f>
        <v>2700</v>
      </c>
      <c r="I89" s="13">
        <f>_xll.BDH("RCOM IN Equity","ARDR_LT_CAP_LEASE_OBLIGATIONS","FY 2015","FY 2015","Currency=INR","Period=FY","BEST_FPERIOD_OVERRIDE=FY","FILING_STATUS=MR","EQY_CONSOLIDATED=Y","SCALING_FORMAT=MLN","Sort=A","Dates=H","DateFormat=P","Fill=—","Direction=H","UseDPDF=Y")</f>
        <v>1250</v>
      </c>
      <c r="J89" s="13">
        <f>_xll.BDH("RCOM IN Equity","ARDR_LT_CAP_LEASE_OBLIGATIONS","FY 2016","FY 2016","Currency=INR","Period=FY","BEST_FPERIOD_OVERRIDE=FY","FILING_STATUS=MR","EQY_CONSOLIDATED=Y","SCALING_FORMAT=MLN","Sort=A","Dates=H","DateFormat=P","Fill=—","Direction=H","UseDPDF=Y")</f>
        <v>1010</v>
      </c>
      <c r="K89" s="13">
        <f>_xll.BDH("RCOM IN Equity","ARDR_LT_CAP_LEASE_OBLIGATIONS","FY 2017","FY 2017","Currency=INR","Period=FY","BEST_FPERIOD_OVERRIDE=FY","FILING_STATUS=MR","EQY_CONSOLIDATED=Y","SCALING_FORMAT=MLN","Sort=A","Dates=H","DateFormat=P","Fill=—","Direction=H","UseDPDF=Y")</f>
        <v>880</v>
      </c>
      <c r="L89" s="13">
        <f>_xll.BDH("RCOM IN Equity","ARDR_LT_CAP_LEASE_OBLIGATIONS","FY 2018","FY 2018","Currency=INR","Period=FY","BEST_FPERIOD_OVERRIDE=FY","FILING_STATUS=MR","EQY_CONSOLIDATED=Y","SCALING_FORMAT=MLN","Sort=A","Dates=H","DateFormat=P","Fill=—","Direction=H","UseDPDF=Y")</f>
        <v>0</v>
      </c>
    </row>
    <row r="90" spans="1:12">
      <c r="A90" s="10" t="s">
        <v>995</v>
      </c>
      <c r="B90" s="10" t="s">
        <v>996</v>
      </c>
      <c r="C90" s="13">
        <f>_xll.BDH("RCOM IN Equity","ARDR_CONVERTIBLE_DEBT_LT","FY 2009","FY 2009","Currency=INR","Period=FY","BEST_FPERIOD_OVERRIDE=FY","FILING_STATUS=MR","EQY_CONSOLIDATED=Y","SCALING_FORMAT=MLN","Sort=A","Dates=H","DateFormat=P","Fill=—","Direction=H","UseDPDF=Y")</f>
        <v>70835.100000000006</v>
      </c>
      <c r="D90" s="13">
        <f>_xll.BDH("RCOM IN Equity","ARDR_CONVERTIBLE_DEBT_LT","FY 2010","FY 2010","Currency=INR","Period=FY","BEST_FPERIOD_OVERRIDE=FY","FILING_STATUS=MR","EQY_CONSOLIDATED=Y","SCALING_FORMAT=MLN","Sort=A","Dates=H","DateFormat=P","Fill=—","Direction=H","UseDPDF=Y")</f>
        <v>64595.5</v>
      </c>
      <c r="E90" s="13" t="str">
        <f>_xll.BDH("RCOM IN Equity","ARDR_CONVERTIBLE_DEBT_LT","FY 2011","FY 2011","Currency=INR","Period=FY","BEST_FPERIOD_OVERRIDE=FY","FILING_STATUS=MR","EQY_CONSOLIDATED=Y","SCALING_FORMAT=MLN","Sort=A","Dates=H","DateFormat=P","Fill=—","Direction=H","UseDPDF=Y")</f>
        <v>—</v>
      </c>
      <c r="F90" s="13" t="str">
        <f>_xll.BDH("RCOM IN Equity","ARDR_CONVERTIBLE_DEBT_LT","FY 2012","FY 2012","Currency=INR","Period=FY","BEST_FPERIOD_OVERRIDE=FY","FILING_STATUS=MR","EQY_CONSOLIDATED=Y","SCALING_FORMAT=MLN","Sort=A","Dates=H","DateFormat=P","Fill=—","Direction=H","UseDPDF=Y")</f>
        <v>—</v>
      </c>
      <c r="G90" s="13" t="str">
        <f>_xll.BDH("RCOM IN Equity","ARDR_CONVERTIBLE_DEBT_LT","FY 2013","FY 2013","Currency=INR","Period=FY","BEST_FPERIOD_OVERRIDE=FY","FILING_STATUS=MR","EQY_CONSOLIDATED=Y","SCALING_FORMAT=MLN","Sort=A","Dates=H","DateFormat=P","Fill=—","Direction=H","UseDPDF=Y")</f>
        <v>—</v>
      </c>
      <c r="H90" s="13" t="str">
        <f>_xll.BDH("RCOM IN Equity","ARDR_CONVERTIBLE_DEBT_LT","FY 2014","FY 2014","Currency=INR","Period=FY","BEST_FPERIOD_OVERRIDE=FY","FILING_STATUS=MR","EQY_CONSOLIDATED=Y","SCALING_FORMAT=MLN","Sort=A","Dates=H","DateFormat=P","Fill=—","Direction=H","UseDPDF=Y")</f>
        <v>—</v>
      </c>
      <c r="I90" s="13" t="str">
        <f>_xll.BDH("RCOM IN Equity","ARDR_CONVERTIBLE_DEBT_LT","FY 2015","FY 2015","Currency=INR","Period=FY","BEST_FPERIOD_OVERRIDE=FY","FILING_STATUS=MR","EQY_CONSOLIDATED=Y","SCALING_FORMAT=MLN","Sort=A","Dates=H","DateFormat=P","Fill=—","Direction=H","UseDPDF=Y")</f>
        <v>—</v>
      </c>
      <c r="J90" s="13" t="str">
        <f>_xll.BDH("RCOM IN Equity","ARDR_CONVERTIBLE_DEBT_LT","FY 2016","FY 2016","Currency=INR","Period=FY","BEST_FPERIOD_OVERRIDE=FY","FILING_STATUS=MR","EQY_CONSOLIDATED=Y","SCALING_FORMAT=MLN","Sort=A","Dates=H","DateFormat=P","Fill=—","Direction=H","UseDPDF=Y")</f>
        <v>—</v>
      </c>
      <c r="K90" s="13" t="str">
        <f>_xll.BDH("RCOM IN Equity","ARDR_CONVERTIBLE_DEBT_LT","FY 2017","FY 2017","Currency=INR","Period=FY","BEST_FPERIOD_OVERRIDE=FY","FILING_STATUS=MR","EQY_CONSOLIDATED=Y","SCALING_FORMAT=MLN","Sort=A","Dates=H","DateFormat=P","Fill=—","Direction=H","UseDPDF=Y")</f>
        <v>—</v>
      </c>
      <c r="L90" s="13" t="str">
        <f>_xll.BDH("RCOM IN Equity","ARDR_CONVERTIBLE_DEBT_LT","FY 2018","FY 2018","Currency=INR","Period=FY","BEST_FPERIOD_OVERRIDE=FY","FILING_STATUS=MR","EQY_CONSOLIDATED=Y","SCALING_FORMAT=MLN","Sort=A","Dates=H","DateFormat=P","Fill=—","Direction=H","UseDPDF=Y")</f>
        <v>—</v>
      </c>
    </row>
    <row r="91" spans="1:12">
      <c r="A91" s="10" t="s">
        <v>870</v>
      </c>
      <c r="B91" s="10" t="s">
        <v>997</v>
      </c>
      <c r="C91" s="13" t="str">
        <f>_xll.BDH("RCOM IN Equity","ARDR_LT_DEBT","FY 2009","FY 2009","Currency=INR","Period=FY","BEST_FPERIOD_OVERRIDE=FY","FILING_STATUS=MR","EQY_CONSOLIDATED=Y","SCALING_FORMAT=MLN","Sort=A","Dates=H","DateFormat=P","Fill=—","Direction=H","UseDPDF=Y")</f>
        <v>—</v>
      </c>
      <c r="D91" s="13" t="str">
        <f>_xll.BDH("RCOM IN Equity","ARDR_LT_DEBT","FY 2010","FY 2010","Currency=INR","Period=FY","BEST_FPERIOD_OVERRIDE=FY","FILING_STATUS=MR","EQY_CONSOLIDATED=Y","SCALING_FORMAT=MLN","Sort=A","Dates=H","DateFormat=P","Fill=—","Direction=H","UseDPDF=Y")</f>
        <v>—</v>
      </c>
      <c r="E91" s="13">
        <f>_xll.BDH("RCOM IN Equity","ARDR_LT_DEBT","FY 2011","FY 2011","Currency=INR","Period=FY","BEST_FPERIOD_OVERRIDE=FY","FILING_STATUS=MR","EQY_CONSOLIDATED=Y","SCALING_FORMAT=MLN","Sort=A","Dates=H","DateFormat=P","Fill=—","Direction=H","UseDPDF=Y")</f>
        <v>193130</v>
      </c>
      <c r="F91" s="13">
        <f>_xll.BDH("RCOM IN Equity","ARDR_LT_DEBT","FY 2012","FY 2012","Currency=INR","Period=FY","BEST_FPERIOD_OVERRIDE=FY","FILING_STATUS=MR","EQY_CONSOLIDATED=Y","SCALING_FORMAT=MLN","Sort=A","Dates=H","DateFormat=P","Fill=—","Direction=H","UseDPDF=Y")</f>
        <v>296460</v>
      </c>
      <c r="G91" s="13">
        <f>_xll.BDH("RCOM IN Equity","ARDR_LT_DEBT","FY 2013","FY 2013","Currency=INR","Period=FY","BEST_FPERIOD_OVERRIDE=FY","FILING_STATUS=MR","EQY_CONSOLIDATED=Y","SCALING_FORMAT=MLN","Sort=A","Dates=H","DateFormat=P","Fill=—","Direction=H","UseDPDF=Y")</f>
        <v>286780</v>
      </c>
      <c r="H91" s="13">
        <f>_xll.BDH("RCOM IN Equity","ARDR_LT_DEBT","FY 2014","FY 2014","Currency=INR","Period=FY","BEST_FPERIOD_OVERRIDE=FY","FILING_STATUS=MR","EQY_CONSOLIDATED=Y","SCALING_FORMAT=MLN","Sort=A","Dates=H","DateFormat=P","Fill=—","Direction=H","UseDPDF=Y")</f>
        <v>279130</v>
      </c>
      <c r="I91" s="13">
        <f>_xll.BDH("RCOM IN Equity","ARDR_LT_DEBT","FY 2015","FY 2015","Currency=INR","Period=FY","BEST_FPERIOD_OVERRIDE=FY","FILING_STATUS=MR","EQY_CONSOLIDATED=Y","SCALING_FORMAT=MLN","Sort=A","Dates=H","DateFormat=P","Fill=—","Direction=H","UseDPDF=Y")</f>
        <v>303560</v>
      </c>
      <c r="J91" s="13">
        <f>_xll.BDH("RCOM IN Equity","ARDR_LT_DEBT","FY 2016","FY 2016","Currency=INR","Period=FY","BEST_FPERIOD_OVERRIDE=FY","FILING_STATUS=MR","EQY_CONSOLIDATED=Y","SCALING_FORMAT=MLN","Sort=A","Dates=H","DateFormat=P","Fill=—","Direction=H","UseDPDF=Y")</f>
        <v>291140</v>
      </c>
      <c r="K91" s="13">
        <f>_xll.BDH("RCOM IN Equity","ARDR_LT_DEBT","FY 2017","FY 2017","Currency=INR","Period=FY","BEST_FPERIOD_OVERRIDE=FY","FILING_STATUS=MR","EQY_CONSOLIDATED=Y","SCALING_FORMAT=MLN","Sort=A","Dates=H","DateFormat=P","Fill=—","Direction=H","UseDPDF=Y")</f>
        <v>225500</v>
      </c>
      <c r="L91" s="13">
        <f>_xll.BDH("RCOM IN Equity","ARDR_LT_DEBT","FY 2018","FY 2018","Currency=INR","Period=FY","BEST_FPERIOD_OVERRIDE=FY","FILING_STATUS=MR","EQY_CONSOLIDATED=Y","SCALING_FORMAT=MLN","Sort=A","Dates=H","DateFormat=P","Fill=—","Direction=H","UseDPDF=Y")</f>
        <v>130210</v>
      </c>
    </row>
    <row r="92" spans="1:12">
      <c r="A92" s="10" t="s">
        <v>998</v>
      </c>
      <c r="B92" s="10" t="s">
        <v>999</v>
      </c>
      <c r="C92" s="13" t="str">
        <f>_xll.BDH("RCOM IN Equity","ARDR_DEFERRED_UNEARNED_REV_LT","FY 2009","FY 2009","Currency=INR","Period=FY","BEST_FPERIOD_OVERRIDE=FY","FILING_STATUS=MR","EQY_CONSOLIDATED=Y","SCALING_FORMAT=MLN","Sort=A","Dates=H","DateFormat=P","Fill=—","Direction=H","UseDPDF=Y")</f>
        <v>—</v>
      </c>
      <c r="D92" s="13" t="str">
        <f>_xll.BDH("RCOM IN Equity","ARDR_DEFERRED_UNEARNED_REV_LT","FY 2010","FY 2010","Currency=INR","Period=FY","BEST_FPERIOD_OVERRIDE=FY","FILING_STATUS=MR","EQY_CONSOLIDATED=Y","SCALING_FORMAT=MLN","Sort=A","Dates=H","DateFormat=P","Fill=—","Direction=H","UseDPDF=Y")</f>
        <v>—</v>
      </c>
      <c r="E92" s="13">
        <f>_xll.BDH("RCOM IN Equity","ARDR_DEFERRED_UNEARNED_REV_LT","FY 2011","FY 2011","Currency=INR","Period=FY","BEST_FPERIOD_OVERRIDE=FY","FILING_STATUS=MR","EQY_CONSOLIDATED=Y","SCALING_FORMAT=MLN","Sort=A","Dates=H","DateFormat=P","Fill=—","Direction=H","UseDPDF=Y")</f>
        <v>9240</v>
      </c>
      <c r="F92" s="13">
        <f>_xll.BDH("RCOM IN Equity","ARDR_DEFERRED_UNEARNED_REV_LT","FY 2012","FY 2012","Currency=INR","Period=FY","BEST_FPERIOD_OVERRIDE=FY","FILING_STATUS=MR","EQY_CONSOLIDATED=Y","SCALING_FORMAT=MLN","Sort=A","Dates=H","DateFormat=P","Fill=—","Direction=H","UseDPDF=Y")</f>
        <v>8520</v>
      </c>
      <c r="G92" s="13">
        <f>_xll.BDH("RCOM IN Equity","ARDR_DEFERRED_UNEARNED_REV_LT","FY 2013","FY 2013","Currency=INR","Period=FY","BEST_FPERIOD_OVERRIDE=FY","FILING_STATUS=MR","EQY_CONSOLIDATED=Y","SCALING_FORMAT=MLN","Sort=A","Dates=H","DateFormat=P","Fill=—","Direction=H","UseDPDF=Y")</f>
        <v>7460</v>
      </c>
      <c r="H92" s="13">
        <f>_xll.BDH("RCOM IN Equity","ARDR_DEFERRED_UNEARNED_REV_LT","FY 2014","FY 2014","Currency=INR","Period=FY","BEST_FPERIOD_OVERRIDE=FY","FILING_STATUS=MR","EQY_CONSOLIDATED=Y","SCALING_FORMAT=MLN","Sort=A","Dates=H","DateFormat=P","Fill=—","Direction=H","UseDPDF=Y")</f>
        <v>3970</v>
      </c>
      <c r="I92" s="13">
        <f>_xll.BDH("RCOM IN Equity","ARDR_DEFERRED_UNEARNED_REV_LT","FY 2015","FY 2015","Currency=INR","Period=FY","BEST_FPERIOD_OVERRIDE=FY","FILING_STATUS=MR","EQY_CONSOLIDATED=Y","SCALING_FORMAT=MLN","Sort=A","Dates=H","DateFormat=P","Fill=—","Direction=H","UseDPDF=Y")</f>
        <v>3490</v>
      </c>
      <c r="J92" s="13" t="str">
        <f>_xll.BDH("RCOM IN Equity","ARDR_DEFERRED_UNEARNED_REV_LT","FY 2016","FY 2016","Currency=INR","Period=FY","BEST_FPERIOD_OVERRIDE=FY","FILING_STATUS=MR","EQY_CONSOLIDATED=Y","SCALING_FORMAT=MLN","Sort=A","Dates=H","DateFormat=P","Fill=—","Direction=H","UseDPDF=Y")</f>
        <v>—</v>
      </c>
      <c r="K92" s="13" t="str">
        <f>_xll.BDH("RCOM IN Equity","ARDR_DEFERRED_UNEARNED_REV_LT","FY 2017","FY 2017","Currency=INR","Period=FY","BEST_FPERIOD_OVERRIDE=FY","FILING_STATUS=MR","EQY_CONSOLIDATED=Y","SCALING_FORMAT=MLN","Sort=A","Dates=H","DateFormat=P","Fill=—","Direction=H","UseDPDF=Y")</f>
        <v>—</v>
      </c>
      <c r="L92" s="13" t="str">
        <f>_xll.BDH("RCOM IN Equity","ARDR_DEFERRED_UNEARNED_REV_LT","FY 2018","FY 2018","Currency=INR","Period=FY","BEST_FPERIOD_OVERRIDE=FY","FILING_STATUS=MR","EQY_CONSOLIDATED=Y","SCALING_FORMAT=MLN","Sort=A","Dates=H","DateFormat=P","Fill=—","Direction=H","UseDPDF=Y")</f>
        <v>—</v>
      </c>
    </row>
    <row r="93" spans="1:12">
      <c r="A93" s="10" t="s">
        <v>876</v>
      </c>
      <c r="B93" s="10" t="s">
        <v>1000</v>
      </c>
      <c r="C93" s="13" t="str">
        <f>_xll.BDH("RCOM IN Equity","ARDR_OTH_NONCURRENT_LIABILITIES","FY 2009","FY 2009","Currency=INR","Period=FY","BEST_FPERIOD_OVERRIDE=FY","FILING_STATUS=MR","EQY_CONSOLIDATED=Y","SCALING_FORMAT=MLN","Sort=A","Dates=H","DateFormat=P","Fill=—","Direction=H","UseDPDF=Y")</f>
        <v>—</v>
      </c>
      <c r="D93" s="13" t="str">
        <f>_xll.BDH("RCOM IN Equity","ARDR_OTH_NONCURRENT_LIABILITIES","FY 2010","FY 2010","Currency=INR","Period=FY","BEST_FPERIOD_OVERRIDE=FY","FILING_STATUS=MR","EQY_CONSOLIDATED=Y","SCALING_FORMAT=MLN","Sort=A","Dates=H","DateFormat=P","Fill=—","Direction=H","UseDPDF=Y")</f>
        <v>—</v>
      </c>
      <c r="E93" s="13">
        <f>_xll.BDH("RCOM IN Equity","ARDR_OTH_NONCURRENT_LIABILITIES","FY 2011","FY 2011","Currency=INR","Period=FY","BEST_FPERIOD_OVERRIDE=FY","FILING_STATUS=MR","EQY_CONSOLIDATED=Y","SCALING_FORMAT=MLN","Sort=A","Dates=H","DateFormat=P","Fill=—","Direction=H","UseDPDF=Y")</f>
        <v>2420</v>
      </c>
      <c r="F93" s="13">
        <f>_xll.BDH("RCOM IN Equity","ARDR_OTH_NONCURRENT_LIABILITIES","FY 2012","FY 2012","Currency=INR","Period=FY","BEST_FPERIOD_OVERRIDE=FY","FILING_STATUS=MR","EQY_CONSOLIDATED=Y","SCALING_FORMAT=MLN","Sort=A","Dates=H","DateFormat=P","Fill=—","Direction=H","UseDPDF=Y")</f>
        <v>2670</v>
      </c>
      <c r="G93" s="13">
        <f>_xll.BDH("RCOM IN Equity","ARDR_OTH_NONCURRENT_LIABILITIES","FY 2013","FY 2013","Currency=INR","Period=FY","BEST_FPERIOD_OVERRIDE=FY","FILING_STATUS=MR","EQY_CONSOLIDATED=Y","SCALING_FORMAT=MLN","Sort=A","Dates=H","DateFormat=P","Fill=—","Direction=H","UseDPDF=Y")</f>
        <v>4870</v>
      </c>
      <c r="H93" s="13">
        <f>_xll.BDH("RCOM IN Equity","ARDR_OTH_NONCURRENT_LIABILITIES","FY 2014","FY 2014","Currency=INR","Period=FY","BEST_FPERIOD_OVERRIDE=FY","FILING_STATUS=MR","EQY_CONSOLIDATED=Y","SCALING_FORMAT=MLN","Sort=A","Dates=H","DateFormat=P","Fill=—","Direction=H","UseDPDF=Y")</f>
        <v>2480</v>
      </c>
      <c r="I93" s="13">
        <f>_xll.BDH("RCOM IN Equity","ARDR_OTH_NONCURRENT_LIABILITIES","FY 2015","FY 2015","Currency=INR","Period=FY","BEST_FPERIOD_OVERRIDE=FY","FILING_STATUS=MR","EQY_CONSOLIDATED=Y","SCALING_FORMAT=MLN","Sort=A","Dates=H","DateFormat=P","Fill=—","Direction=H","UseDPDF=Y")</f>
        <v>2620</v>
      </c>
      <c r="J93" s="13">
        <f>_xll.BDH("RCOM IN Equity","ARDR_OTH_NONCURRENT_LIABILITIES","FY 2016","FY 2016","Currency=INR","Period=FY","BEST_FPERIOD_OVERRIDE=FY","FILING_STATUS=MR","EQY_CONSOLIDATED=Y","SCALING_FORMAT=MLN","Sort=A","Dates=H","DateFormat=P","Fill=—","Direction=H","UseDPDF=Y")</f>
        <v>0</v>
      </c>
      <c r="K93" s="13">
        <f>_xll.BDH("RCOM IN Equity","ARDR_OTH_NONCURRENT_LIABILITIES","FY 2017","FY 2017","Currency=INR","Period=FY","BEST_FPERIOD_OVERRIDE=FY","FILING_STATUS=MR","EQY_CONSOLIDATED=Y","SCALING_FORMAT=MLN","Sort=A","Dates=H","DateFormat=P","Fill=—","Direction=H","UseDPDF=Y")</f>
        <v>0</v>
      </c>
      <c r="L93" s="13">
        <f>_xll.BDH("RCOM IN Equity","ARDR_OTH_NONCURRENT_LIABILITIES","FY 2018","FY 2018","Currency=INR","Period=FY","BEST_FPERIOD_OVERRIDE=FY","FILING_STATUS=MR","EQY_CONSOLIDATED=Y","SCALING_FORMAT=MLN","Sort=A","Dates=H","DateFormat=P","Fill=—","Direction=H","UseDPDF=Y")</f>
        <v>830</v>
      </c>
    </row>
    <row r="94" spans="1:12">
      <c r="A94" s="10" t="s">
        <v>1001</v>
      </c>
      <c r="B94" s="10" t="s">
        <v>1002</v>
      </c>
      <c r="C94" s="13">
        <f>_xll.BDH("RCOM IN Equity","ARDR_MIN_NONCONTROL_INT_SE","FY 2009","FY 2009","Currency=INR","Period=FY","BEST_FPERIOD_OVERRIDE=FY","FILING_STATUS=MR","EQY_CONSOLIDATED=Y","SCALING_FORMAT=MLN","Sort=A","Dates=H","DateFormat=P","Fill=—","Direction=H","UseDPDF=Y")</f>
        <v>6549.2</v>
      </c>
      <c r="D94" s="13">
        <f>_xll.BDH("RCOM IN Equity","ARDR_MIN_NONCONTROL_INT_SE","FY 2010","FY 2010","Currency=INR","Period=FY","BEST_FPERIOD_OVERRIDE=FY","FILING_STATUS=MR","EQY_CONSOLIDATED=Y","SCALING_FORMAT=MLN","Sort=A","Dates=H","DateFormat=P","Fill=—","Direction=H","UseDPDF=Y")</f>
        <v>6583.9</v>
      </c>
      <c r="E94" s="13">
        <f>_xll.BDH("RCOM IN Equity","ARDR_MIN_NONCONTROL_INT_SE","FY 2011","FY 2011","Currency=INR","Period=FY","BEST_FPERIOD_OVERRIDE=FY","FILING_STATUS=MR","EQY_CONSOLIDATED=Y","SCALING_FORMAT=MLN","Sort=A","Dates=H","DateFormat=P","Fill=—","Direction=H","UseDPDF=Y")</f>
        <v>8240</v>
      </c>
      <c r="F94" s="13">
        <f>_xll.BDH("RCOM IN Equity","ARDR_MIN_NONCONTROL_INT_SE","FY 2012","FY 2012","Currency=INR","Period=FY","BEST_FPERIOD_OVERRIDE=FY","FILING_STATUS=MR","EQY_CONSOLIDATED=Y","SCALING_FORMAT=MLN","Sort=A","Dates=H","DateFormat=P","Fill=—","Direction=H","UseDPDF=Y")</f>
        <v>8600</v>
      </c>
      <c r="G94" s="13">
        <f>_xll.BDH("RCOM IN Equity","ARDR_MIN_NONCONTROL_INT_SE","FY 2013","FY 2013","Currency=INR","Period=FY","BEST_FPERIOD_OVERRIDE=FY","FILING_STATUS=MR","EQY_CONSOLIDATED=Y","SCALING_FORMAT=MLN","Sort=A","Dates=H","DateFormat=P","Fill=—","Direction=H","UseDPDF=Y")</f>
        <v>7250</v>
      </c>
      <c r="H94" s="13">
        <f>_xll.BDH("RCOM IN Equity","ARDR_MIN_NONCONTROL_INT_SE","FY 2014","FY 2014","Currency=INR","Period=FY","BEST_FPERIOD_OVERRIDE=FY","FILING_STATUS=MR","EQY_CONSOLIDATED=Y","SCALING_FORMAT=MLN","Sort=A","Dates=H","DateFormat=P","Fill=—","Direction=H","UseDPDF=Y")</f>
        <v>7430</v>
      </c>
      <c r="I94" s="13">
        <f>_xll.BDH("RCOM IN Equity","ARDR_MIN_NONCONTROL_INT_SE","FY 2015","FY 2015","Currency=INR","Period=FY","BEST_FPERIOD_OVERRIDE=FY","FILING_STATUS=MR","EQY_CONSOLIDATED=Y","SCALING_FORMAT=MLN","Sort=A","Dates=H","DateFormat=P","Fill=—","Direction=H","UseDPDF=Y")</f>
        <v>5120</v>
      </c>
      <c r="J94" s="13" t="str">
        <f>_xll.BDH("RCOM IN Equity","ARDR_MIN_NONCONTROL_INT_SE","FY 2016","FY 2016","Currency=INR","Period=FY","BEST_FPERIOD_OVERRIDE=FY","FILING_STATUS=MR","EQY_CONSOLIDATED=Y","SCALING_FORMAT=MLN","Sort=A","Dates=H","DateFormat=P","Fill=—","Direction=H","UseDPDF=Y")</f>
        <v>—</v>
      </c>
      <c r="K94" s="13" t="str">
        <f>_xll.BDH("RCOM IN Equity","ARDR_MIN_NONCONTROL_INT_SE","FY 2017","FY 2017","Currency=INR","Period=FY","BEST_FPERIOD_OVERRIDE=FY","FILING_STATUS=MR","EQY_CONSOLIDATED=Y","SCALING_FORMAT=MLN","Sort=A","Dates=H","DateFormat=P","Fill=—","Direction=H","UseDPDF=Y")</f>
        <v>—</v>
      </c>
      <c r="L94" s="13" t="str">
        <f>_xll.BDH("RCOM IN Equity","ARDR_MIN_NONCONTROL_INT_SE","FY 2018","FY 2018","Currency=INR","Period=FY","BEST_FPERIOD_OVERRIDE=FY","FILING_STATUS=MR","EQY_CONSOLIDATED=Y","SCALING_FORMAT=MLN","Sort=A","Dates=H","DateFormat=P","Fill=—","Direction=H","UseDPDF=Y")</f>
        <v>—</v>
      </c>
    </row>
    <row r="95" spans="1:12">
      <c r="A95" s="10" t="s">
        <v>1003</v>
      </c>
      <c r="B95" s="10" t="s">
        <v>1004</v>
      </c>
      <c r="C95" s="13">
        <f>_xll.BDH("RCOM IN Equity","ARDR_COMMON_STOCK","FY 2009","FY 2009","Currency=INR","Period=FY","BEST_FPERIOD_OVERRIDE=FY","FILING_STATUS=MR","EQY_CONSOLIDATED=Y","SCALING_FORMAT=MLN","Sort=A","Dates=H","DateFormat=P","Fill=—","Direction=H","UseDPDF=Y")</f>
        <v>10320.1</v>
      </c>
      <c r="D95" s="13">
        <f>_xll.BDH("RCOM IN Equity","ARDR_COMMON_STOCK","FY 2010","FY 2010","Currency=INR","Period=FY","BEST_FPERIOD_OVERRIDE=FY","FILING_STATUS=MR","EQY_CONSOLIDATED=Y","SCALING_FORMAT=MLN","Sort=A","Dates=H","DateFormat=P","Fill=—","Direction=H","UseDPDF=Y")</f>
        <v>10320.1</v>
      </c>
      <c r="E95" s="13">
        <f>_xll.BDH("RCOM IN Equity","ARDR_COMMON_STOCK","FY 2011","FY 2011","Currency=INR","Period=FY","BEST_FPERIOD_OVERRIDE=FY","FILING_STATUS=MR","EQY_CONSOLIDATED=Y","SCALING_FORMAT=MLN","Sort=A","Dates=H","DateFormat=P","Fill=—","Direction=H","UseDPDF=Y")</f>
        <v>10320</v>
      </c>
      <c r="F95" s="13">
        <f>_xll.BDH("RCOM IN Equity","ARDR_COMMON_STOCK","FY 2012","FY 2012","Currency=INR","Period=FY","BEST_FPERIOD_OVERRIDE=FY","FILING_STATUS=MR","EQY_CONSOLIDATED=Y","SCALING_FORMAT=MLN","Sort=A","Dates=H","DateFormat=P","Fill=—","Direction=H","UseDPDF=Y")</f>
        <v>10320</v>
      </c>
      <c r="G95" s="13">
        <f>_xll.BDH("RCOM IN Equity","ARDR_COMMON_STOCK","FY 2013","FY 2013","Currency=INR","Period=FY","BEST_FPERIOD_OVERRIDE=FY","FILING_STATUS=MR","EQY_CONSOLIDATED=Y","SCALING_FORMAT=MLN","Sort=A","Dates=H","DateFormat=P","Fill=—","Direction=H","UseDPDF=Y")</f>
        <v>10320</v>
      </c>
      <c r="H95" s="13">
        <f>_xll.BDH("RCOM IN Equity","ARDR_COMMON_STOCK","FY 2014","FY 2014","Currency=INR","Period=FY","BEST_FPERIOD_OVERRIDE=FY","FILING_STATUS=MR","EQY_CONSOLIDATED=Y","SCALING_FORMAT=MLN","Sort=A","Dates=H","DateFormat=P","Fill=—","Direction=H","UseDPDF=Y")</f>
        <v>10320</v>
      </c>
      <c r="I95" s="13">
        <f>_xll.BDH("RCOM IN Equity","ARDR_COMMON_STOCK","FY 2015","FY 2015","Currency=INR","Period=FY","BEST_FPERIOD_OVERRIDE=FY","FILING_STATUS=MR","EQY_CONSOLIDATED=Y","SCALING_FORMAT=MLN","Sort=A","Dates=H","DateFormat=P","Fill=—","Direction=H","UseDPDF=Y")</f>
        <v>12440</v>
      </c>
      <c r="J95" s="13">
        <f>_xll.BDH("RCOM IN Equity","ARDR_COMMON_STOCK","FY 2016","FY 2016","Currency=INR","Period=FY","BEST_FPERIOD_OVERRIDE=FY","FILING_STATUS=MR","EQY_CONSOLIDATED=Y","SCALING_FORMAT=MLN","Sort=A","Dates=H","DateFormat=P","Fill=—","Direction=H","UseDPDF=Y")</f>
        <v>12440</v>
      </c>
      <c r="K95" s="13">
        <f>_xll.BDH("RCOM IN Equity","ARDR_COMMON_STOCK","FY 2017","FY 2017","Currency=INR","Period=FY","BEST_FPERIOD_OVERRIDE=FY","FILING_STATUS=MR","EQY_CONSOLIDATED=Y","SCALING_FORMAT=MLN","Sort=A","Dates=H","DateFormat=P","Fill=—","Direction=H","UseDPDF=Y")</f>
        <v>12440</v>
      </c>
      <c r="L95" s="13">
        <f>_xll.BDH("RCOM IN Equity","ARDR_COMMON_STOCK","FY 2018","FY 2018","Currency=INR","Period=FY","BEST_FPERIOD_OVERRIDE=FY","FILING_STATUS=MR","EQY_CONSOLIDATED=Y","SCALING_FORMAT=MLN","Sort=A","Dates=H","DateFormat=P","Fill=—","Direction=H","UseDPDF=Y")</f>
        <v>13830</v>
      </c>
    </row>
    <row r="96" spans="1:12">
      <c r="A96" s="10" t="s">
        <v>1005</v>
      </c>
      <c r="B96" s="10" t="s">
        <v>1006</v>
      </c>
      <c r="C96" s="13">
        <f>_xll.BDH("RCOM IN Equity","ARDR_ADDITIONAL_PAID_IN_CAPITAL","FY 2009","FY 2009","Currency=INR","Period=FY","BEST_FPERIOD_OVERRIDE=FY","FILING_STATUS=MR","EQY_CONSOLIDATED=Y","SCALING_FORMAT=MLN","Sort=A","Dates=H","DateFormat=P","Fill=—","Direction=H","UseDPDF=Y")</f>
        <v>91719.3</v>
      </c>
      <c r="D96" s="13">
        <f>_xll.BDH("RCOM IN Equity","ARDR_ADDITIONAL_PAID_IN_CAPITAL","FY 2010","FY 2010","Currency=INR","Period=FY","BEST_FPERIOD_OVERRIDE=FY","FILING_STATUS=MR","EQY_CONSOLIDATED=Y","SCALING_FORMAT=MLN","Sort=A","Dates=H","DateFormat=P","Fill=—","Direction=H","UseDPDF=Y")</f>
        <v>88826.3</v>
      </c>
      <c r="E96" s="13">
        <f>_xll.BDH("RCOM IN Equity","ARDR_ADDITIONAL_PAID_IN_CAPITAL","FY 2011","FY 2011","Currency=INR","Period=FY","BEST_FPERIOD_OVERRIDE=FY","FILING_STATUS=MR","EQY_CONSOLIDATED=Y","SCALING_FORMAT=MLN","Sort=A","Dates=H","DateFormat=P","Fill=—","Direction=H","UseDPDF=Y")</f>
        <v>85810</v>
      </c>
      <c r="F96" s="13">
        <f>_xll.BDH("RCOM IN Equity","ARDR_ADDITIONAL_PAID_IN_CAPITAL","FY 2012","FY 2012","Currency=INR","Period=FY","BEST_FPERIOD_OVERRIDE=FY","FILING_STATUS=MR","EQY_CONSOLIDATED=Y","SCALING_FORMAT=MLN","Sort=A","Dates=H","DateFormat=P","Fill=—","Direction=H","UseDPDF=Y")</f>
        <v>80470</v>
      </c>
      <c r="G96" s="13">
        <f>_xll.BDH("RCOM IN Equity","ARDR_ADDITIONAL_PAID_IN_CAPITAL","FY 2013","FY 2013","Currency=INR","Period=FY","BEST_FPERIOD_OVERRIDE=FY","FILING_STATUS=MR","EQY_CONSOLIDATED=Y","SCALING_FORMAT=MLN","Sort=A","Dates=H","DateFormat=P","Fill=—","Direction=H","UseDPDF=Y")</f>
        <v>80470</v>
      </c>
      <c r="H96" s="13">
        <f>_xll.BDH("RCOM IN Equity","ARDR_ADDITIONAL_PAID_IN_CAPITAL","FY 2014","FY 2014","Currency=INR","Period=FY","BEST_FPERIOD_OVERRIDE=FY","FILING_STATUS=MR","EQY_CONSOLIDATED=Y","SCALING_FORMAT=MLN","Sort=A","Dates=H","DateFormat=P","Fill=—","Direction=H","UseDPDF=Y")</f>
        <v>80470</v>
      </c>
      <c r="I96" s="13">
        <f>_xll.BDH("RCOM IN Equity","ARDR_ADDITIONAL_PAID_IN_CAPITAL","FY 2015","FY 2015","Currency=INR","Period=FY","BEST_FPERIOD_OVERRIDE=FY","FILING_STATUS=MR","EQY_CONSOLIDATED=Y","SCALING_FORMAT=MLN","Sort=A","Dates=H","DateFormat=P","Fill=—","Direction=H","UseDPDF=Y")</f>
        <v>138940</v>
      </c>
      <c r="J96" s="13">
        <f>_xll.BDH("RCOM IN Equity","ARDR_ADDITIONAL_PAID_IN_CAPITAL","FY 2016","FY 2016","Currency=INR","Period=FY","BEST_FPERIOD_OVERRIDE=FY","FILING_STATUS=MR","EQY_CONSOLIDATED=Y","SCALING_FORMAT=MLN","Sort=A","Dates=H","DateFormat=P","Fill=—","Direction=H","UseDPDF=Y")</f>
        <v>138940</v>
      </c>
      <c r="K96" s="13">
        <f>_xll.BDH("RCOM IN Equity","ARDR_ADDITIONAL_PAID_IN_CAPITAL","FY 2017","FY 2017","Currency=INR","Period=FY","BEST_FPERIOD_OVERRIDE=FY","FILING_STATUS=MR","EQY_CONSOLIDATED=Y","SCALING_FORMAT=MLN","Sort=A","Dates=H","DateFormat=P","Fill=—","Direction=H","UseDPDF=Y")</f>
        <v>138940</v>
      </c>
      <c r="L96" s="13">
        <f>_xll.BDH("RCOM IN Equity","ARDR_ADDITIONAL_PAID_IN_CAPITAL","FY 2018","FY 2018","Currency=INR","Period=FY","BEST_FPERIOD_OVERRIDE=FY","FILING_STATUS=MR","EQY_CONSOLIDATED=Y","SCALING_FORMAT=MLN","Sort=A","Dates=H","DateFormat=P","Fill=—","Direction=H","UseDPDF=Y")</f>
        <v>138940</v>
      </c>
    </row>
    <row r="97" spans="1:12">
      <c r="A97" s="10" t="s">
        <v>1007</v>
      </c>
      <c r="B97" s="10" t="s">
        <v>1008</v>
      </c>
      <c r="C97" s="13">
        <f>_xll.BDH("RCOM IN Equity","ARDR_RETAINED_EARN_ACC_DEFICIT","FY 2009","FY 2009","Currency=INR","Period=FY","BEST_FPERIOD_OVERRIDE=FY","FILING_STATUS=MR","EQY_CONSOLIDATED=Y","SCALING_FORMAT=MLN","Sort=A","Dates=H","DateFormat=P","Fill=—","Direction=H","UseDPDF=Y")</f>
        <v>56313</v>
      </c>
      <c r="D97" s="13">
        <f>_xll.BDH("RCOM IN Equity","ARDR_RETAINED_EARN_ACC_DEFICIT","FY 2010","FY 2010","Currency=INR","Period=FY","BEST_FPERIOD_OVERRIDE=FY","FILING_STATUS=MR","EQY_CONSOLIDATED=Y","SCALING_FORMAT=MLN","Sort=A","Dates=H","DateFormat=P","Fill=—","Direction=H","UseDPDF=Y")</f>
        <v>99667.3</v>
      </c>
      <c r="E97" s="13">
        <f>_xll.BDH("RCOM IN Equity","ARDR_RETAINED_EARN_ACC_DEFICIT","FY 2011","FY 2011","Currency=INR","Period=FY","BEST_FPERIOD_OVERRIDE=FY","FILING_STATUS=MR","EQY_CONSOLIDATED=Y","SCALING_FORMAT=MLN","Sort=A","Dates=H","DateFormat=P","Fill=—","Direction=H","UseDPDF=Y")</f>
        <v>114440</v>
      </c>
      <c r="F97" s="13">
        <f>_xll.BDH("RCOM IN Equity","ARDR_RETAINED_EARN_ACC_DEFICIT","FY 2012","FY 2012","Currency=INR","Period=FY","BEST_FPERIOD_OVERRIDE=FY","FILING_STATUS=MR","EQY_CONSOLIDATED=Y","SCALING_FORMAT=MLN","Sort=A","Dates=H","DateFormat=P","Fill=—","Direction=H","UseDPDF=Y")</f>
        <v>122210</v>
      </c>
      <c r="G97" s="13">
        <f>_xll.BDH("RCOM IN Equity","ARDR_RETAINED_EARN_ACC_DEFICIT","FY 2013","FY 2013","Currency=INR","Period=FY","BEST_FPERIOD_OVERRIDE=FY","FILING_STATUS=MR","EQY_CONSOLIDATED=Y","SCALING_FORMAT=MLN","Sort=A","Dates=H","DateFormat=P","Fill=—","Direction=H","UseDPDF=Y")</f>
        <v>125640</v>
      </c>
      <c r="H97" s="13">
        <f>_xll.BDH("RCOM IN Equity","ARDR_RETAINED_EARN_ACC_DEFICIT","FY 2014","FY 2014","Currency=INR","Period=FY","BEST_FPERIOD_OVERRIDE=FY","FILING_STATUS=MR","EQY_CONSOLIDATED=Y","SCALING_FORMAT=MLN","Sort=A","Dates=H","DateFormat=P","Fill=—","Direction=H","UseDPDF=Y")</f>
        <v>134320</v>
      </c>
      <c r="I97" s="13">
        <f>_xll.BDH("RCOM IN Equity","ARDR_RETAINED_EARN_ACC_DEFICIT","FY 2015","FY 2015","Currency=INR","Period=FY","BEST_FPERIOD_OVERRIDE=FY","FILING_STATUS=MR","EQY_CONSOLIDATED=Y","SCALING_FORMAT=MLN","Sort=A","Dates=H","DateFormat=P","Fill=—","Direction=H","UseDPDF=Y")</f>
        <v>141460</v>
      </c>
      <c r="J97" s="13">
        <f>_xll.BDH("RCOM IN Equity","ARDR_RETAINED_EARN_ACC_DEFICIT","FY 2016","FY 2016","Currency=INR","Period=FY","BEST_FPERIOD_OVERRIDE=FY","FILING_STATUS=MR","EQY_CONSOLIDATED=Y","SCALING_FORMAT=MLN","Sort=A","Dates=H","DateFormat=P","Fill=—","Direction=H","UseDPDF=Y")</f>
        <v>99010</v>
      </c>
      <c r="K97" s="13">
        <f>_xll.BDH("RCOM IN Equity","ARDR_RETAINED_EARN_ACC_DEFICIT","FY 2017","FY 2017","Currency=INR","Period=FY","BEST_FPERIOD_OVERRIDE=FY","FILING_STATUS=MR","EQY_CONSOLIDATED=Y","SCALING_FORMAT=MLN","Sort=A","Dates=H","DateFormat=P","Fill=—","Direction=H","UseDPDF=Y")</f>
        <v>84980</v>
      </c>
      <c r="L97" s="13">
        <f>_xll.BDH("RCOM IN Equity","ARDR_RETAINED_EARN_ACC_DEFICIT","FY 2018","FY 2018","Currency=INR","Period=FY","BEST_FPERIOD_OVERRIDE=FY","FILING_STATUS=MR","EQY_CONSOLIDATED=Y","SCALING_FORMAT=MLN","Sort=A","Dates=H","DateFormat=P","Fill=—","Direction=H","UseDPDF=Y")</f>
        <v>-153410</v>
      </c>
    </row>
    <row r="98" spans="1:12">
      <c r="A98" s="10" t="s">
        <v>823</v>
      </c>
      <c r="B98" s="10" t="s">
        <v>1009</v>
      </c>
      <c r="C98" s="13">
        <f>_xll.BDH("RCOM IN Equity","ARDR_SHARES_OUTSTANDING","FY 2009","FY 2009","Currency=INR","Period=FY","BEST_FPERIOD_OVERRIDE=FY","FILING_STATUS=MR","EQY_CONSOLIDATED=Y","Sort=A","Dates=H","DateFormat=P","Fill=—","Direction=H","UseDPDF=Y")</f>
        <v>2064.0268999999998</v>
      </c>
      <c r="D98" s="13">
        <f>_xll.BDH("RCOM IN Equity","ARDR_SHARES_OUTSTANDING","FY 2010","FY 2010","Currency=INR","Period=FY","BEST_FPERIOD_OVERRIDE=FY","FILING_STATUS=MR","EQY_CONSOLIDATED=Y","Sort=A","Dates=H","DateFormat=P","Fill=—","Direction=H","UseDPDF=Y")</f>
        <v>2064.0268999999998</v>
      </c>
      <c r="E98" s="13">
        <f>_xll.BDH("RCOM IN Equity","ARDR_SHARES_OUTSTANDING","FY 2011","FY 2011","Currency=INR","Period=FY","BEST_FPERIOD_OVERRIDE=FY","FILING_STATUS=MR","EQY_CONSOLIDATED=Y","Sort=A","Dates=H","DateFormat=P","Fill=—","Direction=H","UseDPDF=Y")</f>
        <v>2064.0268999999998</v>
      </c>
      <c r="F98" s="13">
        <f>_xll.BDH("RCOM IN Equity","ARDR_SHARES_OUTSTANDING","FY 2012","FY 2012","Currency=INR","Period=FY","BEST_FPERIOD_OVERRIDE=FY","FILING_STATUS=MR","EQY_CONSOLIDATED=Y","Sort=A","Dates=H","DateFormat=P","Fill=—","Direction=H","UseDPDF=Y")</f>
        <v>2064.0268999999998</v>
      </c>
      <c r="G98" s="13">
        <f>_xll.BDH("RCOM IN Equity","ARDR_SHARES_OUTSTANDING","FY 2013","FY 2013","Currency=INR","Period=FY","BEST_FPERIOD_OVERRIDE=FY","FILING_STATUS=MR","EQY_CONSOLIDATED=Y","Sort=A","Dates=H","DateFormat=P","Fill=—","Direction=H","UseDPDF=Y")</f>
        <v>2064.0268999999998</v>
      </c>
      <c r="H98" s="13">
        <f>_xll.BDH("RCOM IN Equity","ARDR_SHARES_OUTSTANDING","FY 2014","FY 2014","Currency=INR","Period=FY","BEST_FPERIOD_OVERRIDE=FY","FILING_STATUS=MR","EQY_CONSOLIDATED=Y","Sort=A","Dates=H","DateFormat=P","Fill=—","Direction=H","UseDPDF=Y")</f>
        <v>2064.0268999999998</v>
      </c>
      <c r="I98" s="13">
        <f>_xll.BDH("RCOM IN Equity","ARDR_SHARES_OUTSTANDING","FY 2015","FY 2015","Currency=INR","Period=FY","BEST_FPERIOD_OVERRIDE=FY","FILING_STATUS=MR","EQY_CONSOLIDATED=Y","Sort=A","Dates=H","DateFormat=P","Fill=—","Direction=H","UseDPDF=Y")</f>
        <v>2488.9796999999999</v>
      </c>
      <c r="J98" s="13">
        <f>_xll.BDH("RCOM IN Equity","ARDR_SHARES_OUTSTANDING","FY 2016","FY 2016","Currency=INR","Period=FY","BEST_FPERIOD_OVERRIDE=FY","FILING_STATUS=MR","EQY_CONSOLIDATED=Y","Sort=A","Dates=H","DateFormat=P","Fill=—","Direction=H","UseDPDF=Y")</f>
        <v>2488.9796999999999</v>
      </c>
      <c r="K98" s="13">
        <f>_xll.BDH("RCOM IN Equity","ARDR_SHARES_OUTSTANDING","FY 2017","FY 2017","Currency=INR","Period=FY","BEST_FPERIOD_OVERRIDE=FY","FILING_STATUS=MR","EQY_CONSOLIDATED=Y","Sort=A","Dates=H","DateFormat=P","Fill=—","Direction=H","UseDPDF=Y")</f>
        <v>2488.9796999999999</v>
      </c>
      <c r="L98" s="13">
        <f>_xll.BDH("RCOM IN Equity","ARDR_SHARES_OUTSTANDING","FY 2018","FY 2018","Currency=INR","Period=FY","BEST_FPERIOD_OVERRIDE=FY","FILING_STATUS=MR","EQY_CONSOLIDATED=Y","Sort=A","Dates=H","DateFormat=P","Fill=—","Direction=H","UseDPDF=Y")</f>
        <v>2765.5331000000001</v>
      </c>
    </row>
    <row r="99" spans="1:12">
      <c r="A99" s="10" t="s">
        <v>1010</v>
      </c>
      <c r="B99" s="10" t="s">
        <v>1011</v>
      </c>
      <c r="C99" s="14">
        <f>_xll.BDH("RCOM IN Equity","ARDR_PAR_VALUE","FY 2009","FY 2009","Currency=INR","Period=FY","BEST_FPERIOD_OVERRIDE=FY","FILING_STATUS=MR","EQY_CONSOLIDATED=Y","Sort=A","Dates=H","DateFormat=P","Fill=—","Direction=H","UseDPDF=Y")</f>
        <v>5</v>
      </c>
      <c r="D99" s="14">
        <f>_xll.BDH("RCOM IN Equity","ARDR_PAR_VALUE","FY 2010","FY 2010","Currency=INR","Period=FY","BEST_FPERIOD_OVERRIDE=FY","FILING_STATUS=MR","EQY_CONSOLIDATED=Y","Sort=A","Dates=H","DateFormat=P","Fill=—","Direction=H","UseDPDF=Y")</f>
        <v>5</v>
      </c>
      <c r="E99" s="14">
        <f>_xll.BDH("RCOM IN Equity","ARDR_PAR_VALUE","FY 2011","FY 2011","Currency=INR","Period=FY","BEST_FPERIOD_OVERRIDE=FY","FILING_STATUS=MR","EQY_CONSOLIDATED=Y","Sort=A","Dates=H","DateFormat=P","Fill=—","Direction=H","UseDPDF=Y")</f>
        <v>5</v>
      </c>
      <c r="F99" s="14">
        <f>_xll.BDH("RCOM IN Equity","ARDR_PAR_VALUE","FY 2012","FY 2012","Currency=INR","Period=FY","BEST_FPERIOD_OVERRIDE=FY","FILING_STATUS=MR","EQY_CONSOLIDATED=Y","Sort=A","Dates=H","DateFormat=P","Fill=—","Direction=H","UseDPDF=Y")</f>
        <v>5</v>
      </c>
      <c r="G99" s="14">
        <f>_xll.BDH("RCOM IN Equity","ARDR_PAR_VALUE","FY 2013","FY 2013","Currency=INR","Period=FY","BEST_FPERIOD_OVERRIDE=FY","FILING_STATUS=MR","EQY_CONSOLIDATED=Y","Sort=A","Dates=H","DateFormat=P","Fill=—","Direction=H","UseDPDF=Y")</f>
        <v>5</v>
      </c>
      <c r="H99" s="14">
        <f>_xll.BDH("RCOM IN Equity","ARDR_PAR_VALUE","FY 2014","FY 2014","Currency=INR","Period=FY","BEST_FPERIOD_OVERRIDE=FY","FILING_STATUS=MR","EQY_CONSOLIDATED=Y","Sort=A","Dates=H","DateFormat=P","Fill=—","Direction=H","UseDPDF=Y")</f>
        <v>5</v>
      </c>
      <c r="I99" s="14">
        <f>_xll.BDH("RCOM IN Equity","ARDR_PAR_VALUE","FY 2015","FY 2015","Currency=INR","Period=FY","BEST_FPERIOD_OVERRIDE=FY","FILING_STATUS=MR","EQY_CONSOLIDATED=Y","Sort=A","Dates=H","DateFormat=P","Fill=—","Direction=H","UseDPDF=Y")</f>
        <v>5</v>
      </c>
      <c r="J99" s="14">
        <f>_xll.BDH("RCOM IN Equity","ARDR_PAR_VALUE","FY 2016","FY 2016","Currency=INR","Period=FY","BEST_FPERIOD_OVERRIDE=FY","FILING_STATUS=MR","EQY_CONSOLIDATED=Y","Sort=A","Dates=H","DateFormat=P","Fill=—","Direction=H","UseDPDF=Y")</f>
        <v>5</v>
      </c>
      <c r="K99" s="14">
        <f>_xll.BDH("RCOM IN Equity","ARDR_PAR_VALUE","FY 2017","FY 2017","Currency=INR","Period=FY","BEST_FPERIOD_OVERRIDE=FY","FILING_STATUS=MR","EQY_CONSOLIDATED=Y","Sort=A","Dates=H","DateFormat=P","Fill=—","Direction=H","UseDPDF=Y")</f>
        <v>5</v>
      </c>
      <c r="L99" s="14">
        <f>_xll.BDH("RCOM IN Equity","ARDR_PAR_VALUE","FY 2018","FY 2018","Currency=INR","Period=FY","BEST_FPERIOD_OVERRIDE=FY","FILING_STATUS=MR","EQY_CONSOLIDATED=Y","Sort=A","Dates=H","DateFormat=P","Fill=—","Direction=H","UseDPDF=Y")</f>
        <v>5</v>
      </c>
    </row>
    <row r="100" spans="1:12">
      <c r="A100" s="10" t="s">
        <v>1012</v>
      </c>
      <c r="B100" s="10" t="s">
        <v>1013</v>
      </c>
      <c r="C100" s="13" t="str">
        <f>_xll.BDH("RCOM IN Equity","ARDR_FINISHED_GOOD","FY 2009","FY 2009","Currency=INR","Period=FY","BEST_FPERIOD_OVERRIDE=FY","FILING_STATUS=MR","EQY_CONSOLIDATED=Y","SCALING_FORMAT=MLN","Sort=A","Dates=H","DateFormat=P","Fill=—","Direction=H","UseDPDF=Y")</f>
        <v>—</v>
      </c>
      <c r="D100" s="13" t="str">
        <f>_xll.BDH("RCOM IN Equity","ARDR_FINISHED_GOOD","FY 2010","FY 2010","Currency=INR","Period=FY","BEST_FPERIOD_OVERRIDE=FY","FILING_STATUS=MR","EQY_CONSOLIDATED=Y","SCALING_FORMAT=MLN","Sort=A","Dates=H","DateFormat=P","Fill=—","Direction=H","UseDPDF=Y")</f>
        <v>—</v>
      </c>
      <c r="E100" s="13" t="str">
        <f>_xll.BDH("RCOM IN Equity","ARDR_FINISHED_GOOD","FY 2011","FY 2011","Currency=INR","Period=FY","BEST_FPERIOD_OVERRIDE=FY","FILING_STATUS=MR","EQY_CONSOLIDATED=Y","SCALING_FORMAT=MLN","Sort=A","Dates=H","DateFormat=P","Fill=—","Direction=H","UseDPDF=Y")</f>
        <v>—</v>
      </c>
      <c r="F100" s="13" t="str">
        <f>_xll.BDH("RCOM IN Equity","ARDR_FINISHED_GOOD","FY 2012","FY 2012","Currency=INR","Period=FY","BEST_FPERIOD_OVERRIDE=FY","FILING_STATUS=MR","EQY_CONSOLIDATED=Y","SCALING_FORMAT=MLN","Sort=A","Dates=H","DateFormat=P","Fill=—","Direction=H","UseDPDF=Y")</f>
        <v>—</v>
      </c>
      <c r="G100" s="13" t="str">
        <f>_xll.BDH("RCOM IN Equity","ARDR_FINISHED_GOOD","FY 2013","FY 2013","Currency=INR","Period=FY","BEST_FPERIOD_OVERRIDE=FY","FILING_STATUS=MR","EQY_CONSOLIDATED=Y","SCALING_FORMAT=MLN","Sort=A","Dates=H","DateFormat=P","Fill=—","Direction=H","UseDPDF=Y")</f>
        <v>—</v>
      </c>
      <c r="H100" s="13" t="str">
        <f>_xll.BDH("RCOM IN Equity","ARDR_FINISHED_GOOD","FY 2014","FY 2014","Currency=INR","Period=FY","BEST_FPERIOD_OVERRIDE=FY","FILING_STATUS=MR","EQY_CONSOLIDATED=Y","SCALING_FORMAT=MLN","Sort=A","Dates=H","DateFormat=P","Fill=—","Direction=H","UseDPDF=Y")</f>
        <v>—</v>
      </c>
      <c r="I100" s="13">
        <f>_xll.BDH("RCOM IN Equity","ARDR_FINISHED_GOOD","FY 2015","FY 2015","Currency=INR","Period=FY","BEST_FPERIOD_OVERRIDE=FY","FILING_STATUS=MR","EQY_CONSOLIDATED=Y","SCALING_FORMAT=MLN","Sort=A","Dates=H","DateFormat=P","Fill=—","Direction=H","UseDPDF=Y")</f>
        <v>1560</v>
      </c>
      <c r="J100" s="13">
        <f>_xll.BDH("RCOM IN Equity","ARDR_FINISHED_GOOD","FY 2016","FY 2016","Currency=INR","Period=FY","BEST_FPERIOD_OVERRIDE=FY","FILING_STATUS=MR","EQY_CONSOLIDATED=Y","SCALING_FORMAT=MLN","Sort=A","Dates=H","DateFormat=P","Fill=—","Direction=H","UseDPDF=Y")</f>
        <v>520</v>
      </c>
      <c r="K100" s="13">
        <f>_xll.BDH("RCOM IN Equity","ARDR_FINISHED_GOOD","FY 2017","FY 2017","Currency=INR","Period=FY","BEST_FPERIOD_OVERRIDE=FY","FILING_STATUS=MR","EQY_CONSOLIDATED=Y","SCALING_FORMAT=MLN","Sort=A","Dates=H","DateFormat=P","Fill=—","Direction=H","UseDPDF=Y")</f>
        <v>1120</v>
      </c>
      <c r="L100" s="13">
        <f>_xll.BDH("RCOM IN Equity","ARDR_FINISHED_GOOD","FY 2018","FY 2018","Currency=INR","Period=FY","BEST_FPERIOD_OVERRIDE=FY","FILING_STATUS=MR","EQY_CONSOLIDATED=Y","SCALING_FORMAT=MLN","Sort=A","Dates=H","DateFormat=P","Fill=—","Direction=H","UseDPDF=Y")</f>
        <v>20</v>
      </c>
    </row>
    <row r="101" spans="1:12">
      <c r="A101" s="10" t="s">
        <v>940</v>
      </c>
      <c r="B101" s="10" t="s">
        <v>1014</v>
      </c>
      <c r="C101" s="13">
        <f>_xll.BDH("RCOM IN Equity","ARDR_INCOME_TAX_ACCRUED_PAYABLE","FY 2009","FY 2009","Currency=INR","Period=FY","BEST_FPERIOD_OVERRIDE=FY","FILING_STATUS=MR","EQY_CONSOLIDATED=Y","SCALING_FORMAT=MLN","Sort=A","Dates=H","DateFormat=P","Fill=—","Direction=H","UseDPDF=Y")</f>
        <v>2125.3000000000002</v>
      </c>
      <c r="D101" s="13">
        <f>_xll.BDH("RCOM IN Equity","ARDR_INCOME_TAX_ACCRUED_PAYABLE","FY 2010","FY 2010","Currency=INR","Period=FY","BEST_FPERIOD_OVERRIDE=FY","FILING_STATUS=MR","EQY_CONSOLIDATED=Y","SCALING_FORMAT=MLN","Sort=A","Dates=H","DateFormat=P","Fill=—","Direction=H","UseDPDF=Y")</f>
        <v>4692.6000000000004</v>
      </c>
      <c r="E101" s="13">
        <f>_xll.BDH("RCOM IN Equity","ARDR_INCOME_TAX_ACCRUED_PAYABLE","FY 2011","FY 2011","Currency=INR","Period=FY","BEST_FPERIOD_OVERRIDE=FY","FILING_STATUS=MR","EQY_CONSOLIDATED=Y","SCALING_FORMAT=MLN","Sort=A","Dates=H","DateFormat=P","Fill=—","Direction=H","UseDPDF=Y")</f>
        <v>2160</v>
      </c>
      <c r="F101" s="13">
        <f>_xll.BDH("RCOM IN Equity","ARDR_INCOME_TAX_ACCRUED_PAYABLE","FY 2012","FY 2012","Currency=INR","Period=FY","BEST_FPERIOD_OVERRIDE=FY","FILING_STATUS=MR","EQY_CONSOLIDATED=Y","SCALING_FORMAT=MLN","Sort=A","Dates=H","DateFormat=P","Fill=—","Direction=H","UseDPDF=Y")</f>
        <v>520</v>
      </c>
      <c r="G101" s="13">
        <f>_xll.BDH("RCOM IN Equity","ARDR_INCOME_TAX_ACCRUED_PAYABLE","FY 2013","FY 2013","Currency=INR","Period=FY","BEST_FPERIOD_OVERRIDE=FY","FILING_STATUS=MR","EQY_CONSOLIDATED=Y","SCALING_FORMAT=MLN","Sort=A","Dates=H","DateFormat=P","Fill=—","Direction=H","UseDPDF=Y")</f>
        <v>790</v>
      </c>
      <c r="H101" s="13">
        <f>_xll.BDH("RCOM IN Equity","ARDR_INCOME_TAX_ACCRUED_PAYABLE","FY 2014","FY 2014","Currency=INR","Period=FY","BEST_FPERIOD_OVERRIDE=FY","FILING_STATUS=MR","EQY_CONSOLIDATED=Y","SCALING_FORMAT=MLN","Sort=A","Dates=H","DateFormat=P","Fill=—","Direction=H","UseDPDF=Y")</f>
        <v>60</v>
      </c>
      <c r="I101" s="13">
        <f>_xll.BDH("RCOM IN Equity","ARDR_INCOME_TAX_ACCRUED_PAYABLE","FY 2015","FY 2015","Currency=INR","Period=FY","BEST_FPERIOD_OVERRIDE=FY","FILING_STATUS=MR","EQY_CONSOLIDATED=Y","SCALING_FORMAT=MLN","Sort=A","Dates=H","DateFormat=P","Fill=—","Direction=H","UseDPDF=Y")</f>
        <v>270</v>
      </c>
      <c r="J101" s="13" t="str">
        <f>_xll.BDH("RCOM IN Equity","ARDR_INCOME_TAX_ACCRUED_PAYABLE","FY 2016","FY 2016","Currency=INR","Period=FY","BEST_FPERIOD_OVERRIDE=FY","FILING_STATUS=MR","EQY_CONSOLIDATED=Y","SCALING_FORMAT=MLN","Sort=A","Dates=H","DateFormat=P","Fill=—","Direction=H","UseDPDF=Y")</f>
        <v>—</v>
      </c>
      <c r="K101" s="13" t="str">
        <f>_xll.BDH("RCOM IN Equity","ARDR_INCOME_TAX_ACCRUED_PAYABLE","FY 2017","FY 2017","Currency=INR","Period=FY","BEST_FPERIOD_OVERRIDE=FY","FILING_STATUS=MR","EQY_CONSOLIDATED=Y","SCALING_FORMAT=MLN","Sort=A","Dates=H","DateFormat=P","Fill=—","Direction=H","UseDPDF=Y")</f>
        <v>—</v>
      </c>
      <c r="L101" s="13" t="str">
        <f>_xll.BDH("RCOM IN Equity","ARDR_INCOME_TAX_ACCRUED_PAYABLE","FY 2018","FY 2018","Currency=INR","Period=FY","BEST_FPERIOD_OVERRIDE=FY","FILING_STATUS=MR","EQY_CONSOLIDATED=Y","SCALING_FORMAT=MLN","Sort=A","Dates=H","DateFormat=P","Fill=—","Direction=H","UseDPDF=Y")</f>
        <v>—</v>
      </c>
    </row>
    <row r="102" spans="1:12">
      <c r="A102" s="10" t="s">
        <v>1015</v>
      </c>
      <c r="B102" s="10" t="s">
        <v>1016</v>
      </c>
      <c r="C102" s="13" t="str">
        <f>_xll.BDH("RCOM IN Equity","ARDR_SHARES_ISSUED","FY 2009","FY 2009","Currency=INR","Period=FY","BEST_FPERIOD_OVERRIDE=FY","FILING_STATUS=MR","EQY_CONSOLIDATED=Y","Sort=A","Dates=H","DateFormat=P","Fill=—","Direction=H","UseDPDF=Y")</f>
        <v>—</v>
      </c>
      <c r="D102" s="13" t="str">
        <f>_xll.BDH("RCOM IN Equity","ARDR_SHARES_ISSUED","FY 2010","FY 2010","Currency=INR","Period=FY","BEST_FPERIOD_OVERRIDE=FY","FILING_STATUS=MR","EQY_CONSOLIDATED=Y","Sort=A","Dates=H","DateFormat=P","Fill=—","Direction=H","UseDPDF=Y")</f>
        <v>—</v>
      </c>
      <c r="E102" s="13" t="str">
        <f>_xll.BDH("RCOM IN Equity","ARDR_SHARES_ISSUED","FY 2011","FY 2011","Currency=INR","Period=FY","BEST_FPERIOD_OVERRIDE=FY","FILING_STATUS=MR","EQY_CONSOLIDATED=Y","Sort=A","Dates=H","DateFormat=P","Fill=—","Direction=H","UseDPDF=Y")</f>
        <v>—</v>
      </c>
      <c r="F102" s="13" t="str">
        <f>_xll.BDH("RCOM IN Equity","ARDR_SHARES_ISSUED","FY 2012","FY 2012","Currency=INR","Period=FY","BEST_FPERIOD_OVERRIDE=FY","FILING_STATUS=MR","EQY_CONSOLIDATED=Y","Sort=A","Dates=H","DateFormat=P","Fill=—","Direction=H","UseDPDF=Y")</f>
        <v>—</v>
      </c>
      <c r="G102" s="13" t="str">
        <f>_xll.BDH("RCOM IN Equity","ARDR_SHARES_ISSUED","FY 2013","FY 2013","Currency=INR","Period=FY","BEST_FPERIOD_OVERRIDE=FY","FILING_STATUS=MR","EQY_CONSOLIDATED=Y","Sort=A","Dates=H","DateFormat=P","Fill=—","Direction=H","UseDPDF=Y")</f>
        <v>—</v>
      </c>
      <c r="H102" s="13" t="str">
        <f>_xll.BDH("RCOM IN Equity","ARDR_SHARES_ISSUED","FY 2014","FY 2014","Currency=INR","Period=FY","BEST_FPERIOD_OVERRIDE=FY","FILING_STATUS=MR","EQY_CONSOLIDATED=Y","Sort=A","Dates=H","DateFormat=P","Fill=—","Direction=H","UseDPDF=Y")</f>
        <v>—</v>
      </c>
      <c r="I102" s="13" t="str">
        <f>_xll.BDH("RCOM IN Equity","ARDR_SHARES_ISSUED","FY 2015","FY 2015","Currency=INR","Period=FY","BEST_FPERIOD_OVERRIDE=FY","FILING_STATUS=MR","EQY_CONSOLIDATED=Y","Sort=A","Dates=H","DateFormat=P","Fill=—","Direction=H","UseDPDF=Y")</f>
        <v>—</v>
      </c>
      <c r="J102" s="13">
        <f>_xll.BDH("RCOM IN Equity","ARDR_SHARES_ISSUED","FY 2016","FY 2016","Currency=INR","Period=FY","BEST_FPERIOD_OVERRIDE=FY","FILING_STATUS=MR","EQY_CONSOLIDATED=Y","Sort=A","Dates=H","DateFormat=P","Fill=—","Direction=H","UseDPDF=Y")</f>
        <v>2488.9796999999999</v>
      </c>
      <c r="K102" s="13">
        <f>_xll.BDH("RCOM IN Equity","ARDR_SHARES_ISSUED","FY 2017","FY 2017","Currency=INR","Period=FY","BEST_FPERIOD_OVERRIDE=FY","FILING_STATUS=MR","EQY_CONSOLIDATED=Y","Sort=A","Dates=H","DateFormat=P","Fill=—","Direction=H","UseDPDF=Y")</f>
        <v>2488.9796999999999</v>
      </c>
      <c r="L102" s="13">
        <f>_xll.BDH("RCOM IN Equity","ARDR_SHARES_ISSUED","FY 2018","FY 2018","Currency=INR","Period=FY","BEST_FPERIOD_OVERRIDE=FY","FILING_STATUS=MR","EQY_CONSOLIDATED=Y","Sort=A","Dates=H","DateFormat=P","Fill=—","Direction=H","UseDPDF=Y")</f>
        <v>2765.5331000000001</v>
      </c>
    </row>
    <row r="103" spans="1:12">
      <c r="A103" s="10" t="s">
        <v>1017</v>
      </c>
      <c r="B103" s="10" t="s">
        <v>1018</v>
      </c>
      <c r="C103" s="13" t="str">
        <f>_xll.BDH("RCOM IN Equity","ARDR_OTHER_INVENTORY","FY 2009","FY 2009","Currency=INR","Period=FY","BEST_FPERIOD_OVERRIDE=FY","FILING_STATUS=MR","EQY_CONSOLIDATED=Y","SCALING_FORMAT=MLN","Sort=A","Dates=H","DateFormat=P","Fill=—","Direction=H","UseDPDF=Y")</f>
        <v>—</v>
      </c>
      <c r="D103" s="13" t="str">
        <f>_xll.BDH("RCOM IN Equity","ARDR_OTHER_INVENTORY","FY 2010","FY 2010","Currency=INR","Period=FY","BEST_FPERIOD_OVERRIDE=FY","FILING_STATUS=MR","EQY_CONSOLIDATED=Y","SCALING_FORMAT=MLN","Sort=A","Dates=H","DateFormat=P","Fill=—","Direction=H","UseDPDF=Y")</f>
        <v>—</v>
      </c>
      <c r="E103" s="13" t="str">
        <f>_xll.BDH("RCOM IN Equity","ARDR_OTHER_INVENTORY","FY 2011","FY 2011","Currency=INR","Period=FY","BEST_FPERIOD_OVERRIDE=FY","FILING_STATUS=MR","EQY_CONSOLIDATED=Y","SCALING_FORMAT=MLN","Sort=A","Dates=H","DateFormat=P","Fill=—","Direction=H","UseDPDF=Y")</f>
        <v>—</v>
      </c>
      <c r="F103" s="13" t="str">
        <f>_xll.BDH("RCOM IN Equity","ARDR_OTHER_INVENTORY","FY 2012","FY 2012","Currency=INR","Period=FY","BEST_FPERIOD_OVERRIDE=FY","FILING_STATUS=MR","EQY_CONSOLIDATED=Y","SCALING_FORMAT=MLN","Sort=A","Dates=H","DateFormat=P","Fill=—","Direction=H","UseDPDF=Y")</f>
        <v>—</v>
      </c>
      <c r="G103" s="13" t="str">
        <f>_xll.BDH("RCOM IN Equity","ARDR_OTHER_INVENTORY","FY 2013","FY 2013","Currency=INR","Period=FY","BEST_FPERIOD_OVERRIDE=FY","FILING_STATUS=MR","EQY_CONSOLIDATED=Y","SCALING_FORMAT=MLN","Sort=A","Dates=H","DateFormat=P","Fill=—","Direction=H","UseDPDF=Y")</f>
        <v>—</v>
      </c>
      <c r="H103" s="13" t="str">
        <f>_xll.BDH("RCOM IN Equity","ARDR_OTHER_INVENTORY","FY 2014","FY 2014","Currency=INR","Period=FY","BEST_FPERIOD_OVERRIDE=FY","FILING_STATUS=MR","EQY_CONSOLIDATED=Y","SCALING_FORMAT=MLN","Sort=A","Dates=H","DateFormat=P","Fill=—","Direction=H","UseDPDF=Y")</f>
        <v>—</v>
      </c>
      <c r="I103" s="13" t="str">
        <f>_xll.BDH("RCOM IN Equity","ARDR_OTHER_INVENTORY","FY 2015","FY 2015","Currency=INR","Period=FY","BEST_FPERIOD_OVERRIDE=FY","FILING_STATUS=MR","EQY_CONSOLIDATED=Y","SCALING_FORMAT=MLN","Sort=A","Dates=H","DateFormat=P","Fill=—","Direction=H","UseDPDF=Y")</f>
        <v>—</v>
      </c>
      <c r="J103" s="13" t="str">
        <f>_xll.BDH("RCOM IN Equity","ARDR_OTHER_INVENTORY","FY 2016","FY 2016","Currency=INR","Period=FY","BEST_FPERIOD_OVERRIDE=FY","FILING_STATUS=MR","EQY_CONSOLIDATED=Y","SCALING_FORMAT=MLN","Sort=A","Dates=H","DateFormat=P","Fill=—","Direction=H","UseDPDF=Y")</f>
        <v>—</v>
      </c>
      <c r="K103" s="13" t="str">
        <f>_xll.BDH("RCOM IN Equity","ARDR_OTHER_INVENTORY","FY 2017","FY 2017","Currency=INR","Period=FY","BEST_FPERIOD_OVERRIDE=FY","FILING_STATUS=MR","EQY_CONSOLIDATED=Y","SCALING_FORMAT=MLN","Sort=A","Dates=H","DateFormat=P","Fill=—","Direction=H","UseDPDF=Y")</f>
        <v>—</v>
      </c>
      <c r="L103" s="13" t="str">
        <f>_xll.BDH("RCOM IN Equity","ARDR_OTHER_INVENTORY","FY 2018","FY 2018","Currency=INR","Period=FY","BEST_FPERIOD_OVERRIDE=FY","FILING_STATUS=MR","EQY_CONSOLIDATED=Y","SCALING_FORMAT=MLN","Sort=A","Dates=H","DateFormat=P","Fill=—","Direction=H","UseDPDF=Y")</f>
        <v>—</v>
      </c>
    </row>
    <row r="104" spans="1:12">
      <c r="A104" s="10" t="s">
        <v>1019</v>
      </c>
      <c r="B104" s="10" t="s">
        <v>1020</v>
      </c>
      <c r="C104" s="13" t="str">
        <f>_xll.BDH("RCOM IN Equity","ARDR_OVER_UNDER_POST_RETIRE_BEN","FY 2009","FY 2009","Currency=INR","Period=FY","BEST_FPERIOD_OVERRIDE=FY","FILING_STATUS=MR","EQY_CONSOLIDATED=Y","SCALING_FORMAT=MLN","Sort=A","Dates=H","DateFormat=P","Fill=—","Direction=H","UseDPDF=Y")</f>
        <v>—</v>
      </c>
      <c r="D104" s="13" t="str">
        <f>_xll.BDH("RCOM IN Equity","ARDR_OVER_UNDER_POST_RETIRE_BEN","FY 2010","FY 2010","Currency=INR","Period=FY","BEST_FPERIOD_OVERRIDE=FY","FILING_STATUS=MR","EQY_CONSOLIDATED=Y","SCALING_FORMAT=MLN","Sort=A","Dates=H","DateFormat=P","Fill=—","Direction=H","UseDPDF=Y")</f>
        <v>—</v>
      </c>
      <c r="E104" s="13" t="str">
        <f>_xll.BDH("RCOM IN Equity","ARDR_OVER_UNDER_POST_RETIRE_BEN","FY 2011","FY 2011","Currency=INR","Period=FY","BEST_FPERIOD_OVERRIDE=FY","FILING_STATUS=MR","EQY_CONSOLIDATED=Y","SCALING_FORMAT=MLN","Sort=A","Dates=H","DateFormat=P","Fill=—","Direction=H","UseDPDF=Y")</f>
        <v>—</v>
      </c>
      <c r="F104" s="13" t="str">
        <f>_xll.BDH("RCOM IN Equity","ARDR_OVER_UNDER_POST_RETIRE_BEN","FY 2012","FY 2012","Currency=INR","Period=FY","BEST_FPERIOD_OVERRIDE=FY","FILING_STATUS=MR","EQY_CONSOLIDATED=Y","SCALING_FORMAT=MLN","Sort=A","Dates=H","DateFormat=P","Fill=—","Direction=H","UseDPDF=Y")</f>
        <v>—</v>
      </c>
      <c r="G104" s="13" t="str">
        <f>_xll.BDH("RCOM IN Equity","ARDR_OVER_UNDER_POST_RETIRE_BEN","FY 2013","FY 2013","Currency=INR","Period=FY","BEST_FPERIOD_OVERRIDE=FY","FILING_STATUS=MR","EQY_CONSOLIDATED=Y","SCALING_FORMAT=MLN","Sort=A","Dates=H","DateFormat=P","Fill=—","Direction=H","UseDPDF=Y")</f>
        <v>—</v>
      </c>
      <c r="H104" s="13" t="str">
        <f>_xll.BDH("RCOM IN Equity","ARDR_OVER_UNDER_POST_RETIRE_BEN","FY 2014","FY 2014","Currency=INR","Period=FY","BEST_FPERIOD_OVERRIDE=FY","FILING_STATUS=MR","EQY_CONSOLIDATED=Y","SCALING_FORMAT=MLN","Sort=A","Dates=H","DateFormat=P","Fill=—","Direction=H","UseDPDF=Y")</f>
        <v>—</v>
      </c>
      <c r="I104" s="13" t="str">
        <f>_xll.BDH("RCOM IN Equity","ARDR_OVER_UNDER_POST_RETIRE_BEN","FY 2015","FY 2015","Currency=INR","Period=FY","BEST_FPERIOD_OVERRIDE=FY","FILING_STATUS=MR","EQY_CONSOLIDATED=Y","SCALING_FORMAT=MLN","Sort=A","Dates=H","DateFormat=P","Fill=—","Direction=H","UseDPDF=Y")</f>
        <v>—</v>
      </c>
      <c r="J104" s="13">
        <f>_xll.BDH("RCOM IN Equity","ARDR_OVER_UNDER_POST_RETIRE_BEN","FY 2016","FY 2016","Currency=INR","Period=FY","BEST_FPERIOD_OVERRIDE=FY","FILING_STATUS=MR","EQY_CONSOLIDATED=Y","SCALING_FORMAT=MLN","Sort=A","Dates=H","DateFormat=P","Fill=—","Direction=H","UseDPDF=Y")</f>
        <v>-390</v>
      </c>
      <c r="K104" s="13">
        <f>_xll.BDH("RCOM IN Equity","ARDR_OVER_UNDER_POST_RETIRE_BEN","FY 2017","FY 2017","Currency=INR","Period=FY","BEST_FPERIOD_OVERRIDE=FY","FILING_STATUS=MR","EQY_CONSOLIDATED=Y","SCALING_FORMAT=MLN","Sort=A","Dates=H","DateFormat=P","Fill=—","Direction=H","UseDPDF=Y")</f>
        <v>-470</v>
      </c>
      <c r="L104" s="13">
        <f>_xll.BDH("RCOM IN Equity","ARDR_OVER_UNDER_POST_RETIRE_BEN","FY 2018","FY 2018","Currency=INR","Period=FY","BEST_FPERIOD_OVERRIDE=FY","FILING_STATUS=MR","EQY_CONSOLIDATED=Y","SCALING_FORMAT=MLN","Sort=A","Dates=H","DateFormat=P","Fill=—","Direction=H","UseDPDF=Y")</f>
        <v>-330</v>
      </c>
    </row>
    <row r="105" spans="1:12">
      <c r="A105" s="10" t="s">
        <v>520</v>
      </c>
      <c r="B105" s="10" t="s">
        <v>521</v>
      </c>
      <c r="C105" s="14">
        <f>_xll.BDH("RCOM IN Equity","ARDR_EXP_RET_PLAN_ASSET_HEALTH","FY 2009","FY 2009","Currency=INR","Period=FY","BEST_FPERIOD_OVERRIDE=FY","FILING_STATUS=MR","EQY_CONSOLIDATED=Y","Sort=A","Dates=H","DateFormat=P","Fill=—","Direction=H","UseDPDF=Y")</f>
        <v>7</v>
      </c>
      <c r="D105" s="14">
        <f>_xll.BDH("RCOM IN Equity","ARDR_EXP_RET_PLAN_ASSET_HEALTH","FY 2010","FY 2010","Currency=INR","Period=FY","BEST_FPERIOD_OVERRIDE=FY","FILING_STATUS=MR","EQY_CONSOLIDATED=Y","Sort=A","Dates=H","DateFormat=P","Fill=—","Direction=H","UseDPDF=Y")</f>
        <v>7.5</v>
      </c>
      <c r="E105" s="14">
        <f>_xll.BDH("RCOM IN Equity","ARDR_EXP_RET_PLAN_ASSET_HEALTH","FY 2011","FY 2011","Currency=INR","Period=FY","BEST_FPERIOD_OVERRIDE=FY","FILING_STATUS=MR","EQY_CONSOLIDATED=Y","Sort=A","Dates=H","DateFormat=P","Fill=—","Direction=H","UseDPDF=Y")</f>
        <v>8.1999999999999993</v>
      </c>
      <c r="F105" s="14">
        <f>_xll.BDH("RCOM IN Equity","ARDR_EXP_RET_PLAN_ASSET_HEALTH","FY 2012","FY 2012","Currency=INR","Period=FY","BEST_FPERIOD_OVERRIDE=FY","FILING_STATUS=MR","EQY_CONSOLIDATED=Y","Sort=A","Dates=H","DateFormat=P","Fill=—","Direction=H","UseDPDF=Y")</f>
        <v>8.5</v>
      </c>
      <c r="G105" s="14">
        <f>_xll.BDH("RCOM IN Equity","ARDR_EXP_RET_PLAN_ASSET_HEALTH","FY 2013","FY 2013","Currency=INR","Period=FY","BEST_FPERIOD_OVERRIDE=FY","FILING_STATUS=MR","EQY_CONSOLIDATED=Y","Sort=A","Dates=H","DateFormat=P","Fill=—","Direction=H","UseDPDF=Y")</f>
        <v>8.6999999999999993</v>
      </c>
      <c r="H105" s="14">
        <f>_xll.BDH("RCOM IN Equity","ARDR_EXP_RET_PLAN_ASSET_HEALTH","FY 2014","FY 2014","Currency=INR","Period=FY","BEST_FPERIOD_OVERRIDE=FY","FILING_STATUS=MR","EQY_CONSOLIDATED=Y","Sort=A","Dates=H","DateFormat=P","Fill=—","Direction=H","UseDPDF=Y")</f>
        <v>9.3000000000000007</v>
      </c>
      <c r="I105" s="14">
        <f>_xll.BDH("RCOM IN Equity","ARDR_EXP_RET_PLAN_ASSET_HEALTH","FY 2015","FY 2015","Currency=INR","Period=FY","BEST_FPERIOD_OVERRIDE=FY","FILING_STATUS=MR","EQY_CONSOLIDATED=Y","Sort=A","Dates=H","DateFormat=P","Fill=—","Direction=H","UseDPDF=Y")</f>
        <v>7.98</v>
      </c>
      <c r="J105" s="14">
        <f>_xll.BDH("RCOM IN Equity","ARDR_EXP_RET_PLAN_ASSET_HEALTH","FY 2016","FY 2016","Currency=INR","Period=FY","BEST_FPERIOD_OVERRIDE=FY","FILING_STATUS=MR","EQY_CONSOLIDATED=Y","Sort=A","Dates=H","DateFormat=P","Fill=—","Direction=H","UseDPDF=Y")</f>
        <v>7.79</v>
      </c>
      <c r="K105" s="14">
        <f>_xll.BDH("RCOM IN Equity","ARDR_EXP_RET_PLAN_ASSET_HEALTH","FY 2017","FY 2017","Currency=INR","Period=FY","BEST_FPERIOD_OVERRIDE=FY","FILING_STATUS=MR","EQY_CONSOLIDATED=Y","Sort=A","Dates=H","DateFormat=P","Fill=—","Direction=H","UseDPDF=Y")</f>
        <v>6.82</v>
      </c>
      <c r="L105" s="14">
        <f>_xll.BDH("RCOM IN Equity","ARDR_EXP_RET_PLAN_ASSET_HEALTH","FY 2018","FY 2018","Currency=INR","Period=FY","BEST_FPERIOD_OVERRIDE=FY","FILING_STATUS=MR","EQY_CONSOLIDATED=Y","Sort=A","Dates=H","DateFormat=P","Fill=—","Direction=H","UseDPDF=Y")</f>
        <v>7.65</v>
      </c>
    </row>
    <row r="106" spans="1:12">
      <c r="A106" s="10" t="s">
        <v>1021</v>
      </c>
      <c r="B106" s="10" t="s">
        <v>1022</v>
      </c>
      <c r="C106" s="13">
        <f>_xll.BDH("RCOM IN Equity","ARDR_RENTAL_EXP_YR1","FY 2009","FY 2009","Currency=INR","Period=FY","BEST_FPERIOD_OVERRIDE=FY","FILING_STATUS=MR","EQY_CONSOLIDATED=Y","SCALING_FORMAT=MLN","Sort=A","Dates=H","DateFormat=P","Fill=—","Direction=H","UseDPDF=Y")</f>
        <v>48.3</v>
      </c>
      <c r="D106" s="13">
        <f>_xll.BDH("RCOM IN Equity","ARDR_RENTAL_EXP_YR1","FY 2010","FY 2010","Currency=INR","Period=FY","BEST_FPERIOD_OVERRIDE=FY","FILING_STATUS=MR","EQY_CONSOLIDATED=Y","SCALING_FORMAT=MLN","Sort=A","Dates=H","DateFormat=P","Fill=—","Direction=H","UseDPDF=Y")</f>
        <v>3476.1</v>
      </c>
      <c r="E106" s="13">
        <f>_xll.BDH("RCOM IN Equity","ARDR_RENTAL_EXP_YR1","FY 2011","FY 2011","Currency=INR","Period=FY","BEST_FPERIOD_OVERRIDE=FY","FILING_STATUS=MR","EQY_CONSOLIDATED=Y","SCALING_FORMAT=MLN","Sort=A","Dates=H","DateFormat=P","Fill=—","Direction=H","UseDPDF=Y")</f>
        <v>10</v>
      </c>
      <c r="F106" s="13">
        <f>_xll.BDH("RCOM IN Equity","ARDR_RENTAL_EXP_YR1","FY 2012","FY 2012","Currency=INR","Period=FY","BEST_FPERIOD_OVERRIDE=FY","FILING_STATUS=MR","EQY_CONSOLIDATED=Y","SCALING_FORMAT=MLN","Sort=A","Dates=H","DateFormat=P","Fill=—","Direction=H","UseDPDF=Y")</f>
        <v>10</v>
      </c>
      <c r="G106" s="13">
        <f>_xll.BDH("RCOM IN Equity","ARDR_RENTAL_EXP_YR1","FY 2013","FY 2013","Currency=INR","Period=FY","BEST_FPERIOD_OVERRIDE=FY","FILING_STATUS=MR","EQY_CONSOLIDATED=Y","SCALING_FORMAT=MLN","Sort=A","Dates=H","DateFormat=P","Fill=—","Direction=H","UseDPDF=Y")</f>
        <v>50</v>
      </c>
      <c r="H106" s="13">
        <f>_xll.BDH("RCOM IN Equity","ARDR_RENTAL_EXP_YR1","FY 2014","FY 2014","Currency=INR","Period=FY","BEST_FPERIOD_OVERRIDE=FY","FILING_STATUS=MR","EQY_CONSOLIDATED=Y","SCALING_FORMAT=MLN","Sort=A","Dates=H","DateFormat=P","Fill=—","Direction=H","UseDPDF=Y")</f>
        <v>320</v>
      </c>
      <c r="I106" s="13">
        <f>_xll.BDH("RCOM IN Equity","ARDR_RENTAL_EXP_YR1","FY 2015","FY 2015","Currency=INR","Period=FY","BEST_FPERIOD_OVERRIDE=FY","FILING_STATUS=MR","EQY_CONSOLIDATED=Y","SCALING_FORMAT=MLN","Sort=A","Dates=H","DateFormat=P","Fill=—","Direction=H","UseDPDF=Y")</f>
        <v>350</v>
      </c>
      <c r="J106" s="13">
        <f>_xll.BDH("RCOM IN Equity","ARDR_RENTAL_EXP_YR1","FY 2016","FY 2016","Currency=INR","Period=FY","BEST_FPERIOD_OVERRIDE=FY","FILING_STATUS=MR","EQY_CONSOLIDATED=Y","SCALING_FORMAT=MLN","Sort=A","Dates=H","DateFormat=P","Fill=—","Direction=H","UseDPDF=Y")</f>
        <v>260</v>
      </c>
      <c r="K106" s="13">
        <f>_xll.BDH("RCOM IN Equity","ARDR_RENTAL_EXP_YR1","FY 2017","FY 2017","Currency=INR","Period=FY","BEST_FPERIOD_OVERRIDE=FY","FILING_STATUS=MR","EQY_CONSOLIDATED=Y","SCALING_FORMAT=MLN","Sort=A","Dates=H","DateFormat=P","Fill=—","Direction=H","UseDPDF=Y")</f>
        <v>150</v>
      </c>
      <c r="L106" s="13">
        <f>_xll.BDH("RCOM IN Equity","ARDR_RENTAL_EXP_YR1","FY 2018","FY 2018","Currency=INR","Period=FY","BEST_FPERIOD_OVERRIDE=FY","FILING_STATUS=MR","EQY_CONSOLIDATED=Y","SCALING_FORMAT=MLN","Sort=A","Dates=H","DateFormat=P","Fill=—","Direction=H","UseDPDF=Y")</f>
        <v>70</v>
      </c>
    </row>
    <row r="107" spans="1:12">
      <c r="A107" s="10" t="s">
        <v>1023</v>
      </c>
      <c r="B107" s="10" t="s">
        <v>1024</v>
      </c>
      <c r="C107" s="13">
        <f>_xll.BDH("RCOM IN Equity","ARDR_RENTAL_EXP_BEYOND_YR5","FY 2009","FY 2009","Currency=INR","Period=FY","BEST_FPERIOD_OVERRIDE=FY","FILING_STATUS=MR","EQY_CONSOLIDATED=Y","SCALING_FORMAT=MLN","Sort=A","Dates=H","DateFormat=P","Fill=—","Direction=H","UseDPDF=Y")</f>
        <v>1667.2</v>
      </c>
      <c r="D107" s="13">
        <f>_xll.BDH("RCOM IN Equity","ARDR_RENTAL_EXP_BEYOND_YR5","FY 2010","FY 2010","Currency=INR","Period=FY","BEST_FPERIOD_OVERRIDE=FY","FILING_STATUS=MR","EQY_CONSOLIDATED=Y","SCALING_FORMAT=MLN","Sort=A","Dates=H","DateFormat=P","Fill=—","Direction=H","UseDPDF=Y")</f>
        <v>21221.9</v>
      </c>
      <c r="E107" s="13">
        <f>_xll.BDH("RCOM IN Equity","ARDR_RENTAL_EXP_BEYOND_YR5","FY 2011","FY 2011","Currency=INR","Period=FY","BEST_FPERIOD_OVERRIDE=FY","FILING_STATUS=MR","EQY_CONSOLIDATED=Y","SCALING_FORMAT=MLN","Sort=A","Dates=H","DateFormat=P","Fill=—","Direction=H","UseDPDF=Y")</f>
        <v>1660</v>
      </c>
      <c r="F107" s="13">
        <f>_xll.BDH("RCOM IN Equity","ARDR_RENTAL_EXP_BEYOND_YR5","FY 2012","FY 2012","Currency=INR","Period=FY","BEST_FPERIOD_OVERRIDE=FY","FILING_STATUS=MR","EQY_CONSOLIDATED=Y","SCALING_FORMAT=MLN","Sort=A","Dates=H","DateFormat=P","Fill=—","Direction=H","UseDPDF=Y")</f>
        <v>1650</v>
      </c>
      <c r="G107" s="13">
        <f>_xll.BDH("RCOM IN Equity","ARDR_RENTAL_EXP_BEYOND_YR5","FY 2013","FY 2013","Currency=INR","Period=FY","BEST_FPERIOD_OVERRIDE=FY","FILING_STATUS=MR","EQY_CONSOLIDATED=Y","SCALING_FORMAT=MLN","Sort=A","Dates=H","DateFormat=P","Fill=—","Direction=H","UseDPDF=Y")</f>
        <v>1650</v>
      </c>
      <c r="H107" s="13">
        <f>_xll.BDH("RCOM IN Equity","ARDR_RENTAL_EXP_BEYOND_YR5","FY 2014","FY 2014","Currency=INR","Period=FY","BEST_FPERIOD_OVERRIDE=FY","FILING_STATUS=MR","EQY_CONSOLIDATED=Y","SCALING_FORMAT=MLN","Sort=A","Dates=H","DateFormat=P","Fill=—","Direction=H","UseDPDF=Y")</f>
        <v>80</v>
      </c>
      <c r="I107" s="13">
        <f>_xll.BDH("RCOM IN Equity","ARDR_RENTAL_EXP_BEYOND_YR5","FY 2015","FY 2015","Currency=INR","Period=FY","BEST_FPERIOD_OVERRIDE=FY","FILING_STATUS=MR","EQY_CONSOLIDATED=Y","SCALING_FORMAT=MLN","Sort=A","Dates=H","DateFormat=P","Fill=—","Direction=H","UseDPDF=Y")</f>
        <v>50</v>
      </c>
      <c r="J107" s="13">
        <f>_xll.BDH("RCOM IN Equity","ARDR_RENTAL_EXP_BEYOND_YR5","FY 2016","FY 2016","Currency=INR","Period=FY","BEST_FPERIOD_OVERRIDE=FY","FILING_STATUS=MR","EQY_CONSOLIDATED=Y","SCALING_FORMAT=MLN","Sort=A","Dates=H","DateFormat=P","Fill=—","Direction=H","UseDPDF=Y")</f>
        <v>40</v>
      </c>
      <c r="K107" s="13">
        <f>_xll.BDH("RCOM IN Equity","ARDR_RENTAL_EXP_BEYOND_YR5","FY 2017","FY 2017","Currency=INR","Period=FY","BEST_FPERIOD_OVERRIDE=FY","FILING_STATUS=MR","EQY_CONSOLIDATED=Y","SCALING_FORMAT=MLN","Sort=A","Dates=H","DateFormat=P","Fill=—","Direction=H","UseDPDF=Y")</f>
        <v>20</v>
      </c>
      <c r="L107" s="13">
        <f>_xll.BDH("RCOM IN Equity","ARDR_RENTAL_EXP_BEYOND_YR5","FY 2018","FY 2018","Currency=INR","Period=FY","BEST_FPERIOD_OVERRIDE=FY","FILING_STATUS=MR","EQY_CONSOLIDATED=Y","SCALING_FORMAT=MLN","Sort=A","Dates=H","DateFormat=P","Fill=—","Direction=H","UseDPDF=Y")</f>
        <v>40</v>
      </c>
    </row>
    <row r="108" spans="1:12">
      <c r="A108" s="10" t="s">
        <v>1025</v>
      </c>
      <c r="B108" s="10" t="s">
        <v>1026</v>
      </c>
      <c r="C108" s="13" t="str">
        <f>_xll.BDH("RCOM IN Equity","ARDR_DEFERRED_TAX_LIAB_LT","FY 2009","FY 2009","Currency=INR","Period=FY","BEST_FPERIOD_OVERRIDE=FY","FILING_STATUS=MR","EQY_CONSOLIDATED=Y","SCALING_FORMAT=MLN","Sort=A","Dates=H","DateFormat=P","Fill=—","Direction=H","UseDPDF=Y")</f>
        <v>—</v>
      </c>
      <c r="D108" s="13" t="str">
        <f>_xll.BDH("RCOM IN Equity","ARDR_DEFERRED_TAX_LIAB_LT","FY 2010","FY 2010","Currency=INR","Period=FY","BEST_FPERIOD_OVERRIDE=FY","FILING_STATUS=MR","EQY_CONSOLIDATED=Y","SCALING_FORMAT=MLN","Sort=A","Dates=H","DateFormat=P","Fill=—","Direction=H","UseDPDF=Y")</f>
        <v>—</v>
      </c>
      <c r="E108" s="13" t="str">
        <f>_xll.BDH("RCOM IN Equity","ARDR_DEFERRED_TAX_LIAB_LT","FY 2011","FY 2011","Currency=INR","Period=FY","BEST_FPERIOD_OVERRIDE=FY","FILING_STATUS=MR","EQY_CONSOLIDATED=Y","SCALING_FORMAT=MLN","Sort=A","Dates=H","DateFormat=P","Fill=—","Direction=H","UseDPDF=Y")</f>
        <v>—</v>
      </c>
      <c r="F108" s="13" t="str">
        <f>_xll.BDH("RCOM IN Equity","ARDR_DEFERRED_TAX_LIAB_LT","FY 2012","FY 2012","Currency=INR","Period=FY","BEST_FPERIOD_OVERRIDE=FY","FILING_STATUS=MR","EQY_CONSOLIDATED=Y","SCALING_FORMAT=MLN","Sort=A","Dates=H","DateFormat=P","Fill=—","Direction=H","UseDPDF=Y")</f>
        <v>—</v>
      </c>
      <c r="G108" s="13" t="str">
        <f>_xll.BDH("RCOM IN Equity","ARDR_DEFERRED_TAX_LIAB_LT","FY 2013","FY 2013","Currency=INR","Period=FY","BEST_FPERIOD_OVERRIDE=FY","FILING_STATUS=MR","EQY_CONSOLIDATED=Y","SCALING_FORMAT=MLN","Sort=A","Dates=H","DateFormat=P","Fill=—","Direction=H","UseDPDF=Y")</f>
        <v>—</v>
      </c>
      <c r="H108" s="13" t="str">
        <f>_xll.BDH("RCOM IN Equity","ARDR_DEFERRED_TAX_LIAB_LT","FY 2014","FY 2014","Currency=INR","Period=FY","BEST_FPERIOD_OVERRIDE=FY","FILING_STATUS=MR","EQY_CONSOLIDATED=Y","SCALING_FORMAT=MLN","Sort=A","Dates=H","DateFormat=P","Fill=—","Direction=H","UseDPDF=Y")</f>
        <v>—</v>
      </c>
      <c r="I108" s="13" t="str">
        <f>_xll.BDH("RCOM IN Equity","ARDR_DEFERRED_TAX_LIAB_LT","FY 2015","FY 2015","Currency=INR","Period=FY","BEST_FPERIOD_OVERRIDE=FY","FILING_STATUS=MR","EQY_CONSOLIDATED=Y","SCALING_FORMAT=MLN","Sort=A","Dates=H","DateFormat=P","Fill=—","Direction=H","UseDPDF=Y")</f>
        <v>—</v>
      </c>
      <c r="J108" s="13">
        <f>_xll.BDH("RCOM IN Equity","ARDR_DEFERRED_TAX_LIAB_LT","FY 2016","FY 2016","Currency=INR","Period=FY","BEST_FPERIOD_OVERRIDE=FY","FILING_STATUS=MR","EQY_CONSOLIDATED=Y","SCALING_FORMAT=MLN","Sort=A","Dates=H","DateFormat=P","Fill=—","Direction=H","UseDPDF=Y")</f>
        <v>38880</v>
      </c>
      <c r="K108" s="13">
        <f>_xll.BDH("RCOM IN Equity","ARDR_DEFERRED_TAX_LIAB_LT","FY 2017","FY 2017","Currency=INR","Period=FY","BEST_FPERIOD_OVERRIDE=FY","FILING_STATUS=MR","EQY_CONSOLIDATED=Y","SCALING_FORMAT=MLN","Sort=A","Dates=H","DateFormat=P","Fill=—","Direction=H","UseDPDF=Y")</f>
        <v>45500</v>
      </c>
      <c r="L108" s="13">
        <f>_xll.BDH("RCOM IN Equity","ARDR_DEFERRED_TAX_LIAB_LT","FY 2018","FY 2018","Currency=INR","Period=FY","BEST_FPERIOD_OVERRIDE=FY","FILING_STATUS=MR","EQY_CONSOLIDATED=Y","SCALING_FORMAT=MLN","Sort=A","Dates=H","DateFormat=P","Fill=—","Direction=H","UseDPDF=Y")</f>
        <v>25170</v>
      </c>
    </row>
    <row r="109" spans="1:12">
      <c r="A109" s="10" t="s">
        <v>1027</v>
      </c>
      <c r="B109" s="10" t="s">
        <v>1028</v>
      </c>
      <c r="C109" s="13" t="str">
        <f>_xll.BDH("RCOM IN Equity","ARDR_DEFERRED_TAX_ASSETS_LT","FY 2009","FY 2009","Currency=INR","Period=FY","BEST_FPERIOD_OVERRIDE=FY","FILING_STATUS=MR","EQY_CONSOLIDATED=Y","SCALING_FORMAT=MLN","Sort=A","Dates=H","DateFormat=P","Fill=—","Direction=H","UseDPDF=Y")</f>
        <v>—</v>
      </c>
      <c r="D109" s="13" t="str">
        <f>_xll.BDH("RCOM IN Equity","ARDR_DEFERRED_TAX_ASSETS_LT","FY 2010","FY 2010","Currency=INR","Period=FY","BEST_FPERIOD_OVERRIDE=FY","FILING_STATUS=MR","EQY_CONSOLIDATED=Y","SCALING_FORMAT=MLN","Sort=A","Dates=H","DateFormat=P","Fill=—","Direction=H","UseDPDF=Y")</f>
        <v>—</v>
      </c>
      <c r="E109" s="13" t="str">
        <f>_xll.BDH("RCOM IN Equity","ARDR_DEFERRED_TAX_ASSETS_LT","FY 2011","FY 2011","Currency=INR","Period=FY","BEST_FPERIOD_OVERRIDE=FY","FILING_STATUS=MR","EQY_CONSOLIDATED=Y","SCALING_FORMAT=MLN","Sort=A","Dates=H","DateFormat=P","Fill=—","Direction=H","UseDPDF=Y")</f>
        <v>—</v>
      </c>
      <c r="F109" s="13" t="str">
        <f>_xll.BDH("RCOM IN Equity","ARDR_DEFERRED_TAX_ASSETS_LT","FY 2012","FY 2012","Currency=INR","Period=FY","BEST_FPERIOD_OVERRIDE=FY","FILING_STATUS=MR","EQY_CONSOLIDATED=Y","SCALING_FORMAT=MLN","Sort=A","Dates=H","DateFormat=P","Fill=—","Direction=H","UseDPDF=Y")</f>
        <v>—</v>
      </c>
      <c r="G109" s="13" t="str">
        <f>_xll.BDH("RCOM IN Equity","ARDR_DEFERRED_TAX_ASSETS_LT","FY 2013","FY 2013","Currency=INR","Period=FY","BEST_FPERIOD_OVERRIDE=FY","FILING_STATUS=MR","EQY_CONSOLIDATED=Y","SCALING_FORMAT=MLN","Sort=A","Dates=H","DateFormat=P","Fill=—","Direction=H","UseDPDF=Y")</f>
        <v>—</v>
      </c>
      <c r="H109" s="13" t="str">
        <f>_xll.BDH("RCOM IN Equity","ARDR_DEFERRED_TAX_ASSETS_LT","FY 2014","FY 2014","Currency=INR","Period=FY","BEST_FPERIOD_OVERRIDE=FY","FILING_STATUS=MR","EQY_CONSOLIDATED=Y","SCALING_FORMAT=MLN","Sort=A","Dates=H","DateFormat=P","Fill=—","Direction=H","UseDPDF=Y")</f>
        <v>—</v>
      </c>
      <c r="I109" s="13" t="str">
        <f>_xll.BDH("RCOM IN Equity","ARDR_DEFERRED_TAX_ASSETS_LT","FY 2015","FY 2015","Currency=INR","Period=FY","BEST_FPERIOD_OVERRIDE=FY","FILING_STATUS=MR","EQY_CONSOLIDATED=Y","SCALING_FORMAT=MLN","Sort=A","Dates=H","DateFormat=P","Fill=—","Direction=H","UseDPDF=Y")</f>
        <v>—</v>
      </c>
      <c r="J109" s="13">
        <f>_xll.BDH("RCOM IN Equity","ARDR_DEFERRED_TAX_ASSETS_LT","FY 2016","FY 2016","Currency=INR","Period=FY","BEST_FPERIOD_OVERRIDE=FY","FILING_STATUS=MR","EQY_CONSOLIDATED=Y","SCALING_FORMAT=MLN","Sort=A","Dates=H","DateFormat=P","Fill=—","Direction=H","UseDPDF=Y")</f>
        <v>19280</v>
      </c>
      <c r="K109" s="13">
        <f>_xll.BDH("RCOM IN Equity","ARDR_DEFERRED_TAX_ASSETS_LT","FY 2017","FY 2017","Currency=INR","Period=FY","BEST_FPERIOD_OVERRIDE=FY","FILING_STATUS=MR","EQY_CONSOLIDATED=Y","SCALING_FORMAT=MLN","Sort=A","Dates=H","DateFormat=P","Fill=—","Direction=H","UseDPDF=Y")</f>
        <v>36700</v>
      </c>
      <c r="L109" s="13">
        <f>_xll.BDH("RCOM IN Equity","ARDR_DEFERRED_TAX_ASSETS_LT","FY 2018","FY 2018","Currency=INR","Period=FY","BEST_FPERIOD_OVERRIDE=FY","FILING_STATUS=MR","EQY_CONSOLIDATED=Y","SCALING_FORMAT=MLN","Sort=A","Dates=H","DateFormat=P","Fill=—","Direction=H","UseDPDF=Y")</f>
        <v>35740</v>
      </c>
    </row>
    <row r="110" spans="1:12">
      <c r="A110" s="10" t="s">
        <v>1029</v>
      </c>
      <c r="B110" s="10" t="s">
        <v>1030</v>
      </c>
      <c r="C110" s="13">
        <f>_xll.BDH("RCOM IN Equity","ARDR_ALLOW_FOR_DOUBTFUL_ACCTS","FY 2009","FY 2009","Currency=INR","Period=FY","BEST_FPERIOD_OVERRIDE=FY","FILING_STATUS=MR","EQY_CONSOLIDATED=Y","SCALING_FORMAT=MLN","Sort=A","Dates=H","DateFormat=P","Fill=—","Direction=H","UseDPDF=Y")</f>
        <v>3946.6</v>
      </c>
      <c r="D110" s="13">
        <f>_xll.BDH("RCOM IN Equity","ARDR_ALLOW_FOR_DOUBTFUL_ACCTS","FY 2010","FY 2010","Currency=INR","Period=FY","BEST_FPERIOD_OVERRIDE=FY","FILING_STATUS=MR","EQY_CONSOLIDATED=Y","SCALING_FORMAT=MLN","Sort=A","Dates=H","DateFormat=P","Fill=—","Direction=H","UseDPDF=Y")</f>
        <v>5599.8</v>
      </c>
      <c r="E110" s="13">
        <f>_xll.BDH("RCOM IN Equity","ARDR_ALLOW_FOR_DOUBTFUL_ACCTS","FY 2011","FY 2011","Currency=INR","Period=FY","BEST_FPERIOD_OVERRIDE=FY","FILING_STATUS=MR","EQY_CONSOLIDATED=Y","SCALING_FORMAT=MLN","Sort=A","Dates=H","DateFormat=P","Fill=—","Direction=H","UseDPDF=Y")</f>
        <v>6360</v>
      </c>
      <c r="F110" s="13">
        <f>_xll.BDH("RCOM IN Equity","ARDR_ALLOW_FOR_DOUBTFUL_ACCTS","FY 2012","FY 2012","Currency=INR","Period=FY","BEST_FPERIOD_OVERRIDE=FY","FILING_STATUS=MR","EQY_CONSOLIDATED=Y","SCALING_FORMAT=MLN","Sort=A","Dates=H","DateFormat=P","Fill=—","Direction=H","UseDPDF=Y")</f>
        <v>10380</v>
      </c>
      <c r="G110" s="13">
        <f>_xll.BDH("RCOM IN Equity","ARDR_ALLOW_FOR_DOUBTFUL_ACCTS","FY 2013","FY 2013","Currency=INR","Period=FY","BEST_FPERIOD_OVERRIDE=FY","FILING_STATUS=MR","EQY_CONSOLIDATED=Y","SCALING_FORMAT=MLN","Sort=A","Dates=H","DateFormat=P","Fill=—","Direction=H","UseDPDF=Y")</f>
        <v>12530</v>
      </c>
      <c r="H110" s="13">
        <f>_xll.BDH("RCOM IN Equity","ARDR_ALLOW_FOR_DOUBTFUL_ACCTS","FY 2014","FY 2014","Currency=INR","Period=FY","BEST_FPERIOD_OVERRIDE=FY","FILING_STATUS=MR","EQY_CONSOLIDATED=Y","SCALING_FORMAT=MLN","Sort=A","Dates=H","DateFormat=P","Fill=—","Direction=H","UseDPDF=Y")</f>
        <v>15090</v>
      </c>
      <c r="I110" s="13">
        <f>_xll.BDH("RCOM IN Equity","ARDR_ALLOW_FOR_DOUBTFUL_ACCTS","FY 2015","FY 2015","Currency=INR","Period=FY","BEST_FPERIOD_OVERRIDE=FY","FILING_STATUS=MR","EQY_CONSOLIDATED=Y","SCALING_FORMAT=MLN","Sort=A","Dates=H","DateFormat=P","Fill=—","Direction=H","UseDPDF=Y")</f>
        <v>15660</v>
      </c>
      <c r="J110" s="13">
        <f>_xll.BDH("RCOM IN Equity","ARDR_ALLOW_FOR_DOUBTFUL_ACCTS","FY 2016","FY 2016","Currency=INR","Period=FY","BEST_FPERIOD_OVERRIDE=FY","FILING_STATUS=MR","EQY_CONSOLIDATED=Y","SCALING_FORMAT=MLN","Sort=A","Dates=H","DateFormat=P","Fill=—","Direction=H","UseDPDF=Y")</f>
        <v>24160</v>
      </c>
      <c r="K110" s="13">
        <f>_xll.BDH("RCOM IN Equity","ARDR_ALLOW_FOR_DOUBTFUL_ACCTS","FY 2017","FY 2017","Currency=INR","Period=FY","BEST_FPERIOD_OVERRIDE=FY","FILING_STATUS=MR","EQY_CONSOLIDATED=Y","SCALING_FORMAT=MLN","Sort=A","Dates=H","DateFormat=P","Fill=—","Direction=H","UseDPDF=Y")</f>
        <v>21430</v>
      </c>
      <c r="L110" s="13">
        <f>_xll.BDH("RCOM IN Equity","ARDR_ALLOW_FOR_DOUBTFUL_ACCTS","FY 2018","FY 2018","Currency=INR","Period=FY","BEST_FPERIOD_OVERRIDE=FY","FILING_STATUS=MR","EQY_CONSOLIDATED=Y","SCALING_FORMAT=MLN","Sort=A","Dates=H","DateFormat=P","Fill=—","Direction=H","UseDPDF=Y")</f>
        <v>22360</v>
      </c>
    </row>
    <row r="111" spans="1:12">
      <c r="A111" s="10" t="s">
        <v>1031</v>
      </c>
      <c r="B111" s="10" t="s">
        <v>1032</v>
      </c>
      <c r="C111" s="13" t="str">
        <f>_xll.BDH("RCOM IN Equity","ARDR_UNBILLED_REVENUE","FY 2009","FY 2009","Currency=INR","Period=FY","BEST_FPERIOD_OVERRIDE=FY","FILING_STATUS=MR","EQY_CONSOLIDATED=Y","SCALING_FORMAT=MLN","Sort=A","Dates=H","DateFormat=P","Fill=—","Direction=H","UseDPDF=Y")</f>
        <v>—</v>
      </c>
      <c r="D111" s="13" t="str">
        <f>_xll.BDH("RCOM IN Equity","ARDR_UNBILLED_REVENUE","FY 2010","FY 2010","Currency=INR","Period=FY","BEST_FPERIOD_OVERRIDE=FY","FILING_STATUS=MR","EQY_CONSOLIDATED=Y","SCALING_FORMAT=MLN","Sort=A","Dates=H","DateFormat=P","Fill=—","Direction=H","UseDPDF=Y")</f>
        <v>—</v>
      </c>
      <c r="E111" s="13" t="str">
        <f>_xll.BDH("RCOM IN Equity","ARDR_UNBILLED_REVENUE","FY 2011","FY 2011","Currency=INR","Period=FY","BEST_FPERIOD_OVERRIDE=FY","FILING_STATUS=MR","EQY_CONSOLIDATED=Y","SCALING_FORMAT=MLN","Sort=A","Dates=H","DateFormat=P","Fill=—","Direction=H","UseDPDF=Y")</f>
        <v>—</v>
      </c>
      <c r="F111" s="13" t="str">
        <f>_xll.BDH("RCOM IN Equity","ARDR_UNBILLED_REVENUE","FY 2012","FY 2012","Currency=INR","Period=FY","BEST_FPERIOD_OVERRIDE=FY","FILING_STATUS=MR","EQY_CONSOLIDATED=Y","SCALING_FORMAT=MLN","Sort=A","Dates=H","DateFormat=P","Fill=—","Direction=H","UseDPDF=Y")</f>
        <v>—</v>
      </c>
      <c r="G111" s="13" t="str">
        <f>_xll.BDH("RCOM IN Equity","ARDR_UNBILLED_REVENUE","FY 2013","FY 2013","Currency=INR","Period=FY","BEST_FPERIOD_OVERRIDE=FY","FILING_STATUS=MR","EQY_CONSOLIDATED=Y","SCALING_FORMAT=MLN","Sort=A","Dates=H","DateFormat=P","Fill=—","Direction=H","UseDPDF=Y")</f>
        <v>—</v>
      </c>
      <c r="H111" s="13" t="str">
        <f>_xll.BDH("RCOM IN Equity","ARDR_UNBILLED_REVENUE","FY 2014","FY 2014","Currency=INR","Period=FY","BEST_FPERIOD_OVERRIDE=FY","FILING_STATUS=MR","EQY_CONSOLIDATED=Y","SCALING_FORMAT=MLN","Sort=A","Dates=H","DateFormat=P","Fill=—","Direction=H","UseDPDF=Y")</f>
        <v>—</v>
      </c>
      <c r="I111" s="13" t="str">
        <f>_xll.BDH("RCOM IN Equity","ARDR_UNBILLED_REVENUE","FY 2015","FY 2015","Currency=INR","Period=FY","BEST_FPERIOD_OVERRIDE=FY","FILING_STATUS=MR","EQY_CONSOLIDATED=Y","SCALING_FORMAT=MLN","Sort=A","Dates=H","DateFormat=P","Fill=—","Direction=H","UseDPDF=Y")</f>
        <v>—</v>
      </c>
      <c r="J111" s="13">
        <f>_xll.BDH("RCOM IN Equity","ARDR_UNBILLED_REVENUE","FY 2016","FY 2016","Currency=INR","Period=FY","BEST_FPERIOD_OVERRIDE=FY","FILING_STATUS=MR","EQY_CONSOLIDATED=Y","SCALING_FORMAT=MLN","Sort=A","Dates=H","DateFormat=P","Fill=—","Direction=H","UseDPDF=Y")</f>
        <v>2720</v>
      </c>
      <c r="K111" s="13">
        <f>_xll.BDH("RCOM IN Equity","ARDR_UNBILLED_REVENUE","FY 2017","FY 2017","Currency=INR","Period=FY","BEST_FPERIOD_OVERRIDE=FY","FILING_STATUS=MR","EQY_CONSOLIDATED=Y","SCALING_FORMAT=MLN","Sort=A","Dates=H","DateFormat=P","Fill=—","Direction=H","UseDPDF=Y")</f>
        <v>6120</v>
      </c>
      <c r="L111" s="13">
        <f>_xll.BDH("RCOM IN Equity","ARDR_UNBILLED_REVENUE","FY 2018","FY 2018","Currency=INR","Period=FY","BEST_FPERIOD_OVERRIDE=FY","FILING_STATUS=MR","EQY_CONSOLIDATED=Y","SCALING_FORMAT=MLN","Sort=A","Dates=H","DateFormat=P","Fill=—","Direction=H","UseDPDF=Y")</f>
        <v>850</v>
      </c>
    </row>
    <row r="112" spans="1:12">
      <c r="A112" s="10" t="s">
        <v>1033</v>
      </c>
      <c r="B112" s="10" t="s">
        <v>1034</v>
      </c>
      <c r="C112" s="13">
        <f>_xll.BDH("RCOM IN Equity","ARDR_CAPITALIZED_SOFTWARE_NET","FY 2009","FY 2009","Currency=INR","Period=FY","BEST_FPERIOD_OVERRIDE=FY","FILING_STATUS=MR","EQY_CONSOLIDATED=Y","SCALING_FORMAT=MLN","Sort=A","Dates=H","DateFormat=P","Fill=—","Direction=H","UseDPDF=Y")</f>
        <v>408.8</v>
      </c>
      <c r="D112" s="13">
        <f>_xll.BDH("RCOM IN Equity","ARDR_CAPITALIZED_SOFTWARE_NET","FY 2010","FY 2010","Currency=INR","Period=FY","BEST_FPERIOD_OVERRIDE=FY","FILING_STATUS=MR","EQY_CONSOLIDATED=Y","SCALING_FORMAT=MLN","Sort=A","Dates=H","DateFormat=P","Fill=—","Direction=H","UseDPDF=Y")</f>
        <v>105.5</v>
      </c>
      <c r="E112" s="13">
        <f>_xll.BDH("RCOM IN Equity","ARDR_CAPITALIZED_SOFTWARE_NET","FY 2011","FY 2011","Currency=INR","Period=FY","BEST_FPERIOD_OVERRIDE=FY","FILING_STATUS=MR","EQY_CONSOLIDATED=Y","SCALING_FORMAT=MLN","Sort=A","Dates=H","DateFormat=P","Fill=—","Direction=H","UseDPDF=Y")</f>
        <v>1440</v>
      </c>
      <c r="F112" s="13">
        <f>_xll.BDH("RCOM IN Equity","ARDR_CAPITALIZED_SOFTWARE_NET","FY 2012","FY 2012","Currency=INR","Period=FY","BEST_FPERIOD_OVERRIDE=FY","FILING_STATUS=MR","EQY_CONSOLIDATED=Y","SCALING_FORMAT=MLN","Sort=A","Dates=H","DateFormat=P","Fill=—","Direction=H","UseDPDF=Y")</f>
        <v>1650</v>
      </c>
      <c r="G112" s="13">
        <f>_xll.BDH("RCOM IN Equity","ARDR_CAPITALIZED_SOFTWARE_NET","FY 2013","FY 2013","Currency=INR","Period=FY","BEST_FPERIOD_OVERRIDE=FY","FILING_STATUS=MR","EQY_CONSOLIDATED=Y","SCALING_FORMAT=MLN","Sort=A","Dates=H","DateFormat=P","Fill=—","Direction=H","UseDPDF=Y")</f>
        <v>1470</v>
      </c>
      <c r="H112" s="13">
        <f>_xll.BDH("RCOM IN Equity","ARDR_CAPITALIZED_SOFTWARE_NET","FY 2014","FY 2014","Currency=INR","Period=FY","BEST_FPERIOD_OVERRIDE=FY","FILING_STATUS=MR","EQY_CONSOLIDATED=Y","SCALING_FORMAT=MLN","Sort=A","Dates=H","DateFormat=P","Fill=—","Direction=H","UseDPDF=Y")</f>
        <v>1270</v>
      </c>
      <c r="I112" s="13">
        <f>_xll.BDH("RCOM IN Equity","ARDR_CAPITALIZED_SOFTWARE_NET","FY 2015","FY 2015","Currency=INR","Period=FY","BEST_FPERIOD_OVERRIDE=FY","FILING_STATUS=MR","EQY_CONSOLIDATED=Y","SCALING_FORMAT=MLN","Sort=A","Dates=H","DateFormat=P","Fill=—","Direction=H","UseDPDF=Y")</f>
        <v>810</v>
      </c>
      <c r="J112" s="13">
        <f>_xll.BDH("RCOM IN Equity","ARDR_CAPITALIZED_SOFTWARE_NET","FY 2016","FY 2016","Currency=INR","Period=FY","BEST_FPERIOD_OVERRIDE=FY","FILING_STATUS=MR","EQY_CONSOLIDATED=Y","SCALING_FORMAT=MLN","Sort=A","Dates=H","DateFormat=P","Fill=—","Direction=H","UseDPDF=Y")</f>
        <v>680</v>
      </c>
      <c r="K112" s="13">
        <f>_xll.BDH("RCOM IN Equity","ARDR_CAPITALIZED_SOFTWARE_NET","FY 2017","FY 2017","Currency=INR","Period=FY","BEST_FPERIOD_OVERRIDE=FY","FILING_STATUS=MR","EQY_CONSOLIDATED=Y","SCALING_FORMAT=MLN","Sort=A","Dates=H","DateFormat=P","Fill=—","Direction=H","UseDPDF=Y")</f>
        <v>590</v>
      </c>
      <c r="L112" s="13">
        <f>_xll.BDH("RCOM IN Equity","ARDR_CAPITALIZED_SOFTWARE_NET","FY 2018","FY 2018","Currency=INR","Period=FY","BEST_FPERIOD_OVERRIDE=FY","FILING_STATUS=MR","EQY_CONSOLIDATED=Y","SCALING_FORMAT=MLN","Sort=A","Dates=H","DateFormat=P","Fill=—","Direction=H","UseDPDF=Y")</f>
        <v>80</v>
      </c>
    </row>
    <row r="113" spans="1:12">
      <c r="A113" s="10" t="s">
        <v>856</v>
      </c>
      <c r="B113" s="10" t="s">
        <v>1035</v>
      </c>
      <c r="C113" s="13">
        <f>_xll.BDH("RCOM IN Equity","ARDR_TOTAL_SHAREHOLDERS_EQUITY","FY 2009","FY 2009","Currency=INR","Period=FY","BEST_FPERIOD_OVERRIDE=FY","FILING_STATUS=MR","EQY_CONSOLIDATED=Y","SCALING_FORMAT=MLN","Sort=A","Dates=H","DateFormat=P","Fill=—","Direction=H","UseDPDF=Y")</f>
        <v>429352.4</v>
      </c>
      <c r="D113" s="13" t="str">
        <f>_xll.BDH("RCOM IN Equity","ARDR_TOTAL_SHAREHOLDERS_EQUITY","FY 2010","FY 2010","Currency=INR","Period=FY","BEST_FPERIOD_OVERRIDE=FY","FILING_STATUS=MR","EQY_CONSOLIDATED=Y","SCALING_FORMAT=MLN","Sort=A","Dates=H","DateFormat=P","Fill=—","Direction=H","UseDPDF=Y")</f>
        <v>—</v>
      </c>
      <c r="E113" s="13" t="str">
        <f>_xll.BDH("RCOM IN Equity","ARDR_TOTAL_SHAREHOLDERS_EQUITY","FY 2011","FY 2011","Currency=INR","Period=FY","BEST_FPERIOD_OVERRIDE=FY","FILING_STATUS=MR","EQY_CONSOLIDATED=Y","SCALING_FORMAT=MLN","Sort=A","Dates=H","DateFormat=P","Fill=—","Direction=H","UseDPDF=Y")</f>
        <v>—</v>
      </c>
      <c r="F113" s="13" t="str">
        <f>_xll.BDH("RCOM IN Equity","ARDR_TOTAL_SHAREHOLDERS_EQUITY","FY 2012","FY 2012","Currency=INR","Period=FY","BEST_FPERIOD_OVERRIDE=FY","FILING_STATUS=MR","EQY_CONSOLIDATED=Y","SCALING_FORMAT=MLN","Sort=A","Dates=H","DateFormat=P","Fill=—","Direction=H","UseDPDF=Y")</f>
        <v>—</v>
      </c>
      <c r="G113" s="13" t="str">
        <f>_xll.BDH("RCOM IN Equity","ARDR_TOTAL_SHAREHOLDERS_EQUITY","FY 2013","FY 2013","Currency=INR","Period=FY","BEST_FPERIOD_OVERRIDE=FY","FILING_STATUS=MR","EQY_CONSOLIDATED=Y","SCALING_FORMAT=MLN","Sort=A","Dates=H","DateFormat=P","Fill=—","Direction=H","UseDPDF=Y")</f>
        <v>—</v>
      </c>
      <c r="H113" s="13" t="str">
        <f>_xll.BDH("RCOM IN Equity","ARDR_TOTAL_SHAREHOLDERS_EQUITY","FY 2014","FY 2014","Currency=INR","Period=FY","BEST_FPERIOD_OVERRIDE=FY","FILING_STATUS=MR","EQY_CONSOLIDATED=Y","SCALING_FORMAT=MLN","Sort=A","Dates=H","DateFormat=P","Fill=—","Direction=H","UseDPDF=Y")</f>
        <v>—</v>
      </c>
      <c r="I113" s="13">
        <f>_xll.BDH("RCOM IN Equity","ARDR_TOTAL_SHAREHOLDERS_EQUITY","FY 2015","FY 2015","Currency=INR","Period=FY","BEST_FPERIOD_OVERRIDE=FY","FILING_STATUS=MR","EQY_CONSOLIDATED=Y","SCALING_FORMAT=MLN","Sort=A","Dates=H","DateFormat=P","Fill=—","Direction=H","UseDPDF=Y")</f>
        <v>384480</v>
      </c>
      <c r="J113" s="13">
        <f>_xll.BDH("RCOM IN Equity","ARDR_TOTAL_SHAREHOLDERS_EQUITY","FY 2016","FY 2016","Currency=INR","Period=FY","BEST_FPERIOD_OVERRIDE=FY","FILING_STATUS=MR","EQY_CONSOLIDATED=Y","SCALING_FORMAT=MLN","Sort=A","Dates=H","DateFormat=P","Fill=—","Direction=H","UseDPDF=Y")</f>
        <v>318650</v>
      </c>
      <c r="K113" s="13">
        <f>_xll.BDH("RCOM IN Equity","ARDR_TOTAL_SHAREHOLDERS_EQUITY","FY 2017","FY 2017","Currency=INR","Period=FY","BEST_FPERIOD_OVERRIDE=FY","FILING_STATUS=MR","EQY_CONSOLIDATED=Y","SCALING_FORMAT=MLN","Sort=A","Dates=H","DateFormat=P","Fill=—","Direction=H","UseDPDF=Y")</f>
        <v>289690</v>
      </c>
      <c r="L113" s="13">
        <f>_xll.BDH("RCOM IN Equity","ARDR_TOTAL_SHAREHOLDERS_EQUITY","FY 2018","FY 2018","Currency=INR","Period=FY","BEST_FPERIOD_OVERRIDE=FY","FILING_STATUS=MR","EQY_CONSOLIDATED=Y","SCALING_FORMAT=MLN","Sort=A","Dates=H","DateFormat=P","Fill=—","Direction=H","UseDPDF=Y")</f>
        <v>31150</v>
      </c>
    </row>
    <row r="114" spans="1:12">
      <c r="A114" s="10" t="s">
        <v>1036</v>
      </c>
      <c r="B114" s="10" t="s">
        <v>1037</v>
      </c>
      <c r="C114" s="13" t="str">
        <f>_xll.BDH("RCOM IN Equity","ARDR_TOTAL_CAPITAL_LEASES","FY 2009","FY 2009","Currency=INR","Period=FY","BEST_FPERIOD_OVERRIDE=FY","FILING_STATUS=MR","EQY_CONSOLIDATED=Y","SCALING_FORMAT=MLN","Sort=A","Dates=H","DateFormat=P","Fill=—","Direction=H","UseDPDF=Y")</f>
        <v>—</v>
      </c>
      <c r="D114" s="13" t="str">
        <f>_xll.BDH("RCOM IN Equity","ARDR_TOTAL_CAPITAL_LEASES","FY 2010","FY 2010","Currency=INR","Period=FY","BEST_FPERIOD_OVERRIDE=FY","FILING_STATUS=MR","EQY_CONSOLIDATED=Y","SCALING_FORMAT=MLN","Sort=A","Dates=H","DateFormat=P","Fill=—","Direction=H","UseDPDF=Y")</f>
        <v>—</v>
      </c>
      <c r="E114" s="13" t="str">
        <f>_xll.BDH("RCOM IN Equity","ARDR_TOTAL_CAPITAL_LEASES","FY 2011","FY 2011","Currency=INR","Period=FY","BEST_FPERIOD_OVERRIDE=FY","FILING_STATUS=MR","EQY_CONSOLIDATED=Y","SCALING_FORMAT=MLN","Sort=A","Dates=H","DateFormat=P","Fill=—","Direction=H","UseDPDF=Y")</f>
        <v>—</v>
      </c>
      <c r="F114" s="13" t="str">
        <f>_xll.BDH("RCOM IN Equity","ARDR_TOTAL_CAPITAL_LEASES","FY 2012","FY 2012","Currency=INR","Period=FY","BEST_FPERIOD_OVERRIDE=FY","FILING_STATUS=MR","EQY_CONSOLIDATED=Y","SCALING_FORMAT=MLN","Sort=A","Dates=H","DateFormat=P","Fill=—","Direction=H","UseDPDF=Y")</f>
        <v>—</v>
      </c>
      <c r="G114" s="13" t="str">
        <f>_xll.BDH("RCOM IN Equity","ARDR_TOTAL_CAPITAL_LEASES","FY 2013","FY 2013","Currency=INR","Period=FY","BEST_FPERIOD_OVERRIDE=FY","FILING_STATUS=MR","EQY_CONSOLIDATED=Y","SCALING_FORMAT=MLN","Sort=A","Dates=H","DateFormat=P","Fill=—","Direction=H","UseDPDF=Y")</f>
        <v>—</v>
      </c>
      <c r="H114" s="13">
        <f>_xll.BDH("RCOM IN Equity","ARDR_TOTAL_CAPITAL_LEASES","FY 2014","FY 2014","Currency=INR","Period=FY","BEST_FPERIOD_OVERRIDE=FY","FILING_STATUS=MR","EQY_CONSOLIDATED=Y","SCALING_FORMAT=MLN","Sort=A","Dates=H","DateFormat=P","Fill=—","Direction=H","UseDPDF=Y")</f>
        <v>2900</v>
      </c>
      <c r="I114" s="13">
        <f>_xll.BDH("RCOM IN Equity","ARDR_TOTAL_CAPITAL_LEASES","FY 2015","FY 2015","Currency=INR","Period=FY","BEST_FPERIOD_OVERRIDE=FY","FILING_STATUS=MR","EQY_CONSOLIDATED=Y","SCALING_FORMAT=MLN","Sort=A","Dates=H","DateFormat=P","Fill=—","Direction=H","UseDPDF=Y")</f>
        <v>1360</v>
      </c>
      <c r="J114" s="13">
        <f>_xll.BDH("RCOM IN Equity","ARDR_TOTAL_CAPITAL_LEASES","FY 2016","FY 2016","Currency=INR","Period=FY","BEST_FPERIOD_OVERRIDE=FY","FILING_STATUS=MR","EQY_CONSOLIDATED=Y","SCALING_FORMAT=MLN","Sort=A","Dates=H","DateFormat=P","Fill=—","Direction=H","UseDPDF=Y")</f>
        <v>1110</v>
      </c>
      <c r="K114" s="13">
        <f>_xll.BDH("RCOM IN Equity","ARDR_TOTAL_CAPITAL_LEASES","FY 2017","FY 2017","Currency=INR","Period=FY","BEST_FPERIOD_OVERRIDE=FY","FILING_STATUS=MR","EQY_CONSOLIDATED=Y","SCALING_FORMAT=MLN","Sort=A","Dates=H","DateFormat=P","Fill=—","Direction=H","UseDPDF=Y")</f>
        <v>900</v>
      </c>
      <c r="L114" s="13">
        <f>_xll.BDH("RCOM IN Equity","ARDR_TOTAL_CAPITAL_LEASES","FY 2018","FY 2018","Currency=INR","Period=FY","BEST_FPERIOD_OVERRIDE=FY","FILING_STATUS=MR","EQY_CONSOLIDATED=Y","SCALING_FORMAT=MLN","Sort=A","Dates=H","DateFormat=P","Fill=—","Direction=H","UseDPDF=Y")</f>
        <v>0</v>
      </c>
    </row>
    <row r="115" spans="1:12">
      <c r="A115" s="10" t="s">
        <v>524</v>
      </c>
      <c r="B115" s="10" t="s">
        <v>525</v>
      </c>
      <c r="C115" s="13">
        <f>_xll.BDH("RCOM IN Equity","ARDR_FAIR_VAL_POST_RETIRE_ASSETS","FY 2009","FY 2009","Currency=INR","Period=FY","BEST_FPERIOD_OVERRIDE=FY","FILING_STATUS=MR","EQY_CONSOLIDATED=Y","SCALING_FORMAT=MLN","Sort=A","Dates=H","DateFormat=P","Fill=—","Direction=H","UseDPDF=Y")</f>
        <v>254.7</v>
      </c>
      <c r="D115" s="13">
        <f>_xll.BDH("RCOM IN Equity","ARDR_FAIR_VAL_POST_RETIRE_ASSETS","FY 2010","FY 2010","Currency=INR","Period=FY","BEST_FPERIOD_OVERRIDE=FY","FILING_STATUS=MR","EQY_CONSOLIDATED=Y","SCALING_FORMAT=MLN","Sort=A","Dates=H","DateFormat=P","Fill=—","Direction=H","UseDPDF=Y")</f>
        <v>362.9</v>
      </c>
      <c r="E115" s="13">
        <f>_xll.BDH("RCOM IN Equity","ARDR_FAIR_VAL_POST_RETIRE_ASSETS","FY 2011","FY 2011","Currency=INR","Period=FY","BEST_FPERIOD_OVERRIDE=FY","FILING_STATUS=MR","EQY_CONSOLIDATED=Y","SCALING_FORMAT=MLN","Sort=A","Dates=H","DateFormat=P","Fill=—","Direction=H","UseDPDF=Y")</f>
        <v>320</v>
      </c>
      <c r="F115" s="13">
        <f>_xll.BDH("RCOM IN Equity","ARDR_FAIR_VAL_POST_RETIRE_ASSETS","FY 2012","FY 2012","Currency=INR","Period=FY","BEST_FPERIOD_OVERRIDE=FY","FILING_STATUS=MR","EQY_CONSOLIDATED=Y","SCALING_FORMAT=MLN","Sort=A","Dates=H","DateFormat=P","Fill=—","Direction=H","UseDPDF=Y")</f>
        <v>310</v>
      </c>
      <c r="G115" s="13">
        <f>_xll.BDH("RCOM IN Equity","ARDR_FAIR_VAL_POST_RETIRE_ASSETS","FY 2013","FY 2013","Currency=INR","Period=FY","BEST_FPERIOD_OVERRIDE=FY","FILING_STATUS=MR","EQY_CONSOLIDATED=Y","SCALING_FORMAT=MLN","Sort=A","Dates=H","DateFormat=P","Fill=—","Direction=H","UseDPDF=Y")</f>
        <v>290</v>
      </c>
      <c r="H115" s="13">
        <f>_xll.BDH("RCOM IN Equity","ARDR_FAIR_VAL_POST_RETIRE_ASSETS","FY 2014","FY 2014","Currency=INR","Period=FY","BEST_FPERIOD_OVERRIDE=FY","FILING_STATUS=MR","EQY_CONSOLIDATED=Y","SCALING_FORMAT=MLN","Sort=A","Dates=H","DateFormat=P","Fill=—","Direction=H","UseDPDF=Y")</f>
        <v>160</v>
      </c>
      <c r="I115" s="13">
        <f>_xll.BDH("RCOM IN Equity","ARDR_FAIR_VAL_POST_RETIRE_ASSETS","FY 2015","FY 2015","Currency=INR","Period=FY","BEST_FPERIOD_OVERRIDE=FY","FILING_STATUS=MR","EQY_CONSOLIDATED=Y","SCALING_FORMAT=MLN","Sort=A","Dates=H","DateFormat=P","Fill=—","Direction=H","UseDPDF=Y")</f>
        <v>100</v>
      </c>
      <c r="J115" s="13">
        <f>_xll.BDH("RCOM IN Equity","ARDR_FAIR_VAL_POST_RETIRE_ASSETS","FY 2016","FY 2016","Currency=INR","Period=FY","BEST_FPERIOD_OVERRIDE=FY","FILING_STATUS=MR","EQY_CONSOLIDATED=Y","SCALING_FORMAT=MLN","Sort=A","Dates=H","DateFormat=P","Fill=—","Direction=H","UseDPDF=Y")</f>
        <v>90</v>
      </c>
      <c r="K115" s="13">
        <f>_xll.BDH("RCOM IN Equity","ARDR_FAIR_VAL_POST_RETIRE_ASSETS","FY 2017","FY 2017","Currency=INR","Period=FY","BEST_FPERIOD_OVERRIDE=FY","FILING_STATUS=MR","EQY_CONSOLIDATED=Y","SCALING_FORMAT=MLN","Sort=A","Dates=H","DateFormat=P","Fill=—","Direction=H","UseDPDF=Y")</f>
        <v>100</v>
      </c>
      <c r="L115" s="13">
        <f>_xll.BDH("RCOM IN Equity","ARDR_FAIR_VAL_POST_RETIRE_ASSETS","FY 2018","FY 2018","Currency=INR","Period=FY","BEST_FPERIOD_OVERRIDE=FY","FILING_STATUS=MR","EQY_CONSOLIDATED=Y","SCALING_FORMAT=MLN","Sort=A","Dates=H","DateFormat=P","Fill=—","Direction=H","UseDPDF=Y")</f>
        <v>80</v>
      </c>
    </row>
    <row r="116" spans="1:12">
      <c r="A116" s="10" t="s">
        <v>526</v>
      </c>
      <c r="B116" s="10" t="s">
        <v>527</v>
      </c>
      <c r="C116" s="13">
        <f>_xll.BDH("RCOM IN Equity","ARDR_PROJ_POST_RETIRE_BEN_OBLIG","FY 2009","FY 2009","Currency=INR","Period=FY","BEST_FPERIOD_OVERRIDE=FY","FILING_STATUS=MR","EQY_CONSOLIDATED=Y","SCALING_FORMAT=MLN","Sort=A","Dates=H","DateFormat=P","Fill=—","Direction=H","UseDPDF=Y")</f>
        <v>357.9</v>
      </c>
      <c r="D116" s="13">
        <f>_xll.BDH("RCOM IN Equity","ARDR_PROJ_POST_RETIRE_BEN_OBLIG","FY 2010","FY 2010","Currency=INR","Period=FY","BEST_FPERIOD_OVERRIDE=FY","FILING_STATUS=MR","EQY_CONSOLIDATED=Y","SCALING_FORMAT=MLN","Sort=A","Dates=H","DateFormat=P","Fill=—","Direction=H","UseDPDF=Y")</f>
        <v>350.7</v>
      </c>
      <c r="E116" s="13">
        <f>_xll.BDH("RCOM IN Equity","ARDR_PROJ_POST_RETIRE_BEN_OBLIG","FY 2011","FY 2011","Currency=INR","Period=FY","BEST_FPERIOD_OVERRIDE=FY","FILING_STATUS=MR","EQY_CONSOLIDATED=Y","SCALING_FORMAT=MLN","Sort=A","Dates=H","DateFormat=P","Fill=—","Direction=H","UseDPDF=Y")</f>
        <v>380</v>
      </c>
      <c r="F116" s="13">
        <f>_xll.BDH("RCOM IN Equity","ARDR_PROJ_POST_RETIRE_BEN_OBLIG","FY 2012","FY 2012","Currency=INR","Period=FY","BEST_FPERIOD_OVERRIDE=FY","FILING_STATUS=MR","EQY_CONSOLIDATED=Y","SCALING_FORMAT=MLN","Sort=A","Dates=H","DateFormat=P","Fill=—","Direction=H","UseDPDF=Y")</f>
        <v>340</v>
      </c>
      <c r="G116" s="13">
        <f>_xll.BDH("RCOM IN Equity","ARDR_PROJ_POST_RETIRE_BEN_OBLIG","FY 2013","FY 2013","Currency=INR","Period=FY","BEST_FPERIOD_OVERRIDE=FY","FILING_STATUS=MR","EQY_CONSOLIDATED=Y","SCALING_FORMAT=MLN","Sort=A","Dates=H","DateFormat=P","Fill=—","Direction=H","UseDPDF=Y")</f>
        <v>390</v>
      </c>
      <c r="H116" s="13">
        <f>_xll.BDH("RCOM IN Equity","ARDR_PROJ_POST_RETIRE_BEN_OBLIG","FY 2014","FY 2014","Currency=INR","Period=FY","BEST_FPERIOD_OVERRIDE=FY","FILING_STATUS=MR","EQY_CONSOLIDATED=Y","SCALING_FORMAT=MLN","Sort=A","Dates=H","DateFormat=P","Fill=—","Direction=H","UseDPDF=Y")</f>
        <v>410</v>
      </c>
      <c r="I116" s="13">
        <f>_xll.BDH("RCOM IN Equity","ARDR_PROJ_POST_RETIRE_BEN_OBLIG","FY 2015","FY 2015","Currency=INR","Period=FY","BEST_FPERIOD_OVERRIDE=FY","FILING_STATUS=MR","EQY_CONSOLIDATED=Y","SCALING_FORMAT=MLN","Sort=A","Dates=H","DateFormat=P","Fill=—","Direction=H","UseDPDF=Y")</f>
        <v>410</v>
      </c>
      <c r="J116" s="13">
        <f>_xll.BDH("RCOM IN Equity","ARDR_PROJ_POST_RETIRE_BEN_OBLIG","FY 2016","FY 2016","Currency=INR","Period=FY","BEST_FPERIOD_OVERRIDE=FY","FILING_STATUS=MR","EQY_CONSOLIDATED=Y","SCALING_FORMAT=MLN","Sort=A","Dates=H","DateFormat=P","Fill=—","Direction=H","UseDPDF=Y")</f>
        <v>480</v>
      </c>
      <c r="K116" s="13">
        <f>_xll.BDH("RCOM IN Equity","ARDR_PROJ_POST_RETIRE_BEN_OBLIG","FY 2017","FY 2017","Currency=INR","Period=FY","BEST_FPERIOD_OVERRIDE=FY","FILING_STATUS=MR","EQY_CONSOLIDATED=Y","SCALING_FORMAT=MLN","Sort=A","Dates=H","DateFormat=P","Fill=—","Direction=H","UseDPDF=Y")</f>
        <v>570</v>
      </c>
      <c r="L116" s="13">
        <f>_xll.BDH("RCOM IN Equity","ARDR_PROJ_POST_RETIRE_BEN_OBLIG","FY 2018","FY 2018","Currency=INR","Period=FY","BEST_FPERIOD_OVERRIDE=FY","FILING_STATUS=MR","EQY_CONSOLIDATED=Y","SCALING_FORMAT=MLN","Sort=A","Dates=H","DateFormat=P","Fill=—","Direction=H","UseDPDF=Y")</f>
        <v>410</v>
      </c>
    </row>
    <row r="117" spans="1:12">
      <c r="A117" s="10" t="s">
        <v>1038</v>
      </c>
      <c r="B117" s="10" t="s">
        <v>1039</v>
      </c>
      <c r="C117" s="13">
        <f>_xll.BDH("RCOM IN Equity","ARDR_ACCRUED_INT_RECEIVABLE","FY 2009","FY 2009","Currency=INR","Period=FY","BEST_FPERIOD_OVERRIDE=FY","FILING_STATUS=MR","EQY_CONSOLIDATED=Y","SCALING_FORMAT=MLN","Sort=A","Dates=H","DateFormat=P","Fill=—","Direction=H","UseDPDF=Y")</f>
        <v>889.1</v>
      </c>
      <c r="D117" s="13">
        <f>_xll.BDH("RCOM IN Equity","ARDR_ACCRUED_INT_RECEIVABLE","FY 2010","FY 2010","Currency=INR","Period=FY","BEST_FPERIOD_OVERRIDE=FY","FILING_STATUS=MR","EQY_CONSOLIDATED=Y","SCALING_FORMAT=MLN","Sort=A","Dates=H","DateFormat=P","Fill=—","Direction=H","UseDPDF=Y")</f>
        <v>78.7</v>
      </c>
      <c r="E117" s="13">
        <f>_xll.BDH("RCOM IN Equity","ARDR_ACCRUED_INT_RECEIVABLE","FY 2011","FY 2011","Currency=INR","Period=FY","BEST_FPERIOD_OVERRIDE=FY","FILING_STATUS=MR","EQY_CONSOLIDATED=Y","SCALING_FORMAT=MLN","Sort=A","Dates=H","DateFormat=P","Fill=—","Direction=H","UseDPDF=Y")</f>
        <v>40</v>
      </c>
      <c r="F117" s="13">
        <f>_xll.BDH("RCOM IN Equity","ARDR_ACCRUED_INT_RECEIVABLE","FY 2012","FY 2012","Currency=INR","Period=FY","BEST_FPERIOD_OVERRIDE=FY","FILING_STATUS=MR","EQY_CONSOLIDATED=Y","SCALING_FORMAT=MLN","Sort=A","Dates=H","DateFormat=P","Fill=—","Direction=H","UseDPDF=Y")</f>
        <v>0</v>
      </c>
      <c r="G117" s="13">
        <f>_xll.BDH("RCOM IN Equity","ARDR_ACCRUED_INT_RECEIVABLE","FY 2013","FY 2013","Currency=INR","Period=FY","BEST_FPERIOD_OVERRIDE=FY","FILING_STATUS=MR","EQY_CONSOLIDATED=Y","SCALING_FORMAT=MLN","Sort=A","Dates=H","DateFormat=P","Fill=—","Direction=H","UseDPDF=Y")</f>
        <v>10</v>
      </c>
      <c r="H117" s="13">
        <f>_xll.BDH("RCOM IN Equity","ARDR_ACCRUED_INT_RECEIVABLE","FY 2014","FY 2014","Currency=INR","Period=FY","BEST_FPERIOD_OVERRIDE=FY","FILING_STATUS=MR","EQY_CONSOLIDATED=Y","SCALING_FORMAT=MLN","Sort=A","Dates=H","DateFormat=P","Fill=—","Direction=H","UseDPDF=Y")</f>
        <v>0</v>
      </c>
      <c r="I117" s="13">
        <f>_xll.BDH("RCOM IN Equity","ARDR_ACCRUED_INT_RECEIVABLE","FY 2015","FY 2015","Currency=INR","Period=FY","BEST_FPERIOD_OVERRIDE=FY","FILING_STATUS=MR","EQY_CONSOLIDATED=Y","SCALING_FORMAT=MLN","Sort=A","Dates=H","DateFormat=P","Fill=—","Direction=H","UseDPDF=Y")</f>
        <v>180</v>
      </c>
      <c r="J117" s="13" t="str">
        <f>_xll.BDH("RCOM IN Equity","ARDR_ACCRUED_INT_RECEIVABLE","FY 2016","FY 2016","Currency=INR","Period=FY","BEST_FPERIOD_OVERRIDE=FY","FILING_STATUS=MR","EQY_CONSOLIDATED=Y","SCALING_FORMAT=MLN","Sort=A","Dates=H","DateFormat=P","Fill=—","Direction=H","UseDPDF=Y")</f>
        <v>—</v>
      </c>
      <c r="K117" s="13" t="str">
        <f>_xll.BDH("RCOM IN Equity","ARDR_ACCRUED_INT_RECEIVABLE","FY 2017","FY 2017","Currency=INR","Period=FY","BEST_FPERIOD_OVERRIDE=FY","FILING_STATUS=MR","EQY_CONSOLIDATED=Y","SCALING_FORMAT=MLN","Sort=A","Dates=H","DateFormat=P","Fill=—","Direction=H","UseDPDF=Y")</f>
        <v>—</v>
      </c>
      <c r="L117" s="13" t="str">
        <f>_xll.BDH("RCOM IN Equity","ARDR_ACCRUED_INT_RECEIVABLE","FY 2018","FY 2018","Currency=INR","Period=FY","BEST_FPERIOD_OVERRIDE=FY","FILING_STATUS=MR","EQY_CONSOLIDATED=Y","SCALING_FORMAT=MLN","Sort=A","Dates=H","DateFormat=P","Fill=—","Direction=H","UseDPDF=Y")</f>
        <v>—</v>
      </c>
    </row>
    <row r="118" spans="1:12">
      <c r="A118" s="10" t="s">
        <v>1040</v>
      </c>
      <c r="B118" s="10" t="s">
        <v>1041</v>
      </c>
      <c r="C118" s="13">
        <f>_xll.BDH("RCOM IN Equity","ARDR_UNSECURED_DEBT","FY 2009","FY 2009","Currency=INR","Period=FY","BEST_FPERIOD_OVERRIDE=FY","FILING_STATUS=MR","EQY_CONSOLIDATED=Y","SCALING_FORMAT=MLN","Sort=A","Dates=H","DateFormat=P","Fill=—","Direction=H","UseDPDF=Y")</f>
        <v>361622.5</v>
      </c>
      <c r="D118" s="13">
        <f>_xll.BDH("RCOM IN Equity","ARDR_UNSECURED_DEBT","FY 2010","FY 2010","Currency=INR","Period=FY","BEST_FPERIOD_OVERRIDE=FY","FILING_STATUS=MR","EQY_CONSOLIDATED=Y","SCALING_FORMAT=MLN","Sort=A","Dates=H","DateFormat=P","Fill=—","Direction=H","UseDPDF=Y")</f>
        <v>267154.2</v>
      </c>
      <c r="E118" s="13">
        <f>_xll.BDH("RCOM IN Equity","ARDR_UNSECURED_DEBT","FY 2011","FY 2011","Currency=INR","Period=FY","BEST_FPERIOD_OVERRIDE=FY","FILING_STATUS=MR","EQY_CONSOLIDATED=Y","SCALING_FORMAT=MLN","Sort=A","Dates=H","DateFormat=P","Fill=—","Direction=H","UseDPDF=Y")</f>
        <v>173780</v>
      </c>
      <c r="F118" s="13">
        <f>_xll.BDH("RCOM IN Equity","ARDR_UNSECURED_DEBT","FY 2012","FY 2012","Currency=INR","Period=FY","BEST_FPERIOD_OVERRIDE=FY","FILING_STATUS=MR","EQY_CONSOLIDATED=Y","SCALING_FORMAT=MLN","Sort=A","Dates=H","DateFormat=P","Fill=—","Direction=H","UseDPDF=Y")</f>
        <v>23390</v>
      </c>
      <c r="G118" s="13">
        <f>_xll.BDH("RCOM IN Equity","ARDR_UNSECURED_DEBT","FY 2013","FY 2013","Currency=INR","Period=FY","BEST_FPERIOD_OVERRIDE=FY","FILING_STATUS=MR","EQY_CONSOLIDATED=Y","SCALING_FORMAT=MLN","Sort=A","Dates=H","DateFormat=P","Fill=—","Direction=H","UseDPDF=Y")</f>
        <v>20070</v>
      </c>
      <c r="H118" s="13">
        <f>_xll.BDH("RCOM IN Equity","ARDR_UNSECURED_DEBT","FY 2014","FY 2014","Currency=INR","Period=FY","BEST_FPERIOD_OVERRIDE=FY","FILING_STATUS=MR","EQY_CONSOLIDATED=Y","SCALING_FORMAT=MLN","Sort=A","Dates=H","DateFormat=P","Fill=—","Direction=H","UseDPDF=Y")</f>
        <v>31790</v>
      </c>
      <c r="I118" s="13">
        <f>_xll.BDH("RCOM IN Equity","ARDR_UNSECURED_DEBT","FY 2015","FY 2015","Currency=INR","Period=FY","BEST_FPERIOD_OVERRIDE=FY","FILING_STATUS=MR","EQY_CONSOLIDATED=Y","SCALING_FORMAT=MLN","Sort=A","Dates=H","DateFormat=P","Fill=—","Direction=H","UseDPDF=Y")</f>
        <v>17000</v>
      </c>
      <c r="J118" s="13">
        <f>_xll.BDH("RCOM IN Equity","ARDR_UNSECURED_DEBT","FY 2016","FY 2016","Currency=INR","Period=FY","BEST_FPERIOD_OVERRIDE=FY","FILING_STATUS=MR","EQY_CONSOLIDATED=Y","SCALING_FORMAT=MLN","Sort=A","Dates=H","DateFormat=P","Fill=—","Direction=H","UseDPDF=Y")</f>
        <v>33550</v>
      </c>
      <c r="K118" s="13">
        <f>_xll.BDH("RCOM IN Equity","ARDR_UNSECURED_DEBT","FY 2017","FY 2017","Currency=INR","Period=FY","BEST_FPERIOD_OVERRIDE=FY","FILING_STATUS=MR","EQY_CONSOLIDATED=Y","SCALING_FORMAT=MLN","Sort=A","Dates=H","DateFormat=P","Fill=—","Direction=H","UseDPDF=Y")</f>
        <v>89250</v>
      </c>
      <c r="L118" s="13">
        <f>_xll.BDH("RCOM IN Equity","ARDR_UNSECURED_DEBT","FY 2018","FY 2018","Currency=INR","Period=FY","BEST_FPERIOD_OVERRIDE=FY","FILING_STATUS=MR","EQY_CONSOLIDATED=Y","SCALING_FORMAT=MLN","Sort=A","Dates=H","DateFormat=P","Fill=—","Direction=H","UseDPDF=Y")</f>
        <v>288830</v>
      </c>
    </row>
    <row r="119" spans="1:12">
      <c r="A119" s="10" t="s">
        <v>1042</v>
      </c>
      <c r="B119" s="10" t="s">
        <v>1043</v>
      </c>
      <c r="C119" s="13">
        <f>_xll.BDH("RCOM IN Equity","ARDR_CASH_AND_DUE_FROM_BANKS","FY 2009","FY 2009","Currency=INR","Period=FY","BEST_FPERIOD_OVERRIDE=FY","FILING_STATUS=MR","EQY_CONSOLIDATED=Y","SCALING_FORMAT=MLN","Sort=A","Dates=H","DateFormat=P","Fill=—","Direction=H","UseDPDF=Y")</f>
        <v>9983.4</v>
      </c>
      <c r="D119" s="13">
        <f>_xll.BDH("RCOM IN Equity","ARDR_CASH_AND_DUE_FROM_BANKS","FY 2010","FY 2010","Currency=INR","Period=FY","BEST_FPERIOD_OVERRIDE=FY","FILING_STATUS=MR","EQY_CONSOLIDATED=Y","SCALING_FORMAT=MLN","Sort=A","Dates=H","DateFormat=P","Fill=—","Direction=H","UseDPDF=Y")</f>
        <v>4903.8999999999996</v>
      </c>
      <c r="E119" s="13">
        <f>_xll.BDH("RCOM IN Equity","ARDR_CASH_AND_DUE_FROM_BANKS","FY 2011","FY 2011","Currency=INR","Period=FY","BEST_FPERIOD_OVERRIDE=FY","FILING_STATUS=MR","EQY_CONSOLIDATED=Y","SCALING_FORMAT=MLN","Sort=A","Dates=H","DateFormat=P","Fill=—","Direction=H","UseDPDF=Y")</f>
        <v>47840</v>
      </c>
      <c r="F119" s="13">
        <f>_xll.BDH("RCOM IN Equity","ARDR_CASH_AND_DUE_FROM_BANKS","FY 2012","FY 2012","Currency=INR","Period=FY","BEST_FPERIOD_OVERRIDE=FY","FILING_STATUS=MR","EQY_CONSOLIDATED=Y","SCALING_FORMAT=MLN","Sort=A","Dates=H","DateFormat=P","Fill=—","Direction=H","UseDPDF=Y")</f>
        <v>4630</v>
      </c>
      <c r="G119" s="13">
        <f>_xll.BDH("RCOM IN Equity","ARDR_CASH_AND_DUE_FROM_BANKS","FY 2013","FY 2013","Currency=INR","Period=FY","BEST_FPERIOD_OVERRIDE=FY","FILING_STATUS=MR","EQY_CONSOLIDATED=Y","SCALING_FORMAT=MLN","Sort=A","Dates=H","DateFormat=P","Fill=—","Direction=H","UseDPDF=Y")</f>
        <v>6490</v>
      </c>
      <c r="H119" s="13">
        <f>_xll.BDH("RCOM IN Equity","ARDR_CASH_AND_DUE_FROM_BANKS","FY 2014","FY 2014","Currency=INR","Period=FY","BEST_FPERIOD_OVERRIDE=FY","FILING_STATUS=MR","EQY_CONSOLIDATED=Y","SCALING_FORMAT=MLN","Sort=A","Dates=H","DateFormat=P","Fill=—","Direction=H","UseDPDF=Y")</f>
        <v>4180</v>
      </c>
      <c r="I119" s="13">
        <f>_xll.BDH("RCOM IN Equity","ARDR_CASH_AND_DUE_FROM_BANKS","FY 2015","FY 2015","Currency=INR","Period=FY","BEST_FPERIOD_OVERRIDE=FY","FILING_STATUS=MR","EQY_CONSOLIDATED=Y","SCALING_FORMAT=MLN","Sort=A","Dates=H","DateFormat=P","Fill=—","Direction=H","UseDPDF=Y")</f>
        <v>5150</v>
      </c>
      <c r="J119" s="13">
        <f>_xll.BDH("RCOM IN Equity","ARDR_CASH_AND_DUE_FROM_BANKS","FY 2016","FY 2016","Currency=INR","Period=FY","BEST_FPERIOD_OVERRIDE=FY","FILING_STATUS=MR","EQY_CONSOLIDATED=Y","SCALING_FORMAT=MLN","Sort=A","Dates=H","DateFormat=P","Fill=—","Direction=H","UseDPDF=Y")</f>
        <v>6820</v>
      </c>
      <c r="K119" s="13">
        <f>_xll.BDH("RCOM IN Equity","ARDR_CASH_AND_DUE_FROM_BANKS","FY 2017","FY 2017","Currency=INR","Period=FY","BEST_FPERIOD_OVERRIDE=FY","FILING_STATUS=MR","EQY_CONSOLIDATED=Y","SCALING_FORMAT=MLN","Sort=A","Dates=H","DateFormat=P","Fill=—","Direction=H","UseDPDF=Y")</f>
        <v>2900</v>
      </c>
      <c r="L119" s="13">
        <f>_xll.BDH("RCOM IN Equity","ARDR_CASH_AND_DUE_FROM_BANKS","FY 2018","FY 2018","Currency=INR","Period=FY","BEST_FPERIOD_OVERRIDE=FY","FILING_STATUS=MR","EQY_CONSOLIDATED=Y","SCALING_FORMAT=MLN","Sort=A","Dates=H","DateFormat=P","Fill=—","Direction=H","UseDPDF=Y")</f>
        <v>1260</v>
      </c>
    </row>
    <row r="120" spans="1:12">
      <c r="A120" s="10" t="s">
        <v>920</v>
      </c>
      <c r="B120" s="10" t="s">
        <v>1044</v>
      </c>
      <c r="C120" s="13">
        <f>_xll.BDH("RCOM IN Equity","ARDR_ST_INVEST","FY 2009","FY 2009","Currency=INR","Period=FY","BEST_FPERIOD_OVERRIDE=FY","FILING_STATUS=MR","EQY_CONSOLIDATED=Y","SCALING_FORMAT=MLN","Sort=A","Dates=H","DateFormat=P","Fill=—","Direction=H","UseDPDF=Y")</f>
        <v>8172.9</v>
      </c>
      <c r="D120" s="13">
        <f>_xll.BDH("RCOM IN Equity","ARDR_ST_INVEST","FY 2010","FY 2010","Currency=INR","Period=FY","BEST_FPERIOD_OVERRIDE=FY","FILING_STATUS=MR","EQY_CONSOLIDATED=Y","SCALING_FORMAT=MLN","Sort=A","Dates=H","DateFormat=P","Fill=—","Direction=H","UseDPDF=Y")</f>
        <v>1427</v>
      </c>
      <c r="E120" s="13" t="str">
        <f>_xll.BDH("RCOM IN Equity","ARDR_ST_INVEST","FY 2011","FY 2011","Currency=INR","Period=FY","BEST_FPERIOD_OVERRIDE=FY","FILING_STATUS=MR","EQY_CONSOLIDATED=Y","SCALING_FORMAT=MLN","Sort=A","Dates=H","DateFormat=P","Fill=—","Direction=H","UseDPDF=Y")</f>
        <v>—</v>
      </c>
      <c r="F120" s="13" t="str">
        <f>_xll.BDH("RCOM IN Equity","ARDR_ST_INVEST","FY 2012","FY 2012","Currency=INR","Period=FY","BEST_FPERIOD_OVERRIDE=FY","FILING_STATUS=MR","EQY_CONSOLIDATED=Y","SCALING_FORMAT=MLN","Sort=A","Dates=H","DateFormat=P","Fill=—","Direction=H","UseDPDF=Y")</f>
        <v>—</v>
      </c>
      <c r="G120" s="13" t="str">
        <f>_xll.BDH("RCOM IN Equity","ARDR_ST_INVEST","FY 2013","FY 2013","Currency=INR","Period=FY","BEST_FPERIOD_OVERRIDE=FY","FILING_STATUS=MR","EQY_CONSOLIDATED=Y","SCALING_FORMAT=MLN","Sort=A","Dates=H","DateFormat=P","Fill=—","Direction=H","UseDPDF=Y")</f>
        <v>—</v>
      </c>
      <c r="H120" s="13" t="str">
        <f>_xll.BDH("RCOM IN Equity","ARDR_ST_INVEST","FY 2014","FY 2014","Currency=INR","Period=FY","BEST_FPERIOD_OVERRIDE=FY","FILING_STATUS=MR","EQY_CONSOLIDATED=Y","SCALING_FORMAT=MLN","Sort=A","Dates=H","DateFormat=P","Fill=—","Direction=H","UseDPDF=Y")</f>
        <v>—</v>
      </c>
      <c r="I120" s="13" t="str">
        <f>_xll.BDH("RCOM IN Equity","ARDR_ST_INVEST","FY 2015","FY 2015","Currency=INR","Period=FY","BEST_FPERIOD_OVERRIDE=FY","FILING_STATUS=MR","EQY_CONSOLIDATED=Y","SCALING_FORMAT=MLN","Sort=A","Dates=H","DateFormat=P","Fill=—","Direction=H","UseDPDF=Y")</f>
        <v>—</v>
      </c>
      <c r="J120" s="13">
        <f>_xll.BDH("RCOM IN Equity","ARDR_ST_INVEST","FY 2016","FY 2016","Currency=INR","Period=FY","BEST_FPERIOD_OVERRIDE=FY","FILING_STATUS=MR","EQY_CONSOLIDATED=Y","SCALING_FORMAT=MLN","Sort=A","Dates=H","DateFormat=P","Fill=—","Direction=H","UseDPDF=Y")</f>
        <v>0</v>
      </c>
      <c r="K120" s="13">
        <f>_xll.BDH("RCOM IN Equity","ARDR_ST_INVEST","FY 2017","FY 2017","Currency=INR","Period=FY","BEST_FPERIOD_OVERRIDE=FY","FILING_STATUS=MR","EQY_CONSOLIDATED=Y","SCALING_FORMAT=MLN","Sort=A","Dates=H","DateFormat=P","Fill=—","Direction=H","UseDPDF=Y")</f>
        <v>0</v>
      </c>
      <c r="L120" s="13" t="str">
        <f>_xll.BDH("RCOM IN Equity","ARDR_ST_INVEST","FY 2018","FY 2018","Currency=INR","Period=FY","BEST_FPERIOD_OVERRIDE=FY","FILING_STATUS=MR","EQY_CONSOLIDATED=Y","SCALING_FORMAT=MLN","Sort=A","Dates=H","DateFormat=P","Fill=—","Direction=H","UseDPDF=Y")</f>
        <v>—</v>
      </c>
    </row>
    <row r="121" spans="1:12">
      <c r="A121" s="10" t="s">
        <v>1045</v>
      </c>
      <c r="B121" s="10" t="s">
        <v>1046</v>
      </c>
      <c r="C121" s="13" t="str">
        <f>_xll.BDH("RCOM IN Equity","ARDR_CUSTOMER_DEPOSIT_ADV_ST","FY 2009","FY 2009","Currency=INR","Period=FY","BEST_FPERIOD_OVERRIDE=FY","FILING_STATUS=MR","EQY_CONSOLIDATED=Y","SCALING_FORMAT=MLN","Sort=A","Dates=H","DateFormat=P","Fill=—","Direction=H","UseDPDF=Y")</f>
        <v>—</v>
      </c>
      <c r="D121" s="13" t="str">
        <f>_xll.BDH("RCOM IN Equity","ARDR_CUSTOMER_DEPOSIT_ADV_ST","FY 2010","FY 2010","Currency=INR","Period=FY","BEST_FPERIOD_OVERRIDE=FY","FILING_STATUS=MR","EQY_CONSOLIDATED=Y","SCALING_FORMAT=MLN","Sort=A","Dates=H","DateFormat=P","Fill=—","Direction=H","UseDPDF=Y")</f>
        <v>—</v>
      </c>
      <c r="E121" s="13">
        <f>_xll.BDH("RCOM IN Equity","ARDR_CUSTOMER_DEPOSIT_ADV_ST","FY 2011","FY 2011","Currency=INR","Period=FY","BEST_FPERIOD_OVERRIDE=FY","FILING_STATUS=MR","EQY_CONSOLIDATED=Y","SCALING_FORMAT=MLN","Sort=A","Dates=H","DateFormat=P","Fill=—","Direction=H","UseDPDF=Y")</f>
        <v>11650</v>
      </c>
      <c r="F121" s="13">
        <f>_xll.BDH("RCOM IN Equity","ARDR_CUSTOMER_DEPOSIT_ADV_ST","FY 2012","FY 2012","Currency=INR","Period=FY","BEST_FPERIOD_OVERRIDE=FY","FILING_STATUS=MR","EQY_CONSOLIDATED=Y","SCALING_FORMAT=MLN","Sort=A","Dates=H","DateFormat=P","Fill=—","Direction=H","UseDPDF=Y")</f>
        <v>12250</v>
      </c>
      <c r="G121" s="13">
        <f>_xll.BDH("RCOM IN Equity","ARDR_CUSTOMER_DEPOSIT_ADV_ST","FY 2013","FY 2013","Currency=INR","Period=FY","BEST_FPERIOD_OVERRIDE=FY","FILING_STATUS=MR","EQY_CONSOLIDATED=Y","SCALING_FORMAT=MLN","Sort=A","Dates=H","DateFormat=P","Fill=—","Direction=H","UseDPDF=Y")</f>
        <v>9620</v>
      </c>
      <c r="H121" s="13">
        <f>_xll.BDH("RCOM IN Equity","ARDR_CUSTOMER_DEPOSIT_ADV_ST","FY 2014","FY 2014","Currency=INR","Period=FY","BEST_FPERIOD_OVERRIDE=FY","FILING_STATUS=MR","EQY_CONSOLIDATED=Y","SCALING_FORMAT=MLN","Sort=A","Dates=H","DateFormat=P","Fill=—","Direction=H","UseDPDF=Y")</f>
        <v>9670</v>
      </c>
      <c r="I121" s="13">
        <f>_xll.BDH("RCOM IN Equity","ARDR_CUSTOMER_DEPOSIT_ADV_ST","FY 2015","FY 2015","Currency=INR","Period=FY","BEST_FPERIOD_OVERRIDE=FY","FILING_STATUS=MR","EQY_CONSOLIDATED=Y","SCALING_FORMAT=MLN","Sort=A","Dates=H","DateFormat=P","Fill=—","Direction=H","UseDPDF=Y")</f>
        <v>11610</v>
      </c>
      <c r="J121" s="13">
        <f>_xll.BDH("RCOM IN Equity","ARDR_CUSTOMER_DEPOSIT_ADV_ST","FY 2016","FY 2016","Currency=INR","Period=FY","BEST_FPERIOD_OVERRIDE=FY","FILING_STATUS=MR","EQY_CONSOLIDATED=Y","SCALING_FORMAT=MLN","Sort=A","Dates=H","DateFormat=P","Fill=—","Direction=H","UseDPDF=Y")</f>
        <v>11110</v>
      </c>
      <c r="K121" s="13">
        <f>_xll.BDH("RCOM IN Equity","ARDR_CUSTOMER_DEPOSIT_ADV_ST","FY 2017","FY 2017","Currency=INR","Period=FY","BEST_FPERIOD_OVERRIDE=FY","FILING_STATUS=MR","EQY_CONSOLIDATED=Y","SCALING_FORMAT=MLN","Sort=A","Dates=H","DateFormat=P","Fill=—","Direction=H","UseDPDF=Y")</f>
        <v>8090</v>
      </c>
      <c r="L121" s="13">
        <f>_xll.BDH("RCOM IN Equity","ARDR_CUSTOMER_DEPOSIT_ADV_ST","FY 2018","FY 2018","Currency=INR","Period=FY","BEST_FPERIOD_OVERRIDE=FY","FILING_STATUS=MR","EQY_CONSOLIDATED=Y","SCALING_FORMAT=MLN","Sort=A","Dates=H","DateFormat=P","Fill=—","Direction=H","UseDPDF=Y")</f>
        <v>650</v>
      </c>
    </row>
    <row r="122" spans="1:12">
      <c r="A122" s="10" t="s">
        <v>1047</v>
      </c>
      <c r="B122" s="10" t="s">
        <v>1048</v>
      </c>
      <c r="C122" s="13">
        <f>_xll.BDH("RCOM IN Equity","ARDR_OTHER_RECEIVABLES_ST","FY 2009","FY 2009","Currency=INR","Period=FY","BEST_FPERIOD_OVERRIDE=FY","FILING_STATUS=MR","EQY_CONSOLIDATED=Y","SCALING_FORMAT=MLN","Sort=A","Dates=H","DateFormat=P","Fill=—","Direction=H","UseDPDF=Y")</f>
        <v>31104.9</v>
      </c>
      <c r="D122" s="13">
        <f>_xll.BDH("RCOM IN Equity","ARDR_OTHER_RECEIVABLES_ST","FY 2010","FY 2010","Currency=INR","Period=FY","BEST_FPERIOD_OVERRIDE=FY","FILING_STATUS=MR","EQY_CONSOLIDATED=Y","SCALING_FORMAT=MLN","Sort=A","Dates=H","DateFormat=P","Fill=—","Direction=H","UseDPDF=Y")</f>
        <v>23212.3</v>
      </c>
      <c r="E122" s="13">
        <f>_xll.BDH("RCOM IN Equity","ARDR_OTHER_RECEIVABLES_ST","FY 2011","FY 2011","Currency=INR","Period=FY","BEST_FPERIOD_OVERRIDE=FY","FILING_STATUS=MR","EQY_CONSOLIDATED=Y","SCALING_FORMAT=MLN","Sort=A","Dates=H","DateFormat=P","Fill=—","Direction=H","UseDPDF=Y")</f>
        <v>24150</v>
      </c>
      <c r="F122" s="13">
        <f>_xll.BDH("RCOM IN Equity","ARDR_OTHER_RECEIVABLES_ST","FY 2012","FY 2012","Currency=INR","Period=FY","BEST_FPERIOD_OVERRIDE=FY","FILING_STATUS=MR","EQY_CONSOLIDATED=Y","SCALING_FORMAT=MLN","Sort=A","Dates=H","DateFormat=P","Fill=—","Direction=H","UseDPDF=Y")</f>
        <v>17420</v>
      </c>
      <c r="G122" s="13">
        <f>_xll.BDH("RCOM IN Equity","ARDR_OTHER_RECEIVABLES_ST","FY 2013","FY 2013","Currency=INR","Period=FY","BEST_FPERIOD_OVERRIDE=FY","FILING_STATUS=MR","EQY_CONSOLIDATED=Y","SCALING_FORMAT=MLN","Sort=A","Dates=H","DateFormat=P","Fill=—","Direction=H","UseDPDF=Y")</f>
        <v>23370</v>
      </c>
      <c r="H122" s="13">
        <f>_xll.BDH("RCOM IN Equity","ARDR_OTHER_RECEIVABLES_ST","FY 2014","FY 2014","Currency=INR","Period=FY","BEST_FPERIOD_OVERRIDE=FY","FILING_STATUS=MR","EQY_CONSOLIDATED=Y","SCALING_FORMAT=MLN","Sort=A","Dates=H","DateFormat=P","Fill=—","Direction=H","UseDPDF=Y")</f>
        <v>27920</v>
      </c>
      <c r="I122" s="13">
        <f>_xll.BDH("RCOM IN Equity","ARDR_OTHER_RECEIVABLES_ST","FY 2015","FY 2015","Currency=INR","Period=FY","BEST_FPERIOD_OVERRIDE=FY","FILING_STATUS=MR","EQY_CONSOLIDATED=Y","SCALING_FORMAT=MLN","Sort=A","Dates=H","DateFormat=P","Fill=—","Direction=H","UseDPDF=Y")</f>
        <v>37220</v>
      </c>
      <c r="J122" s="13" t="str">
        <f>_xll.BDH("RCOM IN Equity","ARDR_OTHER_RECEIVABLES_ST","FY 2016","FY 2016","Currency=INR","Period=FY","BEST_FPERIOD_OVERRIDE=FY","FILING_STATUS=MR","EQY_CONSOLIDATED=Y","SCALING_FORMAT=MLN","Sort=A","Dates=H","DateFormat=P","Fill=—","Direction=H","UseDPDF=Y")</f>
        <v>—</v>
      </c>
      <c r="K122" s="13" t="str">
        <f>_xll.BDH("RCOM IN Equity","ARDR_OTHER_RECEIVABLES_ST","FY 2017","FY 2017","Currency=INR","Period=FY","BEST_FPERIOD_OVERRIDE=FY","FILING_STATUS=MR","EQY_CONSOLIDATED=Y","SCALING_FORMAT=MLN","Sort=A","Dates=H","DateFormat=P","Fill=—","Direction=H","UseDPDF=Y")</f>
        <v>—</v>
      </c>
      <c r="L122" s="13" t="str">
        <f>_xll.BDH("RCOM IN Equity","ARDR_OTHER_RECEIVABLES_ST","FY 2018","FY 2018","Currency=INR","Period=FY","BEST_FPERIOD_OVERRIDE=FY","FILING_STATUS=MR","EQY_CONSOLIDATED=Y","SCALING_FORMAT=MLN","Sort=A","Dates=H","DateFormat=P","Fill=—","Direction=H","UseDPDF=Y")</f>
        <v>—</v>
      </c>
    </row>
    <row r="123" spans="1:12">
      <c r="A123" s="10" t="s">
        <v>1049</v>
      </c>
      <c r="B123" s="10" t="s">
        <v>1050</v>
      </c>
      <c r="C123" s="13" t="str">
        <f>_xll.BDH("RCOM IN Equity","ARDR_PREPAID_EXPENSES_LT","FY 2009","FY 2009","Currency=INR","Period=FY","BEST_FPERIOD_OVERRIDE=FY","FILING_STATUS=MR","EQY_CONSOLIDATED=Y","SCALING_FORMAT=MLN","Sort=A","Dates=H","DateFormat=P","Fill=—","Direction=H","UseDPDF=Y")</f>
        <v>—</v>
      </c>
      <c r="D123" s="13" t="str">
        <f>_xll.BDH("RCOM IN Equity","ARDR_PREPAID_EXPENSES_LT","FY 2010","FY 2010","Currency=INR","Period=FY","BEST_FPERIOD_OVERRIDE=FY","FILING_STATUS=MR","EQY_CONSOLIDATED=Y","SCALING_FORMAT=MLN","Sort=A","Dates=H","DateFormat=P","Fill=—","Direction=H","UseDPDF=Y")</f>
        <v>—</v>
      </c>
      <c r="E123" s="13">
        <f>_xll.BDH("RCOM IN Equity","ARDR_PREPAID_EXPENSES_LT","FY 2011","FY 2011","Currency=INR","Period=FY","BEST_FPERIOD_OVERRIDE=FY","FILING_STATUS=MR","EQY_CONSOLIDATED=Y","SCALING_FORMAT=MLN","Sort=A","Dates=H","DateFormat=P","Fill=—","Direction=H","UseDPDF=Y")</f>
        <v>340</v>
      </c>
      <c r="F123" s="13">
        <f>_xll.BDH("RCOM IN Equity","ARDR_PREPAID_EXPENSES_LT","FY 2012","FY 2012","Currency=INR","Period=FY","BEST_FPERIOD_OVERRIDE=FY","FILING_STATUS=MR","EQY_CONSOLIDATED=Y","SCALING_FORMAT=MLN","Sort=A","Dates=H","DateFormat=P","Fill=—","Direction=H","UseDPDF=Y")</f>
        <v>1130</v>
      </c>
      <c r="G123" s="13">
        <f>_xll.BDH("RCOM IN Equity","ARDR_PREPAID_EXPENSES_LT","FY 2013","FY 2013","Currency=INR","Period=FY","BEST_FPERIOD_OVERRIDE=FY","FILING_STATUS=MR","EQY_CONSOLIDATED=Y","SCALING_FORMAT=MLN","Sort=A","Dates=H","DateFormat=P","Fill=—","Direction=H","UseDPDF=Y")</f>
        <v>1230</v>
      </c>
      <c r="H123" s="13">
        <f>_xll.BDH("RCOM IN Equity","ARDR_PREPAID_EXPENSES_LT","FY 2014","FY 2014","Currency=INR","Period=FY","BEST_FPERIOD_OVERRIDE=FY","FILING_STATUS=MR","EQY_CONSOLIDATED=Y","SCALING_FORMAT=MLN","Sort=A","Dates=H","DateFormat=P","Fill=—","Direction=H","UseDPDF=Y")</f>
        <v>1120</v>
      </c>
      <c r="I123" s="13">
        <f>_xll.BDH("RCOM IN Equity","ARDR_PREPAID_EXPENSES_LT","FY 2015","FY 2015","Currency=INR","Period=FY","BEST_FPERIOD_OVERRIDE=FY","FILING_STATUS=MR","EQY_CONSOLIDATED=Y","SCALING_FORMAT=MLN","Sort=A","Dates=H","DateFormat=P","Fill=—","Direction=H","UseDPDF=Y")</f>
        <v>1460</v>
      </c>
      <c r="J123" s="13">
        <f>_xll.BDH("RCOM IN Equity","ARDR_PREPAID_EXPENSES_LT","FY 2016","FY 2016","Currency=INR","Period=FY","BEST_FPERIOD_OVERRIDE=FY","FILING_STATUS=MR","EQY_CONSOLIDATED=Y","SCALING_FORMAT=MLN","Sort=A","Dates=H","DateFormat=P","Fill=—","Direction=H","UseDPDF=Y")</f>
        <v>1540</v>
      </c>
      <c r="K123" s="13">
        <f>_xll.BDH("RCOM IN Equity","ARDR_PREPAID_EXPENSES_LT","FY 2017","FY 2017","Currency=INR","Period=FY","BEST_FPERIOD_OVERRIDE=FY","FILING_STATUS=MR","EQY_CONSOLIDATED=Y","SCALING_FORMAT=MLN","Sort=A","Dates=H","DateFormat=P","Fill=—","Direction=H","UseDPDF=Y")</f>
        <v>1420</v>
      </c>
      <c r="L123" s="13">
        <f>_xll.BDH("RCOM IN Equity","ARDR_PREPAID_EXPENSES_LT","FY 2018","FY 2018","Currency=INR","Period=FY","BEST_FPERIOD_OVERRIDE=FY","FILING_STATUS=MR","EQY_CONSOLIDATED=Y","SCALING_FORMAT=MLN","Sort=A","Dates=H","DateFormat=P","Fill=—","Direction=H","UseDPDF=Y")</f>
        <v>1030</v>
      </c>
    </row>
    <row r="124" spans="1:12">
      <c r="A124" s="10" t="s">
        <v>1051</v>
      </c>
      <c r="B124" s="10" t="s">
        <v>1052</v>
      </c>
      <c r="C124" s="13" t="str">
        <f>_xll.BDH("RCOM IN Equity","ARDR_CUSTOMER_DEPOSIT_ADVANCE_LT","FY 2009","FY 2009","Currency=INR","Period=FY","BEST_FPERIOD_OVERRIDE=FY","FILING_STATUS=MR","EQY_CONSOLIDATED=Y","SCALING_FORMAT=MLN","Sort=A","Dates=H","DateFormat=P","Fill=—","Direction=H","UseDPDF=Y")</f>
        <v>—</v>
      </c>
      <c r="D124" s="13" t="str">
        <f>_xll.BDH("RCOM IN Equity","ARDR_CUSTOMER_DEPOSIT_ADVANCE_LT","FY 2010","FY 2010","Currency=INR","Period=FY","BEST_FPERIOD_OVERRIDE=FY","FILING_STATUS=MR","EQY_CONSOLIDATED=Y","SCALING_FORMAT=MLN","Sort=A","Dates=H","DateFormat=P","Fill=—","Direction=H","UseDPDF=Y")</f>
        <v>—</v>
      </c>
      <c r="E124" s="13">
        <f>_xll.BDH("RCOM IN Equity","ARDR_CUSTOMER_DEPOSIT_ADVANCE_LT","FY 2011","FY 2011","Currency=INR","Period=FY","BEST_FPERIOD_OVERRIDE=FY","FILING_STATUS=MR","EQY_CONSOLIDATED=Y","SCALING_FORMAT=MLN","Sort=A","Dates=H","DateFormat=P","Fill=—","Direction=H","UseDPDF=Y")</f>
        <v>50</v>
      </c>
      <c r="F124" s="13">
        <f>_xll.BDH("RCOM IN Equity","ARDR_CUSTOMER_DEPOSIT_ADVANCE_LT","FY 2012","FY 2012","Currency=INR","Period=FY","BEST_FPERIOD_OVERRIDE=FY","FILING_STATUS=MR","EQY_CONSOLIDATED=Y","SCALING_FORMAT=MLN","Sort=A","Dates=H","DateFormat=P","Fill=—","Direction=H","UseDPDF=Y")</f>
        <v>980</v>
      </c>
      <c r="G124" s="13">
        <f>_xll.BDH("RCOM IN Equity","ARDR_CUSTOMER_DEPOSIT_ADVANCE_LT","FY 2013","FY 2013","Currency=INR","Period=FY","BEST_FPERIOD_OVERRIDE=FY","FILING_STATUS=MR","EQY_CONSOLIDATED=Y","SCALING_FORMAT=MLN","Sort=A","Dates=H","DateFormat=P","Fill=—","Direction=H","UseDPDF=Y")</f>
        <v>0</v>
      </c>
      <c r="H124" s="13" t="str">
        <f>_xll.BDH("RCOM IN Equity","ARDR_CUSTOMER_DEPOSIT_ADVANCE_LT","FY 2014","FY 2014","Currency=INR","Period=FY","BEST_FPERIOD_OVERRIDE=FY","FILING_STATUS=MR","EQY_CONSOLIDATED=Y","SCALING_FORMAT=MLN","Sort=A","Dates=H","DateFormat=P","Fill=—","Direction=H","UseDPDF=Y")</f>
        <v>—</v>
      </c>
      <c r="I124" s="13" t="str">
        <f>_xll.BDH("RCOM IN Equity","ARDR_CUSTOMER_DEPOSIT_ADVANCE_LT","FY 2015","FY 2015","Currency=INR","Period=FY","BEST_FPERIOD_OVERRIDE=FY","FILING_STATUS=MR","EQY_CONSOLIDATED=Y","SCALING_FORMAT=MLN","Sort=A","Dates=H","DateFormat=P","Fill=—","Direction=H","UseDPDF=Y")</f>
        <v>—</v>
      </c>
      <c r="J124" s="13">
        <f>_xll.BDH("RCOM IN Equity","ARDR_CUSTOMER_DEPOSIT_ADVANCE_LT","FY 2016","FY 2016","Currency=INR","Period=FY","BEST_FPERIOD_OVERRIDE=FY","FILING_STATUS=MR","EQY_CONSOLIDATED=Y","SCALING_FORMAT=MLN","Sort=A","Dates=H","DateFormat=P","Fill=—","Direction=H","UseDPDF=Y")</f>
        <v>29280</v>
      </c>
      <c r="K124" s="13">
        <f>_xll.BDH("RCOM IN Equity","ARDR_CUSTOMER_DEPOSIT_ADVANCE_LT","FY 2017","FY 2017","Currency=INR","Period=FY","BEST_FPERIOD_OVERRIDE=FY","FILING_STATUS=MR","EQY_CONSOLIDATED=Y","SCALING_FORMAT=MLN","Sort=A","Dates=H","DateFormat=P","Fill=—","Direction=H","UseDPDF=Y")</f>
        <v>1640</v>
      </c>
      <c r="L124" s="13">
        <f>_xll.BDH("RCOM IN Equity","ARDR_CUSTOMER_DEPOSIT_ADVANCE_LT","FY 2018","FY 2018","Currency=INR","Period=FY","BEST_FPERIOD_OVERRIDE=FY","FILING_STATUS=MR","EQY_CONSOLIDATED=Y","SCALING_FORMAT=MLN","Sort=A","Dates=H","DateFormat=P","Fill=—","Direction=H","UseDPDF=Y")</f>
        <v>0</v>
      </c>
    </row>
    <row r="125" spans="1:12">
      <c r="A125" s="10" t="s">
        <v>866</v>
      </c>
      <c r="B125" s="10" t="s">
        <v>1053</v>
      </c>
      <c r="C125" s="13" t="str">
        <f>_xll.BDH("RCOM IN Equity","ARDR_TOT_LIAB_AND_SHHOLDER_EQY","FY 2009","FY 2009","Currency=INR","Period=FY","BEST_FPERIOD_OVERRIDE=FY","FILING_STATUS=MR","EQY_CONSOLIDATED=Y","SCALING_FORMAT=MLN","Sort=A","Dates=H","DateFormat=P","Fill=—","Direction=H","UseDPDF=Y")</f>
        <v>—</v>
      </c>
      <c r="D125" s="13" t="str">
        <f>_xll.BDH("RCOM IN Equity","ARDR_TOT_LIAB_AND_SHHOLDER_EQY","FY 2010","FY 2010","Currency=INR","Period=FY","BEST_FPERIOD_OVERRIDE=FY","FILING_STATUS=MR","EQY_CONSOLIDATED=Y","SCALING_FORMAT=MLN","Sort=A","Dates=H","DateFormat=P","Fill=—","Direction=H","UseDPDF=Y")</f>
        <v>—</v>
      </c>
      <c r="E125" s="13" t="str">
        <f>_xll.BDH("RCOM IN Equity","ARDR_TOT_LIAB_AND_SHHOLDER_EQY","FY 2011","FY 2011","Currency=INR","Period=FY","BEST_FPERIOD_OVERRIDE=FY","FILING_STATUS=MR","EQY_CONSOLIDATED=Y","SCALING_FORMAT=MLN","Sort=A","Dates=H","DateFormat=P","Fill=—","Direction=H","UseDPDF=Y")</f>
        <v>—</v>
      </c>
      <c r="F125" s="13" t="str">
        <f>_xll.BDH("RCOM IN Equity","ARDR_TOT_LIAB_AND_SHHOLDER_EQY","FY 2012","FY 2012","Currency=INR","Period=FY","BEST_FPERIOD_OVERRIDE=FY","FILING_STATUS=MR","EQY_CONSOLIDATED=Y","SCALING_FORMAT=MLN","Sort=A","Dates=H","DateFormat=P","Fill=—","Direction=H","UseDPDF=Y")</f>
        <v>—</v>
      </c>
      <c r="G125" s="13" t="str">
        <f>_xll.BDH("RCOM IN Equity","ARDR_TOT_LIAB_AND_SHHOLDER_EQY","FY 2013","FY 2013","Currency=INR","Period=FY","BEST_FPERIOD_OVERRIDE=FY","FILING_STATUS=MR","EQY_CONSOLIDATED=Y","SCALING_FORMAT=MLN","Sort=A","Dates=H","DateFormat=P","Fill=—","Direction=H","UseDPDF=Y")</f>
        <v>—</v>
      </c>
      <c r="H125" s="13" t="str">
        <f>_xll.BDH("RCOM IN Equity","ARDR_TOT_LIAB_AND_SHHOLDER_EQY","FY 2014","FY 2014","Currency=INR","Period=FY","BEST_FPERIOD_OVERRIDE=FY","FILING_STATUS=MR","EQY_CONSOLIDATED=Y","SCALING_FORMAT=MLN","Sort=A","Dates=H","DateFormat=P","Fill=—","Direction=H","UseDPDF=Y")</f>
        <v>—</v>
      </c>
      <c r="I125" s="13">
        <f>_xll.BDH("RCOM IN Equity","ARDR_TOT_LIAB_AND_SHHOLDER_EQY","FY 2015","FY 2015","Currency=INR","Period=FY","BEST_FPERIOD_OVERRIDE=FY","FILING_STATUS=MR","EQY_CONSOLIDATED=Y","SCALING_FORMAT=MLN","Sort=A","Dates=H","DateFormat=P","Fill=—","Direction=H","UseDPDF=Y")</f>
        <v>912840</v>
      </c>
      <c r="J125" s="13">
        <f>_xll.BDH("RCOM IN Equity","ARDR_TOT_LIAB_AND_SHHOLDER_EQY","FY 2016","FY 2016","Currency=INR","Period=FY","BEST_FPERIOD_OVERRIDE=FY","FILING_STATUS=MR","EQY_CONSOLIDATED=Y","SCALING_FORMAT=MLN","Sort=A","Dates=H","DateFormat=P","Fill=—","Direction=H","UseDPDF=Y")</f>
        <v>1034540</v>
      </c>
      <c r="K125" s="13">
        <f>_xll.BDH("RCOM IN Equity","ARDR_TOT_LIAB_AND_SHHOLDER_EQY","FY 2017","FY 2017","Currency=INR","Period=FY","BEST_FPERIOD_OVERRIDE=FY","FILING_STATUS=MR","EQY_CONSOLIDATED=Y","SCALING_FORMAT=MLN","Sort=A","Dates=H","DateFormat=P","Fill=—","Direction=H","UseDPDF=Y")</f>
        <v>997310</v>
      </c>
      <c r="L125" s="13">
        <f>_xll.BDH("RCOM IN Equity","ARDR_TOT_LIAB_AND_SHHOLDER_EQY","FY 2018","FY 2018","Currency=INR","Period=FY","BEST_FPERIOD_OVERRIDE=FY","FILING_STATUS=MR","EQY_CONSOLIDATED=Y","SCALING_FORMAT=MLN","Sort=A","Dates=H","DateFormat=P","Fill=—","Direction=H","UseDPDF=Y")</f>
        <v>559490</v>
      </c>
    </row>
    <row r="126" spans="1:12">
      <c r="A126" s="10" t="s">
        <v>1054</v>
      </c>
      <c r="B126" s="10" t="s">
        <v>1055</v>
      </c>
      <c r="C126" s="13" t="str">
        <f>_xll.BDH("RCOM IN Equity","ARDR_OTHER_RESERVES","FY 2009","FY 2009","Currency=INR","Period=FY","BEST_FPERIOD_OVERRIDE=FY","FILING_STATUS=MR","EQY_CONSOLIDATED=Y","SCALING_FORMAT=MLN","Sort=A","Dates=H","DateFormat=P","Fill=—","Direction=H","UseDPDF=Y")</f>
        <v>—</v>
      </c>
      <c r="D126" s="13" t="str">
        <f>_xll.BDH("RCOM IN Equity","ARDR_OTHER_RESERVES","FY 2010","FY 2010","Currency=INR","Period=FY","BEST_FPERIOD_OVERRIDE=FY","FILING_STATUS=MR","EQY_CONSOLIDATED=Y","SCALING_FORMAT=MLN","Sort=A","Dates=H","DateFormat=P","Fill=—","Direction=H","UseDPDF=Y")</f>
        <v>—</v>
      </c>
      <c r="E126" s="13" t="str">
        <f>_xll.BDH("RCOM IN Equity","ARDR_OTHER_RESERVES","FY 2011","FY 2011","Currency=INR","Period=FY","BEST_FPERIOD_OVERRIDE=FY","FILING_STATUS=MR","EQY_CONSOLIDATED=Y","SCALING_FORMAT=MLN","Sort=A","Dates=H","DateFormat=P","Fill=—","Direction=H","UseDPDF=Y")</f>
        <v>—</v>
      </c>
      <c r="F126" s="13" t="str">
        <f>_xll.BDH("RCOM IN Equity","ARDR_OTHER_RESERVES","FY 2012","FY 2012","Currency=INR","Period=FY","BEST_FPERIOD_OVERRIDE=FY","FILING_STATUS=MR","EQY_CONSOLIDATED=Y","SCALING_FORMAT=MLN","Sort=A","Dates=H","DateFormat=P","Fill=—","Direction=H","UseDPDF=Y")</f>
        <v>—</v>
      </c>
      <c r="G126" s="13" t="str">
        <f>_xll.BDH("RCOM IN Equity","ARDR_OTHER_RESERVES","FY 2013","FY 2013","Currency=INR","Period=FY","BEST_FPERIOD_OVERRIDE=FY","FILING_STATUS=MR","EQY_CONSOLIDATED=Y","SCALING_FORMAT=MLN","Sort=A","Dates=H","DateFormat=P","Fill=—","Direction=H","UseDPDF=Y")</f>
        <v>—</v>
      </c>
      <c r="H126" s="13">
        <f>_xll.BDH("RCOM IN Equity","ARDR_OTHER_RESERVES","FY 2014","FY 2014","Currency=INR","Period=FY","BEST_FPERIOD_OVERRIDE=FY","FILING_STATUS=MR","EQY_CONSOLIDATED=Y","SCALING_FORMAT=MLN","Sort=A","Dates=H","DateFormat=P","Fill=—","Direction=H","UseDPDF=Y")</f>
        <v>19070</v>
      </c>
      <c r="I126" s="13" t="str">
        <f>_xll.BDH("RCOM IN Equity","ARDR_OTHER_RESERVES","FY 2015","FY 2015","Currency=INR","Period=FY","BEST_FPERIOD_OVERRIDE=FY","FILING_STATUS=MR","EQY_CONSOLIDATED=Y","SCALING_FORMAT=MLN","Sort=A","Dates=H","DateFormat=P","Fill=—","Direction=H","UseDPDF=Y")</f>
        <v>—</v>
      </c>
      <c r="J126" s="13" t="str">
        <f>_xll.BDH("RCOM IN Equity","ARDR_OTHER_RESERVES","FY 2016","FY 2016","Currency=INR","Period=FY","BEST_FPERIOD_OVERRIDE=FY","FILING_STATUS=MR","EQY_CONSOLIDATED=Y","SCALING_FORMAT=MLN","Sort=A","Dates=H","DateFormat=P","Fill=—","Direction=H","UseDPDF=Y")</f>
        <v>—</v>
      </c>
      <c r="K126" s="13" t="str">
        <f>_xll.BDH("RCOM IN Equity","ARDR_OTHER_RESERVES","FY 2017","FY 2017","Currency=INR","Period=FY","BEST_FPERIOD_OVERRIDE=FY","FILING_STATUS=MR","EQY_CONSOLIDATED=Y","SCALING_FORMAT=MLN","Sort=A","Dates=H","DateFormat=P","Fill=—","Direction=H","UseDPDF=Y")</f>
        <v>—</v>
      </c>
      <c r="L126" s="13" t="str">
        <f>_xll.BDH("RCOM IN Equity","ARDR_OTHER_RESERVES","FY 2018","FY 2018","Currency=INR","Period=FY","BEST_FPERIOD_OVERRIDE=FY","FILING_STATUS=MR","EQY_CONSOLIDATED=Y","SCALING_FORMAT=MLN","Sort=A","Dates=H","DateFormat=P","Fill=—","Direction=H","UseDPDF=Y")</f>
        <v>—</v>
      </c>
    </row>
    <row r="127" spans="1:12">
      <c r="A127" s="10" t="s">
        <v>1056</v>
      </c>
      <c r="B127" s="10" t="s">
        <v>1057</v>
      </c>
      <c r="C127" s="13">
        <f>_xll.BDH("RCOM IN Equity","ARDR_STATUTORY_CAPITAL","FY 2009","FY 2009","Currency=INR","Period=FY","BEST_FPERIOD_OVERRIDE=FY","FILING_STATUS=MR","EQY_CONSOLIDATED=Y","SCALING_FORMAT=MLN","Sort=A","Dates=H","DateFormat=P","Fill=—","Direction=H","UseDPDF=Y")</f>
        <v>0.2</v>
      </c>
      <c r="D127" s="13">
        <f>_xll.BDH("RCOM IN Equity","ARDR_STATUTORY_CAPITAL","FY 2010","FY 2010","Currency=INR","Period=FY","BEST_FPERIOD_OVERRIDE=FY","FILING_STATUS=MR","EQY_CONSOLIDATED=Y","SCALING_FORMAT=MLN","Sort=A","Dates=H","DateFormat=P","Fill=—","Direction=H","UseDPDF=Y")</f>
        <v>0.5</v>
      </c>
      <c r="E127" s="13">
        <f>_xll.BDH("RCOM IN Equity","ARDR_STATUTORY_CAPITAL","FY 2011","FY 2011","Currency=INR","Period=FY","BEST_FPERIOD_OVERRIDE=FY","FILING_STATUS=MR","EQY_CONSOLIDATED=Y","SCALING_FORMAT=MLN","Sort=A","Dates=H","DateFormat=P","Fill=—","Direction=H","UseDPDF=Y")</f>
        <v>0</v>
      </c>
      <c r="F127" s="13">
        <f>_xll.BDH("RCOM IN Equity","ARDR_STATUTORY_CAPITAL","FY 2012","FY 2012","Currency=INR","Period=FY","BEST_FPERIOD_OVERRIDE=FY","FILING_STATUS=MR","EQY_CONSOLIDATED=Y","SCALING_FORMAT=MLN","Sort=A","Dates=H","DateFormat=P","Fill=—","Direction=H","UseDPDF=Y")</f>
        <v>0</v>
      </c>
      <c r="G127" s="13">
        <f>_xll.BDH("RCOM IN Equity","ARDR_STATUTORY_CAPITAL","FY 2013","FY 2013","Currency=INR","Period=FY","BEST_FPERIOD_OVERRIDE=FY","FILING_STATUS=MR","EQY_CONSOLIDATED=Y","SCALING_FORMAT=MLN","Sort=A","Dates=H","DateFormat=P","Fill=—","Direction=H","UseDPDF=Y")</f>
        <v>0</v>
      </c>
      <c r="H127" s="13" t="str">
        <f>_xll.BDH("RCOM IN Equity","ARDR_STATUTORY_CAPITAL","FY 2014","FY 2014","Currency=INR","Period=FY","BEST_FPERIOD_OVERRIDE=FY","FILING_STATUS=MR","EQY_CONSOLIDATED=Y","SCALING_FORMAT=MLN","Sort=A","Dates=H","DateFormat=P","Fill=—","Direction=H","UseDPDF=Y")</f>
        <v>—</v>
      </c>
      <c r="I127" s="13" t="str">
        <f>_xll.BDH("RCOM IN Equity","ARDR_STATUTORY_CAPITAL","FY 2015","FY 2015","Currency=INR","Period=FY","BEST_FPERIOD_OVERRIDE=FY","FILING_STATUS=MR","EQY_CONSOLIDATED=Y","SCALING_FORMAT=MLN","Sort=A","Dates=H","DateFormat=P","Fill=—","Direction=H","UseDPDF=Y")</f>
        <v>—</v>
      </c>
      <c r="J127" s="13" t="str">
        <f>_xll.BDH("RCOM IN Equity","ARDR_STATUTORY_CAPITAL","FY 2016","FY 2016","Currency=INR","Period=FY","BEST_FPERIOD_OVERRIDE=FY","FILING_STATUS=MR","EQY_CONSOLIDATED=Y","SCALING_FORMAT=MLN","Sort=A","Dates=H","DateFormat=P","Fill=—","Direction=H","UseDPDF=Y")</f>
        <v>—</v>
      </c>
      <c r="K127" s="13" t="str">
        <f>_xll.BDH("RCOM IN Equity","ARDR_STATUTORY_CAPITAL","FY 2017","FY 2017","Currency=INR","Period=FY","BEST_FPERIOD_OVERRIDE=FY","FILING_STATUS=MR","EQY_CONSOLIDATED=Y","SCALING_FORMAT=MLN","Sort=A","Dates=H","DateFormat=P","Fill=—","Direction=H","UseDPDF=Y")</f>
        <v>—</v>
      </c>
      <c r="L127" s="13" t="str">
        <f>_xll.BDH("RCOM IN Equity","ARDR_STATUTORY_CAPITAL","FY 2018","FY 2018","Currency=INR","Period=FY","BEST_FPERIOD_OVERRIDE=FY","FILING_STATUS=MR","EQY_CONSOLIDATED=Y","SCALING_FORMAT=MLN","Sort=A","Dates=H","DateFormat=P","Fill=—","Direction=H","UseDPDF=Y")</f>
        <v>—</v>
      </c>
    </row>
    <row r="128" spans="1:12">
      <c r="A128" s="10" t="s">
        <v>1058</v>
      </c>
      <c r="B128" s="10" t="s">
        <v>1059</v>
      </c>
      <c r="C128" s="13" t="str">
        <f>_xll.BDH("RCOM IN Equity","ARDR_OTHER_PAYABLES","FY 2009","FY 2009","Currency=INR","Period=FY","BEST_FPERIOD_OVERRIDE=FY","FILING_STATUS=MR","EQY_CONSOLIDATED=Y","SCALING_FORMAT=MLN","Sort=A","Dates=H","DateFormat=P","Fill=—","Direction=H","UseDPDF=Y")</f>
        <v>—</v>
      </c>
      <c r="D128" s="13" t="str">
        <f>_xll.BDH("RCOM IN Equity","ARDR_OTHER_PAYABLES","FY 2010","FY 2010","Currency=INR","Period=FY","BEST_FPERIOD_OVERRIDE=FY","FILING_STATUS=MR","EQY_CONSOLIDATED=Y","SCALING_FORMAT=MLN","Sort=A","Dates=H","DateFormat=P","Fill=—","Direction=H","UseDPDF=Y")</f>
        <v>—</v>
      </c>
      <c r="E128" s="13">
        <f>_xll.BDH("RCOM IN Equity","ARDR_OTHER_PAYABLES","FY 2011","FY 2011","Currency=INR","Period=FY","BEST_FPERIOD_OVERRIDE=FY","FILING_STATUS=MR","EQY_CONSOLIDATED=Y","SCALING_FORMAT=MLN","Sort=A","Dates=H","DateFormat=P","Fill=—","Direction=H","UseDPDF=Y")</f>
        <v>35570</v>
      </c>
      <c r="F128" s="13">
        <f>_xll.BDH("RCOM IN Equity","ARDR_OTHER_PAYABLES","FY 2012","FY 2012","Currency=INR","Period=FY","BEST_FPERIOD_OVERRIDE=FY","FILING_STATUS=MR","EQY_CONSOLIDATED=Y","SCALING_FORMAT=MLN","Sort=A","Dates=H","DateFormat=P","Fill=—","Direction=H","UseDPDF=Y")</f>
        <v>55740</v>
      </c>
      <c r="G128" s="13">
        <f>_xll.BDH("RCOM IN Equity","ARDR_OTHER_PAYABLES","FY 2013","FY 2013","Currency=INR","Period=FY","BEST_FPERIOD_OVERRIDE=FY","FILING_STATUS=MR","EQY_CONSOLIDATED=Y","SCALING_FORMAT=MLN","Sort=A","Dates=H","DateFormat=P","Fill=—","Direction=H","UseDPDF=Y")</f>
        <v>40590</v>
      </c>
      <c r="H128" s="13">
        <f>_xll.BDH("RCOM IN Equity","ARDR_OTHER_PAYABLES","FY 2014","FY 2014","Currency=INR","Period=FY","BEST_FPERIOD_OVERRIDE=FY","FILING_STATUS=MR","EQY_CONSOLIDATED=Y","SCALING_FORMAT=MLN","Sort=A","Dates=H","DateFormat=P","Fill=—","Direction=H","UseDPDF=Y")</f>
        <v>47040</v>
      </c>
      <c r="I128" s="13">
        <f>_xll.BDH("RCOM IN Equity","ARDR_OTHER_PAYABLES","FY 2015","FY 2015","Currency=INR","Period=FY","BEST_FPERIOD_OVERRIDE=FY","FILING_STATUS=MR","EQY_CONSOLIDATED=Y","SCALING_FORMAT=MLN","Sort=A","Dates=H","DateFormat=P","Fill=—","Direction=H","UseDPDF=Y")</f>
        <v>21260</v>
      </c>
      <c r="J128" s="13" t="str">
        <f>_xll.BDH("RCOM IN Equity","ARDR_OTHER_PAYABLES","FY 2016","FY 2016","Currency=INR","Period=FY","BEST_FPERIOD_OVERRIDE=FY","FILING_STATUS=MR","EQY_CONSOLIDATED=Y","SCALING_FORMAT=MLN","Sort=A","Dates=H","DateFormat=P","Fill=—","Direction=H","UseDPDF=Y")</f>
        <v>—</v>
      </c>
      <c r="K128" s="13" t="str">
        <f>_xll.BDH("RCOM IN Equity","ARDR_OTHER_PAYABLES","FY 2017","FY 2017","Currency=INR","Period=FY","BEST_FPERIOD_OVERRIDE=FY","FILING_STATUS=MR","EQY_CONSOLIDATED=Y","SCALING_FORMAT=MLN","Sort=A","Dates=H","DateFormat=P","Fill=—","Direction=H","UseDPDF=Y")</f>
        <v>—</v>
      </c>
      <c r="L128" s="13" t="str">
        <f>_xll.BDH("RCOM IN Equity","ARDR_OTHER_PAYABLES","FY 2018","FY 2018","Currency=INR","Period=FY","BEST_FPERIOD_OVERRIDE=FY","FILING_STATUS=MR","EQY_CONSOLIDATED=Y","SCALING_FORMAT=MLN","Sort=A","Dates=H","DateFormat=P","Fill=—","Direction=H","UseDPDF=Y")</f>
        <v>—</v>
      </c>
    </row>
    <row r="129" spans="1:12">
      <c r="A129" s="10" t="s">
        <v>1060</v>
      </c>
      <c r="B129" s="10" t="s">
        <v>1061</v>
      </c>
      <c r="C129" s="13">
        <f>_xll.BDH("RCOM IN Equity","ARDR_LICENSES","FY 2009","FY 2009","Currency=INR","Period=FY","BEST_FPERIOD_OVERRIDE=FY","FILING_STATUS=MR","EQY_CONSOLIDATED=Y","SCALING_FORMAT=MLN","Sort=A","Dates=H","DateFormat=P","Fill=—","Direction=H","UseDPDF=Y")</f>
        <v>183608.5</v>
      </c>
      <c r="D129" s="13">
        <f>_xll.BDH("RCOM IN Equity","ARDR_LICENSES","FY 2010","FY 2010","Currency=INR","Period=FY","BEST_FPERIOD_OVERRIDE=FY","FILING_STATUS=MR","EQY_CONSOLIDATED=Y","SCALING_FORMAT=MLN","Sort=A","Dates=H","DateFormat=P","Fill=—","Direction=H","UseDPDF=Y")</f>
        <v>168177.7</v>
      </c>
      <c r="E129" s="13">
        <f>_xll.BDH("RCOM IN Equity","ARDR_LICENSES","FY 2011","FY 2011","Currency=INR","Period=FY","BEST_FPERIOD_OVERRIDE=FY","FILING_STATUS=MR","EQY_CONSOLIDATED=Y","SCALING_FORMAT=MLN","Sort=A","Dates=H","DateFormat=P","Fill=—","Direction=H","UseDPDF=Y")</f>
        <v>152670</v>
      </c>
      <c r="F129" s="13">
        <f>_xll.BDH("RCOM IN Equity","ARDR_LICENSES","FY 2012","FY 2012","Currency=INR","Period=FY","BEST_FPERIOD_OVERRIDE=FY","FILING_STATUS=MR","EQY_CONSOLIDATED=Y","SCALING_FORMAT=MLN","Sort=A","Dates=H","DateFormat=P","Fill=—","Direction=H","UseDPDF=Y")</f>
        <v>226550</v>
      </c>
      <c r="G129" s="13">
        <f>_xll.BDH("RCOM IN Equity","ARDR_LICENSES","FY 2013","FY 2013","Currency=INR","Period=FY","BEST_FPERIOD_OVERRIDE=FY","FILING_STATUS=MR","EQY_CONSOLIDATED=Y","SCALING_FORMAT=MLN","Sort=A","Dates=H","DateFormat=P","Fill=—","Direction=H","UseDPDF=Y")</f>
        <v>208810</v>
      </c>
      <c r="H129" s="13">
        <f>_xll.BDH("RCOM IN Equity","ARDR_LICENSES","FY 2014","FY 2014","Currency=INR","Period=FY","BEST_FPERIOD_OVERRIDE=FY","FILING_STATUS=MR","EQY_CONSOLIDATED=Y","SCALING_FORMAT=MLN","Sort=A","Dates=H","DateFormat=P","Fill=—","Direction=H","UseDPDF=Y")</f>
        <v>188580</v>
      </c>
      <c r="I129" s="13">
        <f>_xll.BDH("RCOM IN Equity","ARDR_LICENSES","FY 2015","FY 2015","Currency=INR","Period=FY","BEST_FPERIOD_OVERRIDE=FY","FILING_STATUS=MR","EQY_CONSOLIDATED=Y","SCALING_FORMAT=MLN","Sort=A","Dates=H","DateFormat=P","Fill=—","Direction=H","UseDPDF=Y")</f>
        <v>167640</v>
      </c>
      <c r="J129" s="13">
        <f>_xll.BDH("RCOM IN Equity","ARDR_LICENSES","FY 2016","FY 2016","Currency=INR","Period=FY","BEST_FPERIOD_OVERRIDE=FY","FILING_STATUS=MR","EQY_CONSOLIDATED=Y","SCALING_FORMAT=MLN","Sort=A","Dates=H","DateFormat=P","Fill=—","Direction=H","UseDPDF=Y")</f>
        <v>144310</v>
      </c>
      <c r="K129" s="13">
        <f>_xll.BDH("RCOM IN Equity","ARDR_LICENSES","FY 2017","FY 2017","Currency=INR","Period=FY","BEST_FPERIOD_OVERRIDE=FY","FILING_STATUS=MR","EQY_CONSOLIDATED=Y","SCALING_FORMAT=MLN","Sort=A","Dates=H","DateFormat=P","Fill=—","Direction=H","UseDPDF=Y")</f>
        <v>166100</v>
      </c>
      <c r="L129" s="13">
        <f>_xll.BDH("RCOM IN Equity","ARDR_LICENSES","FY 2018","FY 2018","Currency=INR","Period=FY","BEST_FPERIOD_OVERRIDE=FY","FILING_STATUS=MR","EQY_CONSOLIDATED=Y","SCALING_FORMAT=MLN","Sort=A","Dates=H","DateFormat=P","Fill=—","Direction=H","UseDPDF=Y")</f>
        <v>310</v>
      </c>
    </row>
    <row r="130" spans="1:12">
      <c r="A130" s="10" t="s">
        <v>544</v>
      </c>
      <c r="B130" s="10" t="s">
        <v>545</v>
      </c>
      <c r="C130" s="13" t="str">
        <f>_xll.BDH("RCOM IN Equity","ARDR_EMPLOYER_CONTRIB_POST_RETIR","FY 2009","FY 2009","Currency=INR","Period=FY","BEST_FPERIOD_OVERRIDE=FY","FILING_STATUS=MR","EQY_CONSOLIDATED=Y","SCALING_FORMAT=MLN","Sort=A","Dates=H","DateFormat=P","Fill=—","Direction=H","UseDPDF=Y")</f>
        <v>—</v>
      </c>
      <c r="D130" s="13" t="str">
        <f>_xll.BDH("RCOM IN Equity","ARDR_EMPLOYER_CONTRIB_POST_RETIR","FY 2010","FY 2010","Currency=INR","Period=FY","BEST_FPERIOD_OVERRIDE=FY","FILING_STATUS=MR","EQY_CONSOLIDATED=Y","SCALING_FORMAT=MLN","Sort=A","Dates=H","DateFormat=P","Fill=—","Direction=H","UseDPDF=Y")</f>
        <v>—</v>
      </c>
      <c r="E130" s="13" t="str">
        <f>_xll.BDH("RCOM IN Equity","ARDR_EMPLOYER_CONTRIB_POST_RETIR","FY 2011","FY 2011","Currency=INR","Period=FY","BEST_FPERIOD_OVERRIDE=FY","FILING_STATUS=MR","EQY_CONSOLIDATED=Y","SCALING_FORMAT=MLN","Sort=A","Dates=H","DateFormat=P","Fill=—","Direction=H","UseDPDF=Y")</f>
        <v>—</v>
      </c>
      <c r="F130" s="13" t="str">
        <f>_xll.BDH("RCOM IN Equity","ARDR_EMPLOYER_CONTRIB_POST_RETIR","FY 2012","FY 2012","Currency=INR","Period=FY","BEST_FPERIOD_OVERRIDE=FY","FILING_STATUS=MR","EQY_CONSOLIDATED=Y","SCALING_FORMAT=MLN","Sort=A","Dates=H","DateFormat=P","Fill=—","Direction=H","UseDPDF=Y")</f>
        <v>—</v>
      </c>
      <c r="G130" s="13" t="str">
        <f>_xll.BDH("RCOM IN Equity","ARDR_EMPLOYER_CONTRIB_POST_RETIR","FY 2013","FY 2013","Currency=INR","Period=FY","BEST_FPERIOD_OVERRIDE=FY","FILING_STATUS=MR","EQY_CONSOLIDATED=Y","SCALING_FORMAT=MLN","Sort=A","Dates=H","DateFormat=P","Fill=—","Direction=H","UseDPDF=Y")</f>
        <v>—</v>
      </c>
      <c r="H130" s="13">
        <f>_xll.BDH("RCOM IN Equity","ARDR_EMPLOYER_CONTRIB_POST_RETIR","FY 2014","FY 2014","Currency=INR","Period=FY","BEST_FPERIOD_OVERRIDE=FY","FILING_STATUS=MR","EQY_CONSOLIDATED=Y","SCALING_FORMAT=MLN","Sort=A","Dates=H","DateFormat=P","Fill=—","Direction=H","UseDPDF=Y")</f>
        <v>0</v>
      </c>
      <c r="I130" s="13">
        <f>_xll.BDH("RCOM IN Equity","ARDR_EMPLOYER_CONTRIB_POST_RETIR","FY 2015","FY 2015","Currency=INR","Period=FY","BEST_FPERIOD_OVERRIDE=FY","FILING_STATUS=MR","EQY_CONSOLIDATED=Y","SCALING_FORMAT=MLN","Sort=A","Dates=H","DateFormat=P","Fill=—","Direction=H","UseDPDF=Y")</f>
        <v>50</v>
      </c>
      <c r="J130" s="13">
        <f>_xll.BDH("RCOM IN Equity","ARDR_EMPLOYER_CONTRIB_POST_RETIR","FY 2016","FY 2016","Currency=INR","Period=FY","BEST_FPERIOD_OVERRIDE=FY","FILING_STATUS=MR","EQY_CONSOLIDATED=Y","SCALING_FORMAT=MLN","Sort=A","Dates=H","DateFormat=P","Fill=—","Direction=H","UseDPDF=Y")</f>
        <v>50</v>
      </c>
      <c r="K130" s="13">
        <f>_xll.BDH("RCOM IN Equity","ARDR_EMPLOYER_CONTRIB_POST_RETIR","FY 2017","FY 2017","Currency=INR","Period=FY","BEST_FPERIOD_OVERRIDE=FY","FILING_STATUS=MR","EQY_CONSOLIDATED=Y","SCALING_FORMAT=MLN","Sort=A","Dates=H","DateFormat=P","Fill=—","Direction=H","UseDPDF=Y")</f>
        <v>0</v>
      </c>
      <c r="L130" s="13">
        <f>_xll.BDH("RCOM IN Equity","ARDR_EMPLOYER_CONTRIB_POST_RETIR","FY 2018","FY 2018","Currency=INR","Period=FY","BEST_FPERIOD_OVERRIDE=FY","FILING_STATUS=MR","EQY_CONSOLIDATED=Y","SCALING_FORMAT=MLN","Sort=A","Dates=H","DateFormat=P","Fill=—","Direction=H","UseDPDF=Y")</f>
        <v>30</v>
      </c>
    </row>
    <row r="131" spans="1:12">
      <c r="A131" s="10" t="s">
        <v>546</v>
      </c>
      <c r="B131" s="10" t="s">
        <v>547</v>
      </c>
      <c r="C131" s="13">
        <f>_xll.BDH("RCOM IN Equity","ARDR_BENEFITS_PAID_POST_RETIR","FY 2009","FY 2009","Currency=INR","Period=FY","BEST_FPERIOD_OVERRIDE=FY","FILING_STATUS=MR","EQY_CONSOLIDATED=Y","SCALING_FORMAT=MLN","Sort=A","Dates=H","DateFormat=P","Fill=—","Direction=H","UseDPDF=Y")</f>
        <v>-28.7</v>
      </c>
      <c r="D131" s="13">
        <f>_xll.BDH("RCOM IN Equity","ARDR_BENEFITS_PAID_POST_RETIR","FY 2010","FY 2010","Currency=INR","Period=FY","BEST_FPERIOD_OVERRIDE=FY","FILING_STATUS=MR","EQY_CONSOLIDATED=Y","SCALING_FORMAT=MLN","Sort=A","Dates=H","DateFormat=P","Fill=—","Direction=H","UseDPDF=Y")</f>
        <v>-50.6</v>
      </c>
      <c r="E131" s="13">
        <f>_xll.BDH("RCOM IN Equity","ARDR_BENEFITS_PAID_POST_RETIR","FY 2011","FY 2011","Currency=INR","Period=FY","BEST_FPERIOD_OVERRIDE=FY","FILING_STATUS=MR","EQY_CONSOLIDATED=Y","SCALING_FORMAT=MLN","Sort=A","Dates=H","DateFormat=P","Fill=—","Direction=H","UseDPDF=Y")</f>
        <v>-80</v>
      </c>
      <c r="F131" s="13">
        <f>_xll.BDH("RCOM IN Equity","ARDR_BENEFITS_PAID_POST_RETIR","FY 2012","FY 2012","Currency=INR","Period=FY","BEST_FPERIOD_OVERRIDE=FY","FILING_STATUS=MR","EQY_CONSOLIDATED=Y","SCALING_FORMAT=MLN","Sort=A","Dates=H","DateFormat=P","Fill=—","Direction=H","UseDPDF=Y")</f>
        <v>-100</v>
      </c>
      <c r="G131" s="13">
        <f>_xll.BDH("RCOM IN Equity","ARDR_BENEFITS_PAID_POST_RETIR","FY 2013","FY 2013","Currency=INR","Period=FY","BEST_FPERIOD_OVERRIDE=FY","FILING_STATUS=MR","EQY_CONSOLIDATED=Y","SCALING_FORMAT=MLN","Sort=A","Dates=H","DateFormat=P","Fill=—","Direction=H","UseDPDF=Y")</f>
        <v>-80</v>
      </c>
      <c r="H131" s="13">
        <f>_xll.BDH("RCOM IN Equity","ARDR_BENEFITS_PAID_POST_RETIR","FY 2014","FY 2014","Currency=INR","Period=FY","BEST_FPERIOD_OVERRIDE=FY","FILING_STATUS=MR","EQY_CONSOLIDATED=Y","SCALING_FORMAT=MLN","Sort=A","Dates=H","DateFormat=P","Fill=—","Direction=H","UseDPDF=Y")</f>
        <v>-70</v>
      </c>
      <c r="I131" s="13">
        <f>_xll.BDH("RCOM IN Equity","ARDR_BENEFITS_PAID_POST_RETIR","FY 2015","FY 2015","Currency=INR","Period=FY","BEST_FPERIOD_OVERRIDE=FY","FILING_STATUS=MR","EQY_CONSOLIDATED=Y","SCALING_FORMAT=MLN","Sort=A","Dates=H","DateFormat=P","Fill=—","Direction=H","UseDPDF=Y")</f>
        <v>-120</v>
      </c>
      <c r="J131" s="13">
        <f>_xll.BDH("RCOM IN Equity","ARDR_BENEFITS_PAID_POST_RETIR","FY 2016","FY 2016","Currency=INR","Period=FY","BEST_FPERIOD_OVERRIDE=FY","FILING_STATUS=MR","EQY_CONSOLIDATED=Y","SCALING_FORMAT=MLN","Sort=A","Dates=H","DateFormat=P","Fill=—","Direction=H","UseDPDF=Y")</f>
        <v>-70</v>
      </c>
      <c r="K131" s="13">
        <f>_xll.BDH("RCOM IN Equity","ARDR_BENEFITS_PAID_POST_RETIR","FY 2017","FY 2017","Currency=INR","Period=FY","BEST_FPERIOD_OVERRIDE=FY","FILING_STATUS=MR","EQY_CONSOLIDATED=Y","SCALING_FORMAT=MLN","Sort=A","Dates=H","DateFormat=P","Fill=—","Direction=H","UseDPDF=Y")</f>
        <v>-50</v>
      </c>
      <c r="L131" s="13">
        <f>_xll.BDH("RCOM IN Equity","ARDR_BENEFITS_PAID_POST_RETIR","FY 2018","FY 2018","Currency=INR","Period=FY","BEST_FPERIOD_OVERRIDE=FY","FILING_STATUS=MR","EQY_CONSOLIDATED=Y","SCALING_FORMAT=MLN","Sort=A","Dates=H","DateFormat=P","Fill=—","Direction=H","UseDPDF=Y")</f>
        <v>-170</v>
      </c>
    </row>
    <row r="132" spans="1:12">
      <c r="A132" s="10" t="s">
        <v>1062</v>
      </c>
      <c r="B132" s="10" t="s">
        <v>1063</v>
      </c>
      <c r="C132" s="13">
        <f>_xll.BDH("RCOM IN Equity","ARDR_CUM_TRANSLATION_ADJUST","FY 2009","FY 2009","Currency=INR","Period=FY","BEST_FPERIOD_OVERRIDE=FY","FILING_STATUS=MR","EQY_CONSOLIDATED=Y","SCALING_FORMAT=MLN","Sort=A","Dates=H","DateFormat=P","Fill=—","Direction=H","UseDPDF=Y")</f>
        <v>11233.1</v>
      </c>
      <c r="D132" s="13">
        <f>_xll.BDH("RCOM IN Equity","ARDR_CUM_TRANSLATION_ADJUST","FY 2010","FY 2010","Currency=INR","Period=FY","BEST_FPERIOD_OVERRIDE=FY","FILING_STATUS=MR","EQY_CONSOLIDATED=Y","SCALING_FORMAT=MLN","Sort=A","Dates=H","DateFormat=P","Fill=—","Direction=H","UseDPDF=Y")</f>
        <v>-2308.1</v>
      </c>
      <c r="E132" s="13">
        <f>_xll.BDH("RCOM IN Equity","ARDR_CUM_TRANSLATION_ADJUST","FY 2011","FY 2011","Currency=INR","Period=FY","BEST_FPERIOD_OVERRIDE=FY","FILING_STATUS=MR","EQY_CONSOLIDATED=Y","SCALING_FORMAT=MLN","Sort=A","Dates=H","DateFormat=P","Fill=—","Direction=H","UseDPDF=Y")</f>
        <v>-1020</v>
      </c>
      <c r="F132" s="13">
        <f>_xll.BDH("RCOM IN Equity","ARDR_CUM_TRANSLATION_ADJUST","FY 2012","FY 2012","Currency=INR","Period=FY","BEST_FPERIOD_OVERRIDE=FY","FILING_STATUS=MR","EQY_CONSOLIDATED=Y","SCALING_FORMAT=MLN","Sort=A","Dates=H","DateFormat=P","Fill=—","Direction=H","UseDPDF=Y")</f>
        <v>1180</v>
      </c>
      <c r="G132" s="13">
        <f>_xll.BDH("RCOM IN Equity","ARDR_CUM_TRANSLATION_ADJUST","FY 2013","FY 2013","Currency=INR","Period=FY","BEST_FPERIOD_OVERRIDE=FY","FILING_STATUS=MR","EQY_CONSOLIDATED=Y","SCALING_FORMAT=MLN","Sort=A","Dates=H","DateFormat=P","Fill=—","Direction=H","UseDPDF=Y")</f>
        <v>-3090</v>
      </c>
      <c r="H132" s="13">
        <f>_xll.BDH("RCOM IN Equity","ARDR_CUM_TRANSLATION_ADJUST","FY 2014","FY 2014","Currency=INR","Period=FY","BEST_FPERIOD_OVERRIDE=FY","FILING_STATUS=MR","EQY_CONSOLIDATED=Y","SCALING_FORMAT=MLN","Sort=A","Dates=H","DateFormat=P","Fill=—","Direction=H","UseDPDF=Y")</f>
        <v>-830</v>
      </c>
      <c r="I132" s="13">
        <f>_xll.BDH("RCOM IN Equity","ARDR_CUM_TRANSLATION_ADJUST","FY 2015","FY 2015","Currency=INR","Period=FY","BEST_FPERIOD_OVERRIDE=FY","FILING_STATUS=MR","EQY_CONSOLIDATED=Y","SCALING_FORMAT=MLN","Sort=A","Dates=H","DateFormat=P","Fill=—","Direction=H","UseDPDF=Y")</f>
        <v>2910</v>
      </c>
      <c r="J132" s="13">
        <f>_xll.BDH("RCOM IN Equity","ARDR_CUM_TRANSLATION_ADJUST","FY 2016","FY 2016","Currency=INR","Period=FY","BEST_FPERIOD_OVERRIDE=FY","FILING_STATUS=MR","EQY_CONSOLIDATED=Y","SCALING_FORMAT=MLN","Sort=A","Dates=H","DateFormat=P","Fill=—","Direction=H","UseDPDF=Y")</f>
        <v>-6690</v>
      </c>
      <c r="K132" s="13">
        <f>_xll.BDH("RCOM IN Equity","ARDR_CUM_TRANSLATION_ADJUST","FY 2017","FY 2017","Currency=INR","Period=FY","BEST_FPERIOD_OVERRIDE=FY","FILING_STATUS=MR","EQY_CONSOLIDATED=Y","SCALING_FORMAT=MLN","Sort=A","Dates=H","DateFormat=P","Fill=—","Direction=H","UseDPDF=Y")</f>
        <v>-3600</v>
      </c>
      <c r="L132" s="13">
        <f>_xll.BDH("RCOM IN Equity","ARDR_CUM_TRANSLATION_ADJUST","FY 2018","FY 2018","Currency=INR","Period=FY","BEST_FPERIOD_OVERRIDE=FY","FILING_STATUS=MR","EQY_CONSOLIDATED=Y","SCALING_FORMAT=MLN","Sort=A","Dates=H","DateFormat=P","Fill=—","Direction=H","UseDPDF=Y")</f>
        <v>-1710</v>
      </c>
    </row>
    <row r="133" spans="1:12">
      <c r="A133" s="10" t="s">
        <v>1064</v>
      </c>
      <c r="B133" s="10" t="s">
        <v>1065</v>
      </c>
      <c r="C133" s="14">
        <f>_xll.BDH("RCOM IN Equity","ARDR_%_OF_FOREIGN_SHAREHOLDERS","FY 2009","FY 2009","Currency=INR","Period=FY","BEST_FPERIOD_OVERRIDE=FY","FILING_STATUS=MR","EQY_CONSOLIDATED=Y","Sort=A","Dates=H","DateFormat=P","Fill=—","Direction=H","UseDPDF=Y")</f>
        <v>10.23</v>
      </c>
      <c r="D133" s="14">
        <f>_xll.BDH("RCOM IN Equity","ARDR_%_OF_FOREIGN_SHAREHOLDERS","FY 2010","FY 2010","Currency=INR","Period=FY","BEST_FPERIOD_OVERRIDE=FY","FILING_STATUS=MR","EQY_CONSOLIDATED=Y","Sort=A","Dates=H","DateFormat=P","Fill=—","Direction=H","UseDPDF=Y")</f>
        <v>8.2899999999999991</v>
      </c>
      <c r="E133" s="14" t="str">
        <f>_xll.BDH("RCOM IN Equity","ARDR_%_OF_FOREIGN_SHAREHOLDERS","FY 2011","FY 2011","Currency=INR","Period=FY","BEST_FPERIOD_OVERRIDE=FY","FILING_STATUS=MR","EQY_CONSOLIDATED=Y","Sort=A","Dates=H","DateFormat=P","Fill=—","Direction=H","UseDPDF=Y")</f>
        <v>—</v>
      </c>
      <c r="F133" s="14" t="str">
        <f>_xll.BDH("RCOM IN Equity","ARDR_%_OF_FOREIGN_SHAREHOLDERS","FY 2012","FY 2012","Currency=INR","Period=FY","BEST_FPERIOD_OVERRIDE=FY","FILING_STATUS=MR","EQY_CONSOLIDATED=Y","Sort=A","Dates=H","DateFormat=P","Fill=—","Direction=H","UseDPDF=Y")</f>
        <v>—</v>
      </c>
      <c r="G133" s="14" t="str">
        <f>_xll.BDH("RCOM IN Equity","ARDR_%_OF_FOREIGN_SHAREHOLDERS","FY 2013","FY 2013","Currency=INR","Period=FY","BEST_FPERIOD_OVERRIDE=FY","FILING_STATUS=MR","EQY_CONSOLIDATED=Y","Sort=A","Dates=H","DateFormat=P","Fill=—","Direction=H","UseDPDF=Y")</f>
        <v>—</v>
      </c>
      <c r="H133" s="14" t="str">
        <f>_xll.BDH("RCOM IN Equity","ARDR_%_OF_FOREIGN_SHAREHOLDERS","FY 2014","FY 2014","Currency=INR","Period=FY","BEST_FPERIOD_OVERRIDE=FY","FILING_STATUS=MR","EQY_CONSOLIDATED=Y","Sort=A","Dates=H","DateFormat=P","Fill=—","Direction=H","UseDPDF=Y")</f>
        <v>—</v>
      </c>
      <c r="I133" s="14" t="str">
        <f>_xll.BDH("RCOM IN Equity","ARDR_%_OF_FOREIGN_SHAREHOLDERS","FY 2015","FY 2015","Currency=INR","Period=FY","BEST_FPERIOD_OVERRIDE=FY","FILING_STATUS=MR","EQY_CONSOLIDATED=Y","Sort=A","Dates=H","DateFormat=P","Fill=—","Direction=H","UseDPDF=Y")</f>
        <v>—</v>
      </c>
      <c r="J133" s="14" t="str">
        <f>_xll.BDH("RCOM IN Equity","ARDR_%_OF_FOREIGN_SHAREHOLDERS","FY 2016","FY 2016","Currency=INR","Period=FY","BEST_FPERIOD_OVERRIDE=FY","FILING_STATUS=MR","EQY_CONSOLIDATED=Y","Sort=A","Dates=H","DateFormat=P","Fill=—","Direction=H","UseDPDF=Y")</f>
        <v>—</v>
      </c>
      <c r="K133" s="14" t="str">
        <f>_xll.BDH("RCOM IN Equity","ARDR_%_OF_FOREIGN_SHAREHOLDERS","FY 2017","FY 2017","Currency=INR","Period=FY","BEST_FPERIOD_OVERRIDE=FY","FILING_STATUS=MR","EQY_CONSOLIDATED=Y","Sort=A","Dates=H","DateFormat=P","Fill=—","Direction=H","UseDPDF=Y")</f>
        <v>—</v>
      </c>
      <c r="L133" s="14" t="str">
        <f>_xll.BDH("RCOM IN Equity","ARDR_%_OF_FOREIGN_SHAREHOLDERS","FY 2018","FY 2018","Currency=INR","Period=FY","BEST_FPERIOD_OVERRIDE=FY","FILING_STATUS=MR","EQY_CONSOLIDATED=Y","Sort=A","Dates=H","DateFormat=P","Fill=—","Direction=H","UseDPDF=Y")</f>
        <v>—</v>
      </c>
    </row>
    <row r="134" spans="1:12">
      <c r="A134" s="10" t="s">
        <v>898</v>
      </c>
      <c r="B134" s="10" t="s">
        <v>1066</v>
      </c>
      <c r="C134" s="13" t="str">
        <f>_xll.BDH("RCOM IN Equity","ARDR_LT_LOANS_AND_OTHER_DEBTOR","FY 2009","FY 2009","Currency=INR","Period=FY","BEST_FPERIOD_OVERRIDE=FY","FILING_STATUS=MR","EQY_CONSOLIDATED=Y","SCALING_FORMAT=MLN","Sort=A","Dates=H","DateFormat=P","Fill=—","Direction=H","UseDPDF=Y")</f>
        <v>—</v>
      </c>
      <c r="D134" s="13" t="str">
        <f>_xll.BDH("RCOM IN Equity","ARDR_LT_LOANS_AND_OTHER_DEBTOR","FY 2010","FY 2010","Currency=INR","Period=FY","BEST_FPERIOD_OVERRIDE=FY","FILING_STATUS=MR","EQY_CONSOLIDATED=Y","SCALING_FORMAT=MLN","Sort=A","Dates=H","DateFormat=P","Fill=—","Direction=H","UseDPDF=Y")</f>
        <v>—</v>
      </c>
      <c r="E134" s="13">
        <f>_xll.BDH("RCOM IN Equity","ARDR_LT_LOANS_AND_OTHER_DEBTOR","FY 2011","FY 2011","Currency=INR","Period=FY","BEST_FPERIOD_OVERRIDE=FY","FILING_STATUS=MR","EQY_CONSOLIDATED=Y","SCALING_FORMAT=MLN","Sort=A","Dates=H","DateFormat=P","Fill=—","Direction=H","UseDPDF=Y")</f>
        <v>14590</v>
      </c>
      <c r="F134" s="13">
        <f>_xll.BDH("RCOM IN Equity","ARDR_LT_LOANS_AND_OTHER_DEBTOR","FY 2012","FY 2012","Currency=INR","Period=FY","BEST_FPERIOD_OVERRIDE=FY","FILING_STATUS=MR","EQY_CONSOLIDATED=Y","SCALING_FORMAT=MLN","Sort=A","Dates=H","DateFormat=P","Fill=—","Direction=H","UseDPDF=Y")</f>
        <v>12870</v>
      </c>
      <c r="G134" s="13">
        <f>_xll.BDH("RCOM IN Equity","ARDR_LT_LOANS_AND_OTHER_DEBTOR","FY 2013","FY 2013","Currency=INR","Period=FY","BEST_FPERIOD_OVERRIDE=FY","FILING_STATUS=MR","EQY_CONSOLIDATED=Y","SCALING_FORMAT=MLN","Sort=A","Dates=H","DateFormat=P","Fill=—","Direction=H","UseDPDF=Y")</f>
        <v>19640</v>
      </c>
      <c r="H134" s="13">
        <f>_xll.BDH("RCOM IN Equity","ARDR_LT_LOANS_AND_OTHER_DEBTOR","FY 2014","FY 2014","Currency=INR","Period=FY","BEST_FPERIOD_OVERRIDE=FY","FILING_STATUS=MR","EQY_CONSOLIDATED=Y","SCALING_FORMAT=MLN","Sort=A","Dates=H","DateFormat=P","Fill=—","Direction=H","UseDPDF=Y")</f>
        <v>23310</v>
      </c>
      <c r="I134" s="13">
        <f>_xll.BDH("RCOM IN Equity","ARDR_LT_LOANS_AND_OTHER_DEBTOR","FY 2015","FY 2015","Currency=INR","Period=FY","BEST_FPERIOD_OVERRIDE=FY","FILING_STATUS=MR","EQY_CONSOLIDATED=Y","SCALING_FORMAT=MLN","Sort=A","Dates=H","DateFormat=P","Fill=—","Direction=H","UseDPDF=Y")</f>
        <v>26310</v>
      </c>
      <c r="J134" s="13" t="str">
        <f>_xll.BDH("RCOM IN Equity","ARDR_LT_LOANS_AND_OTHER_DEBTOR","FY 2016","FY 2016","Currency=INR","Period=FY","BEST_FPERIOD_OVERRIDE=FY","FILING_STATUS=MR","EQY_CONSOLIDATED=Y","SCALING_FORMAT=MLN","Sort=A","Dates=H","DateFormat=P","Fill=—","Direction=H","UseDPDF=Y")</f>
        <v>—</v>
      </c>
      <c r="K134" s="13" t="str">
        <f>_xll.BDH("RCOM IN Equity","ARDR_LT_LOANS_AND_OTHER_DEBTOR","FY 2017","FY 2017","Currency=INR","Period=FY","BEST_FPERIOD_OVERRIDE=FY","FILING_STATUS=MR","EQY_CONSOLIDATED=Y","SCALING_FORMAT=MLN","Sort=A","Dates=H","DateFormat=P","Fill=—","Direction=H","UseDPDF=Y")</f>
        <v>—</v>
      </c>
      <c r="L134" s="13" t="str">
        <f>_xll.BDH("RCOM IN Equity","ARDR_LT_LOANS_AND_OTHER_DEBTOR","FY 2018","FY 2018","Currency=INR","Period=FY","BEST_FPERIOD_OVERRIDE=FY","FILING_STATUS=MR","EQY_CONSOLIDATED=Y","SCALING_FORMAT=MLN","Sort=A","Dates=H","DateFormat=P","Fill=—","Direction=H","UseDPDF=Y")</f>
        <v>—</v>
      </c>
    </row>
    <row r="135" spans="1:12">
      <c r="A135" s="10" t="s">
        <v>1067</v>
      </c>
      <c r="B135" s="10" t="s">
        <v>1068</v>
      </c>
      <c r="C135" s="13" t="str">
        <f>_xll.BDH("RCOM IN Equity","ARDR_ACCCUM_AMORT_INTANG_ASSET","FY 2009","FY 2009","Currency=INR","Period=FY","BEST_FPERIOD_OVERRIDE=FY","FILING_STATUS=MR","EQY_CONSOLIDATED=Y","SCALING_FORMAT=MLN","Sort=A","Dates=H","DateFormat=P","Fill=—","Direction=H","UseDPDF=Y")</f>
        <v>—</v>
      </c>
      <c r="D135" s="13" t="str">
        <f>_xll.BDH("RCOM IN Equity","ARDR_ACCCUM_AMORT_INTANG_ASSET","FY 2010","FY 2010","Currency=INR","Period=FY","BEST_FPERIOD_OVERRIDE=FY","FILING_STATUS=MR","EQY_CONSOLIDATED=Y","SCALING_FORMAT=MLN","Sort=A","Dates=H","DateFormat=P","Fill=—","Direction=H","UseDPDF=Y")</f>
        <v>—</v>
      </c>
      <c r="E135" s="13" t="str">
        <f>_xll.BDH("RCOM IN Equity","ARDR_ACCCUM_AMORT_INTANG_ASSET","FY 2011","FY 2011","Currency=INR","Period=FY","BEST_FPERIOD_OVERRIDE=FY","FILING_STATUS=MR","EQY_CONSOLIDATED=Y","SCALING_FORMAT=MLN","Sort=A","Dates=H","DateFormat=P","Fill=—","Direction=H","UseDPDF=Y")</f>
        <v>—</v>
      </c>
      <c r="F135" s="13" t="str">
        <f>_xll.BDH("RCOM IN Equity","ARDR_ACCCUM_AMORT_INTANG_ASSET","FY 2012","FY 2012","Currency=INR","Period=FY","BEST_FPERIOD_OVERRIDE=FY","FILING_STATUS=MR","EQY_CONSOLIDATED=Y","SCALING_FORMAT=MLN","Sort=A","Dates=H","DateFormat=P","Fill=—","Direction=H","UseDPDF=Y")</f>
        <v>—</v>
      </c>
      <c r="G135" s="13" t="str">
        <f>_xll.BDH("RCOM IN Equity","ARDR_ACCCUM_AMORT_INTANG_ASSET","FY 2013","FY 2013","Currency=INR","Period=FY","BEST_FPERIOD_OVERRIDE=FY","FILING_STATUS=MR","EQY_CONSOLIDATED=Y","SCALING_FORMAT=MLN","Sort=A","Dates=H","DateFormat=P","Fill=—","Direction=H","UseDPDF=Y")</f>
        <v>—</v>
      </c>
      <c r="H135" s="13" t="str">
        <f>_xll.BDH("RCOM IN Equity","ARDR_ACCCUM_AMORT_INTANG_ASSET","FY 2014","FY 2014","Currency=INR","Period=FY","BEST_FPERIOD_OVERRIDE=FY","FILING_STATUS=MR","EQY_CONSOLIDATED=Y","SCALING_FORMAT=MLN","Sort=A","Dates=H","DateFormat=P","Fill=—","Direction=H","UseDPDF=Y")</f>
        <v>—</v>
      </c>
      <c r="I135" s="13" t="str">
        <f>_xll.BDH("RCOM IN Equity","ARDR_ACCCUM_AMORT_INTANG_ASSET","FY 2015","FY 2015","Currency=INR","Period=FY","BEST_FPERIOD_OVERRIDE=FY","FILING_STATUS=MR","EQY_CONSOLIDATED=Y","SCALING_FORMAT=MLN","Sort=A","Dates=H","DateFormat=P","Fill=—","Direction=H","UseDPDF=Y")</f>
        <v>—</v>
      </c>
      <c r="J135" s="13">
        <f>_xll.BDH("RCOM IN Equity","ARDR_ACCCUM_AMORT_INTANG_ASSET","FY 2016","FY 2016","Currency=INR","Period=FY","BEST_FPERIOD_OVERRIDE=FY","FILING_STATUS=MR","EQY_CONSOLIDATED=Y","SCALING_FORMAT=MLN","Sort=A","Dates=H","DateFormat=P","Fill=—","Direction=H","UseDPDF=Y")</f>
        <v>100390</v>
      </c>
      <c r="K135" s="13">
        <f>_xll.BDH("RCOM IN Equity","ARDR_ACCCUM_AMORT_INTANG_ASSET","FY 2017","FY 2017","Currency=INR","Period=FY","BEST_FPERIOD_OVERRIDE=FY","FILING_STATUS=MR","EQY_CONSOLIDATED=Y","SCALING_FORMAT=MLN","Sort=A","Dates=H","DateFormat=P","Fill=—","Direction=H","UseDPDF=Y")</f>
        <v>110070</v>
      </c>
      <c r="L135" s="13">
        <f>_xll.BDH("RCOM IN Equity","ARDR_ACCCUM_AMORT_INTANG_ASSET","FY 2018","FY 2018","Currency=INR","Period=FY","BEST_FPERIOD_OVERRIDE=FY","FILING_STATUS=MR","EQY_CONSOLIDATED=Y","SCALING_FORMAT=MLN","Sort=A","Dates=H","DateFormat=P","Fill=—","Direction=H","UseDPDF=Y")</f>
        <v>16840</v>
      </c>
    </row>
    <row r="136" spans="1:12">
      <c r="A136" s="10" t="s">
        <v>1069</v>
      </c>
      <c r="B136" s="10" t="s">
        <v>1070</v>
      </c>
      <c r="C136" s="13">
        <f>_xll.BDH("RCOM IN Equity","ARDR_AUTHORIZED_CAPITAL","FY 2009","FY 2009","Currency=INR","Period=FY","BEST_FPERIOD_OVERRIDE=FY","FILING_STATUS=MR","EQY_CONSOLIDATED=Y","SCALING_FORMAT=MLN","Sort=A","Dates=H","DateFormat=P","Fill=—","Direction=H","UseDPDF=Y")</f>
        <v>15000</v>
      </c>
      <c r="D136" s="13">
        <f>_xll.BDH("RCOM IN Equity","ARDR_AUTHORIZED_CAPITAL","FY 2010","FY 2010","Currency=INR","Period=FY","BEST_FPERIOD_OVERRIDE=FY","FILING_STATUS=MR","EQY_CONSOLIDATED=Y","SCALING_FORMAT=MLN","Sort=A","Dates=H","DateFormat=P","Fill=—","Direction=H","UseDPDF=Y")</f>
        <v>15000</v>
      </c>
      <c r="E136" s="13">
        <f>_xll.BDH("RCOM IN Equity","ARDR_AUTHORIZED_CAPITAL","FY 2011","FY 2011","Currency=INR","Period=FY","BEST_FPERIOD_OVERRIDE=FY","FILING_STATUS=MR","EQY_CONSOLIDATED=Y","SCALING_FORMAT=MLN","Sort=A","Dates=H","DateFormat=P","Fill=—","Direction=H","UseDPDF=Y")</f>
        <v>15000</v>
      </c>
      <c r="F136" s="13">
        <f>_xll.BDH("RCOM IN Equity","ARDR_AUTHORIZED_CAPITAL","FY 2012","FY 2012","Currency=INR","Period=FY","BEST_FPERIOD_OVERRIDE=FY","FILING_STATUS=MR","EQY_CONSOLIDATED=Y","SCALING_FORMAT=MLN","Sort=A","Dates=H","DateFormat=P","Fill=—","Direction=H","UseDPDF=Y")</f>
        <v>15000</v>
      </c>
      <c r="G136" s="13">
        <f>_xll.BDH("RCOM IN Equity","ARDR_AUTHORIZED_CAPITAL","FY 2013","FY 2013","Currency=INR","Period=FY","BEST_FPERIOD_OVERRIDE=FY","FILING_STATUS=MR","EQY_CONSOLIDATED=Y","SCALING_FORMAT=MLN","Sort=A","Dates=H","DateFormat=P","Fill=—","Direction=H","UseDPDF=Y")</f>
        <v>25000</v>
      </c>
      <c r="H136" s="13">
        <f>_xll.BDH("RCOM IN Equity","ARDR_AUTHORIZED_CAPITAL","FY 2014","FY 2014","Currency=INR","Period=FY","BEST_FPERIOD_OVERRIDE=FY","FILING_STATUS=MR","EQY_CONSOLIDATED=Y","SCALING_FORMAT=MLN","Sort=A","Dates=H","DateFormat=P","Fill=—","Direction=H","UseDPDF=Y")</f>
        <v>25000</v>
      </c>
      <c r="I136" s="13">
        <f>_xll.BDH("RCOM IN Equity","ARDR_AUTHORIZED_CAPITAL","FY 2015","FY 2015","Currency=INR","Period=FY","BEST_FPERIOD_OVERRIDE=FY","FILING_STATUS=MR","EQY_CONSOLIDATED=Y","SCALING_FORMAT=MLN","Sort=A","Dates=H","DateFormat=P","Fill=—","Direction=H","UseDPDF=Y")</f>
        <v>25000</v>
      </c>
      <c r="J136" s="13">
        <f>_xll.BDH("RCOM IN Equity","ARDR_AUTHORIZED_CAPITAL","FY 2016","FY 2016","Currency=INR","Period=FY","BEST_FPERIOD_OVERRIDE=FY","FILING_STATUS=MR","EQY_CONSOLIDATED=Y","SCALING_FORMAT=MLN","Sort=A","Dates=H","DateFormat=P","Fill=—","Direction=H","UseDPDF=Y")</f>
        <v>25000</v>
      </c>
      <c r="K136" s="13">
        <f>_xll.BDH("RCOM IN Equity","ARDR_AUTHORIZED_CAPITAL","FY 2017","FY 2017","Currency=INR","Period=FY","BEST_FPERIOD_OVERRIDE=FY","FILING_STATUS=MR","EQY_CONSOLIDATED=Y","SCALING_FORMAT=MLN","Sort=A","Dates=H","DateFormat=P","Fill=—","Direction=H","UseDPDF=Y")</f>
        <v>25000</v>
      </c>
      <c r="L136" s="13">
        <f>_xll.BDH("RCOM IN Equity","ARDR_AUTHORIZED_CAPITAL","FY 2018","FY 2018","Currency=INR","Period=FY","BEST_FPERIOD_OVERRIDE=FY","FILING_STATUS=MR","EQY_CONSOLIDATED=Y","SCALING_FORMAT=MLN","Sort=A","Dates=H","DateFormat=P","Fill=—","Direction=H","UseDPDF=Y")</f>
        <v>25000</v>
      </c>
    </row>
    <row r="137" spans="1:12">
      <c r="A137" s="10" t="s">
        <v>1071</v>
      </c>
      <c r="B137" s="10" t="s">
        <v>1072</v>
      </c>
      <c r="C137" s="13">
        <f>_xll.BDH("RCOM IN Equity","ARDR_BANK_LOANS_NONCURRENT","FY 2009","FY 2009","Currency=INR","Period=FY","BEST_FPERIOD_OVERRIDE=FY","FILING_STATUS=MR","EQY_CONSOLIDATED=Y","SCALING_FORMAT=MLN","Sort=A","Dates=H","DateFormat=P","Fill=—","Direction=H","UseDPDF=Y")</f>
        <v>172071.2</v>
      </c>
      <c r="D137" s="13">
        <f>_xll.BDH("RCOM IN Equity","ARDR_BANK_LOANS_NONCURRENT","FY 2010","FY 2010","Currency=INR","Period=FY","BEST_FPERIOD_OVERRIDE=FY","FILING_STATUS=MR","EQY_CONSOLIDATED=Y","SCALING_FORMAT=MLN","Sort=A","Dates=H","DateFormat=P","Fill=—","Direction=H","UseDPDF=Y")</f>
        <v>97922.7</v>
      </c>
      <c r="E137" s="13">
        <f>_xll.BDH("RCOM IN Equity","ARDR_BANK_LOANS_NONCURRENT","FY 2011","FY 2011","Currency=INR","Period=FY","BEST_FPERIOD_OVERRIDE=FY","FILING_STATUS=MR","EQY_CONSOLIDATED=Y","SCALING_FORMAT=MLN","Sort=A","Dates=H","DateFormat=P","Fill=—","Direction=H","UseDPDF=Y")</f>
        <v>163130</v>
      </c>
      <c r="F137" s="13">
        <f>_xll.BDH("RCOM IN Equity","ARDR_BANK_LOANS_NONCURRENT","FY 2012","FY 2012","Currency=INR","Period=FY","BEST_FPERIOD_OVERRIDE=FY","FILING_STATUS=MR","EQY_CONSOLIDATED=Y","SCALING_FORMAT=MLN","Sort=A","Dates=H","DateFormat=P","Fill=—","Direction=H","UseDPDF=Y")</f>
        <v>246460</v>
      </c>
      <c r="G137" s="13">
        <f>_xll.BDH("RCOM IN Equity","ARDR_BANK_LOANS_NONCURRENT","FY 2013","FY 2013","Currency=INR","Period=FY","BEST_FPERIOD_OVERRIDE=FY","FILING_STATUS=MR","EQY_CONSOLIDATED=Y","SCALING_FORMAT=MLN","Sort=A","Dates=H","DateFormat=P","Fill=—","Direction=H","UseDPDF=Y")</f>
        <v>236780</v>
      </c>
      <c r="H137" s="13">
        <f>_xll.BDH("RCOM IN Equity","ARDR_BANK_LOANS_NONCURRENT","FY 2014","FY 2014","Currency=INR","Period=FY","BEST_FPERIOD_OVERRIDE=FY","FILING_STATUS=MR","EQY_CONSOLIDATED=Y","SCALING_FORMAT=MLN","Sort=A","Dates=H","DateFormat=P","Fill=—","Direction=H","UseDPDF=Y")</f>
        <v>222650</v>
      </c>
      <c r="I137" s="13">
        <f>_xll.BDH("RCOM IN Equity","ARDR_BANK_LOANS_NONCURRENT","FY 2015","FY 2015","Currency=INR","Period=FY","BEST_FPERIOD_OVERRIDE=FY","FILING_STATUS=MR","EQY_CONSOLIDATED=Y","SCALING_FORMAT=MLN","Sort=A","Dates=H","DateFormat=P","Fill=—","Direction=H","UseDPDF=Y")</f>
        <v>232260</v>
      </c>
      <c r="J137" s="13">
        <f>_xll.BDH("RCOM IN Equity","ARDR_BANK_LOANS_NONCURRENT","FY 2016","FY 2016","Currency=INR","Period=FY","BEST_FPERIOD_OVERRIDE=FY","FILING_STATUS=MR","EQY_CONSOLIDATED=Y","SCALING_FORMAT=MLN","Sort=A","Dates=H","DateFormat=P","Fill=—","Direction=H","UseDPDF=Y")</f>
        <v>211090</v>
      </c>
      <c r="K137" s="13">
        <f>_xll.BDH("RCOM IN Equity","ARDR_BANK_LOANS_NONCURRENT","FY 2017","FY 2017","Currency=INR","Period=FY","BEST_FPERIOD_OVERRIDE=FY","FILING_STATUS=MR","EQY_CONSOLIDATED=Y","SCALING_FORMAT=MLN","Sort=A","Dates=H","DateFormat=P","Fill=—","Direction=H","UseDPDF=Y")</f>
        <v>142160</v>
      </c>
      <c r="L137" s="13">
        <f>_xll.BDH("RCOM IN Equity","ARDR_BANK_LOANS_NONCURRENT","FY 2018","FY 2018","Currency=INR","Period=FY","BEST_FPERIOD_OVERRIDE=FY","FILING_STATUS=MR","EQY_CONSOLIDATED=Y","SCALING_FORMAT=MLN","Sort=A","Dates=H","DateFormat=P","Fill=—","Direction=H","UseDPDF=Y")</f>
        <v>46070</v>
      </c>
    </row>
    <row r="138" spans="1:12">
      <c r="A138" s="10" t="s">
        <v>1073</v>
      </c>
      <c r="B138" s="10" t="s">
        <v>1074</v>
      </c>
      <c r="C138" s="13">
        <f>_xll.BDH("RCOM IN Equity","ARDR_CAPITAL_RSRV","FY 2009","FY 2009","Currency=INR","Period=FY","BEST_FPERIOD_OVERRIDE=FY","FILING_STATUS=MR","EQY_CONSOLIDATED=Y","SCALING_FORMAT=MLN","Sort=A","Dates=H","DateFormat=P","Fill=—","Direction=H","UseDPDF=Y")</f>
        <v>0.5</v>
      </c>
      <c r="D138" s="13">
        <f>_xll.BDH("RCOM IN Equity","ARDR_CAPITAL_RSRV","FY 2010","FY 2010","Currency=INR","Period=FY","BEST_FPERIOD_OVERRIDE=FY","FILING_STATUS=MR","EQY_CONSOLIDATED=Y","SCALING_FORMAT=MLN","Sort=A","Dates=H","DateFormat=P","Fill=—","Direction=H","UseDPDF=Y")</f>
        <v>0.5</v>
      </c>
      <c r="E138" s="13">
        <f>_xll.BDH("RCOM IN Equity","ARDR_CAPITAL_RSRV","FY 2011","FY 2011","Currency=INR","Period=FY","BEST_FPERIOD_OVERRIDE=FY","FILING_STATUS=MR","EQY_CONSOLIDATED=Y","SCALING_FORMAT=MLN","Sort=A","Dates=H","DateFormat=P","Fill=—","Direction=H","UseDPDF=Y")</f>
        <v>0</v>
      </c>
      <c r="F138" s="13">
        <f>_xll.BDH("RCOM IN Equity","ARDR_CAPITAL_RSRV","FY 2012","FY 2012","Currency=INR","Period=FY","BEST_FPERIOD_OVERRIDE=FY","FILING_STATUS=MR","EQY_CONSOLIDATED=Y","SCALING_FORMAT=MLN","Sort=A","Dates=H","DateFormat=P","Fill=—","Direction=H","UseDPDF=Y")</f>
        <v>0</v>
      </c>
      <c r="G138" s="13">
        <f>_xll.BDH("RCOM IN Equity","ARDR_CAPITAL_RSRV","FY 2013","FY 2013","Currency=INR","Period=FY","BEST_FPERIOD_OVERRIDE=FY","FILING_STATUS=MR","EQY_CONSOLIDATED=Y","SCALING_FORMAT=MLN","Sort=A","Dates=H","DateFormat=P","Fill=—","Direction=H","UseDPDF=Y")</f>
        <v>0</v>
      </c>
      <c r="H138" s="13">
        <f>_xll.BDH("RCOM IN Equity","ARDR_CAPITAL_RSRV","FY 2014","FY 2014","Currency=INR","Period=FY","BEST_FPERIOD_OVERRIDE=FY","FILING_STATUS=MR","EQY_CONSOLIDATED=Y","SCALING_FORMAT=MLN","Sort=A","Dates=H","DateFormat=P","Fill=—","Direction=H","UseDPDF=Y")</f>
        <v>0</v>
      </c>
      <c r="I138" s="13">
        <f>_xll.BDH("RCOM IN Equity","ARDR_CAPITAL_RSRV","FY 2015","FY 2015","Currency=INR","Period=FY","BEST_FPERIOD_OVERRIDE=FY","FILING_STATUS=MR","EQY_CONSOLIDATED=Y","SCALING_FORMAT=MLN","Sort=A","Dates=H","DateFormat=P","Fill=—","Direction=H","UseDPDF=Y")</f>
        <v>0</v>
      </c>
      <c r="J138" s="13">
        <f>_xll.BDH("RCOM IN Equity","ARDR_CAPITAL_RSRV","FY 2016","FY 2016","Currency=INR","Period=FY","BEST_FPERIOD_OVERRIDE=FY","FILING_STATUS=MR","EQY_CONSOLIDATED=Y","SCALING_FORMAT=MLN","Sort=A","Dates=H","DateFormat=P","Fill=—","Direction=H","UseDPDF=Y")</f>
        <v>13840</v>
      </c>
      <c r="K138" s="13">
        <f>_xll.BDH("RCOM IN Equity","ARDR_CAPITAL_RSRV","FY 2017","FY 2017","Currency=INR","Period=FY","BEST_FPERIOD_OVERRIDE=FY","FILING_STATUS=MR","EQY_CONSOLIDATED=Y","SCALING_FORMAT=MLN","Sort=A","Dates=H","DateFormat=P","Fill=—","Direction=H","UseDPDF=Y")</f>
        <v>13840</v>
      </c>
      <c r="L138" s="13">
        <f>_xll.BDH("RCOM IN Equity","ARDR_CAPITAL_RSRV","FY 2018","FY 2018","Currency=INR","Period=FY","BEST_FPERIOD_OVERRIDE=FY","FILING_STATUS=MR","EQY_CONSOLIDATED=Y","SCALING_FORMAT=MLN","Sort=A","Dates=H","DateFormat=P","Fill=—","Direction=H","UseDPDF=Y")</f>
        <v>27810</v>
      </c>
    </row>
    <row r="139" spans="1:12">
      <c r="A139" s="10" t="s">
        <v>1075</v>
      </c>
      <c r="B139" s="10" t="s">
        <v>1076</v>
      </c>
      <c r="C139" s="13">
        <f>_xll.BDH("RCOM IN Equity","ARDR_TOTAL_CONTIGENT_PAYABLE","FY 2009","FY 2009","Currency=INR","Period=FY","BEST_FPERIOD_OVERRIDE=FY","FILING_STATUS=MR","EQY_CONSOLIDATED=Y","SCALING_FORMAT=MLN","Sort=A","Dates=H","DateFormat=P","Fill=—","Direction=H","UseDPDF=Y")</f>
        <v>36422.800000000003</v>
      </c>
      <c r="D139" s="13">
        <f>_xll.BDH("RCOM IN Equity","ARDR_TOTAL_CONTIGENT_PAYABLE","FY 2010","FY 2010","Currency=INR","Period=FY","BEST_FPERIOD_OVERRIDE=FY","FILING_STATUS=MR","EQY_CONSOLIDATED=Y","SCALING_FORMAT=MLN","Sort=A","Dates=H","DateFormat=P","Fill=—","Direction=H","UseDPDF=Y")</f>
        <v>31829.1</v>
      </c>
      <c r="E139" s="13">
        <f>_xll.BDH("RCOM IN Equity","ARDR_TOTAL_CONTIGENT_PAYABLE","FY 2011","FY 2011","Currency=INR","Period=FY","BEST_FPERIOD_OVERRIDE=FY","FILING_STATUS=MR","EQY_CONSOLIDATED=Y","SCALING_FORMAT=MLN","Sort=A","Dates=H","DateFormat=P","Fill=—","Direction=H","UseDPDF=Y")</f>
        <v>24610</v>
      </c>
      <c r="F139" s="13">
        <f>_xll.BDH("RCOM IN Equity","ARDR_TOTAL_CONTIGENT_PAYABLE","FY 2012","FY 2012","Currency=INR","Period=FY","BEST_FPERIOD_OVERRIDE=FY","FILING_STATUS=MR","EQY_CONSOLIDATED=Y","SCALING_FORMAT=MLN","Sort=A","Dates=H","DateFormat=P","Fill=—","Direction=H","UseDPDF=Y")</f>
        <v>14090</v>
      </c>
      <c r="G139" s="13">
        <f>_xll.BDH("RCOM IN Equity","ARDR_TOTAL_CONTIGENT_PAYABLE","FY 2013","FY 2013","Currency=INR","Period=FY","BEST_FPERIOD_OVERRIDE=FY","FILING_STATUS=MR","EQY_CONSOLIDATED=Y","SCALING_FORMAT=MLN","Sort=A","Dates=H","DateFormat=P","Fill=—","Direction=H","UseDPDF=Y")</f>
        <v>32050</v>
      </c>
      <c r="H139" s="13">
        <f>_xll.BDH("RCOM IN Equity","ARDR_TOTAL_CONTIGENT_PAYABLE","FY 2014","FY 2014","Currency=INR","Period=FY","BEST_FPERIOD_OVERRIDE=FY","FILING_STATUS=MR","EQY_CONSOLIDATED=Y","SCALING_FORMAT=MLN","Sort=A","Dates=H","DateFormat=P","Fill=—","Direction=H","UseDPDF=Y")</f>
        <v>50040</v>
      </c>
      <c r="I139" s="13">
        <f>_xll.BDH("RCOM IN Equity","ARDR_TOTAL_CONTIGENT_PAYABLE","FY 2015","FY 2015","Currency=INR","Period=FY","BEST_FPERIOD_OVERRIDE=FY","FILING_STATUS=MR","EQY_CONSOLIDATED=Y","SCALING_FORMAT=MLN","Sort=A","Dates=H","DateFormat=P","Fill=—","Direction=H","UseDPDF=Y")</f>
        <v>75210</v>
      </c>
      <c r="J139" s="13">
        <f>_xll.BDH("RCOM IN Equity","ARDR_TOTAL_CONTIGENT_PAYABLE","FY 2016","FY 2016","Currency=INR","Period=FY","BEST_FPERIOD_OVERRIDE=FY","FILING_STATUS=MR","EQY_CONSOLIDATED=Y","SCALING_FORMAT=MLN","Sort=A","Dates=H","DateFormat=P","Fill=—","Direction=H","UseDPDF=Y")</f>
        <v>45720</v>
      </c>
      <c r="K139" s="13">
        <f>_xll.BDH("RCOM IN Equity","ARDR_TOTAL_CONTIGENT_PAYABLE","FY 2017","FY 2017","Currency=INR","Period=FY","BEST_FPERIOD_OVERRIDE=FY","FILING_STATUS=MR","EQY_CONSOLIDATED=Y","SCALING_FORMAT=MLN","Sort=A","Dates=H","DateFormat=P","Fill=—","Direction=H","UseDPDF=Y")</f>
        <v>52650</v>
      </c>
      <c r="L139" s="13">
        <f>_xll.BDH("RCOM IN Equity","ARDR_TOTAL_CONTIGENT_PAYABLE","FY 2018","FY 2018","Currency=INR","Period=FY","BEST_FPERIOD_OVERRIDE=FY","FILING_STATUS=MR","EQY_CONSOLIDATED=Y","SCALING_FORMAT=MLN","Sort=A","Dates=H","DateFormat=P","Fill=—","Direction=H","UseDPDF=Y")</f>
        <v>93120</v>
      </c>
    </row>
    <row r="140" spans="1:12">
      <c r="A140" s="10" t="s">
        <v>1077</v>
      </c>
      <c r="B140" s="10" t="s">
        <v>1078</v>
      </c>
      <c r="C140" s="13" t="str">
        <f>_xll.BDH("RCOM IN Equity","ARDR_DEFERRED_TAX_NET","FY 2009","FY 2009","Currency=INR","Period=FY","BEST_FPERIOD_OVERRIDE=FY","FILING_STATUS=MR","EQY_CONSOLIDATED=Y","SCALING_FORMAT=MLN","Sort=A","Dates=H","DateFormat=P","Fill=—","Direction=H","UseDPDF=Y")</f>
        <v>—</v>
      </c>
      <c r="D140" s="13" t="str">
        <f>_xll.BDH("RCOM IN Equity","ARDR_DEFERRED_TAX_NET","FY 2010","FY 2010","Currency=INR","Period=FY","BEST_FPERIOD_OVERRIDE=FY","FILING_STATUS=MR","EQY_CONSOLIDATED=Y","SCALING_FORMAT=MLN","Sort=A","Dates=H","DateFormat=P","Fill=—","Direction=H","UseDPDF=Y")</f>
        <v>—</v>
      </c>
      <c r="E140" s="13" t="str">
        <f>_xll.BDH("RCOM IN Equity","ARDR_DEFERRED_TAX_NET","FY 2011","FY 2011","Currency=INR","Period=FY","BEST_FPERIOD_OVERRIDE=FY","FILING_STATUS=MR","EQY_CONSOLIDATED=Y","SCALING_FORMAT=MLN","Sort=A","Dates=H","DateFormat=P","Fill=—","Direction=H","UseDPDF=Y")</f>
        <v>—</v>
      </c>
      <c r="F140" s="13" t="str">
        <f>_xll.BDH("RCOM IN Equity","ARDR_DEFERRED_TAX_NET","FY 2012","FY 2012","Currency=INR","Period=FY","BEST_FPERIOD_OVERRIDE=FY","FILING_STATUS=MR","EQY_CONSOLIDATED=Y","SCALING_FORMAT=MLN","Sort=A","Dates=H","DateFormat=P","Fill=—","Direction=H","UseDPDF=Y")</f>
        <v>—</v>
      </c>
      <c r="G140" s="13" t="str">
        <f>_xll.BDH("RCOM IN Equity","ARDR_DEFERRED_TAX_NET","FY 2013","FY 2013","Currency=INR","Period=FY","BEST_FPERIOD_OVERRIDE=FY","FILING_STATUS=MR","EQY_CONSOLIDATED=Y","SCALING_FORMAT=MLN","Sort=A","Dates=H","DateFormat=P","Fill=—","Direction=H","UseDPDF=Y")</f>
        <v>—</v>
      </c>
      <c r="H140" s="13" t="str">
        <f>_xll.BDH("RCOM IN Equity","ARDR_DEFERRED_TAX_NET","FY 2014","FY 2014","Currency=INR","Period=FY","BEST_FPERIOD_OVERRIDE=FY","FILING_STATUS=MR","EQY_CONSOLIDATED=Y","SCALING_FORMAT=MLN","Sort=A","Dates=H","DateFormat=P","Fill=—","Direction=H","UseDPDF=Y")</f>
        <v>—</v>
      </c>
      <c r="I140" s="13" t="str">
        <f>_xll.BDH("RCOM IN Equity","ARDR_DEFERRED_TAX_NET","FY 2015","FY 2015","Currency=INR","Period=FY","BEST_FPERIOD_OVERRIDE=FY","FILING_STATUS=MR","EQY_CONSOLIDATED=Y","SCALING_FORMAT=MLN","Sort=A","Dates=H","DateFormat=P","Fill=—","Direction=H","UseDPDF=Y")</f>
        <v>—</v>
      </c>
      <c r="J140" s="13" t="str">
        <f>_xll.BDH("RCOM IN Equity","ARDR_DEFERRED_TAX_NET","FY 2016","FY 2016","Currency=INR","Period=FY","BEST_FPERIOD_OVERRIDE=FY","FILING_STATUS=MR","EQY_CONSOLIDATED=Y","SCALING_FORMAT=MLN","Sort=A","Dates=H","DateFormat=P","Fill=—","Direction=H","UseDPDF=Y")</f>
        <v>—</v>
      </c>
      <c r="K140" s="13" t="str">
        <f>_xll.BDH("RCOM IN Equity","ARDR_DEFERRED_TAX_NET","FY 2017","FY 2017","Currency=INR","Period=FY","BEST_FPERIOD_OVERRIDE=FY","FILING_STATUS=MR","EQY_CONSOLIDATED=Y","SCALING_FORMAT=MLN","Sort=A","Dates=H","DateFormat=P","Fill=—","Direction=H","UseDPDF=Y")</f>
        <v>—</v>
      </c>
      <c r="L140" s="13" t="str">
        <f>_xll.BDH("RCOM IN Equity","ARDR_DEFERRED_TAX_NET","FY 2018","FY 2018","Currency=INR","Period=FY","BEST_FPERIOD_OVERRIDE=FY","FILING_STATUS=MR","EQY_CONSOLIDATED=Y","SCALING_FORMAT=MLN","Sort=A","Dates=H","DateFormat=P","Fill=—","Direction=H","UseDPDF=Y")</f>
        <v>—</v>
      </c>
    </row>
    <row r="141" spans="1:12">
      <c r="A141" s="10" t="s">
        <v>1079</v>
      </c>
      <c r="B141" s="10" t="s">
        <v>1080</v>
      </c>
      <c r="C141" s="13" t="str">
        <f>_xll.BDH("RCOM IN Equity","ARDR_INTANGIBLE_ASSET_GROSS","FY 2009","FY 2009","Currency=INR","Period=FY","BEST_FPERIOD_OVERRIDE=FY","FILING_STATUS=MR","EQY_CONSOLIDATED=Y","SCALING_FORMAT=MLN","Sort=A","Dates=H","DateFormat=P","Fill=—","Direction=H","UseDPDF=Y")</f>
        <v>—</v>
      </c>
      <c r="D141" s="13" t="str">
        <f>_xll.BDH("RCOM IN Equity","ARDR_INTANGIBLE_ASSET_GROSS","FY 2010","FY 2010","Currency=INR","Period=FY","BEST_FPERIOD_OVERRIDE=FY","FILING_STATUS=MR","EQY_CONSOLIDATED=Y","SCALING_FORMAT=MLN","Sort=A","Dates=H","DateFormat=P","Fill=—","Direction=H","UseDPDF=Y")</f>
        <v>—</v>
      </c>
      <c r="E141" s="13" t="str">
        <f>_xll.BDH("RCOM IN Equity","ARDR_INTANGIBLE_ASSET_GROSS","FY 2011","FY 2011","Currency=INR","Period=FY","BEST_FPERIOD_OVERRIDE=FY","FILING_STATUS=MR","EQY_CONSOLIDATED=Y","SCALING_FORMAT=MLN","Sort=A","Dates=H","DateFormat=P","Fill=—","Direction=H","UseDPDF=Y")</f>
        <v>—</v>
      </c>
      <c r="F141" s="13" t="str">
        <f>_xll.BDH("RCOM IN Equity","ARDR_INTANGIBLE_ASSET_GROSS","FY 2012","FY 2012","Currency=INR","Period=FY","BEST_FPERIOD_OVERRIDE=FY","FILING_STATUS=MR","EQY_CONSOLIDATED=Y","SCALING_FORMAT=MLN","Sort=A","Dates=H","DateFormat=P","Fill=—","Direction=H","UseDPDF=Y")</f>
        <v>—</v>
      </c>
      <c r="G141" s="13" t="str">
        <f>_xll.BDH("RCOM IN Equity","ARDR_INTANGIBLE_ASSET_GROSS","FY 2013","FY 2013","Currency=INR","Period=FY","BEST_FPERIOD_OVERRIDE=FY","FILING_STATUS=MR","EQY_CONSOLIDATED=Y","SCALING_FORMAT=MLN","Sort=A","Dates=H","DateFormat=P","Fill=—","Direction=H","UseDPDF=Y")</f>
        <v>—</v>
      </c>
      <c r="H141" s="13" t="str">
        <f>_xll.BDH("RCOM IN Equity","ARDR_INTANGIBLE_ASSET_GROSS","FY 2014","FY 2014","Currency=INR","Period=FY","BEST_FPERIOD_OVERRIDE=FY","FILING_STATUS=MR","EQY_CONSOLIDATED=Y","SCALING_FORMAT=MLN","Sort=A","Dates=H","DateFormat=P","Fill=—","Direction=H","UseDPDF=Y")</f>
        <v>—</v>
      </c>
      <c r="I141" s="13" t="str">
        <f>_xll.BDH("RCOM IN Equity","ARDR_INTANGIBLE_ASSET_GROSS","FY 2015","FY 2015","Currency=INR","Period=FY","BEST_FPERIOD_OVERRIDE=FY","FILING_STATUS=MR","EQY_CONSOLIDATED=Y","SCALING_FORMAT=MLN","Sort=A","Dates=H","DateFormat=P","Fill=—","Direction=H","UseDPDF=Y")</f>
        <v>—</v>
      </c>
      <c r="J141" s="13">
        <f>_xll.BDH("RCOM IN Equity","ARDR_INTANGIBLE_ASSET_GROSS","FY 2016","FY 2016","Currency=INR","Period=FY","BEST_FPERIOD_OVERRIDE=FY","FILING_STATUS=MR","EQY_CONSOLIDATED=Y","SCALING_FORMAT=MLN","Sort=A","Dates=H","DateFormat=P","Fill=—","Direction=H","UseDPDF=Y")</f>
        <v>370630</v>
      </c>
      <c r="K141" s="13">
        <f>_xll.BDH("RCOM IN Equity","ARDR_INTANGIBLE_ASSET_GROSS","FY 2017","FY 2017","Currency=INR","Period=FY","BEST_FPERIOD_OVERRIDE=FY","FILING_STATUS=MR","EQY_CONSOLIDATED=Y","SCALING_FORMAT=MLN","Sort=A","Dates=H","DateFormat=P","Fill=—","Direction=H","UseDPDF=Y")</f>
        <v>330300</v>
      </c>
      <c r="L141" s="13">
        <f>_xll.BDH("RCOM IN Equity","ARDR_INTANGIBLE_ASSET_GROSS","FY 2018","FY 2018","Currency=INR","Period=FY","BEST_FPERIOD_OVERRIDE=FY","FILING_STATUS=MR","EQY_CONSOLIDATED=Y","SCALING_FORMAT=MLN","Sort=A","Dates=H","DateFormat=P","Fill=—","Direction=H","UseDPDF=Y")</f>
        <v>60220</v>
      </c>
    </row>
    <row r="142" spans="1:12">
      <c r="A142" s="10" t="s">
        <v>1081</v>
      </c>
      <c r="B142" s="10" t="s">
        <v>1082</v>
      </c>
      <c r="C142" s="13">
        <f>_xll.BDH("RCOM IN Equity","ARDR_INVESTMENT_COST_METHOD","FY 2009","FY 2009","Currency=INR","Period=FY","BEST_FPERIOD_OVERRIDE=FY","FILING_STATUS=MR","EQY_CONSOLIDATED=Y","SCALING_FORMAT=MLN","Sort=A","Dates=H","DateFormat=P","Fill=—","Direction=H","UseDPDF=Y")</f>
        <v>2762.3</v>
      </c>
      <c r="D142" s="13">
        <f>_xll.BDH("RCOM IN Equity","ARDR_INVESTMENT_COST_METHOD","FY 2010","FY 2010","Currency=INR","Period=FY","BEST_FPERIOD_OVERRIDE=FY","FILING_STATUS=MR","EQY_CONSOLIDATED=Y","SCALING_FORMAT=MLN","Sort=A","Dates=H","DateFormat=P","Fill=—","Direction=H","UseDPDF=Y")</f>
        <v>1147.3</v>
      </c>
      <c r="E142" s="13">
        <f>_xll.BDH("RCOM IN Equity","ARDR_INVESTMENT_COST_METHOD","FY 2011","FY 2011","Currency=INR","Period=FY","BEST_FPERIOD_OVERRIDE=FY","FILING_STATUS=MR","EQY_CONSOLIDATED=Y","SCALING_FORMAT=MLN","Sort=A","Dates=H","DateFormat=P","Fill=—","Direction=H","UseDPDF=Y")</f>
        <v>1130</v>
      </c>
      <c r="F142" s="13">
        <f>_xll.BDH("RCOM IN Equity","ARDR_INVESTMENT_COST_METHOD","FY 2012","FY 2012","Currency=INR","Period=FY","BEST_FPERIOD_OVERRIDE=FY","FILING_STATUS=MR","EQY_CONSOLIDATED=Y","SCALING_FORMAT=MLN","Sort=A","Dates=H","DateFormat=P","Fill=—","Direction=H","UseDPDF=Y")</f>
        <v>1280</v>
      </c>
      <c r="G142" s="13">
        <f>_xll.BDH("RCOM IN Equity","ARDR_INVESTMENT_COST_METHOD","FY 2013","FY 2013","Currency=INR","Period=FY","BEST_FPERIOD_OVERRIDE=FY","FILING_STATUS=MR","EQY_CONSOLIDATED=Y","SCALING_FORMAT=MLN","Sort=A","Dates=H","DateFormat=P","Fill=—","Direction=H","UseDPDF=Y")</f>
        <v>1060</v>
      </c>
      <c r="H142" s="13">
        <f>_xll.BDH("RCOM IN Equity","ARDR_INVESTMENT_COST_METHOD","FY 2014","FY 2014","Currency=INR","Period=FY","BEST_FPERIOD_OVERRIDE=FY","FILING_STATUS=MR","EQY_CONSOLIDATED=Y","SCALING_FORMAT=MLN","Sort=A","Dates=H","DateFormat=P","Fill=—","Direction=H","UseDPDF=Y")</f>
        <v>1180</v>
      </c>
      <c r="I142" s="13">
        <f>_xll.BDH("RCOM IN Equity","ARDR_INVESTMENT_COST_METHOD","FY 2015","FY 2015","Currency=INR","Period=FY","BEST_FPERIOD_OVERRIDE=FY","FILING_STATUS=MR","EQY_CONSOLIDATED=Y","SCALING_FORMAT=MLN","Sort=A","Dates=H","DateFormat=P","Fill=—","Direction=H","UseDPDF=Y")</f>
        <v>1250</v>
      </c>
      <c r="J142" s="13" t="str">
        <f>_xll.BDH("RCOM IN Equity","ARDR_INVESTMENT_COST_METHOD","FY 2016","FY 2016","Currency=INR","Period=FY","BEST_FPERIOD_OVERRIDE=FY","FILING_STATUS=MR","EQY_CONSOLIDATED=Y","SCALING_FORMAT=MLN","Sort=A","Dates=H","DateFormat=P","Fill=—","Direction=H","UseDPDF=Y")</f>
        <v>—</v>
      </c>
      <c r="K142" s="13" t="str">
        <f>_xll.BDH("RCOM IN Equity","ARDR_INVESTMENT_COST_METHOD","FY 2017","FY 2017","Currency=INR","Period=FY","BEST_FPERIOD_OVERRIDE=FY","FILING_STATUS=MR","EQY_CONSOLIDATED=Y","SCALING_FORMAT=MLN","Sort=A","Dates=H","DateFormat=P","Fill=—","Direction=H","UseDPDF=Y")</f>
        <v>—</v>
      </c>
      <c r="L142" s="13" t="str">
        <f>_xll.BDH("RCOM IN Equity","ARDR_INVESTMENT_COST_METHOD","FY 2018","FY 2018","Currency=INR","Period=FY","BEST_FPERIOD_OVERRIDE=FY","FILING_STATUS=MR","EQY_CONSOLIDATED=Y","SCALING_FORMAT=MLN","Sort=A","Dates=H","DateFormat=P","Fill=—","Direction=H","UseDPDF=Y")</f>
        <v>—</v>
      </c>
    </row>
    <row r="143" spans="1:12">
      <c r="A143" s="10" t="s">
        <v>1083</v>
      </c>
      <c r="B143" s="10" t="s">
        <v>1084</v>
      </c>
      <c r="C143" s="13" t="str">
        <f>_xll.BDH("RCOM IN Equity","ARDR_TIME_DEP_MTY_LESS_THAN_3M","FY 2009","FY 2009","Currency=INR","Period=FY","BEST_FPERIOD_OVERRIDE=FY","FILING_STATUS=MR","EQY_CONSOLIDATED=Y","SCALING_FORMAT=MLN","Sort=A","Dates=H","DateFormat=P","Fill=—","Direction=H","UseDPDF=Y")</f>
        <v>—</v>
      </c>
      <c r="D143" s="13" t="str">
        <f>_xll.BDH("RCOM IN Equity","ARDR_TIME_DEP_MTY_LESS_THAN_3M","FY 2010","FY 2010","Currency=INR","Period=FY","BEST_FPERIOD_OVERRIDE=FY","FILING_STATUS=MR","EQY_CONSOLIDATED=Y","SCALING_FORMAT=MLN","Sort=A","Dates=H","DateFormat=P","Fill=—","Direction=H","UseDPDF=Y")</f>
        <v>—</v>
      </c>
      <c r="E143" s="13" t="str">
        <f>_xll.BDH("RCOM IN Equity","ARDR_TIME_DEP_MTY_LESS_THAN_3M","FY 2011","FY 2011","Currency=INR","Period=FY","BEST_FPERIOD_OVERRIDE=FY","FILING_STATUS=MR","EQY_CONSOLIDATED=Y","SCALING_FORMAT=MLN","Sort=A","Dates=H","DateFormat=P","Fill=—","Direction=H","UseDPDF=Y")</f>
        <v>—</v>
      </c>
      <c r="F143" s="13">
        <f>_xll.BDH("RCOM IN Equity","ARDR_TIME_DEP_MTY_LESS_THAN_3M","FY 2012","FY 2012","Currency=INR","Period=FY","BEST_FPERIOD_OVERRIDE=FY","FILING_STATUS=MR","EQY_CONSOLIDATED=Y","SCALING_FORMAT=MLN","Sort=A","Dates=H","DateFormat=P","Fill=—","Direction=H","UseDPDF=Y")</f>
        <v>0</v>
      </c>
      <c r="G143" s="13">
        <f>_xll.BDH("RCOM IN Equity","ARDR_TIME_DEP_MTY_LESS_THAN_3M","FY 2013","FY 2013","Currency=INR","Period=FY","BEST_FPERIOD_OVERRIDE=FY","FILING_STATUS=MR","EQY_CONSOLIDATED=Y","SCALING_FORMAT=MLN","Sort=A","Dates=H","DateFormat=P","Fill=—","Direction=H","UseDPDF=Y")</f>
        <v>30</v>
      </c>
      <c r="H143" s="13">
        <f>_xll.BDH("RCOM IN Equity","ARDR_TIME_DEP_MTY_LESS_THAN_3M","FY 2014","FY 2014","Currency=INR","Period=FY","BEST_FPERIOD_OVERRIDE=FY","FILING_STATUS=MR","EQY_CONSOLIDATED=Y","SCALING_FORMAT=MLN","Sort=A","Dates=H","DateFormat=P","Fill=—","Direction=H","UseDPDF=Y")</f>
        <v>40</v>
      </c>
      <c r="I143" s="13">
        <f>_xll.BDH("RCOM IN Equity","ARDR_TIME_DEP_MTY_LESS_THAN_3M","FY 2015","FY 2015","Currency=INR","Period=FY","BEST_FPERIOD_OVERRIDE=FY","FILING_STATUS=MR","EQY_CONSOLIDATED=Y","SCALING_FORMAT=MLN","Sort=A","Dates=H","DateFormat=P","Fill=—","Direction=H","UseDPDF=Y")</f>
        <v>8280</v>
      </c>
      <c r="J143" s="13">
        <f>_xll.BDH("RCOM IN Equity","ARDR_TIME_DEP_MTY_LESS_THAN_3M","FY 2016","FY 2016","Currency=INR","Period=FY","BEST_FPERIOD_OVERRIDE=FY","FILING_STATUS=MR","EQY_CONSOLIDATED=Y","SCALING_FORMAT=MLN","Sort=A","Dates=H","DateFormat=P","Fill=—","Direction=H","UseDPDF=Y")</f>
        <v>1290</v>
      </c>
      <c r="K143" s="13">
        <f>_xll.BDH("RCOM IN Equity","ARDR_TIME_DEP_MTY_LESS_THAN_3M","FY 2017","FY 2017","Currency=INR","Period=FY","BEST_FPERIOD_OVERRIDE=FY","FILING_STATUS=MR","EQY_CONSOLIDATED=Y","SCALING_FORMAT=MLN","Sort=A","Dates=H","DateFormat=P","Fill=—","Direction=H","UseDPDF=Y")</f>
        <v>400</v>
      </c>
      <c r="L143" s="13">
        <f>_xll.BDH("RCOM IN Equity","ARDR_TIME_DEP_MTY_LESS_THAN_3M","FY 2018","FY 2018","Currency=INR","Period=FY","BEST_FPERIOD_OVERRIDE=FY","FILING_STATUS=MR","EQY_CONSOLIDATED=Y","SCALING_FORMAT=MLN","Sort=A","Dates=H","DateFormat=P","Fill=—","Direction=H","UseDPDF=Y")</f>
        <v>330</v>
      </c>
    </row>
    <row r="144" spans="1:12">
      <c r="A144" s="10" t="s">
        <v>924</v>
      </c>
      <c r="B144" s="10" t="s">
        <v>1085</v>
      </c>
      <c r="C144" s="13" t="str">
        <f>_xll.BDH("RCOM IN Equity","ARDR_ST_LOANS","FY 2009","FY 2009","Currency=INR","Period=FY","BEST_FPERIOD_OVERRIDE=FY","FILING_STATUS=MR","EQY_CONSOLIDATED=Y","SCALING_FORMAT=MLN","Sort=A","Dates=H","DateFormat=P","Fill=—","Direction=H","UseDPDF=Y")</f>
        <v>—</v>
      </c>
      <c r="D144" s="13" t="str">
        <f>_xll.BDH("RCOM IN Equity","ARDR_ST_LOANS","FY 2010","FY 2010","Currency=INR","Period=FY","BEST_FPERIOD_OVERRIDE=FY","FILING_STATUS=MR","EQY_CONSOLIDATED=Y","SCALING_FORMAT=MLN","Sort=A","Dates=H","DateFormat=P","Fill=—","Direction=H","UseDPDF=Y")</f>
        <v>—</v>
      </c>
      <c r="E144" s="13" t="str">
        <f>_xll.BDH("RCOM IN Equity","ARDR_ST_LOANS","FY 2011","FY 2011","Currency=INR","Period=FY","BEST_FPERIOD_OVERRIDE=FY","FILING_STATUS=MR","EQY_CONSOLIDATED=Y","SCALING_FORMAT=MLN","Sort=A","Dates=H","DateFormat=P","Fill=—","Direction=H","UseDPDF=Y")</f>
        <v>—</v>
      </c>
      <c r="F144" s="13" t="str">
        <f>_xll.BDH("RCOM IN Equity","ARDR_ST_LOANS","FY 2012","FY 2012","Currency=INR","Period=FY","BEST_FPERIOD_OVERRIDE=FY","FILING_STATUS=MR","EQY_CONSOLIDATED=Y","SCALING_FORMAT=MLN","Sort=A","Dates=H","DateFormat=P","Fill=—","Direction=H","UseDPDF=Y")</f>
        <v>—</v>
      </c>
      <c r="G144" s="13" t="str">
        <f>_xll.BDH("RCOM IN Equity","ARDR_ST_LOANS","FY 2013","FY 2013","Currency=INR","Period=FY","BEST_FPERIOD_OVERRIDE=FY","FILING_STATUS=MR","EQY_CONSOLIDATED=Y","SCALING_FORMAT=MLN","Sort=A","Dates=H","DateFormat=P","Fill=—","Direction=H","UseDPDF=Y")</f>
        <v>—</v>
      </c>
      <c r="H144" s="13" t="str">
        <f>_xll.BDH("RCOM IN Equity","ARDR_ST_LOANS","FY 2014","FY 2014","Currency=INR","Period=FY","BEST_FPERIOD_OVERRIDE=FY","FILING_STATUS=MR","EQY_CONSOLIDATED=Y","SCALING_FORMAT=MLN","Sort=A","Dates=H","DateFormat=P","Fill=—","Direction=H","UseDPDF=Y")</f>
        <v>—</v>
      </c>
      <c r="I144" s="13" t="str">
        <f>_xll.BDH("RCOM IN Equity","ARDR_ST_LOANS","FY 2015","FY 2015","Currency=INR","Period=FY","BEST_FPERIOD_OVERRIDE=FY","FILING_STATUS=MR","EQY_CONSOLIDATED=Y","SCALING_FORMAT=MLN","Sort=A","Dates=H","DateFormat=P","Fill=—","Direction=H","UseDPDF=Y")</f>
        <v>—</v>
      </c>
      <c r="J144" s="13" t="str">
        <f>_xll.BDH("RCOM IN Equity","ARDR_ST_LOANS","FY 2016","FY 2016","Currency=INR","Period=FY","BEST_FPERIOD_OVERRIDE=FY","FILING_STATUS=MR","EQY_CONSOLIDATED=Y","SCALING_FORMAT=MLN","Sort=A","Dates=H","DateFormat=P","Fill=—","Direction=H","UseDPDF=Y")</f>
        <v>—</v>
      </c>
      <c r="K144" s="13" t="str">
        <f>_xll.BDH("RCOM IN Equity","ARDR_ST_LOANS","FY 2017","FY 2017","Currency=INR","Period=FY","BEST_FPERIOD_OVERRIDE=FY","FILING_STATUS=MR","EQY_CONSOLIDATED=Y","SCALING_FORMAT=MLN","Sort=A","Dates=H","DateFormat=P","Fill=—","Direction=H","UseDPDF=Y")</f>
        <v>—</v>
      </c>
      <c r="L144" s="13" t="str">
        <f>_xll.BDH("RCOM IN Equity","ARDR_ST_LOANS","FY 2018","FY 2018","Currency=INR","Period=FY","BEST_FPERIOD_OVERRIDE=FY","FILING_STATUS=MR","EQY_CONSOLIDATED=Y","SCALING_FORMAT=MLN","Sort=A","Dates=H","DateFormat=P","Fill=—","Direction=H","UseDPDF=Y")</f>
        <v>—</v>
      </c>
    </row>
    <row r="145" spans="1:12">
      <c r="A145" s="10" t="s">
        <v>836</v>
      </c>
      <c r="B145" s="10" t="s">
        <v>1086</v>
      </c>
      <c r="C145" s="13">
        <f>_xll.BDH("RCOM IN Equity","ARDR_OPTIONS_GRANTED_DURING_PER","FY 2009","FY 2009","Currency=INR","Period=FY","BEST_FPERIOD_OVERRIDE=FY","FILING_STATUS=MR","EQY_CONSOLIDATED=Y","SCALING_FORMAT=MLN","Sort=A","Dates=H","DateFormat=P","Fill=—","Direction=H","UseDPDF=Y")</f>
        <v>13.218</v>
      </c>
      <c r="D145" s="13" t="str">
        <f>_xll.BDH("RCOM IN Equity","ARDR_OPTIONS_GRANTED_DURING_PER","FY 2010","FY 2010","Currency=INR","Period=FY","BEST_FPERIOD_OVERRIDE=FY","FILING_STATUS=MR","EQY_CONSOLIDATED=Y","SCALING_FORMAT=MLN","Sort=A","Dates=H","DateFormat=P","Fill=—","Direction=H","UseDPDF=Y")</f>
        <v>—</v>
      </c>
      <c r="E145" s="13" t="str">
        <f>_xll.BDH("RCOM IN Equity","ARDR_OPTIONS_GRANTED_DURING_PER","FY 2011","FY 2011","Currency=INR","Period=FY","BEST_FPERIOD_OVERRIDE=FY","FILING_STATUS=MR","EQY_CONSOLIDATED=Y","SCALING_FORMAT=MLN","Sort=A","Dates=H","DateFormat=P","Fill=—","Direction=H","UseDPDF=Y")</f>
        <v>—</v>
      </c>
      <c r="F145" s="13" t="str">
        <f>_xll.BDH("RCOM IN Equity","ARDR_OPTIONS_GRANTED_DURING_PER","FY 2012","FY 2012","Currency=INR","Period=FY","BEST_FPERIOD_OVERRIDE=FY","FILING_STATUS=MR","EQY_CONSOLIDATED=Y","SCALING_FORMAT=MLN","Sort=A","Dates=H","DateFormat=P","Fill=—","Direction=H","UseDPDF=Y")</f>
        <v>—</v>
      </c>
      <c r="G145" s="13" t="str">
        <f>_xll.BDH("RCOM IN Equity","ARDR_OPTIONS_GRANTED_DURING_PER","FY 2013","FY 2013","Currency=INR","Period=FY","BEST_FPERIOD_OVERRIDE=FY","FILING_STATUS=MR","EQY_CONSOLIDATED=Y","SCALING_FORMAT=MLN","Sort=A","Dates=H","DateFormat=P","Fill=—","Direction=H","UseDPDF=Y")</f>
        <v>—</v>
      </c>
      <c r="H145" s="13" t="str">
        <f>_xll.BDH("RCOM IN Equity","ARDR_OPTIONS_GRANTED_DURING_PER","FY 2014","FY 2014","Currency=INR","Period=FY","BEST_FPERIOD_OVERRIDE=FY","FILING_STATUS=MR","EQY_CONSOLIDATED=Y","SCALING_FORMAT=MLN","Sort=A","Dates=H","DateFormat=P","Fill=—","Direction=H","UseDPDF=Y")</f>
        <v>—</v>
      </c>
      <c r="I145" s="13" t="str">
        <f>_xll.BDH("RCOM IN Equity","ARDR_OPTIONS_GRANTED_DURING_PER","FY 2015","FY 2015","Currency=INR","Period=FY","BEST_FPERIOD_OVERRIDE=FY","FILING_STATUS=MR","EQY_CONSOLIDATED=Y","SCALING_FORMAT=MLN","Sort=A","Dates=H","DateFormat=P","Fill=—","Direction=H","UseDPDF=Y")</f>
        <v>—</v>
      </c>
      <c r="J145" s="13" t="str">
        <f>_xll.BDH("RCOM IN Equity","ARDR_OPTIONS_GRANTED_DURING_PER","FY 2016","FY 2016","Currency=INR","Period=FY","BEST_FPERIOD_OVERRIDE=FY","FILING_STATUS=MR","EQY_CONSOLIDATED=Y","SCALING_FORMAT=MLN","Sort=A","Dates=H","DateFormat=P","Fill=—","Direction=H","UseDPDF=Y")</f>
        <v>—</v>
      </c>
      <c r="K145" s="13" t="str">
        <f>_xll.BDH("RCOM IN Equity","ARDR_OPTIONS_GRANTED_DURING_PER","FY 2017","FY 2017","Currency=INR","Period=FY","BEST_FPERIOD_OVERRIDE=FY","FILING_STATUS=MR","EQY_CONSOLIDATED=Y","SCALING_FORMAT=MLN","Sort=A","Dates=H","DateFormat=P","Fill=—","Direction=H","UseDPDF=Y")</f>
        <v>—</v>
      </c>
      <c r="L145" s="13" t="str">
        <f>_xll.BDH("RCOM IN Equity","ARDR_OPTIONS_GRANTED_DURING_PER","FY 2018","FY 2018","Currency=INR","Period=FY","BEST_FPERIOD_OVERRIDE=FY","FILING_STATUS=MR","EQY_CONSOLIDATED=Y","SCALING_FORMAT=MLN","Sort=A","Dates=H","DateFormat=P","Fill=—","Direction=H","UseDPDF=Y")</f>
        <v>—</v>
      </c>
    </row>
    <row r="146" spans="1:12">
      <c r="A146" s="10" t="s">
        <v>1087</v>
      </c>
      <c r="B146" s="10" t="s">
        <v>1088</v>
      </c>
      <c r="C146" s="13">
        <f>_xll.BDH("RCOM IN Equity","ARDR_OPTIONS_OUTSTANDING_END_PER","FY 2009","FY 2009","Currency=INR","Period=FY","BEST_FPERIOD_OVERRIDE=FY","FILING_STATUS=MR","EQY_CONSOLIDATED=Y","Sort=A","Dates=H","DateFormat=P","Fill=—","Direction=H","UseDPDF=Y")</f>
        <v>1.6073</v>
      </c>
      <c r="D146" s="13">
        <f>_xll.BDH("RCOM IN Equity","ARDR_OPTIONS_OUTSTANDING_END_PER","FY 2010","FY 2010","Currency=INR","Period=FY","BEST_FPERIOD_OVERRIDE=FY","FILING_STATUS=MR","EQY_CONSOLIDATED=Y","Sort=A","Dates=H","DateFormat=P","Fill=—","Direction=H","UseDPDF=Y")</f>
        <v>10.445399999999999</v>
      </c>
      <c r="E146" s="13">
        <f>_xll.BDH("RCOM IN Equity","ARDR_OPTIONS_OUTSTANDING_END_PER","FY 2011","FY 2011","Currency=INR","Period=FY","BEST_FPERIOD_OVERRIDE=FY","FILING_STATUS=MR","EQY_CONSOLIDATED=Y","Sort=A","Dates=H","DateFormat=P","Fill=—","Direction=H","UseDPDF=Y")</f>
        <v>7.2095000000000002</v>
      </c>
      <c r="F146" s="13">
        <f>_xll.BDH("RCOM IN Equity","ARDR_OPTIONS_OUTSTANDING_END_PER","FY 2012","FY 2012","Currency=INR","Period=FY","BEST_FPERIOD_OVERRIDE=FY","FILING_STATUS=MR","EQY_CONSOLIDATED=Y","Sort=A","Dates=H","DateFormat=P","Fill=—","Direction=H","UseDPDF=Y")</f>
        <v>3.0177999999999998</v>
      </c>
      <c r="G146" s="13">
        <f>_xll.BDH("RCOM IN Equity","ARDR_OPTIONS_OUTSTANDING_END_PER","FY 2013","FY 2013","Currency=INR","Period=FY","BEST_FPERIOD_OVERRIDE=FY","FILING_STATUS=MR","EQY_CONSOLIDATED=Y","Sort=A","Dates=H","DateFormat=P","Fill=—","Direction=H","UseDPDF=Y")</f>
        <v>0.39150000000000001</v>
      </c>
      <c r="H146" s="13">
        <f>_xll.BDH("RCOM IN Equity","ARDR_OPTIONS_OUTSTANDING_END_PER","FY 2014","FY 2014","Currency=INR","Period=FY","BEST_FPERIOD_OVERRIDE=FY","FILING_STATUS=MR","EQY_CONSOLIDATED=Y","Sort=A","Dates=H","DateFormat=P","Fill=—","Direction=H","UseDPDF=Y")</f>
        <v>2.1514000000000002</v>
      </c>
      <c r="I146" s="13">
        <f>_xll.BDH("RCOM IN Equity","ARDR_OPTIONS_OUTSTANDING_END_PER","FY 2015","FY 2015","Currency=INR","Period=FY","BEST_FPERIOD_OVERRIDE=FY","FILING_STATUS=MR","EQY_CONSOLIDATED=Y","Sort=A","Dates=H","DateFormat=P","Fill=—","Direction=H","UseDPDF=Y")</f>
        <v>1.3376000000000001</v>
      </c>
      <c r="J146" s="13">
        <f>_xll.BDH("RCOM IN Equity","ARDR_OPTIONS_OUTSTANDING_END_PER","FY 2016","FY 2016","Currency=INR","Period=FY","BEST_FPERIOD_OVERRIDE=FY","FILING_STATUS=MR","EQY_CONSOLIDATED=Y","Sort=A","Dates=H","DateFormat=P","Fill=—","Direction=H","UseDPDF=Y")</f>
        <v>0.70240000000000002</v>
      </c>
      <c r="K146" s="13">
        <f>_xll.BDH("RCOM IN Equity","ARDR_OPTIONS_OUTSTANDING_END_PER","FY 2017","FY 2017","Currency=INR","Period=FY","BEST_FPERIOD_OVERRIDE=FY","FILING_STATUS=MR","EQY_CONSOLIDATED=Y","Sort=A","Dates=H","DateFormat=P","Fill=—","Direction=H","UseDPDF=Y")</f>
        <v>0.60160000000000002</v>
      </c>
      <c r="L146" s="13">
        <f>_xll.BDH("RCOM IN Equity","ARDR_OPTIONS_OUTSTANDING_END_PER","FY 2018","FY 2018","Currency=INR","Period=FY","BEST_FPERIOD_OVERRIDE=FY","FILING_STATUS=MR","EQY_CONSOLIDATED=Y","Sort=A","Dates=H","DateFormat=P","Fill=—","Direction=H","UseDPDF=Y")</f>
        <v>0.39350000000000002</v>
      </c>
    </row>
    <row r="147" spans="1:12">
      <c r="A147" s="10" t="s">
        <v>1089</v>
      </c>
      <c r="B147" s="10" t="s">
        <v>1090</v>
      </c>
      <c r="C147" s="13">
        <f>_xll.BDH("RCOM IN Equity","ARDR_OTHER_CREDITORS_ST","FY 2009","FY 2009","Currency=INR","Period=FY","BEST_FPERIOD_OVERRIDE=FY","FILING_STATUS=MR","EQY_CONSOLIDATED=Y","SCALING_FORMAT=MLN","Sort=A","Dates=H","DateFormat=P","Fill=—","Direction=H","UseDPDF=Y")</f>
        <v>41705.699999999997</v>
      </c>
      <c r="D147" s="13">
        <f>_xll.BDH("RCOM IN Equity","ARDR_OTHER_CREDITORS_ST","FY 2010","FY 2010","Currency=INR","Period=FY","BEST_FPERIOD_OVERRIDE=FY","FILING_STATUS=MR","EQY_CONSOLIDATED=Y","SCALING_FORMAT=MLN","Sort=A","Dates=H","DateFormat=P","Fill=—","Direction=H","UseDPDF=Y")</f>
        <v>21608.400000000001</v>
      </c>
      <c r="E147" s="13" t="str">
        <f>_xll.BDH("RCOM IN Equity","ARDR_OTHER_CREDITORS_ST","FY 2011","FY 2011","Currency=INR","Period=FY","BEST_FPERIOD_OVERRIDE=FY","FILING_STATUS=MR","EQY_CONSOLIDATED=Y","SCALING_FORMAT=MLN","Sort=A","Dates=H","DateFormat=P","Fill=—","Direction=H","UseDPDF=Y")</f>
        <v>—</v>
      </c>
      <c r="F147" s="13" t="str">
        <f>_xll.BDH("RCOM IN Equity","ARDR_OTHER_CREDITORS_ST","FY 2012","FY 2012","Currency=INR","Period=FY","BEST_FPERIOD_OVERRIDE=FY","FILING_STATUS=MR","EQY_CONSOLIDATED=Y","SCALING_FORMAT=MLN","Sort=A","Dates=H","DateFormat=P","Fill=—","Direction=H","UseDPDF=Y")</f>
        <v>—</v>
      </c>
      <c r="G147" s="13" t="str">
        <f>_xll.BDH("RCOM IN Equity","ARDR_OTHER_CREDITORS_ST","FY 2013","FY 2013","Currency=INR","Period=FY","BEST_FPERIOD_OVERRIDE=FY","FILING_STATUS=MR","EQY_CONSOLIDATED=Y","SCALING_FORMAT=MLN","Sort=A","Dates=H","DateFormat=P","Fill=—","Direction=H","UseDPDF=Y")</f>
        <v>—</v>
      </c>
      <c r="H147" s="13" t="str">
        <f>_xll.BDH("RCOM IN Equity","ARDR_OTHER_CREDITORS_ST","FY 2014","FY 2014","Currency=INR","Period=FY","BEST_FPERIOD_OVERRIDE=FY","FILING_STATUS=MR","EQY_CONSOLIDATED=Y","SCALING_FORMAT=MLN","Sort=A","Dates=H","DateFormat=P","Fill=—","Direction=H","UseDPDF=Y")</f>
        <v>—</v>
      </c>
      <c r="I147" s="13" t="str">
        <f>_xll.BDH("RCOM IN Equity","ARDR_OTHER_CREDITORS_ST","FY 2015","FY 2015","Currency=INR","Period=FY","BEST_FPERIOD_OVERRIDE=FY","FILING_STATUS=MR","EQY_CONSOLIDATED=Y","SCALING_FORMAT=MLN","Sort=A","Dates=H","DateFormat=P","Fill=—","Direction=H","UseDPDF=Y")</f>
        <v>—</v>
      </c>
      <c r="J147" s="13" t="str">
        <f>_xll.BDH("RCOM IN Equity","ARDR_OTHER_CREDITORS_ST","FY 2016","FY 2016","Currency=INR","Period=FY","BEST_FPERIOD_OVERRIDE=FY","FILING_STATUS=MR","EQY_CONSOLIDATED=Y","SCALING_FORMAT=MLN","Sort=A","Dates=H","DateFormat=P","Fill=—","Direction=H","UseDPDF=Y")</f>
        <v>—</v>
      </c>
      <c r="K147" s="13" t="str">
        <f>_xll.BDH("RCOM IN Equity","ARDR_OTHER_CREDITORS_ST","FY 2017","FY 2017","Currency=INR","Period=FY","BEST_FPERIOD_OVERRIDE=FY","FILING_STATUS=MR","EQY_CONSOLIDATED=Y","SCALING_FORMAT=MLN","Sort=A","Dates=H","DateFormat=P","Fill=—","Direction=H","UseDPDF=Y")</f>
        <v>—</v>
      </c>
      <c r="L147" s="13" t="str">
        <f>_xll.BDH("RCOM IN Equity","ARDR_OTHER_CREDITORS_ST","FY 2018","FY 2018","Currency=INR","Period=FY","BEST_FPERIOD_OVERRIDE=FY","FILING_STATUS=MR","EQY_CONSOLIDATED=Y","SCALING_FORMAT=MLN","Sort=A","Dates=H","DateFormat=P","Fill=—","Direction=H","UseDPDF=Y")</f>
        <v>—</v>
      </c>
    </row>
    <row r="148" spans="1:12">
      <c r="A148" s="10" t="s">
        <v>1091</v>
      </c>
      <c r="B148" s="10" t="s">
        <v>1092</v>
      </c>
      <c r="C148" s="13" t="str">
        <f>_xll.BDH("RCOM IN Equity","ARDR_OTHER_LT_LOANS_BORROWINGS","FY 2009","FY 2009","Currency=INR","Period=FY","BEST_FPERIOD_OVERRIDE=FY","FILING_STATUS=MR","EQY_CONSOLIDATED=Y","SCALING_FORMAT=MLN","Sort=A","Dates=H","DateFormat=P","Fill=—","Direction=H","UseDPDF=Y")</f>
        <v>—</v>
      </c>
      <c r="D148" s="13" t="str">
        <f>_xll.BDH("RCOM IN Equity","ARDR_OTHER_LT_LOANS_BORROWINGS","FY 2010","FY 2010","Currency=INR","Period=FY","BEST_FPERIOD_OVERRIDE=FY","FILING_STATUS=MR","EQY_CONSOLIDATED=Y","SCALING_FORMAT=MLN","Sort=A","Dates=H","DateFormat=P","Fill=—","Direction=H","UseDPDF=Y")</f>
        <v>—</v>
      </c>
      <c r="E148" s="13" t="str">
        <f>_xll.BDH("RCOM IN Equity","ARDR_OTHER_LT_LOANS_BORROWINGS","FY 2011","FY 2011","Currency=INR","Period=FY","BEST_FPERIOD_OVERRIDE=FY","FILING_STATUS=MR","EQY_CONSOLIDATED=Y","SCALING_FORMAT=MLN","Sort=A","Dates=H","DateFormat=P","Fill=—","Direction=H","UseDPDF=Y")</f>
        <v>—</v>
      </c>
      <c r="F148" s="13" t="str">
        <f>_xll.BDH("RCOM IN Equity","ARDR_OTHER_LT_LOANS_BORROWINGS","FY 2012","FY 2012","Currency=INR","Period=FY","BEST_FPERIOD_OVERRIDE=FY","FILING_STATUS=MR","EQY_CONSOLIDATED=Y","SCALING_FORMAT=MLN","Sort=A","Dates=H","DateFormat=P","Fill=—","Direction=H","UseDPDF=Y")</f>
        <v>—</v>
      </c>
      <c r="G148" s="13" t="str">
        <f>_xll.BDH("RCOM IN Equity","ARDR_OTHER_LT_LOANS_BORROWINGS","FY 2013","FY 2013","Currency=INR","Period=FY","BEST_FPERIOD_OVERRIDE=FY","FILING_STATUS=MR","EQY_CONSOLIDATED=Y","SCALING_FORMAT=MLN","Sort=A","Dates=H","DateFormat=P","Fill=—","Direction=H","UseDPDF=Y")</f>
        <v>—</v>
      </c>
      <c r="H148" s="13" t="str">
        <f>_xll.BDH("RCOM IN Equity","ARDR_OTHER_LT_LOANS_BORROWINGS","FY 2014","FY 2014","Currency=INR","Period=FY","BEST_FPERIOD_OVERRIDE=FY","FILING_STATUS=MR","EQY_CONSOLIDATED=Y","SCALING_FORMAT=MLN","Sort=A","Dates=H","DateFormat=P","Fill=—","Direction=H","UseDPDF=Y")</f>
        <v>—</v>
      </c>
      <c r="I148" s="13">
        <f>_xll.BDH("RCOM IN Equity","ARDR_OTHER_LT_LOANS_BORROWINGS","FY 2015","FY 2015","Currency=INR","Period=FY","BEST_FPERIOD_OVERRIDE=FY","FILING_STATUS=MR","EQY_CONSOLIDATED=Y","SCALING_FORMAT=MLN","Sort=A","Dates=H","DateFormat=P","Fill=—","Direction=H","UseDPDF=Y")</f>
        <v>3170</v>
      </c>
      <c r="J148" s="13">
        <f>_xll.BDH("RCOM IN Equity","ARDR_OTHER_LT_LOANS_BORROWINGS","FY 2016","FY 2016","Currency=INR","Period=FY","BEST_FPERIOD_OVERRIDE=FY","FILING_STATUS=MR","EQY_CONSOLIDATED=Y","SCALING_FORMAT=MLN","Sort=A","Dates=H","DateFormat=P","Fill=—","Direction=H","UseDPDF=Y")</f>
        <v>41540</v>
      </c>
      <c r="K148" s="13">
        <f>_xll.BDH("RCOM IN Equity","ARDR_OTHER_LT_LOANS_BORROWINGS","FY 2017","FY 2017","Currency=INR","Period=FY","BEST_FPERIOD_OVERRIDE=FY","FILING_STATUS=MR","EQY_CONSOLIDATED=Y","SCALING_FORMAT=MLN","Sort=A","Dates=H","DateFormat=P","Fill=—","Direction=H","UseDPDF=Y")</f>
        <v>48710</v>
      </c>
      <c r="L148" s="13">
        <f>_xll.BDH("RCOM IN Equity","ARDR_OTHER_LT_LOANS_BORROWINGS","FY 2018","FY 2018","Currency=INR","Period=FY","BEST_FPERIOD_OVERRIDE=FY","FILING_STATUS=MR","EQY_CONSOLIDATED=Y","SCALING_FORMAT=MLN","Sort=A","Dates=H","DateFormat=P","Fill=—","Direction=H","UseDPDF=Y")</f>
        <v>84630</v>
      </c>
    </row>
    <row r="149" spans="1:12">
      <c r="A149" s="10" t="s">
        <v>1093</v>
      </c>
      <c r="B149" s="10" t="s">
        <v>1094</v>
      </c>
      <c r="C149" s="13" t="str">
        <f>_xll.BDH("RCOM IN Equity","ARDR_OTHER_PROV_FOR_LIAB_CHARGES","FY 2009","FY 2009","Currency=INR","Period=FY","BEST_FPERIOD_OVERRIDE=FY","FILING_STATUS=MR","EQY_CONSOLIDATED=Y","SCALING_FORMAT=MLN","Sort=A","Dates=H","DateFormat=P","Fill=—","Direction=H","UseDPDF=Y")</f>
        <v>—</v>
      </c>
      <c r="D149" s="13" t="str">
        <f>_xll.BDH("RCOM IN Equity","ARDR_OTHER_PROV_FOR_LIAB_CHARGES","FY 2010","FY 2010","Currency=INR","Period=FY","BEST_FPERIOD_OVERRIDE=FY","FILING_STATUS=MR","EQY_CONSOLIDATED=Y","SCALING_FORMAT=MLN","Sort=A","Dates=H","DateFormat=P","Fill=—","Direction=H","UseDPDF=Y")</f>
        <v>—</v>
      </c>
      <c r="E149" s="13">
        <f>_xll.BDH("RCOM IN Equity","ARDR_OTHER_PROV_FOR_LIAB_CHARGES","FY 2011","FY 2011","Currency=INR","Period=FY","BEST_FPERIOD_OVERRIDE=FY","FILING_STATUS=MR","EQY_CONSOLIDATED=Y","SCALING_FORMAT=MLN","Sort=A","Dates=H","DateFormat=P","Fill=—","Direction=H","UseDPDF=Y")</f>
        <v>2440</v>
      </c>
      <c r="F149" s="13">
        <f>_xll.BDH("RCOM IN Equity","ARDR_OTHER_PROV_FOR_LIAB_CHARGES","FY 2012","FY 2012","Currency=INR","Period=FY","BEST_FPERIOD_OVERRIDE=FY","FILING_STATUS=MR","EQY_CONSOLIDATED=Y","SCALING_FORMAT=MLN","Sort=A","Dates=H","DateFormat=P","Fill=—","Direction=H","UseDPDF=Y")</f>
        <v>7610</v>
      </c>
      <c r="G149" s="13">
        <f>_xll.BDH("RCOM IN Equity","ARDR_OTHER_PROV_FOR_LIAB_CHARGES","FY 2013","FY 2013","Currency=INR","Period=FY","BEST_FPERIOD_OVERRIDE=FY","FILING_STATUS=MR","EQY_CONSOLIDATED=Y","SCALING_FORMAT=MLN","Sort=A","Dates=H","DateFormat=P","Fill=—","Direction=H","UseDPDF=Y")</f>
        <v>8320</v>
      </c>
      <c r="H149" s="13">
        <f>_xll.BDH("RCOM IN Equity","ARDR_OTHER_PROV_FOR_LIAB_CHARGES","FY 2014","FY 2014","Currency=INR","Period=FY","BEST_FPERIOD_OVERRIDE=FY","FILING_STATUS=MR","EQY_CONSOLIDATED=Y","SCALING_FORMAT=MLN","Sort=A","Dates=H","DateFormat=P","Fill=—","Direction=H","UseDPDF=Y")</f>
        <v>9780</v>
      </c>
      <c r="I149" s="13">
        <f>_xll.BDH("RCOM IN Equity","ARDR_OTHER_PROV_FOR_LIAB_CHARGES","FY 2015","FY 2015","Currency=INR","Period=FY","BEST_FPERIOD_OVERRIDE=FY","FILING_STATUS=MR","EQY_CONSOLIDATED=Y","SCALING_FORMAT=MLN","Sort=A","Dates=H","DateFormat=P","Fill=—","Direction=H","UseDPDF=Y")</f>
        <v>2370</v>
      </c>
      <c r="J149" s="13">
        <f>_xll.BDH("RCOM IN Equity","ARDR_OTHER_PROV_FOR_LIAB_CHARGES","FY 2016","FY 2016","Currency=INR","Period=FY","BEST_FPERIOD_OVERRIDE=FY","FILING_STATUS=MR","EQY_CONSOLIDATED=Y","SCALING_FORMAT=MLN","Sort=A","Dates=H","DateFormat=P","Fill=—","Direction=H","UseDPDF=Y")</f>
        <v>3270</v>
      </c>
      <c r="K149" s="13">
        <f>_xll.BDH("RCOM IN Equity","ARDR_OTHER_PROV_FOR_LIAB_CHARGES","FY 2017","FY 2017","Currency=INR","Period=FY","BEST_FPERIOD_OVERRIDE=FY","FILING_STATUS=MR","EQY_CONSOLIDATED=Y","SCALING_FORMAT=MLN","Sort=A","Dates=H","DateFormat=P","Fill=—","Direction=H","UseDPDF=Y")</f>
        <v>3450</v>
      </c>
      <c r="L149" s="13">
        <f>_xll.BDH("RCOM IN Equity","ARDR_OTHER_PROV_FOR_LIAB_CHARGES","FY 2018","FY 2018","Currency=INR","Period=FY","BEST_FPERIOD_OVERRIDE=FY","FILING_STATUS=MR","EQY_CONSOLIDATED=Y","SCALING_FORMAT=MLN","Sort=A","Dates=H","DateFormat=P","Fill=—","Direction=H","UseDPDF=Y")</f>
        <v>3710</v>
      </c>
    </row>
    <row r="150" spans="1:12">
      <c r="A150" s="10" t="s">
        <v>1095</v>
      </c>
      <c r="B150" s="10" t="s">
        <v>1096</v>
      </c>
      <c r="C150" s="13">
        <f>_xll.BDH("RCOM IN Equity","ARDR_OTHER_RESERVE","FY 2009","FY 2009","Currency=INR","Period=FY","BEST_FPERIOD_OVERRIDE=FY","FILING_STATUS=MR","EQY_CONSOLIDATED=Y","SCALING_FORMAT=MLN","Sort=A","Dates=H","DateFormat=P","Fill=—","Direction=H","UseDPDF=Y")</f>
        <v>12940.8</v>
      </c>
      <c r="D150" s="13">
        <f>_xll.BDH("RCOM IN Equity","ARDR_OTHER_RESERVE","FY 2010","FY 2010","Currency=INR","Period=FY","BEST_FPERIOD_OVERRIDE=FY","FILING_STATUS=MR","EQY_CONSOLIDATED=Y","SCALING_FORMAT=MLN","Sort=A","Dates=H","DateFormat=P","Fill=—","Direction=H","UseDPDF=Y")</f>
        <v>13690.4</v>
      </c>
      <c r="E150" s="13">
        <f>_xll.BDH("RCOM IN Equity","ARDR_OTHER_RESERVE","FY 2011","FY 2011","Currency=INR","Period=FY","BEST_FPERIOD_OVERRIDE=FY","FILING_STATUS=MR","EQY_CONSOLIDATED=Y","SCALING_FORMAT=MLN","Sort=A","Dates=H","DateFormat=P","Fill=—","Direction=H","UseDPDF=Y")</f>
        <v>13690</v>
      </c>
      <c r="F150" s="13">
        <f>_xll.BDH("RCOM IN Equity","ARDR_OTHER_RESERVE","FY 2012","FY 2012","Currency=INR","Period=FY","BEST_FPERIOD_OVERRIDE=FY","FILING_STATUS=MR","EQY_CONSOLIDATED=Y","SCALING_FORMAT=MLN","Sort=A","Dates=H","DateFormat=P","Fill=—","Direction=H","UseDPDF=Y")</f>
        <v>14600</v>
      </c>
      <c r="G150" s="13">
        <f>_xll.BDH("RCOM IN Equity","ARDR_OTHER_RESERVE","FY 2013","FY 2013","Currency=INR","Period=FY","BEST_FPERIOD_OVERRIDE=FY","FILING_STATUS=MR","EQY_CONSOLIDATED=Y","SCALING_FORMAT=MLN","Sort=A","Dates=H","DateFormat=P","Fill=—","Direction=H","UseDPDF=Y")</f>
        <v>17280</v>
      </c>
      <c r="H150" s="13">
        <f>_xll.BDH("RCOM IN Equity","ARDR_OTHER_RESERVE","FY 2014","FY 2014","Currency=INR","Period=FY","BEST_FPERIOD_OVERRIDE=FY","FILING_STATUS=MR","EQY_CONSOLIDATED=Y","SCALING_FORMAT=MLN","Sort=A","Dates=H","DateFormat=P","Fill=—","Direction=H","UseDPDF=Y")</f>
        <v>19070</v>
      </c>
      <c r="I150" s="13">
        <f>_xll.BDH("RCOM IN Equity","ARDR_OTHER_RESERVE","FY 2015","FY 2015","Currency=INR","Period=FY","BEST_FPERIOD_OVERRIDE=FY","FILING_STATUS=MR","EQY_CONSOLIDATED=Y","SCALING_FORMAT=MLN","Sort=A","Dates=H","DateFormat=P","Fill=—","Direction=H","UseDPDF=Y")</f>
        <v>18770</v>
      </c>
      <c r="J150" s="13">
        <f>_xll.BDH("RCOM IN Equity","ARDR_OTHER_RESERVE","FY 2016","FY 2016","Currency=INR","Period=FY","BEST_FPERIOD_OVERRIDE=FY","FILING_STATUS=MR","EQY_CONSOLIDATED=Y","SCALING_FORMAT=MLN","Sort=A","Dates=H","DateFormat=P","Fill=—","Direction=H","UseDPDF=Y")</f>
        <v>14880</v>
      </c>
      <c r="K150" s="13">
        <f>_xll.BDH("RCOM IN Equity","ARDR_OTHER_RESERVE","FY 2017","FY 2017","Currency=INR","Period=FY","BEST_FPERIOD_OVERRIDE=FY","FILING_STATUS=MR","EQY_CONSOLIDATED=Y","SCALING_FORMAT=MLN","Sort=A","Dates=H","DateFormat=P","Fill=—","Direction=H","UseDPDF=Y")</f>
        <v>14860</v>
      </c>
      <c r="L150" s="13">
        <f>_xll.BDH("RCOM IN Equity","ARDR_OTHER_RESERVE","FY 2018","FY 2018","Currency=INR","Period=FY","BEST_FPERIOD_OVERRIDE=FY","FILING_STATUS=MR","EQY_CONSOLIDATED=Y","SCALING_FORMAT=MLN","Sort=A","Dates=H","DateFormat=P","Fill=—","Direction=H","UseDPDF=Y")</f>
        <v>2030</v>
      </c>
    </row>
    <row r="151" spans="1:12">
      <c r="A151" s="10" t="s">
        <v>1097</v>
      </c>
      <c r="B151" s="10" t="s">
        <v>1098</v>
      </c>
      <c r="C151" s="13">
        <f>_xll.BDH("RCOM IN Equity","ARDR_OTHER_ST_LOANS_BORROWINGS","FY 2009","FY 2009","Currency=INR","Period=FY","BEST_FPERIOD_OVERRIDE=FY","FILING_STATUS=MR","EQY_CONSOLIDATED=Y","SCALING_FORMAT=MLN","Sort=A","Dates=H","DateFormat=P","Fill=—","Direction=H","UseDPDF=Y")</f>
        <v>0</v>
      </c>
      <c r="D151" s="13">
        <f>_xll.BDH("RCOM IN Equity","ARDR_OTHER_ST_LOANS_BORROWINGS","FY 2010","FY 2010","Currency=INR","Period=FY","BEST_FPERIOD_OVERRIDE=FY","FILING_STATUS=MR","EQY_CONSOLIDATED=Y","SCALING_FORMAT=MLN","Sort=A","Dates=H","DateFormat=P","Fill=—","Direction=H","UseDPDF=Y")</f>
        <v>3.9</v>
      </c>
      <c r="E151" s="13">
        <f>_xll.BDH("RCOM IN Equity","ARDR_OTHER_ST_LOANS_BORROWINGS","FY 2011","FY 2011","Currency=INR","Period=FY","BEST_FPERIOD_OVERRIDE=FY","FILING_STATUS=MR","EQY_CONSOLIDATED=Y","SCALING_FORMAT=MLN","Sort=A","Dates=H","DateFormat=P","Fill=—","Direction=H","UseDPDF=Y")</f>
        <v>179340</v>
      </c>
      <c r="F151" s="13">
        <f>_xll.BDH("RCOM IN Equity","ARDR_OTHER_ST_LOANS_BORROWINGS","FY 2012","FY 2012","Currency=INR","Period=FY","BEST_FPERIOD_OVERRIDE=FY","FILING_STATUS=MR","EQY_CONSOLIDATED=Y","SCALING_FORMAT=MLN","Sort=A","Dates=H","DateFormat=P","Fill=—","Direction=H","UseDPDF=Y")</f>
        <v>31270</v>
      </c>
      <c r="G151" s="13">
        <f>_xll.BDH("RCOM IN Equity","ARDR_OTHER_ST_LOANS_BORROWINGS","FY 2013","FY 2013","Currency=INR","Period=FY","BEST_FPERIOD_OVERRIDE=FY","FILING_STATUS=MR","EQY_CONSOLIDATED=Y","SCALING_FORMAT=MLN","Sort=A","Dates=H","DateFormat=P","Fill=—","Direction=H","UseDPDF=Y")</f>
        <v>44060</v>
      </c>
      <c r="H151" s="13">
        <f>_xll.BDH("RCOM IN Equity","ARDR_OTHER_ST_LOANS_BORROWINGS","FY 2014","FY 2014","Currency=INR","Period=FY","BEST_FPERIOD_OVERRIDE=FY","FILING_STATUS=MR","EQY_CONSOLIDATED=Y","SCALING_FORMAT=MLN","Sort=A","Dates=H","DateFormat=P","Fill=—","Direction=H","UseDPDF=Y")</f>
        <v>54290</v>
      </c>
      <c r="I151" s="13">
        <f>_xll.BDH("RCOM IN Equity","ARDR_OTHER_ST_LOANS_BORROWINGS","FY 2015","FY 2015","Currency=INR","Period=FY","BEST_FPERIOD_OVERRIDE=FY","FILING_STATUS=MR","EQY_CONSOLIDATED=Y","SCALING_FORMAT=MLN","Sort=A","Dates=H","DateFormat=P","Fill=—","Direction=H","UseDPDF=Y")</f>
        <v>78850</v>
      </c>
      <c r="J151" s="13">
        <f>_xll.BDH("RCOM IN Equity","ARDR_OTHER_ST_LOANS_BORROWINGS","FY 2016","FY 2016","Currency=INR","Period=FY","BEST_FPERIOD_OVERRIDE=FY","FILING_STATUS=MR","EQY_CONSOLIDATED=Y","SCALING_FORMAT=MLN","Sort=A","Dates=H","DateFormat=P","Fill=—","Direction=H","UseDPDF=Y")</f>
        <v>102390</v>
      </c>
      <c r="K151" s="13">
        <f>_xll.BDH("RCOM IN Equity","ARDR_OTHER_ST_LOANS_BORROWINGS","FY 2017","FY 2017","Currency=INR","Period=FY","BEST_FPERIOD_OVERRIDE=FY","FILING_STATUS=MR","EQY_CONSOLIDATED=Y","SCALING_FORMAT=MLN","Sort=A","Dates=H","DateFormat=P","Fill=—","Direction=H","UseDPDF=Y")</f>
        <v>169310</v>
      </c>
      <c r="L151" s="13">
        <f>_xll.BDH("RCOM IN Equity","ARDR_OTHER_ST_LOANS_BORROWINGS","FY 2018","FY 2018","Currency=INR","Period=FY","BEST_FPERIOD_OVERRIDE=FY","FILING_STATUS=MR","EQY_CONSOLIDATED=Y","SCALING_FORMAT=MLN","Sort=A","Dates=H","DateFormat=P","Fill=—","Direction=H","UseDPDF=Y")</f>
        <v>288830</v>
      </c>
    </row>
    <row r="152" spans="1:12">
      <c r="A152" s="10" t="s">
        <v>1099</v>
      </c>
      <c r="B152" s="10" t="s">
        <v>1100</v>
      </c>
      <c r="C152" s="13">
        <f>_xll.BDH("RCOM IN Equity","ARDR_TRADE_RECEIVABLES_GROSS","FY 2009","FY 2009","Currency=INR","Period=FY","BEST_FPERIOD_OVERRIDE=FY","FILING_STATUS=MR","EQY_CONSOLIDATED=Y","SCALING_FORMAT=MLN","Sort=A","Dates=H","DateFormat=P","Fill=—","Direction=H","UseDPDF=Y")</f>
        <v>12459.4</v>
      </c>
      <c r="D152" s="13">
        <f>_xll.BDH("RCOM IN Equity","ARDR_TRADE_RECEIVABLES_GROSS","FY 2010","FY 2010","Currency=INR","Period=FY","BEST_FPERIOD_OVERRIDE=FY","FILING_STATUS=MR","EQY_CONSOLIDATED=Y","SCALING_FORMAT=MLN","Sort=A","Dates=H","DateFormat=P","Fill=—","Direction=H","UseDPDF=Y")</f>
        <v>15504.2</v>
      </c>
      <c r="E152" s="13">
        <f>_xll.BDH("RCOM IN Equity","ARDR_TRADE_RECEIVABLES_GROSS","FY 2011","FY 2011","Currency=INR","Period=FY","BEST_FPERIOD_OVERRIDE=FY","FILING_STATUS=MR","EQY_CONSOLIDATED=Y","SCALING_FORMAT=MLN","Sort=A","Dates=H","DateFormat=P","Fill=—","Direction=H","UseDPDF=Y")</f>
        <v>19740</v>
      </c>
      <c r="F152" s="13">
        <f>_xll.BDH("RCOM IN Equity","ARDR_TRADE_RECEIVABLES_GROSS","FY 2012","FY 2012","Currency=INR","Period=FY","BEST_FPERIOD_OVERRIDE=FY","FILING_STATUS=MR","EQY_CONSOLIDATED=Y","SCALING_FORMAT=MLN","Sort=A","Dates=H","DateFormat=P","Fill=—","Direction=H","UseDPDF=Y")</f>
        <v>28800</v>
      </c>
      <c r="G152" s="13">
        <f>_xll.BDH("RCOM IN Equity","ARDR_TRADE_RECEIVABLES_GROSS","FY 2013","FY 2013","Currency=INR","Period=FY","BEST_FPERIOD_OVERRIDE=FY","FILING_STATUS=MR","EQY_CONSOLIDATED=Y","SCALING_FORMAT=MLN","Sort=A","Dates=H","DateFormat=P","Fill=—","Direction=H","UseDPDF=Y")</f>
        <v>28270</v>
      </c>
      <c r="H152" s="13">
        <f>_xll.BDH("RCOM IN Equity","ARDR_TRADE_RECEIVABLES_GROSS","FY 2014","FY 2014","Currency=INR","Period=FY","BEST_FPERIOD_OVERRIDE=FY","FILING_STATUS=MR","EQY_CONSOLIDATED=Y","SCALING_FORMAT=MLN","Sort=A","Dates=H","DateFormat=P","Fill=—","Direction=H","UseDPDF=Y")</f>
        <v>26360</v>
      </c>
      <c r="I152" s="13">
        <f>_xll.BDH("RCOM IN Equity","ARDR_TRADE_RECEIVABLES_GROSS","FY 2015","FY 2015","Currency=INR","Period=FY","BEST_FPERIOD_OVERRIDE=FY","FILING_STATUS=MR","EQY_CONSOLIDATED=Y","SCALING_FORMAT=MLN","Sort=A","Dates=H","DateFormat=P","Fill=—","Direction=H","UseDPDF=Y")</f>
        <v>27600</v>
      </c>
      <c r="J152" s="13">
        <f>_xll.BDH("RCOM IN Equity","ARDR_TRADE_RECEIVABLES_GROSS","FY 2016","FY 2016","Currency=INR","Period=FY","BEST_FPERIOD_OVERRIDE=FY","FILING_STATUS=MR","EQY_CONSOLIDATED=Y","SCALING_FORMAT=MLN","Sort=A","Dates=H","DateFormat=P","Fill=—","Direction=H","UseDPDF=Y")</f>
        <v>53970</v>
      </c>
      <c r="K152" s="13">
        <f>_xll.BDH("RCOM IN Equity","ARDR_TRADE_RECEIVABLES_GROSS","FY 2017","FY 2017","Currency=INR","Period=FY","BEST_FPERIOD_OVERRIDE=FY","FILING_STATUS=MR","EQY_CONSOLIDATED=Y","SCALING_FORMAT=MLN","Sort=A","Dates=H","DateFormat=P","Fill=—","Direction=H","UseDPDF=Y")</f>
        <v>53940</v>
      </c>
      <c r="L152" s="13">
        <f>_xll.BDH("RCOM IN Equity","ARDR_TRADE_RECEIVABLES_GROSS","FY 2018","FY 2018","Currency=INR","Period=FY","BEST_FPERIOD_OVERRIDE=FY","FILING_STATUS=MR","EQY_CONSOLIDATED=Y","SCALING_FORMAT=MLN","Sort=A","Dates=H","DateFormat=P","Fill=—","Direction=H","UseDPDF=Y")</f>
        <v>43690</v>
      </c>
    </row>
    <row r="153" spans="1:12">
      <c r="A153" s="10" t="s">
        <v>1101</v>
      </c>
      <c r="B153" s="10" t="s">
        <v>1102</v>
      </c>
      <c r="C153" s="14">
        <f>_xll.BDH("RCOM IN Equity","ARDR_TOTAL_NUMBER_OF_SHRHLDRS","FY 2009","FY 2009","Currency=INR","Period=FY","BEST_FPERIOD_OVERRIDE=FY","FILING_STATUS=MR","EQY_CONSOLIDATED=Y","Sort=A","Dates=H","DateFormat=P","Fill=—","Direction=H","UseDPDF=Y")</f>
        <v>2167406</v>
      </c>
      <c r="D153" s="14">
        <f>_xll.BDH("RCOM IN Equity","ARDR_TOTAL_NUMBER_OF_SHRHLDRS","FY 2010","FY 2010","Currency=INR","Period=FY","BEST_FPERIOD_OVERRIDE=FY","FILING_STATUS=MR","EQY_CONSOLIDATED=Y","Sort=A","Dates=H","DateFormat=P","Fill=—","Direction=H","UseDPDF=Y")</f>
        <v>2162907</v>
      </c>
      <c r="E153" s="14">
        <f>_xll.BDH("RCOM IN Equity","ARDR_TOTAL_NUMBER_OF_SHRHLDRS","FY 2011","FY 2011","Currency=INR","Period=FY","BEST_FPERIOD_OVERRIDE=FY","FILING_STATUS=MR","EQY_CONSOLIDATED=Y","Sort=A","Dates=H","DateFormat=P","Fill=—","Direction=H","UseDPDF=Y")</f>
        <v>2098743</v>
      </c>
      <c r="F153" s="14">
        <f>_xll.BDH("RCOM IN Equity","ARDR_TOTAL_NUMBER_OF_SHRHLDRS","FY 2012","FY 2012","Currency=INR","Period=FY","BEST_FPERIOD_OVERRIDE=FY","FILING_STATUS=MR","EQY_CONSOLIDATED=Y","Sort=A","Dates=H","DateFormat=P","Fill=—","Direction=H","UseDPDF=Y")</f>
        <v>1952760</v>
      </c>
      <c r="G153" s="14">
        <f>_xll.BDH("RCOM IN Equity","ARDR_TOTAL_NUMBER_OF_SHRHLDRS","FY 2013","FY 2013","Currency=INR","Period=FY","BEST_FPERIOD_OVERRIDE=FY","FILING_STATUS=MR","EQY_CONSOLIDATED=Y","Sort=A","Dates=H","DateFormat=P","Fill=—","Direction=H","UseDPDF=Y")</f>
        <v>1879525</v>
      </c>
      <c r="H153" s="14">
        <f>_xll.BDH("RCOM IN Equity","ARDR_TOTAL_NUMBER_OF_SHRHLDRS","FY 2014","FY 2014","Currency=INR","Period=FY","BEST_FPERIOD_OVERRIDE=FY","FILING_STATUS=MR","EQY_CONSOLIDATED=Y","Sort=A","Dates=H","DateFormat=P","Fill=—","Direction=H","UseDPDF=Y")</f>
        <v>1720386</v>
      </c>
      <c r="I153" s="14">
        <f>_xll.BDH("RCOM IN Equity","ARDR_TOTAL_NUMBER_OF_SHRHLDRS","FY 2015","FY 2015","Currency=INR","Period=FY","BEST_FPERIOD_OVERRIDE=FY","FILING_STATUS=MR","EQY_CONSOLIDATED=Y","Sort=A","Dates=H","DateFormat=P","Fill=—","Direction=H","UseDPDF=Y")</f>
        <v>1657702</v>
      </c>
      <c r="J153" s="14">
        <f>_xll.BDH("RCOM IN Equity","ARDR_TOTAL_NUMBER_OF_SHRHLDRS","FY 2016","FY 2016","Currency=INR","Period=FY","BEST_FPERIOD_OVERRIDE=FY","FILING_STATUS=MR","EQY_CONSOLIDATED=Y","Sort=A","Dates=H","DateFormat=P","Fill=—","Direction=H","UseDPDF=Y")</f>
        <v>1626555</v>
      </c>
      <c r="K153" s="14">
        <f>_xll.BDH("RCOM IN Equity","ARDR_TOTAL_NUMBER_OF_SHRHLDRS","FY 2017","FY 2017","Currency=INR","Period=FY","BEST_FPERIOD_OVERRIDE=FY","FILING_STATUS=MR","EQY_CONSOLIDATED=Y","Sort=A","Dates=H","DateFormat=P","Fill=—","Direction=H","UseDPDF=Y")</f>
        <v>1626664</v>
      </c>
      <c r="L153" s="14">
        <f>_xll.BDH("RCOM IN Equity","ARDR_TOTAL_NUMBER_OF_SHRHLDRS","FY 2018","FY 2018","Currency=INR","Period=FY","BEST_FPERIOD_OVERRIDE=FY","FILING_STATUS=MR","EQY_CONSOLIDATED=Y","Sort=A","Dates=H","DateFormat=P","Fill=—","Direction=H","UseDPDF=Y")</f>
        <v>1313518</v>
      </c>
    </row>
    <row r="154" spans="1:12">
      <c r="A154" s="10" t="s">
        <v>1103</v>
      </c>
      <c r="B154" s="10" t="s">
        <v>1104</v>
      </c>
      <c r="C154" s="13" t="str">
        <f>_xll.BDH("RCOM IN Equity","ARDR_PROV_LIAB_CHARGES_AND_OTHER","FY 2009","FY 2009","Currency=INR","Period=FY","BEST_FPERIOD_OVERRIDE=FY","FILING_STATUS=MR","EQY_CONSOLIDATED=Y","SCALING_FORMAT=MLN","Sort=A","Dates=H","DateFormat=P","Fill=—","Direction=H","UseDPDF=Y")</f>
        <v>—</v>
      </c>
      <c r="D154" s="13" t="str">
        <f>_xll.BDH("RCOM IN Equity","ARDR_PROV_LIAB_CHARGES_AND_OTHER","FY 2010","FY 2010","Currency=INR","Period=FY","BEST_FPERIOD_OVERRIDE=FY","FILING_STATUS=MR","EQY_CONSOLIDATED=Y","SCALING_FORMAT=MLN","Sort=A","Dates=H","DateFormat=P","Fill=—","Direction=H","UseDPDF=Y")</f>
        <v>—</v>
      </c>
      <c r="E154" s="13" t="str">
        <f>_xll.BDH("RCOM IN Equity","ARDR_PROV_LIAB_CHARGES_AND_OTHER","FY 2011","FY 2011","Currency=INR","Period=FY","BEST_FPERIOD_OVERRIDE=FY","FILING_STATUS=MR","EQY_CONSOLIDATED=Y","SCALING_FORMAT=MLN","Sort=A","Dates=H","DateFormat=P","Fill=—","Direction=H","UseDPDF=Y")</f>
        <v>—</v>
      </c>
      <c r="F154" s="13" t="str">
        <f>_xll.BDH("RCOM IN Equity","ARDR_PROV_LIAB_CHARGES_AND_OTHER","FY 2012","FY 2012","Currency=INR","Period=FY","BEST_FPERIOD_OVERRIDE=FY","FILING_STATUS=MR","EQY_CONSOLIDATED=Y","SCALING_FORMAT=MLN","Sort=A","Dates=H","DateFormat=P","Fill=—","Direction=H","UseDPDF=Y")</f>
        <v>—</v>
      </c>
      <c r="G154" s="13" t="str">
        <f>_xll.BDH("RCOM IN Equity","ARDR_PROV_LIAB_CHARGES_AND_OTHER","FY 2013","FY 2013","Currency=INR","Period=FY","BEST_FPERIOD_OVERRIDE=FY","FILING_STATUS=MR","EQY_CONSOLIDATED=Y","SCALING_FORMAT=MLN","Sort=A","Dates=H","DateFormat=P","Fill=—","Direction=H","UseDPDF=Y")</f>
        <v>—</v>
      </c>
      <c r="H154" s="13" t="str">
        <f>_xll.BDH("RCOM IN Equity","ARDR_PROV_LIAB_CHARGES_AND_OTHER","FY 2014","FY 2014","Currency=INR","Period=FY","BEST_FPERIOD_OVERRIDE=FY","FILING_STATUS=MR","EQY_CONSOLIDATED=Y","SCALING_FORMAT=MLN","Sort=A","Dates=H","DateFormat=P","Fill=—","Direction=H","UseDPDF=Y")</f>
        <v>—</v>
      </c>
      <c r="I154" s="13" t="str">
        <f>_xll.BDH("RCOM IN Equity","ARDR_PROV_LIAB_CHARGES_AND_OTHER","FY 2015","FY 2015","Currency=INR","Period=FY","BEST_FPERIOD_OVERRIDE=FY","FILING_STATUS=MR","EQY_CONSOLIDATED=Y","SCALING_FORMAT=MLN","Sort=A","Dates=H","DateFormat=P","Fill=—","Direction=H","UseDPDF=Y")</f>
        <v>—</v>
      </c>
      <c r="J154" s="13" t="str">
        <f>_xll.BDH("RCOM IN Equity","ARDR_PROV_LIAB_CHARGES_AND_OTHER","FY 2016","FY 2016","Currency=INR","Period=FY","BEST_FPERIOD_OVERRIDE=FY","FILING_STATUS=MR","EQY_CONSOLIDATED=Y","SCALING_FORMAT=MLN","Sort=A","Dates=H","DateFormat=P","Fill=—","Direction=H","UseDPDF=Y")</f>
        <v>—</v>
      </c>
      <c r="K154" s="13" t="str">
        <f>_xll.BDH("RCOM IN Equity","ARDR_PROV_LIAB_CHARGES_AND_OTHER","FY 2017","FY 2017","Currency=INR","Period=FY","BEST_FPERIOD_OVERRIDE=FY","FILING_STATUS=MR","EQY_CONSOLIDATED=Y","SCALING_FORMAT=MLN","Sort=A","Dates=H","DateFormat=P","Fill=—","Direction=H","UseDPDF=Y")</f>
        <v>—</v>
      </c>
      <c r="L154" s="13">
        <f>_xll.BDH("RCOM IN Equity","ARDR_PROV_LIAB_CHARGES_AND_OTHER","FY 2018","FY 2018","Currency=INR","Period=FY","BEST_FPERIOD_OVERRIDE=FY","FILING_STATUS=MR","EQY_CONSOLIDATED=Y","SCALING_FORMAT=MLN","Sort=A","Dates=H","DateFormat=P","Fill=—","Direction=H","UseDPDF=Y")</f>
        <v>4380</v>
      </c>
    </row>
    <row r="155" spans="1:12">
      <c r="A155" s="10" t="s">
        <v>1105</v>
      </c>
      <c r="B155" s="10" t="s">
        <v>1106</v>
      </c>
      <c r="C155" s="13">
        <f>_xll.BDH("RCOM IN Equity","ARDR_SHARES_AUTHORIZED","FY 2009","FY 2009","Currency=INR","Period=FY","BEST_FPERIOD_OVERRIDE=FY","FILING_STATUS=MR","EQY_CONSOLIDATED=Y","SCALING_FORMAT=MLN","Sort=A","Dates=H","DateFormat=P","Fill=—","Direction=H","UseDPDF=Y")</f>
        <v>3000</v>
      </c>
      <c r="D155" s="13">
        <f>_xll.BDH("RCOM IN Equity","ARDR_SHARES_AUTHORIZED","FY 2010","FY 2010","Currency=INR","Period=FY","BEST_FPERIOD_OVERRIDE=FY","FILING_STATUS=MR","EQY_CONSOLIDATED=Y","SCALING_FORMAT=MLN","Sort=A","Dates=H","DateFormat=P","Fill=—","Direction=H","UseDPDF=Y")</f>
        <v>3000</v>
      </c>
      <c r="E155" s="13">
        <f>_xll.BDH("RCOM IN Equity","ARDR_SHARES_AUTHORIZED","FY 2011","FY 2011","Currency=INR","Period=FY","BEST_FPERIOD_OVERRIDE=FY","FILING_STATUS=MR","EQY_CONSOLIDATED=Y","SCALING_FORMAT=MLN","Sort=A","Dates=H","DateFormat=P","Fill=—","Direction=H","UseDPDF=Y")</f>
        <v>3000</v>
      </c>
      <c r="F155" s="13">
        <f>_xll.BDH("RCOM IN Equity","ARDR_SHARES_AUTHORIZED","FY 2012","FY 2012","Currency=INR","Period=FY","BEST_FPERIOD_OVERRIDE=FY","FILING_STATUS=MR","EQY_CONSOLIDATED=Y","SCALING_FORMAT=MLN","Sort=A","Dates=H","DateFormat=P","Fill=—","Direction=H","UseDPDF=Y")</f>
        <v>3000</v>
      </c>
      <c r="G155" s="13">
        <f>_xll.BDH("RCOM IN Equity","ARDR_SHARES_AUTHORIZED","FY 2013","FY 2013","Currency=INR","Period=FY","BEST_FPERIOD_OVERRIDE=FY","FILING_STATUS=MR","EQY_CONSOLIDATED=Y","SCALING_FORMAT=MLN","Sort=A","Dates=H","DateFormat=P","Fill=—","Direction=H","UseDPDF=Y")</f>
        <v>5000</v>
      </c>
      <c r="H155" s="13">
        <f>_xll.BDH("RCOM IN Equity","ARDR_SHARES_AUTHORIZED","FY 2014","FY 2014","Currency=INR","Period=FY","BEST_FPERIOD_OVERRIDE=FY","FILING_STATUS=MR","EQY_CONSOLIDATED=Y","SCALING_FORMAT=MLN","Sort=A","Dates=H","DateFormat=P","Fill=—","Direction=H","UseDPDF=Y")</f>
        <v>5000</v>
      </c>
      <c r="I155" s="13">
        <f>_xll.BDH("RCOM IN Equity","ARDR_SHARES_AUTHORIZED","FY 2015","FY 2015","Currency=INR","Period=FY","BEST_FPERIOD_OVERRIDE=FY","FILING_STATUS=MR","EQY_CONSOLIDATED=Y","SCALING_FORMAT=MLN","Sort=A","Dates=H","DateFormat=P","Fill=—","Direction=H","UseDPDF=Y")</f>
        <v>5000</v>
      </c>
      <c r="J155" s="13">
        <f>_xll.BDH("RCOM IN Equity","ARDR_SHARES_AUTHORIZED","FY 2016","FY 2016","Currency=INR","Period=FY","BEST_FPERIOD_OVERRIDE=FY","FILING_STATUS=MR","EQY_CONSOLIDATED=Y","SCALING_FORMAT=MLN","Sort=A","Dates=H","DateFormat=P","Fill=—","Direction=H","UseDPDF=Y")</f>
        <v>500</v>
      </c>
      <c r="K155" s="13">
        <f>_xll.BDH("RCOM IN Equity","ARDR_SHARES_AUTHORIZED","FY 2017","FY 2017","Currency=INR","Period=FY","BEST_FPERIOD_OVERRIDE=FY","FILING_STATUS=MR","EQY_CONSOLIDATED=Y","SCALING_FORMAT=MLN","Sort=A","Dates=H","DateFormat=P","Fill=—","Direction=H","UseDPDF=Y")</f>
        <v>5000</v>
      </c>
      <c r="L155" s="13">
        <f>_xll.BDH("RCOM IN Equity","ARDR_SHARES_AUTHORIZED","FY 2018","FY 2018","Currency=INR","Period=FY","BEST_FPERIOD_OVERRIDE=FY","FILING_STATUS=MR","EQY_CONSOLIDATED=Y","SCALING_FORMAT=MLN","Sort=A","Dates=H","DateFormat=P","Fill=—","Direction=H","UseDPDF=Y")</f>
        <v>5000</v>
      </c>
    </row>
    <row r="156" spans="1:12">
      <c r="A156" s="10" t="s">
        <v>1107</v>
      </c>
      <c r="B156" s="10" t="s">
        <v>1108</v>
      </c>
      <c r="C156" s="13">
        <f>_xll.BDH("RCOM IN Equity","ARDR_FIXED_DEPOSITS","FY 2009","FY 2009","Currency=INR","Period=FY","BEST_FPERIOD_OVERRIDE=FY","FILING_STATUS=MR","EQY_CONSOLIDATED=Y","SCALING_FORMAT=MLN","Sort=A","Dates=H","DateFormat=P","Fill=—","Direction=H","UseDPDF=Y")</f>
        <v>6305.1</v>
      </c>
      <c r="D156" s="13">
        <f>_xll.BDH("RCOM IN Equity","ARDR_FIXED_DEPOSITS","FY 2010","FY 2010","Currency=INR","Period=FY","BEST_FPERIOD_OVERRIDE=FY","FILING_STATUS=MR","EQY_CONSOLIDATED=Y","SCALING_FORMAT=MLN","Sort=A","Dates=H","DateFormat=P","Fill=—","Direction=H","UseDPDF=Y")</f>
        <v>2605.1</v>
      </c>
      <c r="E156" s="13" t="str">
        <f>_xll.BDH("RCOM IN Equity","ARDR_FIXED_DEPOSITS","FY 2011","FY 2011","Currency=INR","Period=FY","BEST_FPERIOD_OVERRIDE=FY","FILING_STATUS=MR","EQY_CONSOLIDATED=Y","SCALING_FORMAT=MLN","Sort=A","Dates=H","DateFormat=P","Fill=—","Direction=H","UseDPDF=Y")</f>
        <v>—</v>
      </c>
      <c r="F156" s="13" t="str">
        <f>_xll.BDH("RCOM IN Equity","ARDR_FIXED_DEPOSITS","FY 2012","FY 2012","Currency=INR","Period=FY","BEST_FPERIOD_OVERRIDE=FY","FILING_STATUS=MR","EQY_CONSOLIDATED=Y","SCALING_FORMAT=MLN","Sort=A","Dates=H","DateFormat=P","Fill=—","Direction=H","UseDPDF=Y")</f>
        <v>—</v>
      </c>
      <c r="G156" s="13" t="str">
        <f>_xll.BDH("RCOM IN Equity","ARDR_FIXED_DEPOSITS","FY 2013","FY 2013","Currency=INR","Period=FY","BEST_FPERIOD_OVERRIDE=FY","FILING_STATUS=MR","EQY_CONSOLIDATED=Y","SCALING_FORMAT=MLN","Sort=A","Dates=H","DateFormat=P","Fill=—","Direction=H","UseDPDF=Y")</f>
        <v>—</v>
      </c>
      <c r="H156" s="13" t="str">
        <f>_xll.BDH("RCOM IN Equity","ARDR_FIXED_DEPOSITS","FY 2014","FY 2014","Currency=INR","Period=FY","BEST_FPERIOD_OVERRIDE=FY","FILING_STATUS=MR","EQY_CONSOLIDATED=Y","SCALING_FORMAT=MLN","Sort=A","Dates=H","DateFormat=P","Fill=—","Direction=H","UseDPDF=Y")</f>
        <v>—</v>
      </c>
      <c r="I156" s="13" t="str">
        <f>_xll.BDH("RCOM IN Equity","ARDR_FIXED_DEPOSITS","FY 2015","FY 2015","Currency=INR","Period=FY","BEST_FPERIOD_OVERRIDE=FY","FILING_STATUS=MR","EQY_CONSOLIDATED=Y","SCALING_FORMAT=MLN","Sort=A","Dates=H","DateFormat=P","Fill=—","Direction=H","UseDPDF=Y")</f>
        <v>—</v>
      </c>
      <c r="J156" s="13" t="str">
        <f>_xll.BDH("RCOM IN Equity","ARDR_FIXED_DEPOSITS","FY 2016","FY 2016","Currency=INR","Period=FY","BEST_FPERIOD_OVERRIDE=FY","FILING_STATUS=MR","EQY_CONSOLIDATED=Y","SCALING_FORMAT=MLN","Sort=A","Dates=H","DateFormat=P","Fill=—","Direction=H","UseDPDF=Y")</f>
        <v>—</v>
      </c>
      <c r="K156" s="13" t="str">
        <f>_xll.BDH("RCOM IN Equity","ARDR_FIXED_DEPOSITS","FY 2017","FY 2017","Currency=INR","Period=FY","BEST_FPERIOD_OVERRIDE=FY","FILING_STATUS=MR","EQY_CONSOLIDATED=Y","SCALING_FORMAT=MLN","Sort=A","Dates=H","DateFormat=P","Fill=—","Direction=H","UseDPDF=Y")</f>
        <v>—</v>
      </c>
      <c r="L156" s="13" t="str">
        <f>_xll.BDH("RCOM IN Equity","ARDR_FIXED_DEPOSITS","FY 2018","FY 2018","Currency=INR","Period=FY","BEST_FPERIOD_OVERRIDE=FY","FILING_STATUS=MR","EQY_CONSOLIDATED=Y","SCALING_FORMAT=MLN","Sort=A","Dates=H","DateFormat=P","Fill=—","Direction=H","UseDPDF=Y")</f>
        <v>—</v>
      </c>
    </row>
    <row r="157" spans="1:12">
      <c r="A157" s="10" t="s">
        <v>926</v>
      </c>
      <c r="B157" s="10" t="s">
        <v>1109</v>
      </c>
      <c r="C157" s="13" t="str">
        <f>_xll.BDH("RCOM IN Equity","ARDR_OTHER_FINL_ASSETS_ST","FY 2009","FY 2009","Currency=INR","Period=FY","BEST_FPERIOD_OVERRIDE=FY","FILING_STATUS=MR","EQY_CONSOLIDATED=Y","SCALING_FORMAT=MLN","Sort=A","Dates=H","DateFormat=P","Fill=—","Direction=H","UseDPDF=Y")</f>
        <v>—</v>
      </c>
      <c r="D157" s="13" t="str">
        <f>_xll.BDH("RCOM IN Equity","ARDR_OTHER_FINL_ASSETS_ST","FY 2010","FY 2010","Currency=INR","Period=FY","BEST_FPERIOD_OVERRIDE=FY","FILING_STATUS=MR","EQY_CONSOLIDATED=Y","SCALING_FORMAT=MLN","Sort=A","Dates=H","DateFormat=P","Fill=—","Direction=H","UseDPDF=Y")</f>
        <v>—</v>
      </c>
      <c r="E157" s="13" t="str">
        <f>_xll.BDH("RCOM IN Equity","ARDR_OTHER_FINL_ASSETS_ST","FY 2011","FY 2011","Currency=INR","Period=FY","BEST_FPERIOD_OVERRIDE=FY","FILING_STATUS=MR","EQY_CONSOLIDATED=Y","SCALING_FORMAT=MLN","Sort=A","Dates=H","DateFormat=P","Fill=—","Direction=H","UseDPDF=Y")</f>
        <v>—</v>
      </c>
      <c r="F157" s="13" t="str">
        <f>_xll.BDH("RCOM IN Equity","ARDR_OTHER_FINL_ASSETS_ST","FY 2012","FY 2012","Currency=INR","Period=FY","BEST_FPERIOD_OVERRIDE=FY","FILING_STATUS=MR","EQY_CONSOLIDATED=Y","SCALING_FORMAT=MLN","Sort=A","Dates=H","DateFormat=P","Fill=—","Direction=H","UseDPDF=Y")</f>
        <v>—</v>
      </c>
      <c r="G157" s="13" t="str">
        <f>_xll.BDH("RCOM IN Equity","ARDR_OTHER_FINL_ASSETS_ST","FY 2013","FY 2013","Currency=INR","Period=FY","BEST_FPERIOD_OVERRIDE=FY","FILING_STATUS=MR","EQY_CONSOLIDATED=Y","SCALING_FORMAT=MLN","Sort=A","Dates=H","DateFormat=P","Fill=—","Direction=H","UseDPDF=Y")</f>
        <v>—</v>
      </c>
      <c r="H157" s="13" t="str">
        <f>_xll.BDH("RCOM IN Equity","ARDR_OTHER_FINL_ASSETS_ST","FY 2014","FY 2014","Currency=INR","Period=FY","BEST_FPERIOD_OVERRIDE=FY","FILING_STATUS=MR","EQY_CONSOLIDATED=Y","SCALING_FORMAT=MLN","Sort=A","Dates=H","DateFormat=P","Fill=—","Direction=H","UseDPDF=Y")</f>
        <v>—</v>
      </c>
      <c r="I157" s="13" t="str">
        <f>_xll.BDH("RCOM IN Equity","ARDR_OTHER_FINL_ASSETS_ST","FY 2015","FY 2015","Currency=INR","Period=FY","BEST_FPERIOD_OVERRIDE=FY","FILING_STATUS=MR","EQY_CONSOLIDATED=Y","SCALING_FORMAT=MLN","Sort=A","Dates=H","DateFormat=P","Fill=—","Direction=H","UseDPDF=Y")</f>
        <v>—</v>
      </c>
      <c r="J157" s="13">
        <f>_xll.BDH("RCOM IN Equity","ARDR_OTHER_FINL_ASSETS_ST","FY 2016","FY 2016","Currency=INR","Period=FY","BEST_FPERIOD_OVERRIDE=FY","FILING_STATUS=MR","EQY_CONSOLIDATED=Y","SCALING_FORMAT=MLN","Sort=A","Dates=H","DateFormat=P","Fill=—","Direction=H","UseDPDF=Y")</f>
        <v>110</v>
      </c>
      <c r="K157" s="13">
        <f>_xll.BDH("RCOM IN Equity","ARDR_OTHER_FINL_ASSETS_ST","FY 2017","FY 2017","Currency=INR","Period=FY","BEST_FPERIOD_OVERRIDE=FY","FILING_STATUS=MR","EQY_CONSOLIDATED=Y","SCALING_FORMAT=MLN","Sort=A","Dates=H","DateFormat=P","Fill=—","Direction=H","UseDPDF=Y")</f>
        <v>1030</v>
      </c>
      <c r="L157" s="13">
        <f>_xll.BDH("RCOM IN Equity","ARDR_OTHER_FINL_ASSETS_ST","FY 2018","FY 2018","Currency=INR","Period=FY","BEST_FPERIOD_OVERRIDE=FY","FILING_STATUS=MR","EQY_CONSOLIDATED=Y","SCALING_FORMAT=MLN","Sort=A","Dates=H","DateFormat=P","Fill=—","Direction=H","UseDPDF=Y")</f>
        <v>710</v>
      </c>
    </row>
    <row r="158" spans="1:12">
      <c r="A158" s="10" t="s">
        <v>1110</v>
      </c>
      <c r="B158" s="10" t="s">
        <v>1111</v>
      </c>
      <c r="C158" s="13" t="str">
        <f>_xll.BDH("RCOM IN Equity","ARDR_PREPAYMENT_ADVANCE","FY 2009","FY 2009","Currency=INR","Period=FY","BEST_FPERIOD_OVERRIDE=FY","FILING_STATUS=MR","EQY_CONSOLIDATED=Y","SCALING_FORMAT=MLN","Sort=A","Dates=H","DateFormat=P","Fill=—","Direction=H","UseDPDF=Y")</f>
        <v>—</v>
      </c>
      <c r="D158" s="13" t="str">
        <f>_xll.BDH("RCOM IN Equity","ARDR_PREPAYMENT_ADVANCE","FY 2010","FY 2010","Currency=INR","Period=FY","BEST_FPERIOD_OVERRIDE=FY","FILING_STATUS=MR","EQY_CONSOLIDATED=Y","SCALING_FORMAT=MLN","Sort=A","Dates=H","DateFormat=P","Fill=—","Direction=H","UseDPDF=Y")</f>
        <v>—</v>
      </c>
      <c r="E158" s="13" t="str">
        <f>_xll.BDH("RCOM IN Equity","ARDR_PREPAYMENT_ADVANCE","FY 2011","FY 2011","Currency=INR","Period=FY","BEST_FPERIOD_OVERRIDE=FY","FILING_STATUS=MR","EQY_CONSOLIDATED=Y","SCALING_FORMAT=MLN","Sort=A","Dates=H","DateFormat=P","Fill=—","Direction=H","UseDPDF=Y")</f>
        <v>—</v>
      </c>
      <c r="F158" s="13" t="str">
        <f>_xll.BDH("RCOM IN Equity","ARDR_PREPAYMENT_ADVANCE","FY 2012","FY 2012","Currency=INR","Period=FY","BEST_FPERIOD_OVERRIDE=FY","FILING_STATUS=MR","EQY_CONSOLIDATED=Y","SCALING_FORMAT=MLN","Sort=A","Dates=H","DateFormat=P","Fill=—","Direction=H","UseDPDF=Y")</f>
        <v>—</v>
      </c>
      <c r="G158" s="13" t="str">
        <f>_xll.BDH("RCOM IN Equity","ARDR_PREPAYMENT_ADVANCE","FY 2013","FY 2013","Currency=INR","Period=FY","BEST_FPERIOD_OVERRIDE=FY","FILING_STATUS=MR","EQY_CONSOLIDATED=Y","SCALING_FORMAT=MLN","Sort=A","Dates=H","DateFormat=P","Fill=—","Direction=H","UseDPDF=Y")</f>
        <v>—</v>
      </c>
      <c r="H158" s="13" t="str">
        <f>_xll.BDH("RCOM IN Equity","ARDR_PREPAYMENT_ADVANCE","FY 2014","FY 2014","Currency=INR","Period=FY","BEST_FPERIOD_OVERRIDE=FY","FILING_STATUS=MR","EQY_CONSOLIDATED=Y","SCALING_FORMAT=MLN","Sort=A","Dates=H","DateFormat=P","Fill=—","Direction=H","UseDPDF=Y")</f>
        <v>—</v>
      </c>
      <c r="I158" s="13" t="str">
        <f>_xll.BDH("RCOM IN Equity","ARDR_PREPAYMENT_ADVANCE","FY 2015","FY 2015","Currency=INR","Period=FY","BEST_FPERIOD_OVERRIDE=FY","FILING_STATUS=MR","EQY_CONSOLIDATED=Y","SCALING_FORMAT=MLN","Sort=A","Dates=H","DateFormat=P","Fill=—","Direction=H","UseDPDF=Y")</f>
        <v>—</v>
      </c>
      <c r="J158" s="13">
        <f>_xll.BDH("RCOM IN Equity","ARDR_PREPAYMENT_ADVANCE","FY 2016","FY 2016","Currency=INR","Period=FY","BEST_FPERIOD_OVERRIDE=FY","FILING_STATUS=MR","EQY_CONSOLIDATED=Y","SCALING_FORMAT=MLN","Sort=A","Dates=H","DateFormat=P","Fill=—","Direction=H","UseDPDF=Y")</f>
        <v>42720</v>
      </c>
      <c r="K158" s="13">
        <f>_xll.BDH("RCOM IN Equity","ARDR_PREPAYMENT_ADVANCE","FY 2017","FY 2017","Currency=INR","Period=FY","BEST_FPERIOD_OVERRIDE=FY","FILING_STATUS=MR","EQY_CONSOLIDATED=Y","SCALING_FORMAT=MLN","Sort=A","Dates=H","DateFormat=P","Fill=—","Direction=H","UseDPDF=Y")</f>
        <v>50300</v>
      </c>
      <c r="L158" s="13">
        <f>_xll.BDH("RCOM IN Equity","ARDR_PREPAYMENT_ADVANCE","FY 2018","FY 2018","Currency=INR","Period=FY","BEST_FPERIOD_OVERRIDE=FY","FILING_STATUS=MR","EQY_CONSOLIDATED=Y","SCALING_FORMAT=MLN","Sort=A","Dates=H","DateFormat=P","Fill=—","Direction=H","UseDPDF=Y")</f>
        <v>31060</v>
      </c>
    </row>
    <row r="159" spans="1:12">
      <c r="A159" s="10" t="s">
        <v>1112</v>
      </c>
      <c r="B159" s="10" t="s">
        <v>1113</v>
      </c>
      <c r="C159" s="13" t="str">
        <f>_xll.BDH("RCOM IN Equity","ARDR_AUTH_COMMON_STOCKS_NUMBER","FY 2009","FY 2009","Currency=INR","Period=FY","BEST_FPERIOD_OVERRIDE=FY","FILING_STATUS=MR","EQY_CONSOLIDATED=Y","Sort=A","Dates=H","DateFormat=P","Fill=—","Direction=H","UseDPDF=Y")</f>
        <v>—</v>
      </c>
      <c r="D159" s="13" t="str">
        <f>_xll.BDH("RCOM IN Equity","ARDR_AUTH_COMMON_STOCKS_NUMBER","FY 2010","FY 2010","Currency=INR","Period=FY","BEST_FPERIOD_OVERRIDE=FY","FILING_STATUS=MR","EQY_CONSOLIDATED=Y","Sort=A","Dates=H","DateFormat=P","Fill=—","Direction=H","UseDPDF=Y")</f>
        <v>—</v>
      </c>
      <c r="E159" s="13" t="str">
        <f>_xll.BDH("RCOM IN Equity","ARDR_AUTH_COMMON_STOCKS_NUMBER","FY 2011","FY 2011","Currency=INR","Period=FY","BEST_FPERIOD_OVERRIDE=FY","FILING_STATUS=MR","EQY_CONSOLIDATED=Y","Sort=A","Dates=H","DateFormat=P","Fill=—","Direction=H","UseDPDF=Y")</f>
        <v>—</v>
      </c>
      <c r="F159" s="13" t="str">
        <f>_xll.BDH("RCOM IN Equity","ARDR_AUTH_COMMON_STOCKS_NUMBER","FY 2012","FY 2012","Currency=INR","Period=FY","BEST_FPERIOD_OVERRIDE=FY","FILING_STATUS=MR","EQY_CONSOLIDATED=Y","Sort=A","Dates=H","DateFormat=P","Fill=—","Direction=H","UseDPDF=Y")</f>
        <v>—</v>
      </c>
      <c r="G159" s="13" t="str">
        <f>_xll.BDH("RCOM IN Equity","ARDR_AUTH_COMMON_STOCKS_NUMBER","FY 2013","FY 2013","Currency=INR","Period=FY","BEST_FPERIOD_OVERRIDE=FY","FILING_STATUS=MR","EQY_CONSOLIDATED=Y","Sort=A","Dates=H","DateFormat=P","Fill=—","Direction=H","UseDPDF=Y")</f>
        <v>—</v>
      </c>
      <c r="H159" s="13" t="str">
        <f>_xll.BDH("RCOM IN Equity","ARDR_AUTH_COMMON_STOCKS_NUMBER","FY 2014","FY 2014","Currency=INR","Period=FY","BEST_FPERIOD_OVERRIDE=FY","FILING_STATUS=MR","EQY_CONSOLIDATED=Y","Sort=A","Dates=H","DateFormat=P","Fill=—","Direction=H","UseDPDF=Y")</f>
        <v>—</v>
      </c>
      <c r="I159" s="13" t="str">
        <f>_xll.BDH("RCOM IN Equity","ARDR_AUTH_COMMON_STOCKS_NUMBER","FY 2015","FY 2015","Currency=INR","Period=FY","BEST_FPERIOD_OVERRIDE=FY","FILING_STATUS=MR","EQY_CONSOLIDATED=Y","Sort=A","Dates=H","DateFormat=P","Fill=—","Direction=H","UseDPDF=Y")</f>
        <v>—</v>
      </c>
      <c r="J159" s="13">
        <f>_xll.BDH("RCOM IN Equity","ARDR_AUTH_COMMON_STOCKS_NUMBER","FY 2016","FY 2016","Currency=INR","Period=FY","BEST_FPERIOD_OVERRIDE=FY","FILING_STATUS=MR","EQY_CONSOLIDATED=Y","Sort=A","Dates=H","DateFormat=P","Fill=—","Direction=H","UseDPDF=Y")</f>
        <v>500</v>
      </c>
      <c r="K159" s="13">
        <f>_xll.BDH("RCOM IN Equity","ARDR_AUTH_COMMON_STOCKS_NUMBER","FY 2017","FY 2017","Currency=INR","Period=FY","BEST_FPERIOD_OVERRIDE=FY","FILING_STATUS=MR","EQY_CONSOLIDATED=Y","Sort=A","Dates=H","DateFormat=P","Fill=—","Direction=H","UseDPDF=Y")</f>
        <v>5000</v>
      </c>
      <c r="L159" s="13">
        <f>_xll.BDH("RCOM IN Equity","ARDR_AUTH_COMMON_STOCKS_NUMBER","FY 2018","FY 2018","Currency=INR","Period=FY","BEST_FPERIOD_OVERRIDE=FY","FILING_STATUS=MR","EQY_CONSOLIDATED=Y","Sort=A","Dates=H","DateFormat=P","Fill=—","Direction=H","UseDPDF=Y")</f>
        <v>5000</v>
      </c>
    </row>
    <row r="160" spans="1:12">
      <c r="A160" s="10" t="s">
        <v>1114</v>
      </c>
      <c r="B160" s="10" t="s">
        <v>1115</v>
      </c>
      <c r="C160" s="13" t="str">
        <f>_xll.BDH("RCOM IN Equity","ARDR_AUTH_COMM_CAPT_AMT","FY 2009","FY 2009","Currency=INR","Period=FY","BEST_FPERIOD_OVERRIDE=FY","FILING_STATUS=MR","EQY_CONSOLIDATED=Y","SCALING_FORMAT=MLN","Sort=A","Dates=H","DateFormat=P","Fill=—","Direction=H","UseDPDF=Y")</f>
        <v>—</v>
      </c>
      <c r="D160" s="13" t="str">
        <f>_xll.BDH("RCOM IN Equity","ARDR_AUTH_COMM_CAPT_AMT","FY 2010","FY 2010","Currency=INR","Period=FY","BEST_FPERIOD_OVERRIDE=FY","FILING_STATUS=MR","EQY_CONSOLIDATED=Y","SCALING_FORMAT=MLN","Sort=A","Dates=H","DateFormat=P","Fill=—","Direction=H","UseDPDF=Y")</f>
        <v>—</v>
      </c>
      <c r="E160" s="13" t="str">
        <f>_xll.BDH("RCOM IN Equity","ARDR_AUTH_COMM_CAPT_AMT","FY 2011","FY 2011","Currency=INR","Period=FY","BEST_FPERIOD_OVERRIDE=FY","FILING_STATUS=MR","EQY_CONSOLIDATED=Y","SCALING_FORMAT=MLN","Sort=A","Dates=H","DateFormat=P","Fill=—","Direction=H","UseDPDF=Y")</f>
        <v>—</v>
      </c>
      <c r="F160" s="13" t="str">
        <f>_xll.BDH("RCOM IN Equity","ARDR_AUTH_COMM_CAPT_AMT","FY 2012","FY 2012","Currency=INR","Period=FY","BEST_FPERIOD_OVERRIDE=FY","FILING_STATUS=MR","EQY_CONSOLIDATED=Y","SCALING_FORMAT=MLN","Sort=A","Dates=H","DateFormat=P","Fill=—","Direction=H","UseDPDF=Y")</f>
        <v>—</v>
      </c>
      <c r="G160" s="13" t="str">
        <f>_xll.BDH("RCOM IN Equity","ARDR_AUTH_COMM_CAPT_AMT","FY 2013","FY 2013","Currency=INR","Period=FY","BEST_FPERIOD_OVERRIDE=FY","FILING_STATUS=MR","EQY_CONSOLIDATED=Y","SCALING_FORMAT=MLN","Sort=A","Dates=H","DateFormat=P","Fill=—","Direction=H","UseDPDF=Y")</f>
        <v>—</v>
      </c>
      <c r="H160" s="13" t="str">
        <f>_xll.BDH("RCOM IN Equity","ARDR_AUTH_COMM_CAPT_AMT","FY 2014","FY 2014","Currency=INR","Period=FY","BEST_FPERIOD_OVERRIDE=FY","FILING_STATUS=MR","EQY_CONSOLIDATED=Y","SCALING_FORMAT=MLN","Sort=A","Dates=H","DateFormat=P","Fill=—","Direction=H","UseDPDF=Y")</f>
        <v>—</v>
      </c>
      <c r="I160" s="13" t="str">
        <f>_xll.BDH("RCOM IN Equity","ARDR_AUTH_COMM_CAPT_AMT","FY 2015","FY 2015","Currency=INR","Period=FY","BEST_FPERIOD_OVERRIDE=FY","FILING_STATUS=MR","EQY_CONSOLIDATED=Y","SCALING_FORMAT=MLN","Sort=A","Dates=H","DateFormat=P","Fill=—","Direction=H","UseDPDF=Y")</f>
        <v>—</v>
      </c>
      <c r="J160" s="13">
        <f>_xll.BDH("RCOM IN Equity","ARDR_AUTH_COMM_CAPT_AMT","FY 2016","FY 2016","Currency=INR","Period=FY","BEST_FPERIOD_OVERRIDE=FY","FILING_STATUS=MR","EQY_CONSOLIDATED=Y","SCALING_FORMAT=MLN","Sort=A","Dates=H","DateFormat=P","Fill=—","Direction=H","UseDPDF=Y")</f>
        <v>25000</v>
      </c>
      <c r="K160" s="13">
        <f>_xll.BDH("RCOM IN Equity","ARDR_AUTH_COMM_CAPT_AMT","FY 2017","FY 2017","Currency=INR","Period=FY","BEST_FPERIOD_OVERRIDE=FY","FILING_STATUS=MR","EQY_CONSOLIDATED=Y","SCALING_FORMAT=MLN","Sort=A","Dates=H","DateFormat=P","Fill=—","Direction=H","UseDPDF=Y")</f>
        <v>25000</v>
      </c>
      <c r="L160" s="13">
        <f>_xll.BDH("RCOM IN Equity","ARDR_AUTH_COMM_CAPT_AMT","FY 2018","FY 2018","Currency=INR","Period=FY","BEST_FPERIOD_OVERRIDE=FY","FILING_STATUS=MR","EQY_CONSOLIDATED=Y","SCALING_FORMAT=MLN","Sort=A","Dates=H","DateFormat=P","Fill=—","Direction=H","UseDPDF=Y")</f>
        <v>25000</v>
      </c>
    </row>
    <row r="161" spans="1:12">
      <c r="A161" s="10" t="s">
        <v>1116</v>
      </c>
      <c r="B161" s="10" t="s">
        <v>1117</v>
      </c>
      <c r="C161" s="13">
        <f>_xll.BDH("RCOM IN Equity","ARDR_BONDS_PAYABLE","FY 2009","FY 2009","Currency=INR","Period=FY","BEST_FPERIOD_OVERRIDE=FY","FILING_STATUS=MR","EQY_CONSOLIDATED=Y","SCALING_FORMAT=MLN","Sort=A","Dates=H","DateFormat=P","Fill=—","Direction=H","UseDPDF=Y")</f>
        <v>30000</v>
      </c>
      <c r="D161" s="13">
        <f>_xll.BDH("RCOM IN Equity","ARDR_BONDS_PAYABLE","FY 2010","FY 2010","Currency=INR","Period=FY","BEST_FPERIOD_OVERRIDE=FY","FILING_STATUS=MR","EQY_CONSOLIDATED=Y","SCALING_FORMAT=MLN","Sort=A","Dates=H","DateFormat=P","Fill=—","Direction=H","UseDPDF=Y")</f>
        <v>30000</v>
      </c>
      <c r="E161" s="13">
        <f>_xll.BDH("RCOM IN Equity","ARDR_BONDS_PAYABLE","FY 2011","FY 2011","Currency=INR","Period=FY","BEST_FPERIOD_OVERRIDE=FY","FILING_STATUS=MR","EQY_CONSOLIDATED=Y","SCALING_FORMAT=MLN","Sort=A","Dates=H","DateFormat=P","Fill=—","Direction=H","UseDPDF=Y")</f>
        <v>30000</v>
      </c>
      <c r="F161" s="13">
        <f>_xll.BDH("RCOM IN Equity","ARDR_BONDS_PAYABLE","FY 2012","FY 2012","Currency=INR","Period=FY","BEST_FPERIOD_OVERRIDE=FY","FILING_STATUS=MR","EQY_CONSOLIDATED=Y","SCALING_FORMAT=MLN","Sort=A","Dates=H","DateFormat=P","Fill=—","Direction=H","UseDPDF=Y")</f>
        <v>50000</v>
      </c>
      <c r="G161" s="13">
        <f>_xll.BDH("RCOM IN Equity","ARDR_BONDS_PAYABLE","FY 2013","FY 2013","Currency=INR","Period=FY","BEST_FPERIOD_OVERRIDE=FY","FILING_STATUS=MR","EQY_CONSOLIDATED=Y","SCALING_FORMAT=MLN","Sort=A","Dates=H","DateFormat=P","Fill=—","Direction=H","UseDPDF=Y")</f>
        <v>50000</v>
      </c>
      <c r="H161" s="13">
        <f>_xll.BDH("RCOM IN Equity","ARDR_BONDS_PAYABLE","FY 2014","FY 2014","Currency=INR","Period=FY","BEST_FPERIOD_OVERRIDE=FY","FILING_STATUS=MR","EQY_CONSOLIDATED=Y","SCALING_FORMAT=MLN","Sort=A","Dates=H","DateFormat=P","Fill=—","Direction=H","UseDPDF=Y")</f>
        <v>50000</v>
      </c>
      <c r="I161" s="13">
        <f>_xll.BDH("RCOM IN Equity","ARDR_BONDS_PAYABLE","FY 2015","FY 2015","Currency=INR","Period=FY","BEST_FPERIOD_OVERRIDE=FY","FILING_STATUS=MR","EQY_CONSOLIDATED=Y","SCALING_FORMAT=MLN","Sort=A","Dates=H","DateFormat=P","Fill=—","Direction=H","UseDPDF=Y")</f>
        <v>46250</v>
      </c>
      <c r="J161" s="13">
        <f>_xll.BDH("RCOM IN Equity","ARDR_BONDS_PAYABLE","FY 2016","FY 2016","Currency=INR","Period=FY","BEST_FPERIOD_OVERRIDE=FY","FILING_STATUS=MR","EQY_CONSOLIDATED=Y","SCALING_FORMAT=MLN","Sort=A","Dates=H","DateFormat=P","Fill=—","Direction=H","UseDPDF=Y")</f>
        <v>37500</v>
      </c>
      <c r="K161" s="13">
        <f>_xll.BDH("RCOM IN Equity","ARDR_BONDS_PAYABLE","FY 2017","FY 2017","Currency=INR","Period=FY","BEST_FPERIOD_OVERRIDE=FY","FILING_STATUS=MR","EQY_CONSOLIDATED=Y","SCALING_FORMAT=MLN","Sort=A","Dates=H","DateFormat=P","Fill=—","Direction=H","UseDPDF=Y")</f>
        <v>33750</v>
      </c>
      <c r="L161" s="13">
        <f>_xll.BDH("RCOM IN Equity","ARDR_BONDS_PAYABLE","FY 2018","FY 2018","Currency=INR","Period=FY","BEST_FPERIOD_OVERRIDE=FY","FILING_STATUS=MR","EQY_CONSOLIDATED=Y","SCALING_FORMAT=MLN","Sort=A","Dates=H","DateFormat=P","Fill=—","Direction=H","UseDPDF=Y")</f>
        <v>0</v>
      </c>
    </row>
    <row r="162" spans="1:12">
      <c r="A162" s="10" t="s">
        <v>1118</v>
      </c>
      <c r="B162" s="10" t="s">
        <v>1119</v>
      </c>
      <c r="C162" s="13">
        <f>_xll.BDH("RCOM IN Equity","ARDR_PLANT_AND_EQUIPMENT_GROSS","FY 2009","FY 2009","Currency=INR","Period=FY","BEST_FPERIOD_OVERRIDE=FY","FILING_STATUS=MR","EQY_CONSOLIDATED=Y","SCALING_FORMAT=MLN","Sort=A","Dates=H","DateFormat=P","Fill=—","Direction=H","UseDPDF=Y")</f>
        <v>515744.7</v>
      </c>
      <c r="D162" s="13">
        <f>_xll.BDH("RCOM IN Equity","ARDR_PLANT_AND_EQUIPMENT_GROSS","FY 2010","FY 2010","Currency=INR","Period=FY","BEST_FPERIOD_OVERRIDE=FY","FILING_STATUS=MR","EQY_CONSOLIDATED=Y","SCALING_FORMAT=MLN","Sort=A","Dates=H","DateFormat=P","Fill=—","Direction=H","UseDPDF=Y")</f>
        <v>546923.1</v>
      </c>
      <c r="E162" s="13">
        <f>_xll.BDH("RCOM IN Equity","ARDR_PLANT_AND_EQUIPMENT_GROSS","FY 2011","FY 2011","Currency=INR","Period=FY","BEST_FPERIOD_OVERRIDE=FY","FILING_STATUS=MR","EQY_CONSOLIDATED=Y","SCALING_FORMAT=MLN","Sort=A","Dates=H","DateFormat=P","Fill=—","Direction=H","UseDPDF=Y")</f>
        <v>575100</v>
      </c>
      <c r="F162" s="13">
        <f>_xll.BDH("RCOM IN Equity","ARDR_PLANT_AND_EQUIPMENT_GROSS","FY 2012","FY 2012","Currency=INR","Period=FY","BEST_FPERIOD_OVERRIDE=FY","FILING_STATUS=MR","EQY_CONSOLIDATED=Y","SCALING_FORMAT=MLN","Sort=A","Dates=H","DateFormat=P","Fill=—","Direction=H","UseDPDF=Y")</f>
        <v>653580</v>
      </c>
      <c r="G162" s="13">
        <f>_xll.BDH("RCOM IN Equity","ARDR_PLANT_AND_EQUIPMENT_GROSS","FY 2013","FY 2013","Currency=INR","Period=FY","BEST_FPERIOD_OVERRIDE=FY","FILING_STATUS=MR","EQY_CONSOLIDATED=Y","SCALING_FORMAT=MLN","Sort=A","Dates=H","DateFormat=P","Fill=—","Direction=H","UseDPDF=Y")</f>
        <v>701940</v>
      </c>
      <c r="H162" s="13">
        <f>_xll.BDH("RCOM IN Equity","ARDR_PLANT_AND_EQUIPMENT_GROSS","FY 2014","FY 2014","Currency=INR","Period=FY","BEST_FPERIOD_OVERRIDE=FY","FILING_STATUS=MR","EQY_CONSOLIDATED=Y","SCALING_FORMAT=MLN","Sort=A","Dates=H","DateFormat=P","Fill=—","Direction=H","UseDPDF=Y")</f>
        <v>749440</v>
      </c>
      <c r="I162" s="13">
        <f>_xll.BDH("RCOM IN Equity","ARDR_PLANT_AND_EQUIPMENT_GROSS","FY 2015","FY 2015","Currency=INR","Period=FY","BEST_FPERIOD_OVERRIDE=FY","FILING_STATUS=MR","EQY_CONSOLIDATED=Y","SCALING_FORMAT=MLN","Sort=A","Dates=H","DateFormat=P","Fill=—","Direction=H","UseDPDF=Y")</f>
        <v>771110</v>
      </c>
      <c r="J162" s="13" t="str">
        <f>_xll.BDH("RCOM IN Equity","ARDR_PLANT_AND_EQUIPMENT_GROSS","FY 2016","FY 2016","Currency=INR","Period=FY","BEST_FPERIOD_OVERRIDE=FY","FILING_STATUS=MR","EQY_CONSOLIDATED=Y","SCALING_FORMAT=MLN","Sort=A","Dates=H","DateFormat=P","Fill=—","Direction=H","UseDPDF=Y")</f>
        <v>—</v>
      </c>
      <c r="K162" s="13" t="str">
        <f>_xll.BDH("RCOM IN Equity","ARDR_PLANT_AND_EQUIPMENT_GROSS","FY 2017","FY 2017","Currency=INR","Period=FY","BEST_FPERIOD_OVERRIDE=FY","FILING_STATUS=MR","EQY_CONSOLIDATED=Y","SCALING_FORMAT=MLN","Sort=A","Dates=H","DateFormat=P","Fill=—","Direction=H","UseDPDF=Y")</f>
        <v>—</v>
      </c>
      <c r="L162" s="13" t="str">
        <f>_xll.BDH("RCOM IN Equity","ARDR_PLANT_AND_EQUIPMENT_GROSS","FY 2018","FY 2018","Currency=INR","Period=FY","BEST_FPERIOD_OVERRIDE=FY","FILING_STATUS=MR","EQY_CONSOLIDATED=Y","SCALING_FORMAT=MLN","Sort=A","Dates=H","DateFormat=P","Fill=—","Direction=H","UseDPDF=Y")</f>
        <v>—</v>
      </c>
    </row>
    <row r="163" spans="1:12">
      <c r="A163" s="10" t="s">
        <v>1120</v>
      </c>
      <c r="B163" s="10" t="s">
        <v>1121</v>
      </c>
      <c r="C163" s="13" t="str">
        <f>_xll.BDH("RCOM IN Equity","ARDR_CAP_COMMIT_CNT_NOT_PROVIDED","FY 2009","FY 2009","Currency=INR","Period=FY","BEST_FPERIOD_OVERRIDE=FY","FILING_STATUS=MR","EQY_CONSOLIDATED=Y","SCALING_FORMAT=MLN","Sort=A","Dates=H","DateFormat=P","Fill=—","Direction=H","UseDPDF=Y")</f>
        <v>—</v>
      </c>
      <c r="D163" s="13" t="str">
        <f>_xll.BDH("RCOM IN Equity","ARDR_CAP_COMMIT_CNT_NOT_PROVIDED","FY 2010","FY 2010","Currency=INR","Period=FY","BEST_FPERIOD_OVERRIDE=FY","FILING_STATUS=MR","EQY_CONSOLIDATED=Y","SCALING_FORMAT=MLN","Sort=A","Dates=H","DateFormat=P","Fill=—","Direction=H","UseDPDF=Y")</f>
        <v>—</v>
      </c>
      <c r="E163" s="13" t="str">
        <f>_xll.BDH("RCOM IN Equity","ARDR_CAP_COMMIT_CNT_NOT_PROVIDED","FY 2011","FY 2011","Currency=INR","Period=FY","BEST_FPERIOD_OVERRIDE=FY","FILING_STATUS=MR","EQY_CONSOLIDATED=Y","SCALING_FORMAT=MLN","Sort=A","Dates=H","DateFormat=P","Fill=—","Direction=H","UseDPDF=Y")</f>
        <v>—</v>
      </c>
      <c r="F163" s="13" t="str">
        <f>_xll.BDH("RCOM IN Equity","ARDR_CAP_COMMIT_CNT_NOT_PROVIDED","FY 2012","FY 2012","Currency=INR","Period=FY","BEST_FPERIOD_OVERRIDE=FY","FILING_STATUS=MR","EQY_CONSOLIDATED=Y","SCALING_FORMAT=MLN","Sort=A","Dates=H","DateFormat=P","Fill=—","Direction=H","UseDPDF=Y")</f>
        <v>—</v>
      </c>
      <c r="G163" s="13" t="str">
        <f>_xll.BDH("RCOM IN Equity","ARDR_CAP_COMMIT_CNT_NOT_PROVIDED","FY 2013","FY 2013","Currency=INR","Period=FY","BEST_FPERIOD_OVERRIDE=FY","FILING_STATUS=MR","EQY_CONSOLIDATED=Y","SCALING_FORMAT=MLN","Sort=A","Dates=H","DateFormat=P","Fill=—","Direction=H","UseDPDF=Y")</f>
        <v>—</v>
      </c>
      <c r="H163" s="13" t="str">
        <f>_xll.BDH("RCOM IN Equity","ARDR_CAP_COMMIT_CNT_NOT_PROVIDED","FY 2014","FY 2014","Currency=INR","Period=FY","BEST_FPERIOD_OVERRIDE=FY","FILING_STATUS=MR","EQY_CONSOLIDATED=Y","SCALING_FORMAT=MLN","Sort=A","Dates=H","DateFormat=P","Fill=—","Direction=H","UseDPDF=Y")</f>
        <v>—</v>
      </c>
      <c r="I163" s="13" t="str">
        <f>_xll.BDH("RCOM IN Equity","ARDR_CAP_COMMIT_CNT_NOT_PROVIDED","FY 2015","FY 2015","Currency=INR","Period=FY","BEST_FPERIOD_OVERRIDE=FY","FILING_STATUS=MR","EQY_CONSOLIDATED=Y","SCALING_FORMAT=MLN","Sort=A","Dates=H","DateFormat=P","Fill=—","Direction=H","UseDPDF=Y")</f>
        <v>—</v>
      </c>
      <c r="J163" s="13">
        <f>_xll.BDH("RCOM IN Equity","ARDR_CAP_COMMIT_CNT_NOT_PROVIDED","FY 2016","FY 2016","Currency=INR","Period=FY","BEST_FPERIOD_OVERRIDE=FY","FILING_STATUS=MR","EQY_CONSOLIDATED=Y","SCALING_FORMAT=MLN","Sort=A","Dates=H","DateFormat=P","Fill=—","Direction=H","UseDPDF=Y")</f>
        <v>10550</v>
      </c>
      <c r="K163" s="13">
        <f>_xll.BDH("RCOM IN Equity","ARDR_CAP_COMMIT_CNT_NOT_PROVIDED","FY 2017","FY 2017","Currency=INR","Period=FY","BEST_FPERIOD_OVERRIDE=FY","FILING_STATUS=MR","EQY_CONSOLIDATED=Y","SCALING_FORMAT=MLN","Sort=A","Dates=H","DateFormat=P","Fill=—","Direction=H","UseDPDF=Y")</f>
        <v>8920</v>
      </c>
      <c r="L163" s="13">
        <f>_xll.BDH("RCOM IN Equity","ARDR_CAP_COMMIT_CNT_NOT_PROVIDED","FY 2018","FY 2018","Currency=INR","Period=FY","BEST_FPERIOD_OVERRIDE=FY","FILING_STATUS=MR","EQY_CONSOLIDATED=Y","SCALING_FORMAT=MLN","Sort=A","Dates=H","DateFormat=P","Fill=—","Direction=H","UseDPDF=Y")</f>
        <v>1730</v>
      </c>
    </row>
    <row r="164" spans="1:12">
      <c r="A164" s="10" t="s">
        <v>1122</v>
      </c>
      <c r="B164" s="10" t="s">
        <v>1123</v>
      </c>
      <c r="C164" s="13">
        <f>_xll.BDH("RCOM IN Equity","ARDR_CASH_ON_HAND","FY 2009","FY 2009","Currency=INR","Period=FY","BEST_FPERIOD_OVERRIDE=FY","FILING_STATUS=MR","EQY_CONSOLIDATED=Y","SCALING_FORMAT=MLN","Sort=A","Dates=H","DateFormat=P","Fill=—","Direction=H","UseDPDF=Y")</f>
        <v>3.2</v>
      </c>
      <c r="D164" s="13">
        <f>_xll.BDH("RCOM IN Equity","ARDR_CASH_ON_HAND","FY 2010","FY 2010","Currency=INR","Period=FY","BEST_FPERIOD_OVERRIDE=FY","FILING_STATUS=MR","EQY_CONSOLIDATED=Y","SCALING_FORMAT=MLN","Sort=A","Dates=H","DateFormat=P","Fill=—","Direction=H","UseDPDF=Y")</f>
        <v>0.3</v>
      </c>
      <c r="E164" s="13">
        <f>_xll.BDH("RCOM IN Equity","ARDR_CASH_ON_HAND","FY 2011","FY 2011","Currency=INR","Period=FY","BEST_FPERIOD_OVERRIDE=FY","FILING_STATUS=MR","EQY_CONSOLIDATED=Y","SCALING_FORMAT=MLN","Sort=A","Dates=H","DateFormat=P","Fill=—","Direction=H","UseDPDF=Y")</f>
        <v>0</v>
      </c>
      <c r="F164" s="13">
        <f>_xll.BDH("RCOM IN Equity","ARDR_CASH_ON_HAND","FY 2012","FY 2012","Currency=INR","Period=FY","BEST_FPERIOD_OVERRIDE=FY","FILING_STATUS=MR","EQY_CONSOLIDATED=Y","SCALING_FORMAT=MLN","Sort=A","Dates=H","DateFormat=P","Fill=—","Direction=H","UseDPDF=Y")</f>
        <v>0</v>
      </c>
      <c r="G164" s="13">
        <f>_xll.BDH("RCOM IN Equity","ARDR_CASH_ON_HAND","FY 2013","FY 2013","Currency=INR","Period=FY","BEST_FPERIOD_OVERRIDE=FY","FILING_STATUS=MR","EQY_CONSOLIDATED=Y","SCALING_FORMAT=MLN","Sort=A","Dates=H","DateFormat=P","Fill=—","Direction=H","UseDPDF=Y")</f>
        <v>0</v>
      </c>
      <c r="H164" s="13">
        <f>_xll.BDH("RCOM IN Equity","ARDR_CASH_ON_HAND","FY 2014","FY 2014","Currency=INR","Period=FY","BEST_FPERIOD_OVERRIDE=FY","FILING_STATUS=MR","EQY_CONSOLIDATED=Y","SCALING_FORMAT=MLN","Sort=A","Dates=H","DateFormat=P","Fill=—","Direction=H","UseDPDF=Y")</f>
        <v>0</v>
      </c>
      <c r="I164" s="13">
        <f>_xll.BDH("RCOM IN Equity","ARDR_CASH_ON_HAND","FY 2015","FY 2015","Currency=INR","Period=FY","BEST_FPERIOD_OVERRIDE=FY","FILING_STATUS=MR","EQY_CONSOLIDATED=Y","SCALING_FORMAT=MLN","Sort=A","Dates=H","DateFormat=P","Fill=—","Direction=H","UseDPDF=Y")</f>
        <v>0</v>
      </c>
      <c r="J164" s="13">
        <f>_xll.BDH("RCOM IN Equity","ARDR_CASH_ON_HAND","FY 2016","FY 2016","Currency=INR","Period=FY","BEST_FPERIOD_OVERRIDE=FY","FILING_STATUS=MR","EQY_CONSOLIDATED=Y","SCALING_FORMAT=MLN","Sort=A","Dates=H","DateFormat=P","Fill=—","Direction=H","UseDPDF=Y")</f>
        <v>0</v>
      </c>
      <c r="K164" s="13">
        <f>_xll.BDH("RCOM IN Equity","ARDR_CASH_ON_HAND","FY 2017","FY 2017","Currency=INR","Period=FY","BEST_FPERIOD_OVERRIDE=FY","FILING_STATUS=MR","EQY_CONSOLIDATED=Y","SCALING_FORMAT=MLN","Sort=A","Dates=H","DateFormat=P","Fill=—","Direction=H","UseDPDF=Y")</f>
        <v>0</v>
      </c>
      <c r="L164" s="13">
        <f>_xll.BDH("RCOM IN Equity","ARDR_CASH_ON_HAND","FY 2018","FY 2018","Currency=INR","Period=FY","BEST_FPERIOD_OVERRIDE=FY","FILING_STATUS=MR","EQY_CONSOLIDATED=Y","SCALING_FORMAT=MLN","Sort=A","Dates=H","DateFormat=P","Fill=—","Direction=H","UseDPDF=Y")</f>
        <v>0</v>
      </c>
    </row>
    <row r="165" spans="1:12">
      <c r="A165" s="10" t="s">
        <v>1124</v>
      </c>
      <c r="B165" s="10" t="s">
        <v>1125</v>
      </c>
      <c r="C165" s="13" t="str">
        <f>_xll.BDH("RCOM IN Equity","ARDR_CONSTRUCTION_PROGRESS_NET","FY 2009","FY 2009","Currency=INR","Period=FY","BEST_FPERIOD_OVERRIDE=FY","FILING_STATUS=MR","EQY_CONSOLIDATED=Y","SCALING_FORMAT=MLN","Sort=A","Dates=H","DateFormat=P","Fill=—","Direction=H","UseDPDF=Y")</f>
        <v>—</v>
      </c>
      <c r="D165" s="13" t="str">
        <f>_xll.BDH("RCOM IN Equity","ARDR_CONSTRUCTION_PROGRESS_NET","FY 2010","FY 2010","Currency=INR","Period=FY","BEST_FPERIOD_OVERRIDE=FY","FILING_STATUS=MR","EQY_CONSOLIDATED=Y","SCALING_FORMAT=MLN","Sort=A","Dates=H","DateFormat=P","Fill=—","Direction=H","UseDPDF=Y")</f>
        <v>—</v>
      </c>
      <c r="E165" s="13" t="str">
        <f>_xll.BDH("RCOM IN Equity","ARDR_CONSTRUCTION_PROGRESS_NET","FY 2011","FY 2011","Currency=INR","Period=FY","BEST_FPERIOD_OVERRIDE=FY","FILING_STATUS=MR","EQY_CONSOLIDATED=Y","SCALING_FORMAT=MLN","Sort=A","Dates=H","DateFormat=P","Fill=—","Direction=H","UseDPDF=Y")</f>
        <v>—</v>
      </c>
      <c r="F165" s="13" t="str">
        <f>_xll.BDH("RCOM IN Equity","ARDR_CONSTRUCTION_PROGRESS_NET","FY 2012","FY 2012","Currency=INR","Period=FY","BEST_FPERIOD_OVERRIDE=FY","FILING_STATUS=MR","EQY_CONSOLIDATED=Y","SCALING_FORMAT=MLN","Sort=A","Dates=H","DateFormat=P","Fill=—","Direction=H","UseDPDF=Y")</f>
        <v>—</v>
      </c>
      <c r="G165" s="13" t="str">
        <f>_xll.BDH("RCOM IN Equity","ARDR_CONSTRUCTION_PROGRESS_NET","FY 2013","FY 2013","Currency=INR","Period=FY","BEST_FPERIOD_OVERRIDE=FY","FILING_STATUS=MR","EQY_CONSOLIDATED=Y","SCALING_FORMAT=MLN","Sort=A","Dates=H","DateFormat=P","Fill=—","Direction=H","UseDPDF=Y")</f>
        <v>—</v>
      </c>
      <c r="H165" s="13" t="str">
        <f>_xll.BDH("RCOM IN Equity","ARDR_CONSTRUCTION_PROGRESS_NET","FY 2014","FY 2014","Currency=INR","Period=FY","BEST_FPERIOD_OVERRIDE=FY","FILING_STATUS=MR","EQY_CONSOLIDATED=Y","SCALING_FORMAT=MLN","Sort=A","Dates=H","DateFormat=P","Fill=—","Direction=H","UseDPDF=Y")</f>
        <v>—</v>
      </c>
      <c r="I165" s="13">
        <f>_xll.BDH("RCOM IN Equity","ARDR_CONSTRUCTION_PROGRESS_NET","FY 2015","FY 2015","Currency=INR","Period=FY","BEST_FPERIOD_OVERRIDE=FY","FILING_STATUS=MR","EQY_CONSOLIDATED=Y","SCALING_FORMAT=MLN","Sort=A","Dates=H","DateFormat=P","Fill=—","Direction=H","UseDPDF=Y")</f>
        <v>26880</v>
      </c>
      <c r="J165" s="13">
        <f>_xll.BDH("RCOM IN Equity","ARDR_CONSTRUCTION_PROGRESS_NET","FY 2016","FY 2016","Currency=INR","Period=FY","BEST_FPERIOD_OVERRIDE=FY","FILING_STATUS=MR","EQY_CONSOLIDATED=Y","SCALING_FORMAT=MLN","Sort=A","Dates=H","DateFormat=P","Fill=—","Direction=H","UseDPDF=Y")</f>
        <v>17540</v>
      </c>
      <c r="K165" s="13">
        <f>_xll.BDH("RCOM IN Equity","ARDR_CONSTRUCTION_PROGRESS_NET","FY 2017","FY 2017","Currency=INR","Period=FY","BEST_FPERIOD_OVERRIDE=FY","FILING_STATUS=MR","EQY_CONSOLIDATED=Y","SCALING_FORMAT=MLN","Sort=A","Dates=H","DateFormat=P","Fill=—","Direction=H","UseDPDF=Y")</f>
        <v>19090</v>
      </c>
      <c r="L165" s="13">
        <f>_xll.BDH("RCOM IN Equity","ARDR_CONSTRUCTION_PROGRESS_NET","FY 2018","FY 2018","Currency=INR","Period=FY","BEST_FPERIOD_OVERRIDE=FY","FILING_STATUS=MR","EQY_CONSOLIDATED=Y","SCALING_FORMAT=MLN","Sort=A","Dates=H","DateFormat=P","Fill=—","Direction=H","UseDPDF=Y")</f>
        <v>2650</v>
      </c>
    </row>
    <row r="166" spans="1:12">
      <c r="A166" s="10" t="s">
        <v>1126</v>
      </c>
      <c r="B166" s="10" t="s">
        <v>1127</v>
      </c>
      <c r="C166" s="13" t="str">
        <f>_xll.BDH("RCOM IN Equity","ARDR_SPARES_AND_CONSUMABLES","FY 2009","FY 2009","Currency=INR","Period=FY","BEST_FPERIOD_OVERRIDE=FY","FILING_STATUS=MR","EQY_CONSOLIDATED=Y","SCALING_FORMAT=MLN","Sort=A","Dates=H","DateFormat=P","Fill=—","Direction=H","UseDPDF=Y")</f>
        <v>—</v>
      </c>
      <c r="D166" s="13" t="str">
        <f>_xll.BDH("RCOM IN Equity","ARDR_SPARES_AND_CONSUMABLES","FY 2010","FY 2010","Currency=INR","Period=FY","BEST_FPERIOD_OVERRIDE=FY","FILING_STATUS=MR","EQY_CONSOLIDATED=Y","SCALING_FORMAT=MLN","Sort=A","Dates=H","DateFormat=P","Fill=—","Direction=H","UseDPDF=Y")</f>
        <v>—</v>
      </c>
      <c r="E166" s="13" t="str">
        <f>_xll.BDH("RCOM IN Equity","ARDR_SPARES_AND_CONSUMABLES","FY 2011","FY 2011","Currency=INR","Period=FY","BEST_FPERIOD_OVERRIDE=FY","FILING_STATUS=MR","EQY_CONSOLIDATED=Y","SCALING_FORMAT=MLN","Sort=A","Dates=H","DateFormat=P","Fill=—","Direction=H","UseDPDF=Y")</f>
        <v>—</v>
      </c>
      <c r="F166" s="13" t="str">
        <f>_xll.BDH("RCOM IN Equity","ARDR_SPARES_AND_CONSUMABLES","FY 2012","FY 2012","Currency=INR","Period=FY","BEST_FPERIOD_OVERRIDE=FY","FILING_STATUS=MR","EQY_CONSOLIDATED=Y","SCALING_FORMAT=MLN","Sort=A","Dates=H","DateFormat=P","Fill=—","Direction=H","UseDPDF=Y")</f>
        <v>—</v>
      </c>
      <c r="G166" s="13" t="str">
        <f>_xll.BDH("RCOM IN Equity","ARDR_SPARES_AND_CONSUMABLES","FY 2013","FY 2013","Currency=INR","Period=FY","BEST_FPERIOD_OVERRIDE=FY","FILING_STATUS=MR","EQY_CONSOLIDATED=Y","SCALING_FORMAT=MLN","Sort=A","Dates=H","DateFormat=P","Fill=—","Direction=H","UseDPDF=Y")</f>
        <v>—</v>
      </c>
      <c r="H166" s="13" t="str">
        <f>_xll.BDH("RCOM IN Equity","ARDR_SPARES_AND_CONSUMABLES","FY 2014","FY 2014","Currency=INR","Period=FY","BEST_FPERIOD_OVERRIDE=FY","FILING_STATUS=MR","EQY_CONSOLIDATED=Y","SCALING_FORMAT=MLN","Sort=A","Dates=H","DateFormat=P","Fill=—","Direction=H","UseDPDF=Y")</f>
        <v>—</v>
      </c>
      <c r="I166" s="13">
        <f>_xll.BDH("RCOM IN Equity","ARDR_SPARES_AND_CONSUMABLES","FY 2015","FY 2015","Currency=INR","Period=FY","BEST_FPERIOD_OVERRIDE=FY","FILING_STATUS=MR","EQY_CONSOLIDATED=Y","SCALING_FORMAT=MLN","Sort=A","Dates=H","DateFormat=P","Fill=—","Direction=H","UseDPDF=Y")</f>
        <v>2450</v>
      </c>
      <c r="J166" s="13">
        <f>_xll.BDH("RCOM IN Equity","ARDR_SPARES_AND_CONSUMABLES","FY 2016","FY 2016","Currency=INR","Period=FY","BEST_FPERIOD_OVERRIDE=FY","FILING_STATUS=MR","EQY_CONSOLIDATED=Y","SCALING_FORMAT=MLN","Sort=A","Dates=H","DateFormat=P","Fill=—","Direction=H","UseDPDF=Y")</f>
        <v>1560</v>
      </c>
      <c r="K166" s="13">
        <f>_xll.BDH("RCOM IN Equity","ARDR_SPARES_AND_CONSUMABLES","FY 2017","FY 2017","Currency=INR","Period=FY","BEST_FPERIOD_OVERRIDE=FY","FILING_STATUS=MR","EQY_CONSOLIDATED=Y","SCALING_FORMAT=MLN","Sort=A","Dates=H","DateFormat=P","Fill=—","Direction=H","UseDPDF=Y")</f>
        <v>1230</v>
      </c>
      <c r="L166" s="13">
        <f>_xll.BDH("RCOM IN Equity","ARDR_SPARES_AND_CONSUMABLES","FY 2018","FY 2018","Currency=INR","Period=FY","BEST_FPERIOD_OVERRIDE=FY","FILING_STATUS=MR","EQY_CONSOLIDATED=Y","SCALING_FORMAT=MLN","Sort=A","Dates=H","DateFormat=P","Fill=—","Direction=H","UseDPDF=Y")</f>
        <v>770</v>
      </c>
    </row>
    <row r="167" spans="1:12">
      <c r="A167" s="10" t="s">
        <v>1128</v>
      </c>
      <c r="B167" s="10" t="s">
        <v>1129</v>
      </c>
      <c r="C167" s="13" t="str">
        <f>_xll.BDH("RCOM IN Equity","ARDR_EMPLOYEE_ENTITLE_NONCUR","FY 2009","FY 2009","Currency=INR","Period=FY","BEST_FPERIOD_OVERRIDE=FY","FILING_STATUS=MR","EQY_CONSOLIDATED=Y","SCALING_FORMAT=MLN","Sort=A","Dates=H","DateFormat=P","Fill=—","Direction=H","UseDPDF=Y")</f>
        <v>—</v>
      </c>
      <c r="D167" s="13" t="str">
        <f>_xll.BDH("RCOM IN Equity","ARDR_EMPLOYEE_ENTITLE_NONCUR","FY 2010","FY 2010","Currency=INR","Period=FY","BEST_FPERIOD_OVERRIDE=FY","FILING_STATUS=MR","EQY_CONSOLIDATED=Y","SCALING_FORMAT=MLN","Sort=A","Dates=H","DateFormat=P","Fill=—","Direction=H","UseDPDF=Y")</f>
        <v>—</v>
      </c>
      <c r="E167" s="13">
        <f>_xll.BDH("RCOM IN Equity","ARDR_EMPLOYEE_ENTITLE_NONCUR","FY 2011","FY 2011","Currency=INR","Period=FY","BEST_FPERIOD_OVERRIDE=FY","FILING_STATUS=MR","EQY_CONSOLIDATED=Y","SCALING_FORMAT=MLN","Sort=A","Dates=H","DateFormat=P","Fill=—","Direction=H","UseDPDF=Y")</f>
        <v>30</v>
      </c>
      <c r="F167" s="13">
        <f>_xll.BDH("RCOM IN Equity","ARDR_EMPLOYEE_ENTITLE_NONCUR","FY 2012","FY 2012","Currency=INR","Period=FY","BEST_FPERIOD_OVERRIDE=FY","FILING_STATUS=MR","EQY_CONSOLIDATED=Y","SCALING_FORMAT=MLN","Sort=A","Dates=H","DateFormat=P","Fill=—","Direction=H","UseDPDF=Y")</f>
        <v>630</v>
      </c>
      <c r="G167" s="13">
        <f>_xll.BDH("RCOM IN Equity","ARDR_EMPLOYEE_ENTITLE_NONCUR","FY 2013","FY 2013","Currency=INR","Period=FY","BEST_FPERIOD_OVERRIDE=FY","FILING_STATUS=MR","EQY_CONSOLIDATED=Y","SCALING_FORMAT=MLN","Sort=A","Dates=H","DateFormat=P","Fill=—","Direction=H","UseDPDF=Y")</f>
        <v>530</v>
      </c>
      <c r="H167" s="13">
        <f>_xll.BDH("RCOM IN Equity","ARDR_EMPLOYEE_ENTITLE_NONCUR","FY 2014","FY 2014","Currency=INR","Period=FY","BEST_FPERIOD_OVERRIDE=FY","FILING_STATUS=MR","EQY_CONSOLIDATED=Y","SCALING_FORMAT=MLN","Sort=A","Dates=H","DateFormat=P","Fill=—","Direction=H","UseDPDF=Y")</f>
        <v>530</v>
      </c>
      <c r="I167" s="13">
        <f>_xll.BDH("RCOM IN Equity","ARDR_EMPLOYEE_ENTITLE_NONCUR","FY 2015","FY 2015","Currency=INR","Period=FY","BEST_FPERIOD_OVERRIDE=FY","FILING_STATUS=MR","EQY_CONSOLIDATED=Y","SCALING_FORMAT=MLN","Sort=A","Dates=H","DateFormat=P","Fill=—","Direction=H","UseDPDF=Y")</f>
        <v>550</v>
      </c>
      <c r="J167" s="13">
        <f>_xll.BDH("RCOM IN Equity","ARDR_EMPLOYEE_ENTITLE_NONCUR","FY 2016","FY 2016","Currency=INR","Period=FY","BEST_FPERIOD_OVERRIDE=FY","FILING_STATUS=MR","EQY_CONSOLIDATED=Y","SCALING_FORMAT=MLN","Sort=A","Dates=H","DateFormat=P","Fill=—","Direction=H","UseDPDF=Y")</f>
        <v>700</v>
      </c>
      <c r="K167" s="13">
        <f>_xll.BDH("RCOM IN Equity","ARDR_EMPLOYEE_ENTITLE_NONCUR","FY 2017","FY 2017","Currency=INR","Period=FY","BEST_FPERIOD_OVERRIDE=FY","FILING_STATUS=MR","EQY_CONSOLIDATED=Y","SCALING_FORMAT=MLN","Sort=A","Dates=H","DateFormat=P","Fill=—","Direction=H","UseDPDF=Y")</f>
        <v>1060</v>
      </c>
      <c r="L167" s="13">
        <f>_xll.BDH("RCOM IN Equity","ARDR_EMPLOYEE_ENTITLE_NONCUR","FY 2018","FY 2018","Currency=INR","Period=FY","BEST_FPERIOD_OVERRIDE=FY","FILING_STATUS=MR","EQY_CONSOLIDATED=Y","SCALING_FORMAT=MLN","Sort=A","Dates=H","DateFormat=P","Fill=—","Direction=H","UseDPDF=Y")</f>
        <v>180</v>
      </c>
    </row>
    <row r="168" spans="1:12">
      <c r="A168" s="10" t="s">
        <v>1130</v>
      </c>
      <c r="B168" s="10" t="s">
        <v>1131</v>
      </c>
      <c r="C168" s="13">
        <f>_xll.BDH("RCOM IN Equity","ARDR_GENERAL_RESERVES","FY 2009","FY 2009","Currency=INR","Period=FY","BEST_FPERIOD_OVERRIDE=FY","FILING_STATUS=MR","EQY_CONSOLIDATED=Y","SCALING_FORMAT=MLN","Sort=A","Dates=H","DateFormat=P","Fill=—","Direction=H","UseDPDF=Y")</f>
        <v>240276.2</v>
      </c>
      <c r="D168" s="13">
        <f>_xll.BDH("RCOM IN Equity","ARDR_GENERAL_RESERVES","FY 2010","FY 2010","Currency=INR","Period=FY","BEST_FPERIOD_OVERRIDE=FY","FILING_STATUS=MR","EQY_CONSOLIDATED=Y","SCALING_FORMAT=MLN","Sort=A","Dates=H","DateFormat=P","Fill=—","Direction=H","UseDPDF=Y")</f>
        <v>223409.4</v>
      </c>
      <c r="E168" s="13">
        <f>_xll.BDH("RCOM IN Equity","ARDR_GENERAL_RESERVES","FY 2011","FY 2011","Currency=INR","Period=FY","BEST_FPERIOD_OVERRIDE=FY","FILING_STATUS=MR","EQY_CONSOLIDATED=Y","SCALING_FORMAT=MLN","Sort=A","Dates=H","DateFormat=P","Fill=—","Direction=H","UseDPDF=Y")</f>
        <v>181750</v>
      </c>
      <c r="F168" s="13">
        <f>_xll.BDH("RCOM IN Equity","ARDR_GENERAL_RESERVES","FY 2012","FY 2012","Currency=INR","Period=FY","BEST_FPERIOD_OVERRIDE=FY","FILING_STATUS=MR","EQY_CONSOLIDATED=Y","SCALING_FORMAT=MLN","Sort=A","Dates=H","DateFormat=P","Fill=—","Direction=H","UseDPDF=Y")</f>
        <v>134180</v>
      </c>
      <c r="G168" s="13">
        <f>_xll.BDH("RCOM IN Equity","ARDR_GENERAL_RESERVES","FY 2013","FY 2013","Currency=INR","Period=FY","BEST_FPERIOD_OVERRIDE=FY","FILING_STATUS=MR","EQY_CONSOLIDATED=Y","SCALING_FORMAT=MLN","Sort=A","Dates=H","DateFormat=P","Fill=—","Direction=H","UseDPDF=Y")</f>
        <v>107880</v>
      </c>
      <c r="H168" s="13">
        <f>_xll.BDH("RCOM IN Equity","ARDR_GENERAL_RESERVES","FY 2014","FY 2014","Currency=INR","Period=FY","BEST_FPERIOD_OVERRIDE=FY","FILING_STATUS=MR","EQY_CONSOLIDATED=Y","SCALING_FORMAT=MLN","Sort=A","Dates=H","DateFormat=P","Fill=—","Direction=H","UseDPDF=Y")</f>
        <v>84610</v>
      </c>
      <c r="I168" s="13">
        <f>_xll.BDH("RCOM IN Equity","ARDR_GENERAL_RESERVES","FY 2015","FY 2015","Currency=INR","Period=FY","BEST_FPERIOD_OVERRIDE=FY","FILING_STATUS=MR","EQY_CONSOLIDATED=Y","SCALING_FORMAT=MLN","Sort=A","Dates=H","DateFormat=P","Fill=—","Direction=H","UseDPDF=Y")</f>
        <v>64840</v>
      </c>
      <c r="J168" s="13">
        <f>_xll.BDH("RCOM IN Equity","ARDR_GENERAL_RESERVES","FY 2016","FY 2016","Currency=INR","Period=FY","BEST_FPERIOD_OVERRIDE=FY","FILING_STATUS=MR","EQY_CONSOLIDATED=Y","SCALING_FORMAT=MLN","Sort=A","Dates=H","DateFormat=P","Fill=—","Direction=H","UseDPDF=Y")</f>
        <v>43410</v>
      </c>
      <c r="K168" s="13">
        <f>_xll.BDH("RCOM IN Equity","ARDR_GENERAL_RESERVES","FY 2017","FY 2017","Currency=INR","Period=FY","BEST_FPERIOD_OVERRIDE=FY","FILING_STATUS=MR","EQY_CONSOLIDATED=Y","SCALING_FORMAT=MLN","Sort=A","Dates=H","DateFormat=P","Fill=—","Direction=H","UseDPDF=Y")</f>
        <v>24230</v>
      </c>
      <c r="L168" s="13">
        <f>_xll.BDH("RCOM IN Equity","ARDR_GENERAL_RESERVES","FY 2018","FY 2018","Currency=INR","Period=FY","BEST_FPERIOD_OVERRIDE=FY","FILING_STATUS=MR","EQY_CONSOLIDATED=Y","SCALING_FORMAT=MLN","Sort=A","Dates=H","DateFormat=P","Fill=—","Direction=H","UseDPDF=Y")</f>
        <v>340</v>
      </c>
    </row>
    <row r="169" spans="1:12">
      <c r="A169" s="10" t="s">
        <v>1132</v>
      </c>
      <c r="B169" s="10" t="s">
        <v>1133</v>
      </c>
      <c r="C169" s="13" t="str">
        <f>_xll.BDH("RCOM IN Equity","ARDR_EQY_INVEST_ASSOC_AFFILIATES","FY 2009","FY 2009","Currency=INR","Period=FY","BEST_FPERIOD_OVERRIDE=FY","FILING_STATUS=MR","EQY_CONSOLIDATED=Y","SCALING_FORMAT=MLN","Sort=A","Dates=H","DateFormat=P","Fill=—","Direction=H","UseDPDF=Y")</f>
        <v>—</v>
      </c>
      <c r="D169" s="13" t="str">
        <f>_xll.BDH("RCOM IN Equity","ARDR_EQY_INVEST_ASSOC_AFFILIATES","FY 2010","FY 2010","Currency=INR","Period=FY","BEST_FPERIOD_OVERRIDE=FY","FILING_STATUS=MR","EQY_CONSOLIDATED=Y","SCALING_FORMAT=MLN","Sort=A","Dates=H","DateFormat=P","Fill=—","Direction=H","UseDPDF=Y")</f>
        <v>—</v>
      </c>
      <c r="E169" s="13" t="str">
        <f>_xll.BDH("RCOM IN Equity","ARDR_EQY_INVEST_ASSOC_AFFILIATES","FY 2011","FY 2011","Currency=INR","Period=FY","BEST_FPERIOD_OVERRIDE=FY","FILING_STATUS=MR","EQY_CONSOLIDATED=Y","SCALING_FORMAT=MLN","Sort=A","Dates=H","DateFormat=P","Fill=—","Direction=H","UseDPDF=Y")</f>
        <v>—</v>
      </c>
      <c r="F169" s="13" t="str">
        <f>_xll.BDH("RCOM IN Equity","ARDR_EQY_INVEST_ASSOC_AFFILIATES","FY 2012","FY 2012","Currency=INR","Period=FY","BEST_FPERIOD_OVERRIDE=FY","FILING_STATUS=MR","EQY_CONSOLIDATED=Y","SCALING_FORMAT=MLN","Sort=A","Dates=H","DateFormat=P","Fill=—","Direction=H","UseDPDF=Y")</f>
        <v>—</v>
      </c>
      <c r="G169" s="13" t="str">
        <f>_xll.BDH("RCOM IN Equity","ARDR_EQY_INVEST_ASSOC_AFFILIATES","FY 2013","FY 2013","Currency=INR","Period=FY","BEST_FPERIOD_OVERRIDE=FY","FILING_STATUS=MR","EQY_CONSOLIDATED=Y","SCALING_FORMAT=MLN","Sort=A","Dates=H","DateFormat=P","Fill=—","Direction=H","UseDPDF=Y")</f>
        <v>—</v>
      </c>
      <c r="H169" s="13" t="str">
        <f>_xll.BDH("RCOM IN Equity","ARDR_EQY_INVEST_ASSOC_AFFILIATES","FY 2014","FY 2014","Currency=INR","Period=FY","BEST_FPERIOD_OVERRIDE=FY","FILING_STATUS=MR","EQY_CONSOLIDATED=Y","SCALING_FORMAT=MLN","Sort=A","Dates=H","DateFormat=P","Fill=—","Direction=H","UseDPDF=Y")</f>
        <v>—</v>
      </c>
      <c r="I169" s="13" t="str">
        <f>_xll.BDH("RCOM IN Equity","ARDR_EQY_INVEST_ASSOC_AFFILIATES","FY 2015","FY 2015","Currency=INR","Period=FY","BEST_FPERIOD_OVERRIDE=FY","FILING_STATUS=MR","EQY_CONSOLIDATED=Y","SCALING_FORMAT=MLN","Sort=A","Dates=H","DateFormat=P","Fill=—","Direction=H","UseDPDF=Y")</f>
        <v>—</v>
      </c>
      <c r="J169" s="13">
        <f>_xll.BDH("RCOM IN Equity","ARDR_EQY_INVEST_ASSOC_AFFILIATES","FY 2016","FY 2016","Currency=INR","Period=FY","BEST_FPERIOD_OVERRIDE=FY","FILING_STATUS=MR","EQY_CONSOLIDATED=Y","SCALING_FORMAT=MLN","Sort=A","Dates=H","DateFormat=P","Fill=—","Direction=H","UseDPDF=Y")</f>
        <v>300</v>
      </c>
      <c r="K169" s="13">
        <f>_xll.BDH("RCOM IN Equity","ARDR_EQY_INVEST_ASSOC_AFFILIATES","FY 2017","FY 2017","Currency=INR","Period=FY","BEST_FPERIOD_OVERRIDE=FY","FILING_STATUS=MR","EQY_CONSOLIDATED=Y","SCALING_FORMAT=MLN","Sort=A","Dates=H","DateFormat=P","Fill=—","Direction=H","UseDPDF=Y")</f>
        <v>320</v>
      </c>
      <c r="L169" s="13">
        <f>_xll.BDH("RCOM IN Equity","ARDR_EQY_INVEST_ASSOC_AFFILIATES","FY 2018","FY 2018","Currency=INR","Period=FY","BEST_FPERIOD_OVERRIDE=FY","FILING_STATUS=MR","EQY_CONSOLIDATED=Y","SCALING_FORMAT=MLN","Sort=A","Dates=H","DateFormat=P","Fill=—","Direction=H","UseDPDF=Y")</f>
        <v>210</v>
      </c>
    </row>
    <row r="170" spans="1:12">
      <c r="A170" s="10" t="s">
        <v>1134</v>
      </c>
      <c r="B170" s="10" t="s">
        <v>1135</v>
      </c>
      <c r="C170" s="13">
        <f>_xll.BDH("RCOM IN Equity","ARDR_OP_LEASES_EXP_2_TO_5YRS","FY 2009","FY 2009","Currency=INR","Period=FY","BEST_FPERIOD_OVERRIDE=FY","FILING_STATUS=MR","EQY_CONSOLIDATED=Y","SCALING_FORMAT=MLN","Sort=A","Dates=H","DateFormat=P","Fill=—","Direction=H","UseDPDF=Y")</f>
        <v>26.5</v>
      </c>
      <c r="D170" s="13">
        <f>_xll.BDH("RCOM IN Equity","ARDR_OP_LEASES_EXP_2_TO_5YRS","FY 2010","FY 2010","Currency=INR","Period=FY","BEST_FPERIOD_OVERRIDE=FY","FILING_STATUS=MR","EQY_CONSOLIDATED=Y","SCALING_FORMAT=MLN","Sort=A","Dates=H","DateFormat=P","Fill=—","Direction=H","UseDPDF=Y")</f>
        <v>20398.900000000001</v>
      </c>
      <c r="E170" s="13">
        <f>_xll.BDH("RCOM IN Equity","ARDR_OP_LEASES_EXP_2_TO_5YRS","FY 2011","FY 2011","Currency=INR","Period=FY","BEST_FPERIOD_OVERRIDE=FY","FILING_STATUS=MR","EQY_CONSOLIDATED=Y","SCALING_FORMAT=MLN","Sort=A","Dates=H","DateFormat=P","Fill=—","Direction=H","UseDPDF=Y")</f>
        <v>20</v>
      </c>
      <c r="F170" s="13">
        <f>_xll.BDH("RCOM IN Equity","ARDR_OP_LEASES_EXP_2_TO_5YRS","FY 2012","FY 2012","Currency=INR","Period=FY","BEST_FPERIOD_OVERRIDE=FY","FILING_STATUS=MR","EQY_CONSOLIDATED=Y","SCALING_FORMAT=MLN","Sort=A","Dates=H","DateFormat=P","Fill=—","Direction=H","UseDPDF=Y")</f>
        <v>20</v>
      </c>
      <c r="G170" s="13">
        <f>_xll.BDH("RCOM IN Equity","ARDR_OP_LEASES_EXP_2_TO_5YRS","FY 2013","FY 2013","Currency=INR","Period=FY","BEST_FPERIOD_OVERRIDE=FY","FILING_STATUS=MR","EQY_CONSOLIDATED=Y","SCALING_FORMAT=MLN","Sort=A","Dates=H","DateFormat=P","Fill=—","Direction=H","UseDPDF=Y")</f>
        <v>140</v>
      </c>
      <c r="H170" s="13">
        <f>_xll.BDH("RCOM IN Equity","ARDR_OP_LEASES_EXP_2_TO_5YRS","FY 2014","FY 2014","Currency=INR","Period=FY","BEST_FPERIOD_OVERRIDE=FY","FILING_STATUS=MR","EQY_CONSOLIDATED=Y","SCALING_FORMAT=MLN","Sort=A","Dates=H","DateFormat=P","Fill=—","Direction=H","UseDPDF=Y")</f>
        <v>460</v>
      </c>
      <c r="I170" s="13">
        <f>_xll.BDH("RCOM IN Equity","ARDR_OP_LEASES_EXP_2_TO_5YRS","FY 2015","FY 2015","Currency=INR","Period=FY","BEST_FPERIOD_OVERRIDE=FY","FILING_STATUS=MR","EQY_CONSOLIDATED=Y","SCALING_FORMAT=MLN","Sort=A","Dates=H","DateFormat=P","Fill=—","Direction=H","UseDPDF=Y")</f>
        <v>280</v>
      </c>
      <c r="J170" s="13">
        <f>_xll.BDH("RCOM IN Equity","ARDR_OP_LEASES_EXP_2_TO_5YRS","FY 2016","FY 2016","Currency=INR","Period=FY","BEST_FPERIOD_OVERRIDE=FY","FILING_STATUS=MR","EQY_CONSOLIDATED=Y","SCALING_FORMAT=MLN","Sort=A","Dates=H","DateFormat=P","Fill=—","Direction=H","UseDPDF=Y")</f>
        <v>400</v>
      </c>
      <c r="K170" s="13">
        <f>_xll.BDH("RCOM IN Equity","ARDR_OP_LEASES_EXP_2_TO_5YRS","FY 2017","FY 2017","Currency=INR","Period=FY","BEST_FPERIOD_OVERRIDE=FY","FILING_STATUS=MR","EQY_CONSOLIDATED=Y","SCALING_FORMAT=MLN","Sort=A","Dates=H","DateFormat=P","Fill=—","Direction=H","UseDPDF=Y")</f>
        <v>180</v>
      </c>
      <c r="L170" s="13">
        <f>_xll.BDH("RCOM IN Equity","ARDR_OP_LEASES_EXP_2_TO_5YRS","FY 2018","FY 2018","Currency=INR","Period=FY","BEST_FPERIOD_OVERRIDE=FY","FILING_STATUS=MR","EQY_CONSOLIDATED=Y","SCALING_FORMAT=MLN","Sort=A","Dates=H","DateFormat=P","Fill=—","Direction=H","UseDPDF=Y")</f>
        <v>0</v>
      </c>
    </row>
    <row r="171" spans="1:12">
      <c r="A171" s="10" t="s">
        <v>906</v>
      </c>
      <c r="B171" s="10" t="s">
        <v>1136</v>
      </c>
      <c r="C171" s="13" t="str">
        <f>_xll.BDH("RCOM IN Equity","ARDR_OTHER_FINL_ASSETS_LT","FY 2009","FY 2009","Currency=INR","Period=FY","BEST_FPERIOD_OVERRIDE=FY","FILING_STATUS=MR","EQY_CONSOLIDATED=Y","SCALING_FORMAT=MLN","Sort=A","Dates=H","DateFormat=P","Fill=—","Direction=H","UseDPDF=Y")</f>
        <v>—</v>
      </c>
      <c r="D171" s="13" t="str">
        <f>_xll.BDH("RCOM IN Equity","ARDR_OTHER_FINL_ASSETS_LT","FY 2010","FY 2010","Currency=INR","Period=FY","BEST_FPERIOD_OVERRIDE=FY","FILING_STATUS=MR","EQY_CONSOLIDATED=Y","SCALING_FORMAT=MLN","Sort=A","Dates=H","DateFormat=P","Fill=—","Direction=H","UseDPDF=Y")</f>
        <v>—</v>
      </c>
      <c r="E171" s="13" t="str">
        <f>_xll.BDH("RCOM IN Equity","ARDR_OTHER_FINL_ASSETS_LT","FY 2011","FY 2011","Currency=INR","Period=FY","BEST_FPERIOD_OVERRIDE=FY","FILING_STATUS=MR","EQY_CONSOLIDATED=Y","SCALING_FORMAT=MLN","Sort=A","Dates=H","DateFormat=P","Fill=—","Direction=H","UseDPDF=Y")</f>
        <v>—</v>
      </c>
      <c r="F171" s="13" t="str">
        <f>_xll.BDH("RCOM IN Equity","ARDR_OTHER_FINL_ASSETS_LT","FY 2012","FY 2012","Currency=INR","Period=FY","BEST_FPERIOD_OVERRIDE=FY","FILING_STATUS=MR","EQY_CONSOLIDATED=Y","SCALING_FORMAT=MLN","Sort=A","Dates=H","DateFormat=P","Fill=—","Direction=H","UseDPDF=Y")</f>
        <v>—</v>
      </c>
      <c r="G171" s="13" t="str">
        <f>_xll.BDH("RCOM IN Equity","ARDR_OTHER_FINL_ASSETS_LT","FY 2013","FY 2013","Currency=INR","Period=FY","BEST_FPERIOD_OVERRIDE=FY","FILING_STATUS=MR","EQY_CONSOLIDATED=Y","SCALING_FORMAT=MLN","Sort=A","Dates=H","DateFormat=P","Fill=—","Direction=H","UseDPDF=Y")</f>
        <v>—</v>
      </c>
      <c r="H171" s="13" t="str">
        <f>_xll.BDH("RCOM IN Equity","ARDR_OTHER_FINL_ASSETS_LT","FY 2014","FY 2014","Currency=INR","Period=FY","BEST_FPERIOD_OVERRIDE=FY","FILING_STATUS=MR","EQY_CONSOLIDATED=Y","SCALING_FORMAT=MLN","Sort=A","Dates=H","DateFormat=P","Fill=—","Direction=H","UseDPDF=Y")</f>
        <v>—</v>
      </c>
      <c r="I171" s="13" t="str">
        <f>_xll.BDH("RCOM IN Equity","ARDR_OTHER_FINL_ASSETS_LT","FY 2015","FY 2015","Currency=INR","Period=FY","BEST_FPERIOD_OVERRIDE=FY","FILING_STATUS=MR","EQY_CONSOLIDATED=Y","SCALING_FORMAT=MLN","Sort=A","Dates=H","DateFormat=P","Fill=—","Direction=H","UseDPDF=Y")</f>
        <v>—</v>
      </c>
      <c r="J171" s="13">
        <f>_xll.BDH("RCOM IN Equity","ARDR_OTHER_FINL_ASSETS_LT","FY 2016","FY 2016","Currency=INR","Period=FY","BEST_FPERIOD_OVERRIDE=FY","FILING_STATUS=MR","EQY_CONSOLIDATED=Y","SCALING_FORMAT=MLN","Sort=A","Dates=H","DateFormat=P","Fill=—","Direction=H","UseDPDF=Y")</f>
        <v>10</v>
      </c>
      <c r="K171" s="13">
        <f>_xll.BDH("RCOM IN Equity","ARDR_OTHER_FINL_ASSETS_LT","FY 2017","FY 2017","Currency=INR","Period=FY","BEST_FPERIOD_OVERRIDE=FY","FILING_STATUS=MR","EQY_CONSOLIDATED=Y","SCALING_FORMAT=MLN","Sort=A","Dates=H","DateFormat=P","Fill=—","Direction=H","UseDPDF=Y")</f>
        <v>580</v>
      </c>
      <c r="L171" s="13">
        <f>_xll.BDH("RCOM IN Equity","ARDR_OTHER_FINL_ASSETS_LT","FY 2018","FY 2018","Currency=INR","Period=FY","BEST_FPERIOD_OVERRIDE=FY","FILING_STATUS=MR","EQY_CONSOLIDATED=Y","SCALING_FORMAT=MLN","Sort=A","Dates=H","DateFormat=P","Fill=—","Direction=H","UseDPDF=Y")</f>
        <v>130</v>
      </c>
    </row>
    <row r="172" spans="1:12">
      <c r="A172" s="10" t="s">
        <v>1137</v>
      </c>
      <c r="B172" s="10" t="s">
        <v>1138</v>
      </c>
      <c r="C172" s="13" t="str">
        <f>_xll.BDH("RCOM IN Equity","ARDR_PROGRAM_RIGHT_FILM_NON_CURR","FY 2009","FY 2009","Currency=INR","Period=FY","BEST_FPERIOD_OVERRIDE=FY","FILING_STATUS=MR","EQY_CONSOLIDATED=Y","SCALING_FORMAT=MLN","Sort=A","Dates=H","DateFormat=P","Fill=—","Direction=H","UseDPDF=Y")</f>
        <v>—</v>
      </c>
      <c r="D172" s="13" t="str">
        <f>_xll.BDH("RCOM IN Equity","ARDR_PROGRAM_RIGHT_FILM_NON_CURR","FY 2010","FY 2010","Currency=INR","Period=FY","BEST_FPERIOD_OVERRIDE=FY","FILING_STATUS=MR","EQY_CONSOLIDATED=Y","SCALING_FORMAT=MLN","Sort=A","Dates=H","DateFormat=P","Fill=—","Direction=H","UseDPDF=Y")</f>
        <v>—</v>
      </c>
      <c r="E172" s="13" t="str">
        <f>_xll.BDH("RCOM IN Equity","ARDR_PROGRAM_RIGHT_FILM_NON_CURR","FY 2011","FY 2011","Currency=INR","Period=FY","BEST_FPERIOD_OVERRIDE=FY","FILING_STATUS=MR","EQY_CONSOLIDATED=Y","SCALING_FORMAT=MLN","Sort=A","Dates=H","DateFormat=P","Fill=—","Direction=H","UseDPDF=Y")</f>
        <v>—</v>
      </c>
      <c r="F172" s="13" t="str">
        <f>_xll.BDH("RCOM IN Equity","ARDR_PROGRAM_RIGHT_FILM_NON_CURR","FY 2012","FY 2012","Currency=INR","Period=FY","BEST_FPERIOD_OVERRIDE=FY","FILING_STATUS=MR","EQY_CONSOLIDATED=Y","SCALING_FORMAT=MLN","Sort=A","Dates=H","DateFormat=P","Fill=—","Direction=H","UseDPDF=Y")</f>
        <v>—</v>
      </c>
      <c r="G172" s="13" t="str">
        <f>_xll.BDH("RCOM IN Equity","ARDR_PROGRAM_RIGHT_FILM_NON_CURR","FY 2013","FY 2013","Currency=INR","Period=FY","BEST_FPERIOD_OVERRIDE=FY","FILING_STATUS=MR","EQY_CONSOLIDATED=Y","SCALING_FORMAT=MLN","Sort=A","Dates=H","DateFormat=P","Fill=—","Direction=H","UseDPDF=Y")</f>
        <v>—</v>
      </c>
      <c r="H172" s="13" t="str">
        <f>_xll.BDH("RCOM IN Equity","ARDR_PROGRAM_RIGHT_FILM_NON_CURR","FY 2014","FY 2014","Currency=INR","Period=FY","BEST_FPERIOD_OVERRIDE=FY","FILING_STATUS=MR","EQY_CONSOLIDATED=Y","SCALING_FORMAT=MLN","Sort=A","Dates=H","DateFormat=P","Fill=—","Direction=H","UseDPDF=Y")</f>
        <v>—</v>
      </c>
      <c r="I172" s="13" t="str">
        <f>_xll.BDH("RCOM IN Equity","ARDR_PROGRAM_RIGHT_FILM_NON_CURR","FY 2015","FY 2015","Currency=INR","Period=FY","BEST_FPERIOD_OVERRIDE=FY","FILING_STATUS=MR","EQY_CONSOLIDATED=Y","SCALING_FORMAT=MLN","Sort=A","Dates=H","DateFormat=P","Fill=—","Direction=H","UseDPDF=Y")</f>
        <v>—</v>
      </c>
      <c r="J172" s="13" t="str">
        <f>_xll.BDH("RCOM IN Equity","ARDR_PROGRAM_RIGHT_FILM_NON_CURR","FY 2016","FY 2016","Currency=INR","Period=FY","BEST_FPERIOD_OVERRIDE=FY","FILING_STATUS=MR","EQY_CONSOLIDATED=Y","SCALING_FORMAT=MLN","Sort=A","Dates=H","DateFormat=P","Fill=—","Direction=H","UseDPDF=Y")</f>
        <v>—</v>
      </c>
      <c r="K172" s="13" t="str">
        <f>_xll.BDH("RCOM IN Equity","ARDR_PROGRAM_RIGHT_FILM_NON_CURR","FY 2017","FY 2017","Currency=INR","Period=FY","BEST_FPERIOD_OVERRIDE=FY","FILING_STATUS=MR","EQY_CONSOLIDATED=Y","SCALING_FORMAT=MLN","Sort=A","Dates=H","DateFormat=P","Fill=—","Direction=H","UseDPDF=Y")</f>
        <v>—</v>
      </c>
      <c r="L172" s="13" t="str">
        <f>_xll.BDH("RCOM IN Equity","ARDR_PROGRAM_RIGHT_FILM_NON_CURR","FY 2018","FY 2018","Currency=INR","Period=FY","BEST_FPERIOD_OVERRIDE=FY","FILING_STATUS=MR","EQY_CONSOLIDATED=Y","SCALING_FORMAT=MLN","Sort=A","Dates=H","DateFormat=P","Fill=—","Direction=H","UseDPDF=Y")</f>
        <v>—</v>
      </c>
    </row>
    <row r="173" spans="1:12">
      <c r="A173" s="10" t="s">
        <v>1139</v>
      </c>
      <c r="B173" s="10" t="s">
        <v>1140</v>
      </c>
      <c r="C173" s="13">
        <f>_xll.BDH("RCOM IN Equity","ARDR_OTHER_TAX_PAYABLE","FY 2009","FY 2009","Currency=INR","Period=FY","BEST_FPERIOD_OVERRIDE=FY","FILING_STATUS=MR","EQY_CONSOLIDATED=Y","SCALING_FORMAT=MLN","Sort=A","Dates=H","DateFormat=P","Fill=—","Direction=H","UseDPDF=Y")</f>
        <v>313.60000000000002</v>
      </c>
      <c r="D173" s="13">
        <f>_xll.BDH("RCOM IN Equity","ARDR_OTHER_TAX_PAYABLE","FY 2010","FY 2010","Currency=INR","Period=FY","BEST_FPERIOD_OVERRIDE=FY","FILING_STATUS=MR","EQY_CONSOLIDATED=Y","SCALING_FORMAT=MLN","Sort=A","Dates=H","DateFormat=P","Fill=—","Direction=H","UseDPDF=Y")</f>
        <v>324.3</v>
      </c>
      <c r="E173" s="13">
        <f>_xll.BDH("RCOM IN Equity","ARDR_OTHER_TAX_PAYABLE","FY 2011","FY 2011","Currency=INR","Period=FY","BEST_FPERIOD_OVERRIDE=FY","FILING_STATUS=MR","EQY_CONSOLIDATED=Y","SCALING_FORMAT=MLN","Sort=A","Dates=H","DateFormat=P","Fill=—","Direction=H","UseDPDF=Y")</f>
        <v>200</v>
      </c>
      <c r="F173" s="13">
        <f>_xll.BDH("RCOM IN Equity","ARDR_OTHER_TAX_PAYABLE","FY 2012","FY 2012","Currency=INR","Period=FY","BEST_FPERIOD_OVERRIDE=FY","FILING_STATUS=MR","EQY_CONSOLIDATED=Y","SCALING_FORMAT=MLN","Sort=A","Dates=H","DateFormat=P","Fill=—","Direction=H","UseDPDF=Y")</f>
        <v>100</v>
      </c>
      <c r="G173" s="13">
        <f>_xll.BDH("RCOM IN Equity","ARDR_OTHER_TAX_PAYABLE","FY 2013","FY 2013","Currency=INR","Period=FY","BEST_FPERIOD_OVERRIDE=FY","FILING_STATUS=MR","EQY_CONSOLIDATED=Y","SCALING_FORMAT=MLN","Sort=A","Dates=H","DateFormat=P","Fill=—","Direction=H","UseDPDF=Y")</f>
        <v>110</v>
      </c>
      <c r="H173" s="13">
        <f>_xll.BDH("RCOM IN Equity","ARDR_OTHER_TAX_PAYABLE","FY 2014","FY 2014","Currency=INR","Period=FY","BEST_FPERIOD_OVERRIDE=FY","FILING_STATUS=MR","EQY_CONSOLIDATED=Y","SCALING_FORMAT=MLN","Sort=A","Dates=H","DateFormat=P","Fill=—","Direction=H","UseDPDF=Y")</f>
        <v>20</v>
      </c>
      <c r="I173" s="13">
        <f>_xll.BDH("RCOM IN Equity","ARDR_OTHER_TAX_PAYABLE","FY 2015","FY 2015","Currency=INR","Period=FY","BEST_FPERIOD_OVERRIDE=FY","FILING_STATUS=MR","EQY_CONSOLIDATED=Y","SCALING_FORMAT=MLN","Sort=A","Dates=H","DateFormat=P","Fill=—","Direction=H","UseDPDF=Y")</f>
        <v>10</v>
      </c>
      <c r="J173" s="13" t="str">
        <f>_xll.BDH("RCOM IN Equity","ARDR_OTHER_TAX_PAYABLE","FY 2016","FY 2016","Currency=INR","Period=FY","BEST_FPERIOD_OVERRIDE=FY","FILING_STATUS=MR","EQY_CONSOLIDATED=Y","SCALING_FORMAT=MLN","Sort=A","Dates=H","DateFormat=P","Fill=—","Direction=H","UseDPDF=Y")</f>
        <v>—</v>
      </c>
      <c r="K173" s="13" t="str">
        <f>_xll.BDH("RCOM IN Equity","ARDR_OTHER_TAX_PAYABLE","FY 2017","FY 2017","Currency=INR","Period=FY","BEST_FPERIOD_OVERRIDE=FY","FILING_STATUS=MR","EQY_CONSOLIDATED=Y","SCALING_FORMAT=MLN","Sort=A","Dates=H","DateFormat=P","Fill=—","Direction=H","UseDPDF=Y")</f>
        <v>—</v>
      </c>
      <c r="L173" s="13" t="str">
        <f>_xll.BDH("RCOM IN Equity","ARDR_OTHER_TAX_PAYABLE","FY 2018","FY 2018","Currency=INR","Period=FY","BEST_FPERIOD_OVERRIDE=FY","FILING_STATUS=MR","EQY_CONSOLIDATED=Y","SCALING_FORMAT=MLN","Sort=A","Dates=H","DateFormat=P","Fill=—","Direction=H","UseDPDF=Y")</f>
        <v>—</v>
      </c>
    </row>
    <row r="174" spans="1:12">
      <c r="A174" s="10" t="s">
        <v>1141</v>
      </c>
      <c r="B174" s="10" t="s">
        <v>1142</v>
      </c>
      <c r="C174" s="13" t="str">
        <f>_xll.BDH("RCOM IN Equity","ARDR_PLANT_MACHINERY_EQUIP_GROSS","FY 2009","FY 2009","Currency=INR","Period=FY","BEST_FPERIOD_OVERRIDE=FY","FILING_STATUS=MR","EQY_CONSOLIDATED=Y","SCALING_FORMAT=MLN","Sort=A","Dates=H","DateFormat=P","Fill=—","Direction=H","UseDPDF=Y")</f>
        <v>—</v>
      </c>
      <c r="D174" s="13" t="str">
        <f>_xll.BDH("RCOM IN Equity","ARDR_PLANT_MACHINERY_EQUIP_GROSS","FY 2010","FY 2010","Currency=INR","Period=FY","BEST_FPERIOD_OVERRIDE=FY","FILING_STATUS=MR","EQY_CONSOLIDATED=Y","SCALING_FORMAT=MLN","Sort=A","Dates=H","DateFormat=P","Fill=—","Direction=H","UseDPDF=Y")</f>
        <v>—</v>
      </c>
      <c r="E174" s="13" t="str">
        <f>_xll.BDH("RCOM IN Equity","ARDR_PLANT_MACHINERY_EQUIP_GROSS","FY 2011","FY 2011","Currency=INR","Period=FY","BEST_FPERIOD_OVERRIDE=FY","FILING_STATUS=MR","EQY_CONSOLIDATED=Y","SCALING_FORMAT=MLN","Sort=A","Dates=H","DateFormat=P","Fill=—","Direction=H","UseDPDF=Y")</f>
        <v>—</v>
      </c>
      <c r="F174" s="13" t="str">
        <f>_xll.BDH("RCOM IN Equity","ARDR_PLANT_MACHINERY_EQUIP_GROSS","FY 2012","FY 2012","Currency=INR","Period=FY","BEST_FPERIOD_OVERRIDE=FY","FILING_STATUS=MR","EQY_CONSOLIDATED=Y","SCALING_FORMAT=MLN","Sort=A","Dates=H","DateFormat=P","Fill=—","Direction=H","UseDPDF=Y")</f>
        <v>—</v>
      </c>
      <c r="G174" s="13" t="str">
        <f>_xll.BDH("RCOM IN Equity","ARDR_PLANT_MACHINERY_EQUIP_GROSS","FY 2013","FY 2013","Currency=INR","Period=FY","BEST_FPERIOD_OVERRIDE=FY","FILING_STATUS=MR","EQY_CONSOLIDATED=Y","SCALING_FORMAT=MLN","Sort=A","Dates=H","DateFormat=P","Fill=—","Direction=H","UseDPDF=Y")</f>
        <v>—</v>
      </c>
      <c r="H174" s="13" t="str">
        <f>_xll.BDH("RCOM IN Equity","ARDR_PLANT_MACHINERY_EQUIP_GROSS","FY 2014","FY 2014","Currency=INR","Period=FY","BEST_FPERIOD_OVERRIDE=FY","FILING_STATUS=MR","EQY_CONSOLIDATED=Y","SCALING_FORMAT=MLN","Sort=A","Dates=H","DateFormat=P","Fill=—","Direction=H","UseDPDF=Y")</f>
        <v>—</v>
      </c>
      <c r="I174" s="13" t="str">
        <f>_xll.BDH("RCOM IN Equity","ARDR_PLANT_MACHINERY_EQUIP_GROSS","FY 2015","FY 2015","Currency=INR","Period=FY","BEST_FPERIOD_OVERRIDE=FY","FILING_STATUS=MR","EQY_CONSOLIDATED=Y","SCALING_FORMAT=MLN","Sort=A","Dates=H","DateFormat=P","Fill=—","Direction=H","UseDPDF=Y")</f>
        <v>—</v>
      </c>
      <c r="J174" s="13">
        <f>_xll.BDH("RCOM IN Equity","ARDR_PLANT_MACHINERY_EQUIP_GROSS","FY 2016","FY 2016","Currency=INR","Period=FY","BEST_FPERIOD_OVERRIDE=FY","FILING_STATUS=MR","EQY_CONSOLIDATED=Y","SCALING_FORMAT=MLN","Sort=A","Dates=H","DateFormat=P","Fill=—","Direction=H","UseDPDF=Y")</f>
        <v>680160</v>
      </c>
      <c r="K174" s="13">
        <f>_xll.BDH("RCOM IN Equity","ARDR_PLANT_MACHINERY_EQUIP_GROSS","FY 2017","FY 2017","Currency=INR","Period=FY","BEST_FPERIOD_OVERRIDE=FY","FILING_STATUS=MR","EQY_CONSOLIDATED=Y","SCALING_FORMAT=MLN","Sort=A","Dates=H","DateFormat=P","Fill=—","Direction=H","UseDPDF=Y")</f>
        <v>697280</v>
      </c>
      <c r="L174" s="13">
        <f>_xll.BDH("RCOM IN Equity","ARDR_PLANT_MACHINERY_EQUIP_GROSS","FY 2018","FY 2018","Currency=INR","Period=FY","BEST_FPERIOD_OVERRIDE=FY","FILING_STATUS=MR","EQY_CONSOLIDATED=Y","SCALING_FORMAT=MLN","Sort=A","Dates=H","DateFormat=P","Fill=—","Direction=H","UseDPDF=Y")</f>
        <v>334910</v>
      </c>
    </row>
    <row r="175" spans="1:12">
      <c r="A175" s="10" t="s">
        <v>1143</v>
      </c>
      <c r="B175" s="10" t="s">
        <v>1144</v>
      </c>
      <c r="C175" s="13">
        <f>_xll.BDH("RCOM IN Equity","ARDR_DUE_TO_BANKS_ST","FY 2009","FY 2009","Currency=INR","Period=FY","BEST_FPERIOD_OVERRIDE=FY","FILING_STATUS=MR","EQY_CONSOLIDATED=Y","SCALING_FORMAT=MLN","Sort=A","Dates=H","DateFormat=P","Fill=—","Direction=H","UseDPDF=Y")</f>
        <v>109168.8</v>
      </c>
      <c r="D175" s="13">
        <f>_xll.BDH("RCOM IN Equity","ARDR_DUE_TO_BANKS_ST","FY 2010","FY 2010","Currency=INR","Period=FY","BEST_FPERIOD_OVERRIDE=FY","FILING_STATUS=MR","EQY_CONSOLIDATED=Y","SCALING_FORMAT=MLN","Sort=A","Dates=H","DateFormat=P","Fill=—","Direction=H","UseDPDF=Y")</f>
        <v>91679</v>
      </c>
      <c r="E175" s="13">
        <f>_xll.BDH("RCOM IN Equity","ARDR_DUE_TO_BANKS_ST","FY 2011","FY 2011","Currency=INR","Period=FY","BEST_FPERIOD_OVERRIDE=FY","FILING_STATUS=MR","EQY_CONSOLIDATED=Y","SCALING_FORMAT=MLN","Sort=A","Dates=H","DateFormat=P","Fill=—","Direction=H","UseDPDF=Y")</f>
        <v>16780</v>
      </c>
      <c r="F175" s="13">
        <f>_xll.BDH("RCOM IN Equity","ARDR_DUE_TO_BANKS_ST","FY 2012","FY 2012","Currency=INR","Period=FY","BEST_FPERIOD_OVERRIDE=FY","FILING_STATUS=MR","EQY_CONSOLIDATED=Y","SCALING_FORMAT=MLN","Sort=A","Dates=H","DateFormat=P","Fill=—","Direction=H","UseDPDF=Y")</f>
        <v>45850</v>
      </c>
      <c r="G175" s="13">
        <f>_xll.BDH("RCOM IN Equity","ARDR_DUE_TO_BANKS_ST","FY 2013","FY 2013","Currency=INR","Period=FY","BEST_FPERIOD_OVERRIDE=FY","FILING_STATUS=MR","EQY_CONSOLIDATED=Y","SCALING_FORMAT=MLN","Sort=A","Dates=H","DateFormat=P","Fill=—","Direction=H","UseDPDF=Y")</f>
        <v>83630</v>
      </c>
      <c r="H175" s="13">
        <f>_xll.BDH("RCOM IN Equity","ARDR_DUE_TO_BANKS_ST","FY 2014","FY 2014","Currency=INR","Period=FY","BEST_FPERIOD_OVERRIDE=FY","FILING_STATUS=MR","EQY_CONSOLIDATED=Y","SCALING_FORMAT=MLN","Sort=A","Dates=H","DateFormat=P","Fill=—","Direction=H","UseDPDF=Y")</f>
        <v>86360</v>
      </c>
      <c r="I175" s="13">
        <f>_xll.BDH("RCOM IN Equity","ARDR_DUE_TO_BANKS_ST","FY 2015","FY 2015","Currency=INR","Period=FY","BEST_FPERIOD_OVERRIDE=FY","FILING_STATUS=MR","EQY_CONSOLIDATED=Y","SCALING_FORMAT=MLN","Sort=A","Dates=H","DateFormat=P","Fill=—","Direction=H","UseDPDF=Y")</f>
        <v>15870</v>
      </c>
      <c r="J175" s="13">
        <f>_xll.BDH("RCOM IN Equity","ARDR_DUE_TO_BANKS_ST","FY 2016","FY 2016","Currency=INR","Period=FY","BEST_FPERIOD_OVERRIDE=FY","FILING_STATUS=MR","EQY_CONSOLIDATED=Y","SCALING_FORMAT=MLN","Sort=A","Dates=H","DateFormat=P","Fill=—","Direction=H","UseDPDF=Y")</f>
        <v>42540</v>
      </c>
      <c r="K175" s="13">
        <f>_xll.BDH("RCOM IN Equity","ARDR_DUE_TO_BANKS_ST","FY 2017","FY 2017","Currency=INR","Period=FY","BEST_FPERIOD_OVERRIDE=FY","FILING_STATUS=MR","EQY_CONSOLIDATED=Y","SCALING_FORMAT=MLN","Sort=A","Dates=H","DateFormat=P","Fill=—","Direction=H","UseDPDF=Y")</f>
        <v>62500</v>
      </c>
      <c r="L175" s="13">
        <f>_xll.BDH("RCOM IN Equity","ARDR_DUE_TO_BANKS_ST","FY 2018","FY 2018","Currency=INR","Period=FY","BEST_FPERIOD_OVERRIDE=FY","FILING_STATUS=MR","EQY_CONSOLIDATED=Y","SCALING_FORMAT=MLN","Sort=A","Dates=H","DateFormat=P","Fill=—","Direction=H","UseDPDF=Y")</f>
        <v>53300</v>
      </c>
    </row>
    <row r="176" spans="1:12">
      <c r="A176" s="10" t="s">
        <v>1145</v>
      </c>
      <c r="B176" s="10" t="s">
        <v>1146</v>
      </c>
      <c r="C176" s="13">
        <f>_xll.BDH("RCOM IN Equity","ARDR_OTHER_PROVISIONS_CURRENT","FY 2009","FY 2009","Currency=INR","Period=FY","BEST_FPERIOD_OVERRIDE=FY","FILING_STATUS=MR","EQY_CONSOLIDATED=Y","SCALING_FORMAT=MLN","Sort=A","Dates=H","DateFormat=P","Fill=—","Direction=H","UseDPDF=Y")</f>
        <v>32785</v>
      </c>
      <c r="D176" s="13">
        <f>_xll.BDH("RCOM IN Equity","ARDR_OTHER_PROVISIONS_CURRENT","FY 2010","FY 2010","Currency=INR","Period=FY","BEST_FPERIOD_OVERRIDE=FY","FILING_STATUS=MR","EQY_CONSOLIDATED=Y","SCALING_FORMAT=MLN","Sort=A","Dates=H","DateFormat=P","Fill=—","Direction=H","UseDPDF=Y")</f>
        <v>29861.200000000001</v>
      </c>
      <c r="E176" s="13">
        <f>_xll.BDH("RCOM IN Equity","ARDR_OTHER_PROVISIONS_CURRENT","FY 2011","FY 2011","Currency=INR","Period=FY","BEST_FPERIOD_OVERRIDE=FY","FILING_STATUS=MR","EQY_CONSOLIDATED=Y","SCALING_FORMAT=MLN","Sort=A","Dates=H","DateFormat=P","Fill=—","Direction=H","UseDPDF=Y")</f>
        <v>26470</v>
      </c>
      <c r="F176" s="13">
        <f>_xll.BDH("RCOM IN Equity","ARDR_OTHER_PROVISIONS_CURRENT","FY 2012","FY 2012","Currency=INR","Period=FY","BEST_FPERIOD_OVERRIDE=FY","FILING_STATUS=MR","EQY_CONSOLIDATED=Y","SCALING_FORMAT=MLN","Sort=A","Dates=H","DateFormat=P","Fill=—","Direction=H","UseDPDF=Y")</f>
        <v>24990</v>
      </c>
      <c r="G176" s="13">
        <f>_xll.BDH("RCOM IN Equity","ARDR_OTHER_PROVISIONS_CURRENT","FY 2013","FY 2013","Currency=INR","Period=FY","BEST_FPERIOD_OVERRIDE=FY","FILING_STATUS=MR","EQY_CONSOLIDATED=Y","SCALING_FORMAT=MLN","Sort=A","Dates=H","DateFormat=P","Fill=—","Direction=H","UseDPDF=Y")</f>
        <v>17030</v>
      </c>
      <c r="H176" s="13">
        <f>_xll.BDH("RCOM IN Equity","ARDR_OTHER_PROVISIONS_CURRENT","FY 2014","FY 2014","Currency=INR","Period=FY","BEST_FPERIOD_OVERRIDE=FY","FILING_STATUS=MR","EQY_CONSOLIDATED=Y","SCALING_FORMAT=MLN","Sort=A","Dates=H","DateFormat=P","Fill=—","Direction=H","UseDPDF=Y")</f>
        <v>12150</v>
      </c>
      <c r="I176" s="13">
        <f>_xll.BDH("RCOM IN Equity","ARDR_OTHER_PROVISIONS_CURRENT","FY 2015","FY 2015","Currency=INR","Period=FY","BEST_FPERIOD_OVERRIDE=FY","FILING_STATUS=MR","EQY_CONSOLIDATED=Y","SCALING_FORMAT=MLN","Sort=A","Dates=H","DateFormat=P","Fill=—","Direction=H","UseDPDF=Y")</f>
        <v>12150</v>
      </c>
      <c r="J176" s="13">
        <f>_xll.BDH("RCOM IN Equity","ARDR_OTHER_PROVISIONS_CURRENT","FY 2016","FY 2016","Currency=INR","Period=FY","BEST_FPERIOD_OVERRIDE=FY","FILING_STATUS=MR","EQY_CONSOLIDATED=Y","SCALING_FORMAT=MLN","Sort=A","Dates=H","DateFormat=P","Fill=—","Direction=H","UseDPDF=Y")</f>
        <v>12160</v>
      </c>
      <c r="K176" s="13">
        <f>_xll.BDH("RCOM IN Equity","ARDR_OTHER_PROVISIONS_CURRENT","FY 2017","FY 2017","Currency=INR","Period=FY","BEST_FPERIOD_OVERRIDE=FY","FILING_STATUS=MR","EQY_CONSOLIDATED=Y","SCALING_FORMAT=MLN","Sort=A","Dates=H","DateFormat=P","Fill=—","Direction=H","UseDPDF=Y")</f>
        <v>12160</v>
      </c>
      <c r="L176" s="13">
        <f>_xll.BDH("RCOM IN Equity","ARDR_OTHER_PROVISIONS_CURRENT","FY 2018","FY 2018","Currency=INR","Period=FY","BEST_FPERIOD_OVERRIDE=FY","FILING_STATUS=MR","EQY_CONSOLIDATED=Y","SCALING_FORMAT=MLN","Sort=A","Dates=H","DateFormat=P","Fill=—","Direction=H","UseDPDF=Y")</f>
        <v>12160</v>
      </c>
    </row>
    <row r="177" spans="1:12">
      <c r="A177" s="10" t="s">
        <v>1147</v>
      </c>
      <c r="B177" s="10" t="s">
        <v>1148</v>
      </c>
      <c r="C177" s="13" t="str">
        <f>_xll.BDH("RCOM IN Equity","ARDR_DEBT_IN_FOREIGN_CURRENCY","FY 2009","FY 2009","Currency=INR","Period=FY","BEST_FPERIOD_OVERRIDE=FY","FILING_STATUS=MR","EQY_CONSOLIDATED=Y","SCALING_FORMAT=MLN","Sort=A","Dates=H","DateFormat=P","Fill=—","Direction=H","UseDPDF=Y")</f>
        <v>—</v>
      </c>
      <c r="D177" s="13" t="str">
        <f>_xll.BDH("RCOM IN Equity","ARDR_DEBT_IN_FOREIGN_CURRENCY","FY 2010","FY 2010","Currency=INR","Period=FY","BEST_FPERIOD_OVERRIDE=FY","FILING_STATUS=MR","EQY_CONSOLIDATED=Y","SCALING_FORMAT=MLN","Sort=A","Dates=H","DateFormat=P","Fill=—","Direction=H","UseDPDF=Y")</f>
        <v>—</v>
      </c>
      <c r="E177" s="13" t="str">
        <f>_xll.BDH("RCOM IN Equity","ARDR_DEBT_IN_FOREIGN_CURRENCY","FY 2011","FY 2011","Currency=INR","Period=FY","BEST_FPERIOD_OVERRIDE=FY","FILING_STATUS=MR","EQY_CONSOLIDATED=Y","SCALING_FORMAT=MLN","Sort=A","Dates=H","DateFormat=P","Fill=—","Direction=H","UseDPDF=Y")</f>
        <v>—</v>
      </c>
      <c r="F177" s="13" t="str">
        <f>_xll.BDH("RCOM IN Equity","ARDR_DEBT_IN_FOREIGN_CURRENCY","FY 2012","FY 2012","Currency=INR","Period=FY","BEST_FPERIOD_OVERRIDE=FY","FILING_STATUS=MR","EQY_CONSOLIDATED=Y","SCALING_FORMAT=MLN","Sort=A","Dates=H","DateFormat=P","Fill=—","Direction=H","UseDPDF=Y")</f>
        <v>—</v>
      </c>
      <c r="G177" s="13" t="str">
        <f>_xll.BDH("RCOM IN Equity","ARDR_DEBT_IN_FOREIGN_CURRENCY","FY 2013","FY 2013","Currency=INR","Period=FY","BEST_FPERIOD_OVERRIDE=FY","FILING_STATUS=MR","EQY_CONSOLIDATED=Y","SCALING_FORMAT=MLN","Sort=A","Dates=H","DateFormat=P","Fill=—","Direction=H","UseDPDF=Y")</f>
        <v>—</v>
      </c>
      <c r="H177" s="13" t="str">
        <f>_xll.BDH("RCOM IN Equity","ARDR_DEBT_IN_FOREIGN_CURRENCY","FY 2014","FY 2014","Currency=INR","Period=FY","BEST_FPERIOD_OVERRIDE=FY","FILING_STATUS=MR","EQY_CONSOLIDATED=Y","SCALING_FORMAT=MLN","Sort=A","Dates=H","DateFormat=P","Fill=—","Direction=H","UseDPDF=Y")</f>
        <v>—</v>
      </c>
      <c r="I177" s="13" t="str">
        <f>_xll.BDH("RCOM IN Equity","ARDR_DEBT_IN_FOREIGN_CURRENCY","FY 2015","FY 2015","Currency=INR","Period=FY","BEST_FPERIOD_OVERRIDE=FY","FILING_STATUS=MR","EQY_CONSOLIDATED=Y","SCALING_FORMAT=MLN","Sort=A","Dates=H","DateFormat=P","Fill=—","Direction=H","UseDPDF=Y")</f>
        <v>—</v>
      </c>
      <c r="J177" s="13">
        <f>_xll.BDH("RCOM IN Equity","ARDR_DEBT_IN_FOREIGN_CURRENCY","FY 2016","FY 2016","Currency=INR","Period=FY","BEST_FPERIOD_OVERRIDE=FY","FILING_STATUS=MR","EQY_CONSOLIDATED=Y","SCALING_FORMAT=MLN","Sort=A","Dates=H","DateFormat=P","Fill=—","Direction=H","UseDPDF=Y")</f>
        <v>200250</v>
      </c>
      <c r="K177" s="13">
        <f>_xll.BDH("RCOM IN Equity","ARDR_DEBT_IN_FOREIGN_CURRENCY","FY 2017","FY 2017","Currency=INR","Period=FY","BEST_FPERIOD_OVERRIDE=FY","FILING_STATUS=MR","EQY_CONSOLIDATED=Y","SCALING_FORMAT=MLN","Sort=A","Dates=H","DateFormat=P","Fill=—","Direction=H","UseDPDF=Y")</f>
        <v>160350</v>
      </c>
      <c r="L177" s="13">
        <f>_xll.BDH("RCOM IN Equity","ARDR_DEBT_IN_FOREIGN_CURRENCY","FY 2018","FY 2018","Currency=INR","Period=FY","BEST_FPERIOD_OVERRIDE=FY","FILING_STATUS=MR","EQY_CONSOLIDATED=Y","SCALING_FORMAT=MLN","Sort=A","Dates=H","DateFormat=P","Fill=—","Direction=H","UseDPDF=Y")</f>
        <v>19660</v>
      </c>
    </row>
    <row r="178" spans="1:12">
      <c r="A178" s="10" t="s">
        <v>1149</v>
      </c>
      <c r="B178" s="10" t="s">
        <v>1150</v>
      </c>
      <c r="C178" s="13">
        <f>_xll.BDH("RCOM IN Equity","ARDR_SECURED_INT_BEARING_LIABS","FY 2009","FY 2009","Currency=INR","Period=FY","BEST_FPERIOD_OVERRIDE=FY","FILING_STATUS=MR","EQY_CONSOLIDATED=Y","SCALING_FORMAT=MLN","Sort=A","Dates=H","DateFormat=P","Fill=—","Direction=H","UseDPDF=Y")</f>
        <v>30000</v>
      </c>
      <c r="D178" s="13">
        <f>_xll.BDH("RCOM IN Equity","ARDR_SECURED_INT_BEARING_LIABS","FY 2010","FY 2010","Currency=INR","Period=FY","BEST_FPERIOD_OVERRIDE=FY","FILING_STATUS=MR","EQY_CONSOLIDATED=Y","SCALING_FORMAT=MLN","Sort=A","Dates=H","DateFormat=P","Fill=—","Direction=H","UseDPDF=Y")</f>
        <v>30000</v>
      </c>
      <c r="E178" s="13">
        <f>_xll.BDH("RCOM IN Equity","ARDR_SECURED_INT_BEARING_LIABS","FY 2011","FY 2011","Currency=INR","Period=FY","BEST_FPERIOD_OVERRIDE=FY","FILING_STATUS=MR","EQY_CONSOLIDATED=Y","SCALING_FORMAT=MLN","Sort=A","Dates=H","DateFormat=P","Fill=—","Direction=H","UseDPDF=Y")</f>
        <v>216930</v>
      </c>
      <c r="F178" s="13">
        <f>_xll.BDH("RCOM IN Equity","ARDR_SECURED_INT_BEARING_LIABS","FY 2012","FY 2012","Currency=INR","Period=FY","BEST_FPERIOD_OVERRIDE=FY","FILING_STATUS=MR","EQY_CONSOLIDATED=Y","SCALING_FORMAT=MLN","Sort=A","Dates=H","DateFormat=P","Fill=—","Direction=H","UseDPDF=Y")</f>
        <v>359640</v>
      </c>
      <c r="G178" s="13">
        <f>_xll.BDH("RCOM IN Equity","ARDR_SECURED_INT_BEARING_LIABS","FY 2013","FY 2013","Currency=INR","Period=FY","BEST_FPERIOD_OVERRIDE=FY","FILING_STATUS=MR","EQY_CONSOLIDATED=Y","SCALING_FORMAT=MLN","Sort=A","Dates=H","DateFormat=P","Fill=—","Direction=H","UseDPDF=Y")</f>
        <v>395400</v>
      </c>
      <c r="H178" s="13">
        <f>_xll.BDH("RCOM IN Equity","ARDR_SECURED_INT_BEARING_LIABS","FY 2014","FY 2014","Currency=INR","Period=FY","BEST_FPERIOD_OVERRIDE=FY","FILING_STATUS=MR","EQY_CONSOLIDATED=Y","SCALING_FORMAT=MLN","Sort=A","Dates=H","DateFormat=P","Fill=—","Direction=H","UseDPDF=Y")</f>
        <v>390890</v>
      </c>
      <c r="I178" s="13">
        <f>_xll.BDH("RCOM IN Equity","ARDR_SECURED_INT_BEARING_LIABS","FY 2015","FY 2015","Currency=INR","Period=FY","BEST_FPERIOD_OVERRIDE=FY","FILING_STATUS=MR","EQY_CONSOLIDATED=Y","SCALING_FORMAT=MLN","Sort=A","Dates=H","DateFormat=P","Fill=—","Direction=H","UseDPDF=Y")</f>
        <v>382640</v>
      </c>
      <c r="J178" s="13">
        <f>_xll.BDH("RCOM IN Equity","ARDR_SECURED_INT_BEARING_LIABS","FY 2016","FY 2016","Currency=INR","Period=FY","BEST_FPERIOD_OVERRIDE=FY","FILING_STATUS=MR","EQY_CONSOLIDATED=Y","SCALING_FORMAT=MLN","Sort=A","Dates=H","DateFormat=P","Fill=—","Direction=H","UseDPDF=Y")</f>
        <v>402620</v>
      </c>
      <c r="K178" s="13">
        <f>_xll.BDH("RCOM IN Equity","ARDR_SECURED_INT_BEARING_LIABS","FY 2017","FY 2017","Currency=INR","Period=FY","BEST_FPERIOD_OVERRIDE=FY","FILING_STATUS=MR","EQY_CONSOLIDATED=Y","SCALING_FORMAT=MLN","Sort=A","Dates=H","DateFormat=P","Fill=—","Direction=H","UseDPDF=Y")</f>
        <v>368080</v>
      </c>
      <c r="L178" s="13">
        <f>_xll.BDH("RCOM IN Equity","ARDR_SECURED_INT_BEARING_LIABS","FY 2018","FY 2018","Currency=INR","Period=FY","BEST_FPERIOD_OVERRIDE=FY","FILING_STATUS=MR","EQY_CONSOLIDATED=Y","SCALING_FORMAT=MLN","Sort=A","Dates=H","DateFormat=P","Fill=—","Direction=H","UseDPDF=Y")</f>
        <v>184000</v>
      </c>
    </row>
    <row r="179" spans="1:12">
      <c r="A179" s="10" t="s">
        <v>1151</v>
      </c>
      <c r="B179" s="10" t="s">
        <v>1152</v>
      </c>
      <c r="C179" s="13" t="str">
        <f>_xll.BDH("RCOM IN Equity","ARDR_PENSION_POSTRETIRE_PROVS_ST","FY 2009","FY 2009","Currency=INR","Period=FY","BEST_FPERIOD_OVERRIDE=FY","FILING_STATUS=MR","EQY_CONSOLIDATED=Y","SCALING_FORMAT=MLN","Sort=A","Dates=H","DateFormat=P","Fill=—","Direction=H","UseDPDF=Y")</f>
        <v>—</v>
      </c>
      <c r="D179" s="13" t="str">
        <f>_xll.BDH("RCOM IN Equity","ARDR_PENSION_POSTRETIRE_PROVS_ST","FY 2010","FY 2010","Currency=INR","Period=FY","BEST_FPERIOD_OVERRIDE=FY","FILING_STATUS=MR","EQY_CONSOLIDATED=Y","SCALING_FORMAT=MLN","Sort=A","Dates=H","DateFormat=P","Fill=—","Direction=H","UseDPDF=Y")</f>
        <v>—</v>
      </c>
      <c r="E179" s="13" t="str">
        <f>_xll.BDH("RCOM IN Equity","ARDR_PENSION_POSTRETIRE_PROVS_ST","FY 2011","FY 2011","Currency=INR","Period=FY","BEST_FPERIOD_OVERRIDE=FY","FILING_STATUS=MR","EQY_CONSOLIDATED=Y","SCALING_FORMAT=MLN","Sort=A","Dates=H","DateFormat=P","Fill=—","Direction=H","UseDPDF=Y")</f>
        <v>—</v>
      </c>
      <c r="F179" s="13" t="str">
        <f>_xll.BDH("RCOM IN Equity","ARDR_PENSION_POSTRETIRE_PROVS_ST","FY 2012","FY 2012","Currency=INR","Period=FY","BEST_FPERIOD_OVERRIDE=FY","FILING_STATUS=MR","EQY_CONSOLIDATED=Y","SCALING_FORMAT=MLN","Sort=A","Dates=H","DateFormat=P","Fill=—","Direction=H","UseDPDF=Y")</f>
        <v>—</v>
      </c>
      <c r="G179" s="13" t="str">
        <f>_xll.BDH("RCOM IN Equity","ARDR_PENSION_POSTRETIRE_PROVS_ST","FY 2013","FY 2013","Currency=INR","Period=FY","BEST_FPERIOD_OVERRIDE=FY","FILING_STATUS=MR","EQY_CONSOLIDATED=Y","SCALING_FORMAT=MLN","Sort=A","Dates=H","DateFormat=P","Fill=—","Direction=H","UseDPDF=Y")</f>
        <v>—</v>
      </c>
      <c r="H179" s="13">
        <f>_xll.BDH("RCOM IN Equity","ARDR_PENSION_POSTRETIRE_PROVS_ST","FY 2014","FY 2014","Currency=INR","Period=FY","BEST_FPERIOD_OVERRIDE=FY","FILING_STATUS=MR","EQY_CONSOLIDATED=Y","SCALING_FORMAT=MLN","Sort=A","Dates=H","DateFormat=P","Fill=—","Direction=H","UseDPDF=Y")</f>
        <v>340</v>
      </c>
      <c r="I179" s="13">
        <f>_xll.BDH("RCOM IN Equity","ARDR_PENSION_POSTRETIRE_PROVS_ST","FY 2015","FY 2015","Currency=INR","Period=FY","BEST_FPERIOD_OVERRIDE=FY","FILING_STATUS=MR","EQY_CONSOLIDATED=Y","SCALING_FORMAT=MLN","Sort=A","Dates=H","DateFormat=P","Fill=—","Direction=H","UseDPDF=Y")</f>
        <v>270</v>
      </c>
      <c r="J179" s="13" t="str">
        <f>_xll.BDH("RCOM IN Equity","ARDR_PENSION_POSTRETIRE_PROVS_ST","FY 2016","FY 2016","Currency=INR","Period=FY","BEST_FPERIOD_OVERRIDE=FY","FILING_STATUS=MR","EQY_CONSOLIDATED=Y","SCALING_FORMAT=MLN","Sort=A","Dates=H","DateFormat=P","Fill=—","Direction=H","UseDPDF=Y")</f>
        <v>—</v>
      </c>
      <c r="K179" s="13" t="str">
        <f>_xll.BDH("RCOM IN Equity","ARDR_PENSION_POSTRETIRE_PROVS_ST","FY 2017","FY 2017","Currency=INR","Period=FY","BEST_FPERIOD_OVERRIDE=FY","FILING_STATUS=MR","EQY_CONSOLIDATED=Y","SCALING_FORMAT=MLN","Sort=A","Dates=H","DateFormat=P","Fill=—","Direction=H","UseDPDF=Y")</f>
        <v>—</v>
      </c>
      <c r="L179" s="13" t="str">
        <f>_xll.BDH("RCOM IN Equity","ARDR_PENSION_POSTRETIRE_PROVS_ST","FY 2018","FY 2018","Currency=INR","Period=FY","BEST_FPERIOD_OVERRIDE=FY","FILING_STATUS=MR","EQY_CONSOLIDATED=Y","SCALING_FORMAT=MLN","Sort=A","Dates=H","DateFormat=P","Fill=—","Direction=H","UseDPDF=Y")</f>
        <v>—</v>
      </c>
    </row>
    <row r="180" spans="1:12">
      <c r="A180" s="10" t="s">
        <v>1153</v>
      </c>
      <c r="B180" s="10" t="s">
        <v>1154</v>
      </c>
      <c r="C180" s="13" t="str">
        <f>_xll.BDH("RCOM IN Equity","ARDR_PROVISION_FOR_TAXES_LT","FY 2009","FY 2009","Currency=INR","Period=FY","BEST_FPERIOD_OVERRIDE=FY","FILING_STATUS=MR","EQY_CONSOLIDATED=Y","SCALING_FORMAT=MLN","Sort=A","Dates=H","DateFormat=P","Fill=—","Direction=H","UseDPDF=Y")</f>
        <v>—</v>
      </c>
      <c r="D180" s="13" t="str">
        <f>_xll.BDH("RCOM IN Equity","ARDR_PROVISION_FOR_TAXES_LT","FY 2010","FY 2010","Currency=INR","Period=FY","BEST_FPERIOD_OVERRIDE=FY","FILING_STATUS=MR","EQY_CONSOLIDATED=Y","SCALING_FORMAT=MLN","Sort=A","Dates=H","DateFormat=P","Fill=—","Direction=H","UseDPDF=Y")</f>
        <v>—</v>
      </c>
      <c r="E180" s="13" t="str">
        <f>_xll.BDH("RCOM IN Equity","ARDR_PROVISION_FOR_TAXES_LT","FY 2011","FY 2011","Currency=INR","Period=FY","BEST_FPERIOD_OVERRIDE=FY","FILING_STATUS=MR","EQY_CONSOLIDATED=Y","SCALING_FORMAT=MLN","Sort=A","Dates=H","DateFormat=P","Fill=—","Direction=H","UseDPDF=Y")</f>
        <v>—</v>
      </c>
      <c r="F180" s="13" t="str">
        <f>_xll.BDH("RCOM IN Equity","ARDR_PROVISION_FOR_TAXES_LT","FY 2012","FY 2012","Currency=INR","Period=FY","BEST_FPERIOD_OVERRIDE=FY","FILING_STATUS=MR","EQY_CONSOLIDATED=Y","SCALING_FORMAT=MLN","Sort=A","Dates=H","DateFormat=P","Fill=—","Direction=H","UseDPDF=Y")</f>
        <v>—</v>
      </c>
      <c r="G180" s="13" t="str">
        <f>_xll.BDH("RCOM IN Equity","ARDR_PROVISION_FOR_TAXES_LT","FY 2013","FY 2013","Currency=INR","Period=FY","BEST_FPERIOD_OVERRIDE=FY","FILING_STATUS=MR","EQY_CONSOLIDATED=Y","SCALING_FORMAT=MLN","Sort=A","Dates=H","DateFormat=P","Fill=—","Direction=H","UseDPDF=Y")</f>
        <v>—</v>
      </c>
      <c r="H180" s="13">
        <f>_xll.BDH("RCOM IN Equity","ARDR_PROVISION_FOR_TAXES_LT","FY 2014","FY 2014","Currency=INR","Period=FY","BEST_FPERIOD_OVERRIDE=FY","FILING_STATUS=MR","EQY_CONSOLIDATED=Y","SCALING_FORMAT=MLN","Sort=A","Dates=H","DateFormat=P","Fill=—","Direction=H","UseDPDF=Y")</f>
        <v>820</v>
      </c>
      <c r="I180" s="13">
        <f>_xll.BDH("RCOM IN Equity","ARDR_PROVISION_FOR_TAXES_LT","FY 2015","FY 2015","Currency=INR","Period=FY","BEST_FPERIOD_OVERRIDE=FY","FILING_STATUS=MR","EQY_CONSOLIDATED=Y","SCALING_FORMAT=MLN","Sort=A","Dates=H","DateFormat=P","Fill=—","Direction=H","UseDPDF=Y")</f>
        <v>780</v>
      </c>
      <c r="J180" s="13" t="str">
        <f>_xll.BDH("RCOM IN Equity","ARDR_PROVISION_FOR_TAXES_LT","FY 2016","FY 2016","Currency=INR","Period=FY","BEST_FPERIOD_OVERRIDE=FY","FILING_STATUS=MR","EQY_CONSOLIDATED=Y","SCALING_FORMAT=MLN","Sort=A","Dates=H","DateFormat=P","Fill=—","Direction=H","UseDPDF=Y")</f>
        <v>—</v>
      </c>
      <c r="K180" s="13" t="str">
        <f>_xll.BDH("RCOM IN Equity","ARDR_PROVISION_FOR_TAXES_LT","FY 2017","FY 2017","Currency=INR","Period=FY","BEST_FPERIOD_OVERRIDE=FY","FILING_STATUS=MR","EQY_CONSOLIDATED=Y","SCALING_FORMAT=MLN","Sort=A","Dates=H","DateFormat=P","Fill=—","Direction=H","UseDPDF=Y")</f>
        <v>—</v>
      </c>
      <c r="L180" s="13" t="str">
        <f>_xll.BDH("RCOM IN Equity","ARDR_PROVISION_FOR_TAXES_LT","FY 2018","FY 2018","Currency=INR","Period=FY","BEST_FPERIOD_OVERRIDE=FY","FILING_STATUS=MR","EQY_CONSOLIDATED=Y","SCALING_FORMAT=MLN","Sort=A","Dates=H","DateFormat=P","Fill=—","Direction=H","UseDPDF=Y")</f>
        <v>—</v>
      </c>
    </row>
    <row r="181" spans="1:12">
      <c r="A181" s="10" t="s">
        <v>864</v>
      </c>
      <c r="B181" s="10" t="s">
        <v>1155</v>
      </c>
      <c r="C181" s="13" t="str">
        <f>_xll.BDH("RCOM IN Equity","ARDR_COMMON_STOCK_SUBSCRIBED_STK","FY 2009","FY 2009","Currency=INR","Period=FY","BEST_FPERIOD_OVERRIDE=FY","FILING_STATUS=MR","EQY_CONSOLIDATED=Y","SCALING_FORMAT=MLN","Sort=A","Dates=H","DateFormat=P","Fill=—","Direction=H","UseDPDF=Y")</f>
        <v>—</v>
      </c>
      <c r="D181" s="13" t="str">
        <f>_xll.BDH("RCOM IN Equity","ARDR_COMMON_STOCK_SUBSCRIBED_STK","FY 2010","FY 2010","Currency=INR","Period=FY","BEST_FPERIOD_OVERRIDE=FY","FILING_STATUS=MR","EQY_CONSOLIDATED=Y","SCALING_FORMAT=MLN","Sort=A","Dates=H","DateFormat=P","Fill=—","Direction=H","UseDPDF=Y")</f>
        <v>—</v>
      </c>
      <c r="E181" s="13" t="str">
        <f>_xll.BDH("RCOM IN Equity","ARDR_COMMON_STOCK_SUBSCRIBED_STK","FY 2011","FY 2011","Currency=INR","Period=FY","BEST_FPERIOD_OVERRIDE=FY","FILING_STATUS=MR","EQY_CONSOLIDATED=Y","SCALING_FORMAT=MLN","Sort=A","Dates=H","DateFormat=P","Fill=—","Direction=H","UseDPDF=Y")</f>
        <v>—</v>
      </c>
      <c r="F181" s="13" t="str">
        <f>_xll.BDH("RCOM IN Equity","ARDR_COMMON_STOCK_SUBSCRIBED_STK","FY 2012","FY 2012","Currency=INR","Period=FY","BEST_FPERIOD_OVERRIDE=FY","FILING_STATUS=MR","EQY_CONSOLIDATED=Y","SCALING_FORMAT=MLN","Sort=A","Dates=H","DateFormat=P","Fill=—","Direction=H","UseDPDF=Y")</f>
        <v>—</v>
      </c>
      <c r="G181" s="13" t="str">
        <f>_xll.BDH("RCOM IN Equity","ARDR_COMMON_STOCK_SUBSCRIBED_STK","FY 2013","FY 2013","Currency=INR","Period=FY","BEST_FPERIOD_OVERRIDE=FY","FILING_STATUS=MR","EQY_CONSOLIDATED=Y","SCALING_FORMAT=MLN","Sort=A","Dates=H","DateFormat=P","Fill=—","Direction=H","UseDPDF=Y")</f>
        <v>—</v>
      </c>
      <c r="H181" s="13" t="str">
        <f>_xll.BDH("RCOM IN Equity","ARDR_COMMON_STOCK_SUBSCRIBED_STK","FY 2014","FY 2014","Currency=INR","Period=FY","BEST_FPERIOD_OVERRIDE=FY","FILING_STATUS=MR","EQY_CONSOLIDATED=Y","SCALING_FORMAT=MLN","Sort=A","Dates=H","DateFormat=P","Fill=—","Direction=H","UseDPDF=Y")</f>
        <v>—</v>
      </c>
      <c r="I181" s="13" t="str">
        <f>_xll.BDH("RCOM IN Equity","ARDR_COMMON_STOCK_SUBSCRIBED_STK","FY 2015","FY 2015","Currency=INR","Period=FY","BEST_FPERIOD_OVERRIDE=FY","FILING_STATUS=MR","EQY_CONSOLIDATED=Y","SCALING_FORMAT=MLN","Sort=A","Dates=H","DateFormat=P","Fill=—","Direction=H","UseDPDF=Y")</f>
        <v>—</v>
      </c>
      <c r="J181" s="13" t="str">
        <f>_xll.BDH("RCOM IN Equity","ARDR_COMMON_STOCK_SUBSCRIBED_STK","FY 2016","FY 2016","Currency=INR","Period=FY","BEST_FPERIOD_OVERRIDE=FY","FILING_STATUS=MR","EQY_CONSOLIDATED=Y","SCALING_FORMAT=MLN","Sort=A","Dates=H","DateFormat=P","Fill=—","Direction=H","UseDPDF=Y")</f>
        <v>—</v>
      </c>
      <c r="K181" s="13" t="str">
        <f>_xll.BDH("RCOM IN Equity","ARDR_COMMON_STOCK_SUBSCRIBED_STK","FY 2017","FY 2017","Currency=INR","Period=FY","BEST_FPERIOD_OVERRIDE=FY","FILING_STATUS=MR","EQY_CONSOLIDATED=Y","SCALING_FORMAT=MLN","Sort=A","Dates=H","DateFormat=P","Fill=—","Direction=H","UseDPDF=Y")</f>
        <v>—</v>
      </c>
      <c r="L181" s="13" t="str">
        <f>_xll.BDH("RCOM IN Equity","ARDR_COMMON_STOCK_SUBSCRIBED_STK","FY 2018","FY 2018","Currency=INR","Period=FY","BEST_FPERIOD_OVERRIDE=FY","FILING_STATUS=MR","EQY_CONSOLIDATED=Y","SCALING_FORMAT=MLN","Sort=A","Dates=H","DateFormat=P","Fill=—","Direction=H","UseDPDF=Y")</f>
        <v>—</v>
      </c>
    </row>
    <row r="182" spans="1:12">
      <c r="A182" s="10" t="s">
        <v>1156</v>
      </c>
      <c r="B182" s="10" t="s">
        <v>1157</v>
      </c>
      <c r="C182" s="13" t="str">
        <f>_xll.BDH("RCOM IN Equity","ARDR_OTHER_FINANCIAL_LIAB_ST","FY 2009","FY 2009","Currency=INR","Period=FY","BEST_FPERIOD_OVERRIDE=FY","FILING_STATUS=MR","EQY_CONSOLIDATED=Y","SCALING_FORMAT=MLN","Sort=A","Dates=H","DateFormat=P","Fill=—","Direction=H","UseDPDF=Y")</f>
        <v>—</v>
      </c>
      <c r="D182" s="13" t="str">
        <f>_xll.BDH("RCOM IN Equity","ARDR_OTHER_FINANCIAL_LIAB_ST","FY 2010","FY 2010","Currency=INR","Period=FY","BEST_FPERIOD_OVERRIDE=FY","FILING_STATUS=MR","EQY_CONSOLIDATED=Y","SCALING_FORMAT=MLN","Sort=A","Dates=H","DateFormat=P","Fill=—","Direction=H","UseDPDF=Y")</f>
        <v>—</v>
      </c>
      <c r="E182" s="13" t="str">
        <f>_xll.BDH("RCOM IN Equity","ARDR_OTHER_FINANCIAL_LIAB_ST","FY 2011","FY 2011","Currency=INR","Period=FY","BEST_FPERIOD_OVERRIDE=FY","FILING_STATUS=MR","EQY_CONSOLIDATED=Y","SCALING_FORMAT=MLN","Sort=A","Dates=H","DateFormat=P","Fill=—","Direction=H","UseDPDF=Y")</f>
        <v>—</v>
      </c>
      <c r="F182" s="13" t="str">
        <f>_xll.BDH("RCOM IN Equity","ARDR_OTHER_FINANCIAL_LIAB_ST","FY 2012","FY 2012","Currency=INR","Period=FY","BEST_FPERIOD_OVERRIDE=FY","FILING_STATUS=MR","EQY_CONSOLIDATED=Y","SCALING_FORMAT=MLN","Sort=A","Dates=H","DateFormat=P","Fill=—","Direction=H","UseDPDF=Y")</f>
        <v>—</v>
      </c>
      <c r="G182" s="13" t="str">
        <f>_xll.BDH("RCOM IN Equity","ARDR_OTHER_FINANCIAL_LIAB_ST","FY 2013","FY 2013","Currency=INR","Period=FY","BEST_FPERIOD_OVERRIDE=FY","FILING_STATUS=MR","EQY_CONSOLIDATED=Y","SCALING_FORMAT=MLN","Sort=A","Dates=H","DateFormat=P","Fill=—","Direction=H","UseDPDF=Y")</f>
        <v>—</v>
      </c>
      <c r="H182" s="13" t="str">
        <f>_xll.BDH("RCOM IN Equity","ARDR_OTHER_FINANCIAL_LIAB_ST","FY 2014","FY 2014","Currency=INR","Period=FY","BEST_FPERIOD_OVERRIDE=FY","FILING_STATUS=MR","EQY_CONSOLIDATED=Y","SCALING_FORMAT=MLN","Sort=A","Dates=H","DateFormat=P","Fill=—","Direction=H","UseDPDF=Y")</f>
        <v>—</v>
      </c>
      <c r="I182" s="13" t="str">
        <f>_xll.BDH("RCOM IN Equity","ARDR_OTHER_FINANCIAL_LIAB_ST","FY 2015","FY 2015","Currency=INR","Period=FY","BEST_FPERIOD_OVERRIDE=FY","FILING_STATUS=MR","EQY_CONSOLIDATED=Y","SCALING_FORMAT=MLN","Sort=A","Dates=H","DateFormat=P","Fill=—","Direction=H","UseDPDF=Y")</f>
        <v>—</v>
      </c>
      <c r="J182" s="13">
        <f>_xll.BDH("RCOM IN Equity","ARDR_OTHER_FINANCIAL_LIAB_ST","FY 2016","FY 2016","Currency=INR","Period=FY","BEST_FPERIOD_OVERRIDE=FY","FILING_STATUS=MR","EQY_CONSOLIDATED=Y","SCALING_FORMAT=MLN","Sort=A","Dates=H","DateFormat=P","Fill=—","Direction=H","UseDPDF=Y")</f>
        <v>20010</v>
      </c>
      <c r="K182" s="13">
        <f>_xll.BDH("RCOM IN Equity","ARDR_OTHER_FINANCIAL_LIAB_ST","FY 2017","FY 2017","Currency=INR","Period=FY","BEST_FPERIOD_OVERRIDE=FY","FILING_STATUS=MR","EQY_CONSOLIDATED=Y","SCALING_FORMAT=MLN","Sort=A","Dates=H","DateFormat=P","Fill=—","Direction=H","UseDPDF=Y")</f>
        <v>24070</v>
      </c>
      <c r="L182" s="13">
        <f>_xll.BDH("RCOM IN Equity","ARDR_OTHER_FINANCIAL_LIAB_ST","FY 2018","FY 2018","Currency=INR","Period=FY","BEST_FPERIOD_OVERRIDE=FY","FILING_STATUS=MR","EQY_CONSOLIDATED=Y","SCALING_FORMAT=MLN","Sort=A","Dates=H","DateFormat=P","Fill=—","Direction=H","UseDPDF=Y")</f>
        <v>13230</v>
      </c>
    </row>
    <row r="183" spans="1:12">
      <c r="A183" s="10" t="s">
        <v>1158</v>
      </c>
      <c r="B183" s="10" t="s">
        <v>1159</v>
      </c>
      <c r="C183" s="13">
        <f>_xll.BDH("RCOM IN Equity","ARDR_FREEHOLD_LAND_GROSS","FY 2009","FY 2009","Currency=INR","Period=FY","BEST_FPERIOD_OVERRIDE=FY","FILING_STATUS=MR","EQY_CONSOLIDATED=Y","SCALING_FORMAT=MLN","Sort=A","Dates=H","DateFormat=P","Fill=—","Direction=H","UseDPDF=Y")</f>
        <v>4761.1000000000004</v>
      </c>
      <c r="D183" s="13">
        <f>_xll.BDH("RCOM IN Equity","ARDR_FREEHOLD_LAND_GROSS","FY 2010","FY 2010","Currency=INR","Period=FY","BEST_FPERIOD_OVERRIDE=FY","FILING_STATUS=MR","EQY_CONSOLIDATED=Y","SCALING_FORMAT=MLN","Sort=A","Dates=H","DateFormat=P","Fill=—","Direction=H","UseDPDF=Y")</f>
        <v>4793.7</v>
      </c>
      <c r="E183" s="13">
        <f>_xll.BDH("RCOM IN Equity","ARDR_FREEHOLD_LAND_GROSS","FY 2011","FY 2011","Currency=INR","Period=FY","BEST_FPERIOD_OVERRIDE=FY","FILING_STATUS=MR","EQY_CONSOLIDATED=Y","SCALING_FORMAT=MLN","Sort=A","Dates=H","DateFormat=P","Fill=—","Direction=H","UseDPDF=Y")</f>
        <v>4790</v>
      </c>
      <c r="F183" s="13">
        <f>_xll.BDH("RCOM IN Equity","ARDR_FREEHOLD_LAND_GROSS","FY 2012","FY 2012","Currency=INR","Period=FY","BEST_FPERIOD_OVERRIDE=FY","FILING_STATUS=MR","EQY_CONSOLIDATED=Y","SCALING_FORMAT=MLN","Sort=A","Dates=H","DateFormat=P","Fill=—","Direction=H","UseDPDF=Y")</f>
        <v>4850</v>
      </c>
      <c r="G183" s="13">
        <f>_xll.BDH("RCOM IN Equity","ARDR_FREEHOLD_LAND_GROSS","FY 2013","FY 2013","Currency=INR","Period=FY","BEST_FPERIOD_OVERRIDE=FY","FILING_STATUS=MR","EQY_CONSOLIDATED=Y","SCALING_FORMAT=MLN","Sort=A","Dates=H","DateFormat=P","Fill=—","Direction=H","UseDPDF=Y")</f>
        <v>4860</v>
      </c>
      <c r="H183" s="13">
        <f>_xll.BDH("RCOM IN Equity","ARDR_FREEHOLD_LAND_GROSS","FY 2014","FY 2014","Currency=INR","Period=FY","BEST_FPERIOD_OVERRIDE=FY","FILING_STATUS=MR","EQY_CONSOLIDATED=Y","SCALING_FORMAT=MLN","Sort=A","Dates=H","DateFormat=P","Fill=—","Direction=H","UseDPDF=Y")</f>
        <v>4860</v>
      </c>
      <c r="I183" s="13">
        <f>_xll.BDH("RCOM IN Equity","ARDR_FREEHOLD_LAND_GROSS","FY 2015","FY 2015","Currency=INR","Period=FY","BEST_FPERIOD_OVERRIDE=FY","FILING_STATUS=MR","EQY_CONSOLIDATED=Y","SCALING_FORMAT=MLN","Sort=A","Dates=H","DateFormat=P","Fill=—","Direction=H","UseDPDF=Y")</f>
        <v>4860</v>
      </c>
      <c r="J183" s="13">
        <f>_xll.BDH("RCOM IN Equity","ARDR_FREEHOLD_LAND_GROSS","FY 2016","FY 2016","Currency=INR","Period=FY","BEST_FPERIOD_OVERRIDE=FY","FILING_STATUS=MR","EQY_CONSOLIDATED=Y","SCALING_FORMAT=MLN","Sort=A","Dates=H","DateFormat=P","Fill=—","Direction=H","UseDPDF=Y")</f>
        <v>6940</v>
      </c>
      <c r="K183" s="13">
        <f>_xll.BDH("RCOM IN Equity","ARDR_FREEHOLD_LAND_GROSS","FY 2017","FY 2017","Currency=INR","Period=FY","BEST_FPERIOD_OVERRIDE=FY","FILING_STATUS=MR","EQY_CONSOLIDATED=Y","SCALING_FORMAT=MLN","Sort=A","Dates=H","DateFormat=P","Fill=—","Direction=H","UseDPDF=Y")</f>
        <v>6960</v>
      </c>
      <c r="L183" s="13">
        <f>_xll.BDH("RCOM IN Equity","ARDR_FREEHOLD_LAND_GROSS","FY 2018","FY 2018","Currency=INR","Period=FY","BEST_FPERIOD_OVERRIDE=FY","FILING_STATUS=MR","EQY_CONSOLIDATED=Y","SCALING_FORMAT=MLN","Sort=A","Dates=H","DateFormat=P","Fill=—","Direction=H","UseDPDF=Y")</f>
        <v>990</v>
      </c>
    </row>
    <row r="184" spans="1:12">
      <c r="A184" s="10" t="s">
        <v>1160</v>
      </c>
      <c r="B184" s="10" t="s">
        <v>1161</v>
      </c>
      <c r="C184" s="13">
        <f>_xll.BDH("RCOM IN Equity","ARDR_LEASEHOLD_LAND_GROSS","FY 2009","FY 2009","Currency=INR","Period=FY","BEST_FPERIOD_OVERRIDE=FY","FILING_STATUS=MR","EQY_CONSOLIDATED=Y","SCALING_FORMAT=MLN","Sort=A","Dates=H","DateFormat=P","Fill=—","Direction=H","UseDPDF=Y")</f>
        <v>241.3</v>
      </c>
      <c r="D184" s="13">
        <f>_xll.BDH("RCOM IN Equity","ARDR_LEASEHOLD_LAND_GROSS","FY 2010","FY 2010","Currency=INR","Period=FY","BEST_FPERIOD_OVERRIDE=FY","FILING_STATUS=MR","EQY_CONSOLIDATED=Y","SCALING_FORMAT=MLN","Sort=A","Dates=H","DateFormat=P","Fill=—","Direction=H","UseDPDF=Y")</f>
        <v>241.3</v>
      </c>
      <c r="E184" s="13">
        <f>_xll.BDH("RCOM IN Equity","ARDR_LEASEHOLD_LAND_GROSS","FY 2011","FY 2011","Currency=INR","Period=FY","BEST_FPERIOD_OVERRIDE=FY","FILING_STATUS=MR","EQY_CONSOLIDATED=Y","SCALING_FORMAT=MLN","Sort=A","Dates=H","DateFormat=P","Fill=—","Direction=H","UseDPDF=Y")</f>
        <v>250</v>
      </c>
      <c r="F184" s="13">
        <f>_xll.BDH("RCOM IN Equity","ARDR_LEASEHOLD_LAND_GROSS","FY 2012","FY 2012","Currency=INR","Period=FY","BEST_FPERIOD_OVERRIDE=FY","FILING_STATUS=MR","EQY_CONSOLIDATED=Y","SCALING_FORMAT=MLN","Sort=A","Dates=H","DateFormat=P","Fill=—","Direction=H","UseDPDF=Y")</f>
        <v>250</v>
      </c>
      <c r="G184" s="13">
        <f>_xll.BDH("RCOM IN Equity","ARDR_LEASEHOLD_LAND_GROSS","FY 2013","FY 2013","Currency=INR","Period=FY","BEST_FPERIOD_OVERRIDE=FY","FILING_STATUS=MR","EQY_CONSOLIDATED=Y","SCALING_FORMAT=MLN","Sort=A","Dates=H","DateFormat=P","Fill=—","Direction=H","UseDPDF=Y")</f>
        <v>250</v>
      </c>
      <c r="H184" s="13">
        <f>_xll.BDH("RCOM IN Equity","ARDR_LEASEHOLD_LAND_GROSS","FY 2014","FY 2014","Currency=INR","Period=FY","BEST_FPERIOD_OVERRIDE=FY","FILING_STATUS=MR","EQY_CONSOLIDATED=Y","SCALING_FORMAT=MLN","Sort=A","Dates=H","DateFormat=P","Fill=—","Direction=H","UseDPDF=Y")</f>
        <v>250</v>
      </c>
      <c r="I184" s="13">
        <f>_xll.BDH("RCOM IN Equity","ARDR_LEASEHOLD_LAND_GROSS","FY 2015","FY 2015","Currency=INR","Period=FY","BEST_FPERIOD_OVERRIDE=FY","FILING_STATUS=MR","EQY_CONSOLIDATED=Y","SCALING_FORMAT=MLN","Sort=A","Dates=H","DateFormat=P","Fill=—","Direction=H","UseDPDF=Y")</f>
        <v>250</v>
      </c>
      <c r="J184" s="13">
        <f>_xll.BDH("RCOM IN Equity","ARDR_LEASEHOLD_LAND_GROSS","FY 2016","FY 2016","Currency=INR","Period=FY","BEST_FPERIOD_OVERRIDE=FY","FILING_STATUS=MR","EQY_CONSOLIDATED=Y","SCALING_FORMAT=MLN","Sort=A","Dates=H","DateFormat=P","Fill=—","Direction=H","UseDPDF=Y")</f>
        <v>64060</v>
      </c>
      <c r="K184" s="13">
        <f>_xll.BDH("RCOM IN Equity","ARDR_LEASEHOLD_LAND_GROSS","FY 2017","FY 2017","Currency=INR","Period=FY","BEST_FPERIOD_OVERRIDE=FY","FILING_STATUS=MR","EQY_CONSOLIDATED=Y","SCALING_FORMAT=MLN","Sort=A","Dates=H","DateFormat=P","Fill=—","Direction=H","UseDPDF=Y")</f>
        <v>64060</v>
      </c>
      <c r="L184" s="13">
        <f>_xll.BDH("RCOM IN Equity","ARDR_LEASEHOLD_LAND_GROSS","FY 2018","FY 2018","Currency=INR","Period=FY","BEST_FPERIOD_OVERRIDE=FY","FILING_STATUS=MR","EQY_CONSOLIDATED=Y","SCALING_FORMAT=MLN","Sort=A","Dates=H","DateFormat=P","Fill=—","Direction=H","UseDPDF=Y")</f>
        <v>63710</v>
      </c>
    </row>
    <row r="185" spans="1:12">
      <c r="A185" s="10" t="s">
        <v>1162</v>
      </c>
      <c r="B185" s="10" t="s">
        <v>1163</v>
      </c>
      <c r="C185" s="13" t="str">
        <f>_xll.BDH("RCOM IN Equity","ARDR_FOREIGN_LOANS_OTHER_LOANS","FY 2009","FY 2009","Currency=INR","Period=FY","BEST_FPERIOD_OVERRIDE=FY","FILING_STATUS=MR","EQY_CONSOLIDATED=Y","SCALING_FORMAT=MLN","Sort=A","Dates=H","DateFormat=P","Fill=—","Direction=H","UseDPDF=Y")</f>
        <v>—</v>
      </c>
      <c r="D185" s="13" t="str">
        <f>_xll.BDH("RCOM IN Equity","ARDR_FOREIGN_LOANS_OTHER_LOANS","FY 2010","FY 2010","Currency=INR","Period=FY","BEST_FPERIOD_OVERRIDE=FY","FILING_STATUS=MR","EQY_CONSOLIDATED=Y","SCALING_FORMAT=MLN","Sort=A","Dates=H","DateFormat=P","Fill=—","Direction=H","UseDPDF=Y")</f>
        <v>—</v>
      </c>
      <c r="E185" s="13" t="str">
        <f>_xll.BDH("RCOM IN Equity","ARDR_FOREIGN_LOANS_OTHER_LOANS","FY 2011","FY 2011","Currency=INR","Period=FY","BEST_FPERIOD_OVERRIDE=FY","FILING_STATUS=MR","EQY_CONSOLIDATED=Y","SCALING_FORMAT=MLN","Sort=A","Dates=H","DateFormat=P","Fill=—","Direction=H","UseDPDF=Y")</f>
        <v>—</v>
      </c>
      <c r="F185" s="13">
        <f>_xll.BDH("RCOM IN Equity","ARDR_FOREIGN_LOANS_OTHER_LOANS","FY 2012","FY 2012","Currency=INR","Period=FY","BEST_FPERIOD_OVERRIDE=FY","FILING_STATUS=MR","EQY_CONSOLIDATED=Y","SCALING_FORMAT=MLN","Sort=A","Dates=H","DateFormat=P","Fill=—","Direction=H","UseDPDF=Y")</f>
        <v>246260</v>
      </c>
      <c r="G185" s="13">
        <f>_xll.BDH("RCOM IN Equity","ARDR_FOREIGN_LOANS_OTHER_LOANS","FY 2013","FY 2013","Currency=INR","Period=FY","BEST_FPERIOD_OVERRIDE=FY","FILING_STATUS=MR","EQY_CONSOLIDATED=Y","SCALING_FORMAT=MLN","Sort=A","Dates=H","DateFormat=P","Fill=—","Direction=H","UseDPDF=Y")</f>
        <v>236580</v>
      </c>
      <c r="H185" s="13">
        <f>_xll.BDH("RCOM IN Equity","ARDR_FOREIGN_LOANS_OTHER_LOANS","FY 2014","FY 2014","Currency=INR","Period=FY","BEST_FPERIOD_OVERRIDE=FY","FILING_STATUS=MR","EQY_CONSOLIDATED=Y","SCALING_FORMAT=MLN","Sort=A","Dates=H","DateFormat=P","Fill=—","Direction=H","UseDPDF=Y")</f>
        <v>224010</v>
      </c>
      <c r="I185" s="13">
        <f>_xll.BDH("RCOM IN Equity","ARDR_FOREIGN_LOANS_OTHER_LOANS","FY 2015","FY 2015","Currency=INR","Period=FY","BEST_FPERIOD_OVERRIDE=FY","FILING_STATUS=MR","EQY_CONSOLIDATED=Y","SCALING_FORMAT=MLN","Sort=A","Dates=H","DateFormat=P","Fill=—","Direction=H","UseDPDF=Y")</f>
        <v>163480</v>
      </c>
      <c r="J185" s="13" t="str">
        <f>_xll.BDH("RCOM IN Equity","ARDR_FOREIGN_LOANS_OTHER_LOANS","FY 2016","FY 2016","Currency=INR","Period=FY","BEST_FPERIOD_OVERRIDE=FY","FILING_STATUS=MR","EQY_CONSOLIDATED=Y","SCALING_FORMAT=MLN","Sort=A","Dates=H","DateFormat=P","Fill=—","Direction=H","UseDPDF=Y")</f>
        <v>—</v>
      </c>
      <c r="K185" s="13" t="str">
        <f>_xll.BDH("RCOM IN Equity","ARDR_FOREIGN_LOANS_OTHER_LOANS","FY 2017","FY 2017","Currency=INR","Period=FY","BEST_FPERIOD_OVERRIDE=FY","FILING_STATUS=MR","EQY_CONSOLIDATED=Y","SCALING_FORMAT=MLN","Sort=A","Dates=H","DateFormat=P","Fill=—","Direction=H","UseDPDF=Y")</f>
        <v>—</v>
      </c>
      <c r="L185" s="13" t="str">
        <f>_xll.BDH("RCOM IN Equity","ARDR_FOREIGN_LOANS_OTHER_LOANS","FY 2018","FY 2018","Currency=INR","Period=FY","BEST_FPERIOD_OVERRIDE=FY","FILING_STATUS=MR","EQY_CONSOLIDATED=Y","SCALING_FORMAT=MLN","Sort=A","Dates=H","DateFormat=P","Fill=—","Direction=H","UseDPDF=Y")</f>
        <v>—</v>
      </c>
    </row>
    <row r="186" spans="1:12">
      <c r="A186" s="10" t="s">
        <v>1164</v>
      </c>
      <c r="B186" s="10" t="s">
        <v>1165</v>
      </c>
      <c r="C186" s="13" t="str">
        <f>_xll.BDH("RCOM IN Equity","ARDR_PROVISION_FOR_WEALTH_TAX","FY 2009","FY 2009","Currency=INR","Period=FY","BEST_FPERIOD_OVERRIDE=FY","FILING_STATUS=MR","EQY_CONSOLIDATED=Y","SCALING_FORMAT=MLN","Sort=A","Dates=H","DateFormat=P","Fill=—","Direction=H","UseDPDF=Y")</f>
        <v>—</v>
      </c>
      <c r="D186" s="13" t="str">
        <f>_xll.BDH("RCOM IN Equity","ARDR_PROVISION_FOR_WEALTH_TAX","FY 2010","FY 2010","Currency=INR","Period=FY","BEST_FPERIOD_OVERRIDE=FY","FILING_STATUS=MR","EQY_CONSOLIDATED=Y","SCALING_FORMAT=MLN","Sort=A","Dates=H","DateFormat=P","Fill=—","Direction=H","UseDPDF=Y")</f>
        <v>—</v>
      </c>
      <c r="E186" s="13" t="str">
        <f>_xll.BDH("RCOM IN Equity","ARDR_PROVISION_FOR_WEALTH_TAX","FY 2011","FY 2011","Currency=INR","Period=FY","BEST_FPERIOD_OVERRIDE=FY","FILING_STATUS=MR","EQY_CONSOLIDATED=Y","SCALING_FORMAT=MLN","Sort=A","Dates=H","DateFormat=P","Fill=—","Direction=H","UseDPDF=Y")</f>
        <v>—</v>
      </c>
      <c r="F186" s="13" t="str">
        <f>_xll.BDH("RCOM IN Equity","ARDR_PROVISION_FOR_WEALTH_TAX","FY 2012","FY 2012","Currency=INR","Period=FY","BEST_FPERIOD_OVERRIDE=FY","FILING_STATUS=MR","EQY_CONSOLIDATED=Y","SCALING_FORMAT=MLN","Sort=A","Dates=H","DateFormat=P","Fill=—","Direction=H","UseDPDF=Y")</f>
        <v>—</v>
      </c>
      <c r="G186" s="13" t="str">
        <f>_xll.BDH("RCOM IN Equity","ARDR_PROVISION_FOR_WEALTH_TAX","FY 2013","FY 2013","Currency=INR","Period=FY","BEST_FPERIOD_OVERRIDE=FY","FILING_STATUS=MR","EQY_CONSOLIDATED=Y","SCALING_FORMAT=MLN","Sort=A","Dates=H","DateFormat=P","Fill=—","Direction=H","UseDPDF=Y")</f>
        <v>—</v>
      </c>
      <c r="H186" s="13">
        <f>_xll.BDH("RCOM IN Equity","ARDR_PROVISION_FOR_WEALTH_TAX","FY 2014","FY 2014","Currency=INR","Period=FY","BEST_FPERIOD_OVERRIDE=FY","FILING_STATUS=MR","EQY_CONSOLIDATED=Y","SCALING_FORMAT=MLN","Sort=A","Dates=H","DateFormat=P","Fill=—","Direction=H","UseDPDF=Y")</f>
        <v>10</v>
      </c>
      <c r="I186" s="13">
        <f>_xll.BDH("RCOM IN Equity","ARDR_PROVISION_FOR_WEALTH_TAX","FY 2015","FY 2015","Currency=INR","Period=FY","BEST_FPERIOD_OVERRIDE=FY","FILING_STATUS=MR","EQY_CONSOLIDATED=Y","SCALING_FORMAT=MLN","Sort=A","Dates=H","DateFormat=P","Fill=—","Direction=H","UseDPDF=Y")</f>
        <v>10</v>
      </c>
      <c r="J186" s="13" t="str">
        <f>_xll.BDH("RCOM IN Equity","ARDR_PROVISION_FOR_WEALTH_TAX","FY 2016","FY 2016","Currency=INR","Period=FY","BEST_FPERIOD_OVERRIDE=FY","FILING_STATUS=MR","EQY_CONSOLIDATED=Y","SCALING_FORMAT=MLN","Sort=A","Dates=H","DateFormat=P","Fill=—","Direction=H","UseDPDF=Y")</f>
        <v>—</v>
      </c>
      <c r="K186" s="13" t="str">
        <f>_xll.BDH("RCOM IN Equity","ARDR_PROVISION_FOR_WEALTH_TAX","FY 2017","FY 2017","Currency=INR","Period=FY","BEST_FPERIOD_OVERRIDE=FY","FILING_STATUS=MR","EQY_CONSOLIDATED=Y","SCALING_FORMAT=MLN","Sort=A","Dates=H","DateFormat=P","Fill=—","Direction=H","UseDPDF=Y")</f>
        <v>—</v>
      </c>
      <c r="L186" s="13" t="str">
        <f>_xll.BDH("RCOM IN Equity","ARDR_PROVISION_FOR_WEALTH_TAX","FY 2018","FY 2018","Currency=INR","Period=FY","BEST_FPERIOD_OVERRIDE=FY","FILING_STATUS=MR","EQY_CONSOLIDATED=Y","SCALING_FORMAT=MLN","Sort=A","Dates=H","DateFormat=P","Fill=—","Direction=H","UseDPDF=Y")</f>
        <v>—</v>
      </c>
    </row>
    <row r="187" spans="1:12">
      <c r="A187" s="10" t="s">
        <v>885</v>
      </c>
      <c r="B187" s="10" t="s">
        <v>1166</v>
      </c>
      <c r="C187" s="13" t="str">
        <f>_xll.BDH("RCOM IN Equity","ARDR_OTHER_FINANCIAL_LIAB_LT","FY 2009","FY 2009","Currency=INR","Period=FY","BEST_FPERIOD_OVERRIDE=FY","FILING_STATUS=MR","EQY_CONSOLIDATED=Y","SCALING_FORMAT=MLN","Sort=A","Dates=H","DateFormat=P","Fill=—","Direction=H","UseDPDF=Y")</f>
        <v>—</v>
      </c>
      <c r="D187" s="13" t="str">
        <f>_xll.BDH("RCOM IN Equity","ARDR_OTHER_FINANCIAL_LIAB_LT","FY 2010","FY 2010","Currency=INR","Period=FY","BEST_FPERIOD_OVERRIDE=FY","FILING_STATUS=MR","EQY_CONSOLIDATED=Y","SCALING_FORMAT=MLN","Sort=A","Dates=H","DateFormat=P","Fill=—","Direction=H","UseDPDF=Y")</f>
        <v>—</v>
      </c>
      <c r="E187" s="13" t="str">
        <f>_xll.BDH("RCOM IN Equity","ARDR_OTHER_FINANCIAL_LIAB_LT","FY 2011","FY 2011","Currency=INR","Period=FY","BEST_FPERIOD_OVERRIDE=FY","FILING_STATUS=MR","EQY_CONSOLIDATED=Y","SCALING_FORMAT=MLN","Sort=A","Dates=H","DateFormat=P","Fill=—","Direction=H","UseDPDF=Y")</f>
        <v>—</v>
      </c>
      <c r="F187" s="13" t="str">
        <f>_xll.BDH("RCOM IN Equity","ARDR_OTHER_FINANCIAL_LIAB_LT","FY 2012","FY 2012","Currency=INR","Period=FY","BEST_FPERIOD_OVERRIDE=FY","FILING_STATUS=MR","EQY_CONSOLIDATED=Y","SCALING_FORMAT=MLN","Sort=A","Dates=H","DateFormat=P","Fill=—","Direction=H","UseDPDF=Y")</f>
        <v>—</v>
      </c>
      <c r="G187" s="13" t="str">
        <f>_xll.BDH("RCOM IN Equity","ARDR_OTHER_FINANCIAL_LIAB_LT","FY 2013","FY 2013","Currency=INR","Period=FY","BEST_FPERIOD_OVERRIDE=FY","FILING_STATUS=MR","EQY_CONSOLIDATED=Y","SCALING_FORMAT=MLN","Sort=A","Dates=H","DateFormat=P","Fill=—","Direction=H","UseDPDF=Y")</f>
        <v>—</v>
      </c>
      <c r="H187" s="13" t="str">
        <f>_xll.BDH("RCOM IN Equity","ARDR_OTHER_FINANCIAL_LIAB_LT","FY 2014","FY 2014","Currency=INR","Period=FY","BEST_FPERIOD_OVERRIDE=FY","FILING_STATUS=MR","EQY_CONSOLIDATED=Y","SCALING_FORMAT=MLN","Sort=A","Dates=H","DateFormat=P","Fill=—","Direction=H","UseDPDF=Y")</f>
        <v>—</v>
      </c>
      <c r="I187" s="13" t="str">
        <f>_xll.BDH("RCOM IN Equity","ARDR_OTHER_FINANCIAL_LIAB_LT","FY 2015","FY 2015","Currency=INR","Period=FY","BEST_FPERIOD_OVERRIDE=FY","FILING_STATUS=MR","EQY_CONSOLIDATED=Y","SCALING_FORMAT=MLN","Sort=A","Dates=H","DateFormat=P","Fill=—","Direction=H","UseDPDF=Y")</f>
        <v>—</v>
      </c>
      <c r="J187" s="13">
        <f>_xll.BDH("RCOM IN Equity","ARDR_OTHER_FINANCIAL_LIAB_LT","FY 2016","FY 2016","Currency=INR","Period=FY","BEST_FPERIOD_OVERRIDE=FY","FILING_STATUS=MR","EQY_CONSOLIDATED=Y","SCALING_FORMAT=MLN","Sort=A","Dates=H","DateFormat=P","Fill=—","Direction=H","UseDPDF=Y")</f>
        <v>4490</v>
      </c>
      <c r="K187" s="13">
        <f>_xll.BDH("RCOM IN Equity","ARDR_OTHER_FINANCIAL_LIAB_LT","FY 2017","FY 2017","Currency=INR","Period=FY","BEST_FPERIOD_OVERRIDE=FY","FILING_STATUS=MR","EQY_CONSOLIDATED=Y","SCALING_FORMAT=MLN","Sort=A","Dates=H","DateFormat=P","Fill=—","Direction=H","UseDPDF=Y")</f>
        <v>3820</v>
      </c>
      <c r="L187" s="13">
        <f>_xll.BDH("RCOM IN Equity","ARDR_OTHER_FINANCIAL_LIAB_LT","FY 2018","FY 2018","Currency=INR","Period=FY","BEST_FPERIOD_OVERRIDE=FY","FILING_STATUS=MR","EQY_CONSOLIDATED=Y","SCALING_FORMAT=MLN","Sort=A","Dates=H","DateFormat=P","Fill=—","Direction=H","UseDPDF=Y")</f>
        <v>0</v>
      </c>
    </row>
    <row r="188" spans="1:12">
      <c r="A188" s="10" t="s">
        <v>1167</v>
      </c>
      <c r="B188" s="10" t="s">
        <v>1168</v>
      </c>
      <c r="C188" s="13">
        <f>_xll.BDH("RCOM IN Equity","ARDR_CASH_EQUIVS","FY 2009","FY 2009","Currency=INR","Period=FY","BEST_FPERIOD_OVERRIDE=FY","FILING_STATUS=MR","EQY_CONSOLIDATED=Y","SCALING_FORMAT=MLN","Sort=A","Dates=H","DateFormat=P","Fill=—","Direction=H","UseDPDF=Y")</f>
        <v>537.29999999999995</v>
      </c>
      <c r="D188" s="13">
        <f>_xll.BDH("RCOM IN Equity","ARDR_CASH_EQUIVS","FY 2010","FY 2010","Currency=INR","Period=FY","BEST_FPERIOD_OVERRIDE=FY","FILING_STATUS=MR","EQY_CONSOLIDATED=Y","SCALING_FORMAT=MLN","Sort=A","Dates=H","DateFormat=P","Fill=—","Direction=H","UseDPDF=Y")</f>
        <v>676.1</v>
      </c>
      <c r="E188" s="13">
        <f>_xll.BDH("RCOM IN Equity","ARDR_CASH_EQUIVS","FY 2011","FY 2011","Currency=INR","Period=FY","BEST_FPERIOD_OVERRIDE=FY","FILING_STATUS=MR","EQY_CONSOLIDATED=Y","SCALING_FORMAT=MLN","Sort=A","Dates=H","DateFormat=P","Fill=—","Direction=H","UseDPDF=Y")</f>
        <v>820</v>
      </c>
      <c r="F188" s="13">
        <f>_xll.BDH("RCOM IN Equity","ARDR_CASH_EQUIVS","FY 2012","FY 2012","Currency=INR","Period=FY","BEST_FPERIOD_OVERRIDE=FY","FILING_STATUS=MR","EQY_CONSOLIDATED=Y","SCALING_FORMAT=MLN","Sort=A","Dates=H","DateFormat=P","Fill=—","Direction=H","UseDPDF=Y")</f>
        <v>870</v>
      </c>
      <c r="G188" s="13">
        <f>_xll.BDH("RCOM IN Equity","ARDR_CASH_EQUIVS","FY 2013","FY 2013","Currency=INR","Period=FY","BEST_FPERIOD_OVERRIDE=FY","FILING_STATUS=MR","EQY_CONSOLIDATED=Y","SCALING_FORMAT=MLN","Sort=A","Dates=H","DateFormat=P","Fill=—","Direction=H","UseDPDF=Y")</f>
        <v>790</v>
      </c>
      <c r="H188" s="13">
        <f>_xll.BDH("RCOM IN Equity","ARDR_CASH_EQUIVS","FY 2014","FY 2014","Currency=INR","Period=FY","BEST_FPERIOD_OVERRIDE=FY","FILING_STATUS=MR","EQY_CONSOLIDATED=Y","SCALING_FORMAT=MLN","Sort=A","Dates=H","DateFormat=P","Fill=—","Direction=H","UseDPDF=Y")</f>
        <v>820</v>
      </c>
      <c r="I188" s="13">
        <f>_xll.BDH("RCOM IN Equity","ARDR_CASH_EQUIVS","FY 2015","FY 2015","Currency=INR","Period=FY","BEST_FPERIOD_OVERRIDE=FY","FILING_STATUS=MR","EQY_CONSOLIDATED=Y","SCALING_FORMAT=MLN","Sort=A","Dates=H","DateFormat=P","Fill=—","Direction=H","UseDPDF=Y")</f>
        <v>650</v>
      </c>
      <c r="J188" s="13">
        <f>_xll.BDH("RCOM IN Equity","ARDR_CASH_EQUIVS","FY 2016","FY 2016","Currency=INR","Period=FY","BEST_FPERIOD_OVERRIDE=FY","FILING_STATUS=MR","EQY_CONSOLIDATED=Y","SCALING_FORMAT=MLN","Sort=A","Dates=H","DateFormat=P","Fill=—","Direction=H","UseDPDF=Y")</f>
        <v>7060</v>
      </c>
      <c r="K188" s="13">
        <f>_xll.BDH("RCOM IN Equity","ARDR_CASH_EQUIVS","FY 2017","FY 2017","Currency=INR","Period=FY","BEST_FPERIOD_OVERRIDE=FY","FILING_STATUS=MR","EQY_CONSOLIDATED=Y","SCALING_FORMAT=MLN","Sort=A","Dates=H","DateFormat=P","Fill=—","Direction=H","UseDPDF=Y")</f>
        <v>9840</v>
      </c>
      <c r="L188" s="13">
        <f>_xll.BDH("RCOM IN Equity","ARDR_CASH_EQUIVS","FY 2018","FY 2018","Currency=INR","Period=FY","BEST_FPERIOD_OVERRIDE=FY","FILING_STATUS=MR","EQY_CONSOLIDATED=Y","SCALING_FORMAT=MLN","Sort=A","Dates=H","DateFormat=P","Fill=—","Direction=H","UseDPDF=Y")</f>
        <v>5770</v>
      </c>
    </row>
    <row r="189" spans="1:12">
      <c r="A189" s="10" t="s">
        <v>1169</v>
      </c>
      <c r="B189" s="10" t="s">
        <v>1170</v>
      </c>
      <c r="C189" s="13">
        <f>_xll.BDH("RCOM IN Equity","ARDR_TOOLS_FURNITURE_FIXTURES","FY 2009","FY 2009","Currency=INR","Period=FY","BEST_FPERIOD_OVERRIDE=FY","FILING_STATUS=MR","EQY_CONSOLIDATED=Y","SCALING_FORMAT=MLN","Sort=A","Dates=H","DateFormat=P","Fill=—","Direction=H","UseDPDF=Y")</f>
        <v>1677.6</v>
      </c>
      <c r="D189" s="13">
        <f>_xll.BDH("RCOM IN Equity","ARDR_TOOLS_FURNITURE_FIXTURES","FY 2010","FY 2010","Currency=INR","Period=FY","BEST_FPERIOD_OVERRIDE=FY","FILING_STATUS=MR","EQY_CONSOLIDATED=Y","SCALING_FORMAT=MLN","Sort=A","Dates=H","DateFormat=P","Fill=—","Direction=H","UseDPDF=Y")</f>
        <v>1743</v>
      </c>
      <c r="E189" s="13">
        <f>_xll.BDH("RCOM IN Equity","ARDR_TOOLS_FURNITURE_FIXTURES","FY 2011","FY 2011","Currency=INR","Period=FY","BEST_FPERIOD_OVERRIDE=FY","FILING_STATUS=MR","EQY_CONSOLIDATED=Y","SCALING_FORMAT=MLN","Sort=A","Dates=H","DateFormat=P","Fill=—","Direction=H","UseDPDF=Y")</f>
        <v>1890</v>
      </c>
      <c r="F189" s="13">
        <f>_xll.BDH("RCOM IN Equity","ARDR_TOOLS_FURNITURE_FIXTURES","FY 2012","FY 2012","Currency=INR","Period=FY","BEST_FPERIOD_OVERRIDE=FY","FILING_STATUS=MR","EQY_CONSOLIDATED=Y","SCALING_FORMAT=MLN","Sort=A","Dates=H","DateFormat=P","Fill=—","Direction=H","UseDPDF=Y")</f>
        <v>1900</v>
      </c>
      <c r="G189" s="13">
        <f>_xll.BDH("RCOM IN Equity","ARDR_TOOLS_FURNITURE_FIXTURES","FY 2013","FY 2013","Currency=INR","Period=FY","BEST_FPERIOD_OVERRIDE=FY","FILING_STATUS=MR","EQY_CONSOLIDATED=Y","SCALING_FORMAT=MLN","Sort=A","Dates=H","DateFormat=P","Fill=—","Direction=H","UseDPDF=Y")</f>
        <v>1880</v>
      </c>
      <c r="H189" s="13">
        <f>_xll.BDH("RCOM IN Equity","ARDR_TOOLS_FURNITURE_FIXTURES","FY 2014","FY 2014","Currency=INR","Period=FY","BEST_FPERIOD_OVERRIDE=FY","FILING_STATUS=MR","EQY_CONSOLIDATED=Y","SCALING_FORMAT=MLN","Sort=A","Dates=H","DateFormat=P","Fill=—","Direction=H","UseDPDF=Y")</f>
        <v>1920</v>
      </c>
      <c r="I189" s="13">
        <f>_xll.BDH("RCOM IN Equity","ARDR_TOOLS_FURNITURE_FIXTURES","FY 2015","FY 2015","Currency=INR","Period=FY","BEST_FPERIOD_OVERRIDE=FY","FILING_STATUS=MR","EQY_CONSOLIDATED=Y","SCALING_FORMAT=MLN","Sort=A","Dates=H","DateFormat=P","Fill=—","Direction=H","UseDPDF=Y")</f>
        <v>1820</v>
      </c>
      <c r="J189" s="13">
        <f>_xll.BDH("RCOM IN Equity","ARDR_TOOLS_FURNITURE_FIXTURES","FY 2016","FY 2016","Currency=INR","Period=FY","BEST_FPERIOD_OVERRIDE=FY","FILING_STATUS=MR","EQY_CONSOLIDATED=Y","SCALING_FORMAT=MLN","Sort=A","Dates=H","DateFormat=P","Fill=—","Direction=H","UseDPDF=Y")</f>
        <v>1320</v>
      </c>
      <c r="K189" s="13">
        <f>_xll.BDH("RCOM IN Equity","ARDR_TOOLS_FURNITURE_FIXTURES","FY 2017","FY 2017","Currency=INR","Period=FY","BEST_FPERIOD_OVERRIDE=FY","FILING_STATUS=MR","EQY_CONSOLIDATED=Y","SCALING_FORMAT=MLN","Sort=A","Dates=H","DateFormat=P","Fill=—","Direction=H","UseDPDF=Y")</f>
        <v>1280</v>
      </c>
      <c r="L189" s="13">
        <f>_xll.BDH("RCOM IN Equity","ARDR_TOOLS_FURNITURE_FIXTURES","FY 2018","FY 2018","Currency=INR","Period=FY","BEST_FPERIOD_OVERRIDE=FY","FILING_STATUS=MR","EQY_CONSOLIDATED=Y","SCALING_FORMAT=MLN","Sort=A","Dates=H","DateFormat=P","Fill=—","Direction=H","UseDPDF=Y")</f>
        <v>1140</v>
      </c>
    </row>
    <row r="190" spans="1:12">
      <c r="A190" s="10" t="s">
        <v>1171</v>
      </c>
      <c r="B190" s="10" t="s">
        <v>1172</v>
      </c>
      <c r="C190" s="13">
        <f>_xll.BDH("RCOM IN Equity","ARDR_COMMERCIAL_PAPER_CURRENT","FY 2009","FY 2009","Currency=INR","Period=FY","BEST_FPERIOD_OVERRIDE=FY","FILING_STATUS=MR","EQY_CONSOLIDATED=Y","SCALING_FORMAT=MLN","Sort=A","Dates=H","DateFormat=P","Fill=—","Direction=H","UseDPDF=Y")</f>
        <v>9547.4</v>
      </c>
      <c r="D190" s="13">
        <f>_xll.BDH("RCOM IN Equity","ARDR_COMMERCIAL_PAPER_CURRENT","FY 2010","FY 2010","Currency=INR","Period=FY","BEST_FPERIOD_OVERRIDE=FY","FILING_STATUS=MR","EQY_CONSOLIDATED=Y","SCALING_FORMAT=MLN","Sort=A","Dates=H","DateFormat=P","Fill=—","Direction=H","UseDPDF=Y")</f>
        <v>12953.1</v>
      </c>
      <c r="E190" s="13">
        <f>_xll.BDH("RCOM IN Equity","ARDR_COMMERCIAL_PAPER_CURRENT","FY 2011","FY 2011","Currency=INR","Period=FY","BEST_FPERIOD_OVERRIDE=FY","FILING_STATUS=MR","EQY_CONSOLIDATED=Y","SCALING_FORMAT=MLN","Sort=A","Dates=H","DateFormat=P","Fill=—","Direction=H","UseDPDF=Y")</f>
        <v>1460</v>
      </c>
      <c r="F190" s="13">
        <f>_xll.BDH("RCOM IN Equity","ARDR_COMMERCIAL_PAPER_CURRENT","FY 2012","FY 2012","Currency=INR","Period=FY","BEST_FPERIOD_OVERRIDE=FY","FILING_STATUS=MR","EQY_CONSOLIDATED=Y","SCALING_FORMAT=MLN","Sort=A","Dates=H","DateFormat=P","Fill=—","Direction=H","UseDPDF=Y")</f>
        <v>9450</v>
      </c>
      <c r="G190" s="13">
        <f>_xll.BDH("RCOM IN Equity","ARDR_COMMERCIAL_PAPER_CURRENT","FY 2013","FY 2013","Currency=INR","Period=FY","BEST_FPERIOD_OVERRIDE=FY","FILING_STATUS=MR","EQY_CONSOLIDATED=Y","SCALING_FORMAT=MLN","Sort=A","Dates=H","DateFormat=P","Fill=—","Direction=H","UseDPDF=Y")</f>
        <v>1000</v>
      </c>
      <c r="H190" s="13" t="str">
        <f>_xll.BDH("RCOM IN Equity","ARDR_COMMERCIAL_PAPER_CURRENT","FY 2014","FY 2014","Currency=INR","Period=FY","BEST_FPERIOD_OVERRIDE=FY","FILING_STATUS=MR","EQY_CONSOLIDATED=Y","SCALING_FORMAT=MLN","Sort=A","Dates=H","DateFormat=P","Fill=—","Direction=H","UseDPDF=Y")</f>
        <v>—</v>
      </c>
      <c r="I190" s="13" t="str">
        <f>_xll.BDH("RCOM IN Equity","ARDR_COMMERCIAL_PAPER_CURRENT","FY 2015","FY 2015","Currency=INR","Period=FY","BEST_FPERIOD_OVERRIDE=FY","FILING_STATUS=MR","EQY_CONSOLIDATED=Y","SCALING_FORMAT=MLN","Sort=A","Dates=H","DateFormat=P","Fill=—","Direction=H","UseDPDF=Y")</f>
        <v>—</v>
      </c>
      <c r="J190" s="13" t="str">
        <f>_xll.BDH("RCOM IN Equity","ARDR_COMMERCIAL_PAPER_CURRENT","FY 2016","FY 2016","Currency=INR","Period=FY","BEST_FPERIOD_OVERRIDE=FY","FILING_STATUS=MR","EQY_CONSOLIDATED=Y","SCALING_FORMAT=MLN","Sort=A","Dates=H","DateFormat=P","Fill=—","Direction=H","UseDPDF=Y")</f>
        <v>—</v>
      </c>
      <c r="K190" s="13" t="str">
        <f>_xll.BDH("RCOM IN Equity","ARDR_COMMERCIAL_PAPER_CURRENT","FY 2017","FY 2017","Currency=INR","Period=FY","BEST_FPERIOD_OVERRIDE=FY","FILING_STATUS=MR","EQY_CONSOLIDATED=Y","SCALING_FORMAT=MLN","Sort=A","Dates=H","DateFormat=P","Fill=—","Direction=H","UseDPDF=Y")</f>
        <v>—</v>
      </c>
      <c r="L190" s="13" t="str">
        <f>_xll.BDH("RCOM IN Equity","ARDR_COMMERCIAL_PAPER_CURRENT","FY 2018","FY 2018","Currency=INR","Period=FY","BEST_FPERIOD_OVERRIDE=FY","FILING_STATUS=MR","EQY_CONSOLIDATED=Y","SCALING_FORMAT=MLN","Sort=A","Dates=H","DateFormat=P","Fill=—","Direction=H","UseDPDF=Y")</f>
        <v>—</v>
      </c>
    </row>
    <row r="191" spans="1:12">
      <c r="A191" s="10" t="s">
        <v>1173</v>
      </c>
      <c r="B191" s="10" t="s">
        <v>1174</v>
      </c>
      <c r="C191" s="13">
        <f>_xll.BDH("RCOM IN Equity","ARDR_MOTOR_VEHICLES_GROSS","FY 2009","FY 2009","Currency=INR","Period=FY","BEST_FPERIOD_OVERRIDE=FY","FILING_STATUS=MR","EQY_CONSOLIDATED=Y","SCALING_FORMAT=MLN","Sort=A","Dates=H","DateFormat=P","Fill=—","Direction=H","UseDPDF=Y")</f>
        <v>762</v>
      </c>
      <c r="D191" s="13">
        <f>_xll.BDH("RCOM IN Equity","ARDR_MOTOR_VEHICLES_GROSS","FY 2010","FY 2010","Currency=INR","Period=FY","BEST_FPERIOD_OVERRIDE=FY","FILING_STATUS=MR","EQY_CONSOLIDATED=Y","SCALING_FORMAT=MLN","Sort=A","Dates=H","DateFormat=P","Fill=—","Direction=H","UseDPDF=Y")</f>
        <v>757.6</v>
      </c>
      <c r="E191" s="13">
        <f>_xll.BDH("RCOM IN Equity","ARDR_MOTOR_VEHICLES_GROSS","FY 2011","FY 2011","Currency=INR","Period=FY","BEST_FPERIOD_OVERRIDE=FY","FILING_STATUS=MR","EQY_CONSOLIDATED=Y","SCALING_FORMAT=MLN","Sort=A","Dates=H","DateFormat=P","Fill=—","Direction=H","UseDPDF=Y")</f>
        <v>740</v>
      </c>
      <c r="F191" s="13">
        <f>_xll.BDH("RCOM IN Equity","ARDR_MOTOR_VEHICLES_GROSS","FY 2012","FY 2012","Currency=INR","Period=FY","BEST_FPERIOD_OVERRIDE=FY","FILING_STATUS=MR","EQY_CONSOLIDATED=Y","SCALING_FORMAT=MLN","Sort=A","Dates=H","DateFormat=P","Fill=—","Direction=H","UseDPDF=Y")</f>
        <v>740</v>
      </c>
      <c r="G191" s="13">
        <f>_xll.BDH("RCOM IN Equity","ARDR_MOTOR_VEHICLES_GROSS","FY 2013","FY 2013","Currency=INR","Period=FY","BEST_FPERIOD_OVERRIDE=FY","FILING_STATUS=MR","EQY_CONSOLIDATED=Y","SCALING_FORMAT=MLN","Sort=A","Dates=H","DateFormat=P","Fill=—","Direction=H","UseDPDF=Y")</f>
        <v>740</v>
      </c>
      <c r="H191" s="13">
        <f>_xll.BDH("RCOM IN Equity","ARDR_MOTOR_VEHICLES_GROSS","FY 2014","FY 2014","Currency=INR","Period=FY","BEST_FPERIOD_OVERRIDE=FY","FILING_STATUS=MR","EQY_CONSOLIDATED=Y","SCALING_FORMAT=MLN","Sort=A","Dates=H","DateFormat=P","Fill=—","Direction=H","UseDPDF=Y")</f>
        <v>730</v>
      </c>
      <c r="I191" s="13">
        <f>_xll.BDH("RCOM IN Equity","ARDR_MOTOR_VEHICLES_GROSS","FY 2015","FY 2015","Currency=INR","Period=FY","BEST_FPERIOD_OVERRIDE=FY","FILING_STATUS=MR","EQY_CONSOLIDATED=Y","SCALING_FORMAT=MLN","Sort=A","Dates=H","DateFormat=P","Fill=—","Direction=H","UseDPDF=Y")</f>
        <v>740</v>
      </c>
      <c r="J191" s="13">
        <f>_xll.BDH("RCOM IN Equity","ARDR_MOTOR_VEHICLES_GROSS","FY 2016","FY 2016","Currency=INR","Period=FY","BEST_FPERIOD_OVERRIDE=FY","FILING_STATUS=MR","EQY_CONSOLIDATED=Y","SCALING_FORMAT=MLN","Sort=A","Dates=H","DateFormat=P","Fill=—","Direction=H","UseDPDF=Y")</f>
        <v>750</v>
      </c>
      <c r="K191" s="13">
        <f>_xll.BDH("RCOM IN Equity","ARDR_MOTOR_VEHICLES_GROSS","FY 2017","FY 2017","Currency=INR","Period=FY","BEST_FPERIOD_OVERRIDE=FY","FILING_STATUS=MR","EQY_CONSOLIDATED=Y","SCALING_FORMAT=MLN","Sort=A","Dates=H","DateFormat=P","Fill=—","Direction=H","UseDPDF=Y")</f>
        <v>740</v>
      </c>
      <c r="L191" s="13">
        <f>_xll.BDH("RCOM IN Equity","ARDR_MOTOR_VEHICLES_GROSS","FY 2018","FY 2018","Currency=INR","Period=FY","BEST_FPERIOD_OVERRIDE=FY","FILING_STATUS=MR","EQY_CONSOLIDATED=Y","SCALING_FORMAT=MLN","Sort=A","Dates=H","DateFormat=P","Fill=—","Direction=H","UseDPDF=Y")</f>
        <v>730</v>
      </c>
    </row>
    <row r="192" spans="1:12">
      <c r="A192" s="10" t="s">
        <v>1175</v>
      </c>
      <c r="B192" s="10" t="s">
        <v>1176</v>
      </c>
      <c r="C192" s="13" t="str">
        <f>_xll.BDH("RCOM IN Equity","ARDR_TAXES_RECEIVABLE_ST","FY 2009","FY 2009","Currency=INR","Period=FY","BEST_FPERIOD_OVERRIDE=FY","FILING_STATUS=MR","EQY_CONSOLIDATED=Y","SCALING_FORMAT=MLN","Sort=A","Dates=H","DateFormat=P","Fill=—","Direction=H","UseDPDF=Y")</f>
        <v>—</v>
      </c>
      <c r="D192" s="13" t="str">
        <f>_xll.BDH("RCOM IN Equity","ARDR_TAXES_RECEIVABLE_ST","FY 2010","FY 2010","Currency=INR","Period=FY","BEST_FPERIOD_OVERRIDE=FY","FILING_STATUS=MR","EQY_CONSOLIDATED=Y","SCALING_FORMAT=MLN","Sort=A","Dates=H","DateFormat=P","Fill=—","Direction=H","UseDPDF=Y")</f>
        <v>—</v>
      </c>
      <c r="E192" s="13" t="str">
        <f>_xll.BDH("RCOM IN Equity","ARDR_TAXES_RECEIVABLE_ST","FY 2011","FY 2011","Currency=INR","Period=FY","BEST_FPERIOD_OVERRIDE=FY","FILING_STATUS=MR","EQY_CONSOLIDATED=Y","SCALING_FORMAT=MLN","Sort=A","Dates=H","DateFormat=P","Fill=—","Direction=H","UseDPDF=Y")</f>
        <v>—</v>
      </c>
      <c r="F192" s="13" t="str">
        <f>_xll.BDH("RCOM IN Equity","ARDR_TAXES_RECEIVABLE_ST","FY 2012","FY 2012","Currency=INR","Period=FY","BEST_FPERIOD_OVERRIDE=FY","FILING_STATUS=MR","EQY_CONSOLIDATED=Y","SCALING_FORMAT=MLN","Sort=A","Dates=H","DateFormat=P","Fill=—","Direction=H","UseDPDF=Y")</f>
        <v>—</v>
      </c>
      <c r="G192" s="13" t="str">
        <f>_xll.BDH("RCOM IN Equity","ARDR_TAXES_RECEIVABLE_ST","FY 2013","FY 2013","Currency=INR","Period=FY","BEST_FPERIOD_OVERRIDE=FY","FILING_STATUS=MR","EQY_CONSOLIDATED=Y","SCALING_FORMAT=MLN","Sort=A","Dates=H","DateFormat=P","Fill=—","Direction=H","UseDPDF=Y")</f>
        <v>—</v>
      </c>
      <c r="H192" s="13" t="str">
        <f>_xll.BDH("RCOM IN Equity","ARDR_TAXES_RECEIVABLE_ST","FY 2014","FY 2014","Currency=INR","Period=FY","BEST_FPERIOD_OVERRIDE=FY","FILING_STATUS=MR","EQY_CONSOLIDATED=Y","SCALING_FORMAT=MLN","Sort=A","Dates=H","DateFormat=P","Fill=—","Direction=H","UseDPDF=Y")</f>
        <v>—</v>
      </c>
      <c r="I192" s="13" t="str">
        <f>_xll.BDH("RCOM IN Equity","ARDR_TAXES_RECEIVABLE_ST","FY 2015","FY 2015","Currency=INR","Period=FY","BEST_FPERIOD_OVERRIDE=FY","FILING_STATUS=MR","EQY_CONSOLIDATED=Y","SCALING_FORMAT=MLN","Sort=A","Dates=H","DateFormat=P","Fill=—","Direction=H","UseDPDF=Y")</f>
        <v>—</v>
      </c>
      <c r="J192" s="13">
        <f>_xll.BDH("RCOM IN Equity","ARDR_TAXES_RECEIVABLE_ST","FY 2016","FY 2016","Currency=INR","Period=FY","BEST_FPERIOD_OVERRIDE=FY","FILING_STATUS=MR","EQY_CONSOLIDATED=Y","SCALING_FORMAT=MLN","Sort=A","Dates=H","DateFormat=P","Fill=—","Direction=H","UseDPDF=Y")</f>
        <v>7430</v>
      </c>
      <c r="K192" s="13">
        <f>_xll.BDH("RCOM IN Equity","ARDR_TAXES_RECEIVABLE_ST","FY 2017","FY 2017","Currency=INR","Period=FY","BEST_FPERIOD_OVERRIDE=FY","FILING_STATUS=MR","EQY_CONSOLIDATED=Y","SCALING_FORMAT=MLN","Sort=A","Dates=H","DateFormat=P","Fill=—","Direction=H","UseDPDF=Y")</f>
        <v>7700</v>
      </c>
      <c r="L192" s="13">
        <f>_xll.BDH("RCOM IN Equity","ARDR_TAXES_RECEIVABLE_ST","FY 2018","FY 2018","Currency=INR","Period=FY","BEST_FPERIOD_OVERRIDE=FY","FILING_STATUS=MR","EQY_CONSOLIDATED=Y","SCALING_FORMAT=MLN","Sort=A","Dates=H","DateFormat=P","Fill=—","Direction=H","UseDPDF=Y")</f>
        <v>7030</v>
      </c>
    </row>
    <row r="193" spans="1:12">
      <c r="A193" s="10" t="s">
        <v>1177</v>
      </c>
      <c r="B193" s="10" t="s">
        <v>1178</v>
      </c>
      <c r="C193" s="13" t="str">
        <f>_xll.BDH("RCOM IN Equity","ARDR_SHORT_TERM_LOAN_SECURED","FY 2009","FY 2009","Currency=INR","Period=FY","BEST_FPERIOD_OVERRIDE=FY","FILING_STATUS=MR","EQY_CONSOLIDATED=Y","SCALING_FORMAT=MLN","Sort=A","Dates=H","DateFormat=P","Fill=—","Direction=H","UseDPDF=Y")</f>
        <v>—</v>
      </c>
      <c r="D193" s="13" t="str">
        <f>_xll.BDH("RCOM IN Equity","ARDR_SHORT_TERM_LOAN_SECURED","FY 2010","FY 2010","Currency=INR","Period=FY","BEST_FPERIOD_OVERRIDE=FY","FILING_STATUS=MR","EQY_CONSOLIDATED=Y","SCALING_FORMAT=MLN","Sort=A","Dates=H","DateFormat=P","Fill=—","Direction=H","UseDPDF=Y")</f>
        <v>—</v>
      </c>
      <c r="E193" s="13" t="str">
        <f>_xll.BDH("RCOM IN Equity","ARDR_SHORT_TERM_LOAN_SECURED","FY 2011","FY 2011","Currency=INR","Period=FY","BEST_FPERIOD_OVERRIDE=FY","FILING_STATUS=MR","EQY_CONSOLIDATED=Y","SCALING_FORMAT=MLN","Sort=A","Dates=H","DateFormat=P","Fill=—","Direction=H","UseDPDF=Y")</f>
        <v>—</v>
      </c>
      <c r="F193" s="13">
        <f>_xll.BDH("RCOM IN Equity","ARDR_SHORT_TERM_LOAN_SECURED","FY 2012","FY 2012","Currency=INR","Period=FY","BEST_FPERIOD_OVERRIDE=FY","FILING_STATUS=MR","EQY_CONSOLIDATED=Y","SCALING_FORMAT=MLN","Sort=A","Dates=H","DateFormat=P","Fill=—","Direction=H","UseDPDF=Y")</f>
        <v>32000</v>
      </c>
      <c r="G193" s="13">
        <f>_xll.BDH("RCOM IN Equity","ARDR_SHORT_TERM_LOAN_SECURED","FY 2013","FY 2013","Currency=INR","Period=FY","BEST_FPERIOD_OVERRIDE=FY","FILING_STATUS=MR","EQY_CONSOLIDATED=Y","SCALING_FORMAT=MLN","Sort=A","Dates=H","DateFormat=P","Fill=—","Direction=H","UseDPDF=Y")</f>
        <v>67930</v>
      </c>
      <c r="H193" s="13">
        <f>_xll.BDH("RCOM IN Equity","ARDR_SHORT_TERM_LOAN_SECURED","FY 2014","FY 2014","Currency=INR","Period=FY","BEST_FPERIOD_OVERRIDE=FY","FILING_STATUS=MR","EQY_CONSOLIDATED=Y","SCALING_FORMAT=MLN","Sort=A","Dates=H","DateFormat=P","Fill=—","Direction=H","UseDPDF=Y")</f>
        <v>64800</v>
      </c>
      <c r="I193" s="13">
        <f>_xll.BDH("RCOM IN Equity","ARDR_SHORT_TERM_LOAN_SECURED","FY 2015","FY 2015","Currency=INR","Period=FY","BEST_FPERIOD_OVERRIDE=FY","FILING_STATUS=MR","EQY_CONSOLIDATED=Y","SCALING_FORMAT=MLN","Sort=A","Dates=H","DateFormat=P","Fill=—","Direction=H","UseDPDF=Y")</f>
        <v>0</v>
      </c>
      <c r="J193" s="13" t="str">
        <f>_xll.BDH("RCOM IN Equity","ARDR_SHORT_TERM_LOAN_SECURED","FY 2016","FY 2016","Currency=INR","Period=FY","BEST_FPERIOD_OVERRIDE=FY","FILING_STATUS=MR","EQY_CONSOLIDATED=Y","SCALING_FORMAT=MLN","Sort=A","Dates=H","DateFormat=P","Fill=—","Direction=H","UseDPDF=Y")</f>
        <v>—</v>
      </c>
      <c r="K193" s="13" t="str">
        <f>_xll.BDH("RCOM IN Equity","ARDR_SHORT_TERM_LOAN_SECURED","FY 2017","FY 2017","Currency=INR","Period=FY","BEST_FPERIOD_OVERRIDE=FY","FILING_STATUS=MR","EQY_CONSOLIDATED=Y","SCALING_FORMAT=MLN","Sort=A","Dates=H","DateFormat=P","Fill=—","Direction=H","UseDPDF=Y")</f>
        <v>—</v>
      </c>
      <c r="L193" s="13" t="str">
        <f>_xll.BDH("RCOM IN Equity","ARDR_SHORT_TERM_LOAN_SECURED","FY 2018","FY 2018","Currency=INR","Period=FY","BEST_FPERIOD_OVERRIDE=FY","FILING_STATUS=MR","EQY_CONSOLIDATED=Y","SCALING_FORMAT=MLN","Sort=A","Dates=H","DateFormat=P","Fill=—","Direction=H","UseDPDF=Y")</f>
        <v>—</v>
      </c>
    </row>
    <row r="194" spans="1:12">
      <c r="A194" s="10" t="s">
        <v>1179</v>
      </c>
      <c r="B194" s="10" t="s">
        <v>1180</v>
      </c>
      <c r="C194" s="13" t="str">
        <f>_xll.BDH("RCOM IN Equity","ARDR_SHORT_TERM_LOAN_UNSECURED","FY 2009","FY 2009","Currency=INR","Period=FY","BEST_FPERIOD_OVERRIDE=FY","FILING_STATUS=MR","EQY_CONSOLIDATED=Y","SCALING_FORMAT=MLN","Sort=A","Dates=H","DateFormat=P","Fill=—","Direction=H","UseDPDF=Y")</f>
        <v>—</v>
      </c>
      <c r="D194" s="13" t="str">
        <f>_xll.BDH("RCOM IN Equity","ARDR_SHORT_TERM_LOAN_UNSECURED","FY 2010","FY 2010","Currency=INR","Period=FY","BEST_FPERIOD_OVERRIDE=FY","FILING_STATUS=MR","EQY_CONSOLIDATED=Y","SCALING_FORMAT=MLN","Sort=A","Dates=H","DateFormat=P","Fill=—","Direction=H","UseDPDF=Y")</f>
        <v>—</v>
      </c>
      <c r="E194" s="13" t="str">
        <f>_xll.BDH("RCOM IN Equity","ARDR_SHORT_TERM_LOAN_UNSECURED","FY 2011","FY 2011","Currency=INR","Period=FY","BEST_FPERIOD_OVERRIDE=FY","FILING_STATUS=MR","EQY_CONSOLIDATED=Y","SCALING_FORMAT=MLN","Sort=A","Dates=H","DateFormat=P","Fill=—","Direction=H","UseDPDF=Y")</f>
        <v>—</v>
      </c>
      <c r="F194" s="13">
        <f>_xll.BDH("RCOM IN Equity","ARDR_SHORT_TERM_LOAN_UNSECURED","FY 2012","FY 2012","Currency=INR","Period=FY","BEST_FPERIOD_OVERRIDE=FY","FILING_STATUS=MR","EQY_CONSOLIDATED=Y","SCALING_FORMAT=MLN","Sort=A","Dates=H","DateFormat=P","Fill=—","Direction=H","UseDPDF=Y")</f>
        <v>13940</v>
      </c>
      <c r="G194" s="13">
        <f>_xll.BDH("RCOM IN Equity","ARDR_SHORT_TERM_LOAN_UNSECURED","FY 2013","FY 2013","Currency=INR","Period=FY","BEST_FPERIOD_OVERRIDE=FY","FILING_STATUS=MR","EQY_CONSOLIDATED=Y","SCALING_FORMAT=MLN","Sort=A","Dates=H","DateFormat=P","Fill=—","Direction=H","UseDPDF=Y")</f>
        <v>19070</v>
      </c>
      <c r="H194" s="13">
        <f>_xll.BDH("RCOM IN Equity","ARDR_SHORT_TERM_LOAN_UNSECURED","FY 2014","FY 2014","Currency=INR","Period=FY","BEST_FPERIOD_OVERRIDE=FY","FILING_STATUS=MR","EQY_CONSOLIDATED=Y","SCALING_FORMAT=MLN","Sort=A","Dates=H","DateFormat=P","Fill=—","Direction=H","UseDPDF=Y")</f>
        <v>24290</v>
      </c>
      <c r="I194" s="13">
        <f>_xll.BDH("RCOM IN Equity","ARDR_SHORT_TERM_LOAN_UNSECURED","FY 2015","FY 2015","Currency=INR","Period=FY","BEST_FPERIOD_OVERRIDE=FY","FILING_STATUS=MR","EQY_CONSOLIDATED=Y","SCALING_FORMAT=MLN","Sort=A","Dates=H","DateFormat=P","Fill=—","Direction=H","UseDPDF=Y")</f>
        <v>15870</v>
      </c>
      <c r="J194" s="13" t="str">
        <f>_xll.BDH("RCOM IN Equity","ARDR_SHORT_TERM_LOAN_UNSECURED","FY 2016","FY 2016","Currency=INR","Period=FY","BEST_FPERIOD_OVERRIDE=FY","FILING_STATUS=MR","EQY_CONSOLIDATED=Y","SCALING_FORMAT=MLN","Sort=A","Dates=H","DateFormat=P","Fill=—","Direction=H","UseDPDF=Y")</f>
        <v>—</v>
      </c>
      <c r="K194" s="13" t="str">
        <f>_xll.BDH("RCOM IN Equity","ARDR_SHORT_TERM_LOAN_UNSECURED","FY 2017","FY 2017","Currency=INR","Period=FY","BEST_FPERIOD_OVERRIDE=FY","FILING_STATUS=MR","EQY_CONSOLIDATED=Y","SCALING_FORMAT=MLN","Sort=A","Dates=H","DateFormat=P","Fill=—","Direction=H","UseDPDF=Y")</f>
        <v>—</v>
      </c>
      <c r="L194" s="13" t="str">
        <f>_xll.BDH("RCOM IN Equity","ARDR_SHORT_TERM_LOAN_UNSECURED","FY 2018","FY 2018","Currency=INR","Period=FY","BEST_FPERIOD_OVERRIDE=FY","FILING_STATUS=MR","EQY_CONSOLIDATED=Y","SCALING_FORMAT=MLN","Sort=A","Dates=H","DateFormat=P","Fill=—","Direction=H","UseDPDF=Y")</f>
        <v>—</v>
      </c>
    </row>
    <row r="195" spans="1:12">
      <c r="A195" s="10" t="s">
        <v>1181</v>
      </c>
      <c r="B195" s="10" t="s">
        <v>1182</v>
      </c>
      <c r="C195" s="13" t="str">
        <f>_xll.BDH("RCOM IN Equity","ARDR_LONG_TERM_LOAN_SECURED","FY 2009","FY 2009","Currency=INR","Period=FY","BEST_FPERIOD_OVERRIDE=FY","FILING_STATUS=MR","EQY_CONSOLIDATED=Y","SCALING_FORMAT=MLN","Sort=A","Dates=H","DateFormat=P","Fill=—","Direction=H","UseDPDF=Y")</f>
        <v>—</v>
      </c>
      <c r="D195" s="13" t="str">
        <f>_xll.BDH("RCOM IN Equity","ARDR_LONG_TERM_LOAN_SECURED","FY 2010","FY 2010","Currency=INR","Period=FY","BEST_FPERIOD_OVERRIDE=FY","FILING_STATUS=MR","EQY_CONSOLIDATED=Y","SCALING_FORMAT=MLN","Sort=A","Dates=H","DateFormat=P","Fill=—","Direction=H","UseDPDF=Y")</f>
        <v>—</v>
      </c>
      <c r="E195" s="13" t="str">
        <f>_xll.BDH("RCOM IN Equity","ARDR_LONG_TERM_LOAN_SECURED","FY 2011","FY 2011","Currency=INR","Period=FY","BEST_FPERIOD_OVERRIDE=FY","FILING_STATUS=MR","EQY_CONSOLIDATED=Y","SCALING_FORMAT=MLN","Sort=A","Dates=H","DateFormat=P","Fill=—","Direction=H","UseDPDF=Y")</f>
        <v>—</v>
      </c>
      <c r="F195" s="13">
        <f>_xll.BDH("RCOM IN Equity","ARDR_LONG_TERM_LOAN_SECURED","FY 2012","FY 2012","Currency=INR","Period=FY","BEST_FPERIOD_OVERRIDE=FY","FILING_STATUS=MR","EQY_CONSOLIDATED=Y","SCALING_FORMAT=MLN","Sort=A","Dates=H","DateFormat=P","Fill=—","Direction=H","UseDPDF=Y")</f>
        <v>296460</v>
      </c>
      <c r="G195" s="13">
        <f>_xll.BDH("RCOM IN Equity","ARDR_LONG_TERM_LOAN_SECURED","FY 2013","FY 2013","Currency=INR","Period=FY","BEST_FPERIOD_OVERRIDE=FY","FILING_STATUS=MR","EQY_CONSOLIDATED=Y","SCALING_FORMAT=MLN","Sort=A","Dates=H","DateFormat=P","Fill=—","Direction=H","UseDPDF=Y")</f>
        <v>286780</v>
      </c>
      <c r="H195" s="13">
        <f>_xll.BDH("RCOM IN Equity","ARDR_LONG_TERM_LOAN_SECURED","FY 2014","FY 2014","Currency=INR","Period=FY","BEST_FPERIOD_OVERRIDE=FY","FILING_STATUS=MR","EQY_CONSOLIDATED=Y","SCALING_FORMAT=MLN","Sort=A","Dates=H","DateFormat=P","Fill=—","Direction=H","UseDPDF=Y")</f>
        <v>275650</v>
      </c>
      <c r="I195" s="13">
        <f>_xll.BDH("RCOM IN Equity","ARDR_LONG_TERM_LOAN_SECURED","FY 2015","FY 2015","Currency=INR","Period=FY","BEST_FPERIOD_OVERRIDE=FY","FILING_STATUS=MR","EQY_CONSOLIDATED=Y","SCALING_FORMAT=MLN","Sort=A","Dates=H","DateFormat=P","Fill=—","Direction=H","UseDPDF=Y")</f>
        <v>303140</v>
      </c>
      <c r="J195" s="13" t="str">
        <f>_xll.BDH("RCOM IN Equity","ARDR_LONG_TERM_LOAN_SECURED","FY 2016","FY 2016","Currency=INR","Period=FY","BEST_FPERIOD_OVERRIDE=FY","FILING_STATUS=MR","EQY_CONSOLIDATED=Y","SCALING_FORMAT=MLN","Sort=A","Dates=H","DateFormat=P","Fill=—","Direction=H","UseDPDF=Y")</f>
        <v>—</v>
      </c>
      <c r="K195" s="13" t="str">
        <f>_xll.BDH("RCOM IN Equity","ARDR_LONG_TERM_LOAN_SECURED","FY 2017","FY 2017","Currency=INR","Period=FY","BEST_FPERIOD_OVERRIDE=FY","FILING_STATUS=MR","EQY_CONSOLIDATED=Y","SCALING_FORMAT=MLN","Sort=A","Dates=H","DateFormat=P","Fill=—","Direction=H","UseDPDF=Y")</f>
        <v>—</v>
      </c>
      <c r="L195" s="13" t="str">
        <f>_xll.BDH("RCOM IN Equity","ARDR_LONG_TERM_LOAN_SECURED","FY 2018","FY 2018","Currency=INR","Period=FY","BEST_FPERIOD_OVERRIDE=FY","FILING_STATUS=MR","EQY_CONSOLIDATED=Y","SCALING_FORMAT=MLN","Sort=A","Dates=H","DateFormat=P","Fill=—","Direction=H","UseDPDF=Y")</f>
        <v>—</v>
      </c>
    </row>
    <row r="196" spans="1:12">
      <c r="A196" s="10" t="s">
        <v>1183</v>
      </c>
      <c r="B196" s="10" t="s">
        <v>1184</v>
      </c>
      <c r="C196" s="13" t="str">
        <f>_xll.BDH("RCOM IN Equity","ARDR_LONG_TERM_LOAN_UNSECURED","FY 2009","FY 2009","Currency=INR","Period=FY","BEST_FPERIOD_OVERRIDE=FY","FILING_STATUS=MR","EQY_CONSOLIDATED=Y","SCALING_FORMAT=MLN","Sort=A","Dates=H","DateFormat=P","Fill=—","Direction=H","UseDPDF=Y")</f>
        <v>—</v>
      </c>
      <c r="D196" s="13" t="str">
        <f>_xll.BDH("RCOM IN Equity","ARDR_LONG_TERM_LOAN_UNSECURED","FY 2010","FY 2010","Currency=INR","Period=FY","BEST_FPERIOD_OVERRIDE=FY","FILING_STATUS=MR","EQY_CONSOLIDATED=Y","SCALING_FORMAT=MLN","Sort=A","Dates=H","DateFormat=P","Fill=—","Direction=H","UseDPDF=Y")</f>
        <v>—</v>
      </c>
      <c r="E196" s="13" t="str">
        <f>_xll.BDH("RCOM IN Equity","ARDR_LONG_TERM_LOAN_UNSECURED","FY 2011","FY 2011","Currency=INR","Period=FY","BEST_FPERIOD_OVERRIDE=FY","FILING_STATUS=MR","EQY_CONSOLIDATED=Y","SCALING_FORMAT=MLN","Sort=A","Dates=H","DateFormat=P","Fill=—","Direction=H","UseDPDF=Y")</f>
        <v>—</v>
      </c>
      <c r="F196" s="13" t="str">
        <f>_xll.BDH("RCOM IN Equity","ARDR_LONG_TERM_LOAN_UNSECURED","FY 2012","FY 2012","Currency=INR","Period=FY","BEST_FPERIOD_OVERRIDE=FY","FILING_STATUS=MR","EQY_CONSOLIDATED=Y","SCALING_FORMAT=MLN","Sort=A","Dates=H","DateFormat=P","Fill=—","Direction=H","UseDPDF=Y")</f>
        <v>—</v>
      </c>
      <c r="G196" s="13" t="str">
        <f>_xll.BDH("RCOM IN Equity","ARDR_LONG_TERM_LOAN_UNSECURED","FY 2013","FY 2013","Currency=INR","Period=FY","BEST_FPERIOD_OVERRIDE=FY","FILING_STATUS=MR","EQY_CONSOLIDATED=Y","SCALING_FORMAT=MLN","Sort=A","Dates=H","DateFormat=P","Fill=—","Direction=H","UseDPDF=Y")</f>
        <v>—</v>
      </c>
      <c r="H196" s="13">
        <f>_xll.BDH("RCOM IN Equity","ARDR_LONG_TERM_LOAN_UNSECURED","FY 2014","FY 2014","Currency=INR","Period=FY","BEST_FPERIOD_OVERRIDE=FY","FILING_STATUS=MR","EQY_CONSOLIDATED=Y","SCALING_FORMAT=MLN","Sort=A","Dates=H","DateFormat=P","Fill=—","Direction=H","UseDPDF=Y")</f>
        <v>3480</v>
      </c>
      <c r="I196" s="13">
        <f>_xll.BDH("RCOM IN Equity","ARDR_LONG_TERM_LOAN_UNSECURED","FY 2015","FY 2015","Currency=INR","Period=FY","BEST_FPERIOD_OVERRIDE=FY","FILING_STATUS=MR","EQY_CONSOLIDATED=Y","SCALING_FORMAT=MLN","Sort=A","Dates=H","DateFormat=P","Fill=—","Direction=H","UseDPDF=Y")</f>
        <v>420</v>
      </c>
      <c r="J196" s="13" t="str">
        <f>_xll.BDH("RCOM IN Equity","ARDR_LONG_TERM_LOAN_UNSECURED","FY 2016","FY 2016","Currency=INR","Period=FY","BEST_FPERIOD_OVERRIDE=FY","FILING_STATUS=MR","EQY_CONSOLIDATED=Y","SCALING_FORMAT=MLN","Sort=A","Dates=H","DateFormat=P","Fill=—","Direction=H","UseDPDF=Y")</f>
        <v>—</v>
      </c>
      <c r="K196" s="13" t="str">
        <f>_xll.BDH("RCOM IN Equity","ARDR_LONG_TERM_LOAN_UNSECURED","FY 2017","FY 2017","Currency=INR","Period=FY","BEST_FPERIOD_OVERRIDE=FY","FILING_STATUS=MR","EQY_CONSOLIDATED=Y","SCALING_FORMAT=MLN","Sort=A","Dates=H","DateFormat=P","Fill=—","Direction=H","UseDPDF=Y")</f>
        <v>—</v>
      </c>
      <c r="L196" s="13" t="str">
        <f>_xll.BDH("RCOM IN Equity","ARDR_LONG_TERM_LOAN_UNSECURED","FY 2018","FY 2018","Currency=INR","Period=FY","BEST_FPERIOD_OVERRIDE=FY","FILING_STATUS=MR","EQY_CONSOLIDATED=Y","SCALING_FORMAT=MLN","Sort=A","Dates=H","DateFormat=P","Fill=—","Direction=H","UseDPDF=Y")</f>
        <v>—</v>
      </c>
    </row>
    <row r="197" spans="1:12">
      <c r="A197" s="10" t="s">
        <v>1185</v>
      </c>
      <c r="B197" s="10" t="s">
        <v>1186</v>
      </c>
      <c r="C197" s="13" t="str">
        <f>_xll.BDH("RCOM IN Equity","ARDR_OPTIONS_CANCELLED_FORFEITED","FY 2009","FY 2009","Currency=INR","Period=FY","BEST_FPERIOD_OVERRIDE=FY","FILING_STATUS=MR","EQY_CONSOLIDATED=Y","SCALING_FORMAT=MLN","Sort=A","Dates=H","DateFormat=P","Fill=—","Direction=H","UseDPDF=Y")</f>
        <v>—</v>
      </c>
      <c r="D197" s="13" t="str">
        <f>_xll.BDH("RCOM IN Equity","ARDR_OPTIONS_CANCELLED_FORFEITED","FY 2010","FY 2010","Currency=INR","Period=FY","BEST_FPERIOD_OVERRIDE=FY","FILING_STATUS=MR","EQY_CONSOLIDATED=Y","SCALING_FORMAT=MLN","Sort=A","Dates=H","DateFormat=P","Fill=—","Direction=H","UseDPDF=Y")</f>
        <v>—</v>
      </c>
      <c r="E197" s="13" t="str">
        <f>_xll.BDH("RCOM IN Equity","ARDR_OPTIONS_CANCELLED_FORFEITED","FY 2011","FY 2011","Currency=INR","Period=FY","BEST_FPERIOD_OVERRIDE=FY","FILING_STATUS=MR","EQY_CONSOLIDATED=Y","SCALING_FORMAT=MLN","Sort=A","Dates=H","DateFormat=P","Fill=—","Direction=H","UseDPDF=Y")</f>
        <v>—</v>
      </c>
      <c r="F197" s="13">
        <f>_xll.BDH("RCOM IN Equity","ARDR_OPTIONS_CANCELLED_FORFEITED","FY 2012","FY 2012","Currency=INR","Period=FY","BEST_FPERIOD_OVERRIDE=FY","FILING_STATUS=MR","EQY_CONSOLIDATED=Y","SCALING_FORMAT=MLN","Sort=A","Dates=H","DateFormat=P","Fill=—","Direction=H","UseDPDF=Y")</f>
        <v>0.89449999999999996</v>
      </c>
      <c r="G197" s="13">
        <f>_xll.BDH("RCOM IN Equity","ARDR_OPTIONS_CANCELLED_FORFEITED","FY 2013","FY 2013","Currency=INR","Period=FY","BEST_FPERIOD_OVERRIDE=FY","FILING_STATUS=MR","EQY_CONSOLIDATED=Y","SCALING_FORMAT=MLN","Sort=A","Dates=H","DateFormat=P","Fill=—","Direction=H","UseDPDF=Y")</f>
        <v>0.1777</v>
      </c>
      <c r="H197" s="13">
        <f>_xll.BDH("RCOM IN Equity","ARDR_OPTIONS_CANCELLED_FORFEITED","FY 2014","FY 2014","Currency=INR","Period=FY","BEST_FPERIOD_OVERRIDE=FY","FILING_STATUS=MR","EQY_CONSOLIDATED=Y","SCALING_FORMAT=MLN","Sort=A","Dates=H","DateFormat=P","Fill=—","Direction=H","UseDPDF=Y")</f>
        <v>1.2578</v>
      </c>
      <c r="I197" s="13">
        <f>_xll.BDH("RCOM IN Equity","ARDR_OPTIONS_CANCELLED_FORFEITED","FY 2015","FY 2015","Currency=INR","Period=FY","BEST_FPERIOD_OVERRIDE=FY","FILING_STATUS=MR","EQY_CONSOLIDATED=Y","SCALING_FORMAT=MLN","Sort=A","Dates=H","DateFormat=P","Fill=—","Direction=H","UseDPDF=Y")</f>
        <v>0.81379999999999997</v>
      </c>
      <c r="J197" s="13">
        <f>_xll.BDH("RCOM IN Equity","ARDR_OPTIONS_CANCELLED_FORFEITED","FY 2016","FY 2016","Currency=INR","Period=FY","BEST_FPERIOD_OVERRIDE=FY","FILING_STATUS=MR","EQY_CONSOLIDATED=Y","SCALING_FORMAT=MLN","Sort=A","Dates=H","DateFormat=P","Fill=—","Direction=H","UseDPDF=Y")</f>
        <v>0.63519999999999999</v>
      </c>
      <c r="K197" s="13">
        <f>_xll.BDH("RCOM IN Equity","ARDR_OPTIONS_CANCELLED_FORFEITED","FY 2017","FY 2017","Currency=INR","Period=FY","BEST_FPERIOD_OVERRIDE=FY","FILING_STATUS=MR","EQY_CONSOLIDATED=Y","SCALING_FORMAT=MLN","Sort=A","Dates=H","DateFormat=P","Fill=—","Direction=H","UseDPDF=Y")</f>
        <v>0.1009</v>
      </c>
      <c r="L197" s="13">
        <f>_xll.BDH("RCOM IN Equity","ARDR_OPTIONS_CANCELLED_FORFEITED","FY 2018","FY 2018","Currency=INR","Period=FY","BEST_FPERIOD_OVERRIDE=FY","FILING_STATUS=MR","EQY_CONSOLIDATED=Y","SCALING_FORMAT=MLN","Sort=A","Dates=H","DateFormat=P","Fill=—","Direction=H","UseDPDF=Y")</f>
        <v>0.20799999999999999</v>
      </c>
    </row>
    <row r="198" spans="1:12">
      <c r="A198" s="10" t="s">
        <v>1187</v>
      </c>
      <c r="B198" s="10" t="s">
        <v>1188</v>
      </c>
      <c r="C198" s="13" t="str">
        <f>_xll.BDH("RCOM IN Equity","ARDR_CRNT_CAPITAL_LEASE","FY 2009","FY 2009","Currency=INR","Period=FY","BEST_FPERIOD_OVERRIDE=FY","FILING_STATUS=MR","EQY_CONSOLIDATED=Y","SCALING_FORMAT=MLN","Sort=A","Dates=H","DateFormat=P","Fill=—","Direction=H","UseDPDF=Y")</f>
        <v>—</v>
      </c>
      <c r="D198" s="13" t="str">
        <f>_xll.BDH("RCOM IN Equity","ARDR_CRNT_CAPITAL_LEASE","FY 2010","FY 2010","Currency=INR","Period=FY","BEST_FPERIOD_OVERRIDE=FY","FILING_STATUS=MR","EQY_CONSOLIDATED=Y","SCALING_FORMAT=MLN","Sort=A","Dates=H","DateFormat=P","Fill=—","Direction=H","UseDPDF=Y")</f>
        <v>—</v>
      </c>
      <c r="E198" s="13" t="str">
        <f>_xll.BDH("RCOM IN Equity","ARDR_CRNT_CAPITAL_LEASE","FY 2011","FY 2011","Currency=INR","Period=FY","BEST_FPERIOD_OVERRIDE=FY","FILING_STATUS=MR","EQY_CONSOLIDATED=Y","SCALING_FORMAT=MLN","Sort=A","Dates=H","DateFormat=P","Fill=—","Direction=H","UseDPDF=Y")</f>
        <v>—</v>
      </c>
      <c r="F198" s="13" t="str">
        <f>_xll.BDH("RCOM IN Equity","ARDR_CRNT_CAPITAL_LEASE","FY 2012","FY 2012","Currency=INR","Period=FY","BEST_FPERIOD_OVERRIDE=FY","FILING_STATUS=MR","EQY_CONSOLIDATED=Y","SCALING_FORMAT=MLN","Sort=A","Dates=H","DateFormat=P","Fill=—","Direction=H","UseDPDF=Y")</f>
        <v>—</v>
      </c>
      <c r="G198" s="13" t="str">
        <f>_xll.BDH("RCOM IN Equity","ARDR_CRNT_CAPITAL_LEASE","FY 2013","FY 2013","Currency=INR","Period=FY","BEST_FPERIOD_OVERRIDE=FY","FILING_STATUS=MR","EQY_CONSOLIDATED=Y","SCALING_FORMAT=MLN","Sort=A","Dates=H","DateFormat=P","Fill=—","Direction=H","UseDPDF=Y")</f>
        <v>—</v>
      </c>
      <c r="H198" s="13">
        <f>_xll.BDH("RCOM IN Equity","ARDR_CRNT_CAPITAL_LEASE","FY 2014","FY 2014","Currency=INR","Period=FY","BEST_FPERIOD_OVERRIDE=FY","FILING_STATUS=MR","EQY_CONSOLIDATED=Y","SCALING_FORMAT=MLN","Sort=A","Dates=H","DateFormat=P","Fill=—","Direction=H","UseDPDF=Y")</f>
        <v>200</v>
      </c>
      <c r="I198" s="13">
        <f>_xll.BDH("RCOM IN Equity","ARDR_CRNT_CAPITAL_LEASE","FY 2015","FY 2015","Currency=INR","Period=FY","BEST_FPERIOD_OVERRIDE=FY","FILING_STATUS=MR","EQY_CONSOLIDATED=Y","SCALING_FORMAT=MLN","Sort=A","Dates=H","DateFormat=P","Fill=—","Direction=H","UseDPDF=Y")</f>
        <v>110</v>
      </c>
      <c r="J198" s="13">
        <f>_xll.BDH("RCOM IN Equity","ARDR_CRNT_CAPITAL_LEASE","FY 2016","FY 2016","Currency=INR","Period=FY","BEST_FPERIOD_OVERRIDE=FY","FILING_STATUS=MR","EQY_CONSOLIDATED=Y","SCALING_FORMAT=MLN","Sort=A","Dates=H","DateFormat=P","Fill=—","Direction=H","UseDPDF=Y")</f>
        <v>100</v>
      </c>
      <c r="K198" s="13">
        <f>_xll.BDH("RCOM IN Equity","ARDR_CRNT_CAPITAL_LEASE","FY 2017","FY 2017","Currency=INR","Period=FY","BEST_FPERIOD_OVERRIDE=FY","FILING_STATUS=MR","EQY_CONSOLIDATED=Y","SCALING_FORMAT=MLN","Sort=A","Dates=H","DateFormat=P","Fill=—","Direction=H","UseDPDF=Y")</f>
        <v>20</v>
      </c>
      <c r="L198" s="13">
        <f>_xll.BDH("RCOM IN Equity","ARDR_CRNT_CAPITAL_LEASE","FY 2018","FY 2018","Currency=INR","Period=FY","BEST_FPERIOD_OVERRIDE=FY","FILING_STATUS=MR","EQY_CONSOLIDATED=Y","SCALING_FORMAT=MLN","Sort=A","Dates=H","DateFormat=P","Fill=—","Direction=H","UseDPDF=Y")</f>
        <v>0</v>
      </c>
    </row>
    <row r="199" spans="1:12">
      <c r="A199" s="10" t="s">
        <v>1189</v>
      </c>
      <c r="B199" s="10" t="s">
        <v>1190</v>
      </c>
      <c r="C199" s="13" t="str">
        <f>_xll.BDH("RCOM IN Equity","ARDR_CAPITAL_LEASE_YEAR_1","FY 2009","FY 2009","Currency=INR","Period=FY","BEST_FPERIOD_OVERRIDE=FY","FILING_STATUS=MR","EQY_CONSOLIDATED=Y","SCALING_FORMAT=MLN","Sort=A","Dates=H","DateFormat=P","Fill=—","Direction=H","UseDPDF=Y")</f>
        <v>—</v>
      </c>
      <c r="D199" s="13" t="str">
        <f>_xll.BDH("RCOM IN Equity","ARDR_CAPITAL_LEASE_YEAR_1","FY 2010","FY 2010","Currency=INR","Period=FY","BEST_FPERIOD_OVERRIDE=FY","FILING_STATUS=MR","EQY_CONSOLIDATED=Y","SCALING_FORMAT=MLN","Sort=A","Dates=H","DateFormat=P","Fill=—","Direction=H","UseDPDF=Y")</f>
        <v>—</v>
      </c>
      <c r="E199" s="13" t="str">
        <f>_xll.BDH("RCOM IN Equity","ARDR_CAPITAL_LEASE_YEAR_1","FY 2011","FY 2011","Currency=INR","Period=FY","BEST_FPERIOD_OVERRIDE=FY","FILING_STATUS=MR","EQY_CONSOLIDATED=Y","SCALING_FORMAT=MLN","Sort=A","Dates=H","DateFormat=P","Fill=—","Direction=H","UseDPDF=Y")</f>
        <v>—</v>
      </c>
      <c r="F199" s="13" t="str">
        <f>_xll.BDH("RCOM IN Equity","ARDR_CAPITAL_LEASE_YEAR_1","FY 2012","FY 2012","Currency=INR","Period=FY","BEST_FPERIOD_OVERRIDE=FY","FILING_STATUS=MR","EQY_CONSOLIDATED=Y","SCALING_FORMAT=MLN","Sort=A","Dates=H","DateFormat=P","Fill=—","Direction=H","UseDPDF=Y")</f>
        <v>—</v>
      </c>
      <c r="G199" s="13" t="str">
        <f>_xll.BDH("RCOM IN Equity","ARDR_CAPITAL_LEASE_YEAR_1","FY 2013","FY 2013","Currency=INR","Period=FY","BEST_FPERIOD_OVERRIDE=FY","FILING_STATUS=MR","EQY_CONSOLIDATED=Y","SCALING_FORMAT=MLN","Sort=A","Dates=H","DateFormat=P","Fill=—","Direction=H","UseDPDF=Y")</f>
        <v>—</v>
      </c>
      <c r="H199" s="13">
        <f>_xll.BDH("RCOM IN Equity","ARDR_CAPITAL_LEASE_YEAR_1","FY 2014","FY 2014","Currency=INR","Period=FY","BEST_FPERIOD_OVERRIDE=FY","FILING_STATUS=MR","EQY_CONSOLIDATED=Y","SCALING_FORMAT=MLN","Sort=A","Dates=H","DateFormat=P","Fill=—","Direction=H","UseDPDF=Y")</f>
        <v>370</v>
      </c>
      <c r="I199" s="13">
        <f>_xll.BDH("RCOM IN Equity","ARDR_CAPITAL_LEASE_YEAR_1","FY 2015","FY 2015","Currency=INR","Period=FY","BEST_FPERIOD_OVERRIDE=FY","FILING_STATUS=MR","EQY_CONSOLIDATED=Y","SCALING_FORMAT=MLN","Sort=A","Dates=H","DateFormat=P","Fill=—","Direction=H","UseDPDF=Y")</f>
        <v>210</v>
      </c>
      <c r="J199" s="13">
        <f>_xll.BDH("RCOM IN Equity","ARDR_CAPITAL_LEASE_YEAR_1","FY 2016","FY 2016","Currency=INR","Period=FY","BEST_FPERIOD_OVERRIDE=FY","FILING_STATUS=MR","EQY_CONSOLIDATED=Y","SCALING_FORMAT=MLN","Sort=A","Dates=H","DateFormat=P","Fill=—","Direction=H","UseDPDF=Y")</f>
        <v>190</v>
      </c>
      <c r="K199" s="13">
        <f>_xll.BDH("RCOM IN Equity","ARDR_CAPITAL_LEASE_YEAR_1","FY 2017","FY 2017","Currency=INR","Period=FY","BEST_FPERIOD_OVERRIDE=FY","FILING_STATUS=MR","EQY_CONSOLIDATED=Y","SCALING_FORMAT=MLN","Sort=A","Dates=H","DateFormat=P","Fill=—","Direction=H","UseDPDF=Y")</f>
        <v>150</v>
      </c>
      <c r="L199" s="13">
        <f>_xll.BDH("RCOM IN Equity","ARDR_CAPITAL_LEASE_YEAR_1","FY 2018","FY 2018","Currency=INR","Period=FY","BEST_FPERIOD_OVERRIDE=FY","FILING_STATUS=MR","EQY_CONSOLIDATED=Y","SCALING_FORMAT=MLN","Sort=A","Dates=H","DateFormat=P","Fill=—","Direction=H","UseDPDF=Y")</f>
        <v>0</v>
      </c>
    </row>
    <row r="200" spans="1:12">
      <c r="A200" s="10" t="s">
        <v>1191</v>
      </c>
      <c r="B200" s="10" t="s">
        <v>1192</v>
      </c>
      <c r="C200" s="13" t="str">
        <f>_xll.BDH("RCOM IN Equity","ARDR_CAPITAL_LEASE_BEYOND_YEAR_5","FY 2009","FY 2009","Currency=INR","Period=FY","BEST_FPERIOD_OVERRIDE=FY","FILING_STATUS=MR","EQY_CONSOLIDATED=Y","SCALING_FORMAT=MLN","Sort=A","Dates=H","DateFormat=P","Fill=—","Direction=H","UseDPDF=Y")</f>
        <v>—</v>
      </c>
      <c r="D200" s="13" t="str">
        <f>_xll.BDH("RCOM IN Equity","ARDR_CAPITAL_LEASE_BEYOND_YEAR_5","FY 2010","FY 2010","Currency=INR","Period=FY","BEST_FPERIOD_OVERRIDE=FY","FILING_STATUS=MR","EQY_CONSOLIDATED=Y","SCALING_FORMAT=MLN","Sort=A","Dates=H","DateFormat=P","Fill=—","Direction=H","UseDPDF=Y")</f>
        <v>—</v>
      </c>
      <c r="E200" s="13" t="str">
        <f>_xll.BDH("RCOM IN Equity","ARDR_CAPITAL_LEASE_BEYOND_YEAR_5","FY 2011","FY 2011","Currency=INR","Period=FY","BEST_FPERIOD_OVERRIDE=FY","FILING_STATUS=MR","EQY_CONSOLIDATED=Y","SCALING_FORMAT=MLN","Sort=A","Dates=H","DateFormat=P","Fill=—","Direction=H","UseDPDF=Y")</f>
        <v>—</v>
      </c>
      <c r="F200" s="13" t="str">
        <f>_xll.BDH("RCOM IN Equity","ARDR_CAPITAL_LEASE_BEYOND_YEAR_5","FY 2012","FY 2012","Currency=INR","Period=FY","BEST_FPERIOD_OVERRIDE=FY","FILING_STATUS=MR","EQY_CONSOLIDATED=Y","SCALING_FORMAT=MLN","Sort=A","Dates=H","DateFormat=P","Fill=—","Direction=H","UseDPDF=Y")</f>
        <v>—</v>
      </c>
      <c r="G200" s="13" t="str">
        <f>_xll.BDH("RCOM IN Equity","ARDR_CAPITAL_LEASE_BEYOND_YEAR_5","FY 2013","FY 2013","Currency=INR","Period=FY","BEST_FPERIOD_OVERRIDE=FY","FILING_STATUS=MR","EQY_CONSOLIDATED=Y","SCALING_FORMAT=MLN","Sort=A","Dates=H","DateFormat=P","Fill=—","Direction=H","UseDPDF=Y")</f>
        <v>—</v>
      </c>
      <c r="H200" s="13">
        <f>_xll.BDH("RCOM IN Equity","ARDR_CAPITAL_LEASE_BEYOND_YEAR_5","FY 2014","FY 2014","Currency=INR","Period=FY","BEST_FPERIOD_OVERRIDE=FY","FILING_STATUS=MR","EQY_CONSOLIDATED=Y","SCALING_FORMAT=MLN","Sort=A","Dates=H","DateFormat=P","Fill=—","Direction=H","UseDPDF=Y")</f>
        <v>2090</v>
      </c>
      <c r="I200" s="13">
        <f>_xll.BDH("RCOM IN Equity","ARDR_CAPITAL_LEASE_BEYOND_YEAR_5","FY 2015","FY 2015","Currency=INR","Period=FY","BEST_FPERIOD_OVERRIDE=FY","FILING_STATUS=MR","EQY_CONSOLIDATED=Y","SCALING_FORMAT=MLN","Sort=A","Dates=H","DateFormat=P","Fill=—","Direction=H","UseDPDF=Y")</f>
        <v>890</v>
      </c>
      <c r="J200" s="13">
        <f>_xll.BDH("RCOM IN Equity","ARDR_CAPITAL_LEASE_BEYOND_YEAR_5","FY 2016","FY 2016","Currency=INR","Period=FY","BEST_FPERIOD_OVERRIDE=FY","FILING_STATUS=MR","EQY_CONSOLIDATED=Y","SCALING_FORMAT=MLN","Sort=A","Dates=H","DateFormat=P","Fill=—","Direction=H","UseDPDF=Y")</f>
        <v>650</v>
      </c>
      <c r="K200" s="13">
        <f>_xll.BDH("RCOM IN Equity","ARDR_CAPITAL_LEASE_BEYOND_YEAR_5","FY 2017","FY 2017","Currency=INR","Period=FY","BEST_FPERIOD_OVERRIDE=FY","FILING_STATUS=MR","EQY_CONSOLIDATED=Y","SCALING_FORMAT=MLN","Sort=A","Dates=H","DateFormat=P","Fill=—","Direction=H","UseDPDF=Y")</f>
        <v>480</v>
      </c>
      <c r="L200" s="13">
        <f>_xll.BDH("RCOM IN Equity","ARDR_CAPITAL_LEASE_BEYOND_YEAR_5","FY 2018","FY 2018","Currency=INR","Period=FY","BEST_FPERIOD_OVERRIDE=FY","FILING_STATUS=MR","EQY_CONSOLIDATED=Y","SCALING_FORMAT=MLN","Sort=A","Dates=H","DateFormat=P","Fill=—","Direction=H","UseDPDF=Y")</f>
        <v>0</v>
      </c>
    </row>
    <row r="201" spans="1:12">
      <c r="A201" s="10" t="s">
        <v>1193</v>
      </c>
      <c r="B201" s="10" t="s">
        <v>1194</v>
      </c>
      <c r="C201" s="13" t="str">
        <f>_xll.BDH("RCOM IN Equity","ARDR_TOTAL_CAPITAL_LEASE","FY 2009","FY 2009","Currency=INR","Period=FY","BEST_FPERIOD_OVERRIDE=FY","FILING_STATUS=MR","EQY_CONSOLIDATED=Y","SCALING_FORMAT=MLN","Sort=A","Dates=H","DateFormat=P","Fill=—","Direction=H","UseDPDF=Y")</f>
        <v>—</v>
      </c>
      <c r="D201" s="13" t="str">
        <f>_xll.BDH("RCOM IN Equity","ARDR_TOTAL_CAPITAL_LEASE","FY 2010","FY 2010","Currency=INR","Period=FY","BEST_FPERIOD_OVERRIDE=FY","FILING_STATUS=MR","EQY_CONSOLIDATED=Y","SCALING_FORMAT=MLN","Sort=A","Dates=H","DateFormat=P","Fill=—","Direction=H","UseDPDF=Y")</f>
        <v>—</v>
      </c>
      <c r="E201" s="13" t="str">
        <f>_xll.BDH("RCOM IN Equity","ARDR_TOTAL_CAPITAL_LEASE","FY 2011","FY 2011","Currency=INR","Period=FY","BEST_FPERIOD_OVERRIDE=FY","FILING_STATUS=MR","EQY_CONSOLIDATED=Y","SCALING_FORMAT=MLN","Sort=A","Dates=H","DateFormat=P","Fill=—","Direction=H","UseDPDF=Y")</f>
        <v>—</v>
      </c>
      <c r="F201" s="13" t="str">
        <f>_xll.BDH("RCOM IN Equity","ARDR_TOTAL_CAPITAL_LEASE","FY 2012","FY 2012","Currency=INR","Period=FY","BEST_FPERIOD_OVERRIDE=FY","FILING_STATUS=MR","EQY_CONSOLIDATED=Y","SCALING_FORMAT=MLN","Sort=A","Dates=H","DateFormat=P","Fill=—","Direction=H","UseDPDF=Y")</f>
        <v>—</v>
      </c>
      <c r="G201" s="13" t="str">
        <f>_xll.BDH("RCOM IN Equity","ARDR_TOTAL_CAPITAL_LEASE","FY 2013","FY 2013","Currency=INR","Period=FY","BEST_FPERIOD_OVERRIDE=FY","FILING_STATUS=MR","EQY_CONSOLIDATED=Y","SCALING_FORMAT=MLN","Sort=A","Dates=H","DateFormat=P","Fill=—","Direction=H","UseDPDF=Y")</f>
        <v>—</v>
      </c>
      <c r="H201" s="13">
        <f>_xll.BDH("RCOM IN Equity","ARDR_TOTAL_CAPITAL_LEASE","FY 2014","FY 2014","Currency=INR","Period=FY","BEST_FPERIOD_OVERRIDE=FY","FILING_STATUS=MR","EQY_CONSOLIDATED=Y","SCALING_FORMAT=MLN","Sort=A","Dates=H","DateFormat=P","Fill=—","Direction=H","UseDPDF=Y")</f>
        <v>3950</v>
      </c>
      <c r="I201" s="13">
        <f>_xll.BDH("RCOM IN Equity","ARDR_TOTAL_CAPITAL_LEASE","FY 2015","FY 2015","Currency=INR","Period=FY","BEST_FPERIOD_OVERRIDE=FY","FILING_STATUS=MR","EQY_CONSOLIDATED=Y","SCALING_FORMAT=MLN","Sort=A","Dates=H","DateFormat=P","Fill=—","Direction=H","UseDPDF=Y")</f>
        <v>1920</v>
      </c>
      <c r="J201" s="13">
        <f>_xll.BDH("RCOM IN Equity","ARDR_TOTAL_CAPITAL_LEASE","FY 2016","FY 2016","Currency=INR","Period=FY","BEST_FPERIOD_OVERRIDE=FY","FILING_STATUS=MR","EQY_CONSOLIDATED=Y","SCALING_FORMAT=MLN","Sort=A","Dates=H","DateFormat=P","Fill=—","Direction=H","UseDPDF=Y")</f>
        <v>1540</v>
      </c>
      <c r="K201" s="13">
        <f>_xll.BDH("RCOM IN Equity","ARDR_TOTAL_CAPITAL_LEASE","FY 2017","FY 2017","Currency=INR","Period=FY","BEST_FPERIOD_OVERRIDE=FY","FILING_STATUS=MR","EQY_CONSOLIDATED=Y","SCALING_FORMAT=MLN","Sort=A","Dates=H","DateFormat=P","Fill=—","Direction=H","UseDPDF=Y")</f>
        <v>1210</v>
      </c>
      <c r="L201" s="13">
        <f>_xll.BDH("RCOM IN Equity","ARDR_TOTAL_CAPITAL_LEASE","FY 2018","FY 2018","Currency=INR","Period=FY","BEST_FPERIOD_OVERRIDE=FY","FILING_STATUS=MR","EQY_CONSOLIDATED=Y","SCALING_FORMAT=MLN","Sort=A","Dates=H","DateFormat=P","Fill=—","Direction=H","UseDPDF=Y")</f>
        <v>0</v>
      </c>
    </row>
    <row r="202" spans="1:12">
      <c r="A202" s="10" t="s">
        <v>1195</v>
      </c>
      <c r="B202" s="10" t="s">
        <v>1196</v>
      </c>
      <c r="C202" s="13">
        <f>_xll.BDH("RCOM IN Equity","ARDR_INVESTMENT_IN_MF_ST","FY 2009","FY 2009","Currency=INR","Period=FY","BEST_FPERIOD_OVERRIDE=FY","FILING_STATUS=MR","EQY_CONSOLIDATED=Y","SCALING_FORMAT=MLN","Sort=A","Dates=H","DateFormat=P","Fill=—","Direction=H","UseDPDF=Y")</f>
        <v>84669.4</v>
      </c>
      <c r="D202" s="13">
        <f>_xll.BDH("RCOM IN Equity","ARDR_INVESTMENT_IN_MF_ST","FY 2010","FY 2010","Currency=INR","Period=FY","BEST_FPERIOD_OVERRIDE=FY","FILING_STATUS=MR","EQY_CONSOLIDATED=Y","SCALING_FORMAT=MLN","Sort=A","Dates=H","DateFormat=P","Fill=—","Direction=H","UseDPDF=Y")</f>
        <v>38972.400000000001</v>
      </c>
      <c r="E202" s="13">
        <f>_xll.BDH("RCOM IN Equity","ARDR_INVESTMENT_IN_MF_ST","FY 2011","FY 2011","Currency=INR","Period=FY","BEST_FPERIOD_OVERRIDE=FY","FILING_STATUS=MR","EQY_CONSOLIDATED=Y","SCALING_FORMAT=MLN","Sort=A","Dates=H","DateFormat=P","Fill=—","Direction=H","UseDPDF=Y")</f>
        <v>4520</v>
      </c>
      <c r="F202" s="13">
        <f>_xll.BDH("RCOM IN Equity","ARDR_INVESTMENT_IN_MF_ST","FY 2012","FY 2012","Currency=INR","Period=FY","BEST_FPERIOD_OVERRIDE=FY","FILING_STATUS=MR","EQY_CONSOLIDATED=Y","SCALING_FORMAT=MLN","Sort=A","Dates=H","DateFormat=P","Fill=—","Direction=H","UseDPDF=Y")</f>
        <v>5190</v>
      </c>
      <c r="G202" s="13">
        <f>_xll.BDH("RCOM IN Equity","ARDR_INVESTMENT_IN_MF_ST","FY 2013","FY 2013","Currency=INR","Period=FY","BEST_FPERIOD_OVERRIDE=FY","FILING_STATUS=MR","EQY_CONSOLIDATED=Y","SCALING_FORMAT=MLN","Sort=A","Dates=H","DateFormat=P","Fill=—","Direction=H","UseDPDF=Y")</f>
        <v>5510</v>
      </c>
      <c r="H202" s="13">
        <f>_xll.BDH("RCOM IN Equity","ARDR_INVESTMENT_IN_MF_ST","FY 2014","FY 2014","Currency=INR","Period=FY","BEST_FPERIOD_OVERRIDE=FY","FILING_STATUS=MR","EQY_CONSOLIDATED=Y","SCALING_FORMAT=MLN","Sort=A","Dates=H","DateFormat=P","Fill=—","Direction=H","UseDPDF=Y")</f>
        <v>6050</v>
      </c>
      <c r="I202" s="13">
        <f>_xll.BDH("RCOM IN Equity","ARDR_INVESTMENT_IN_MF_ST","FY 2015","FY 2015","Currency=INR","Period=FY","BEST_FPERIOD_OVERRIDE=FY","FILING_STATUS=MR","EQY_CONSOLIDATED=Y","SCALING_FORMAT=MLN","Sort=A","Dates=H","DateFormat=P","Fill=—","Direction=H","UseDPDF=Y")</f>
        <v>12700</v>
      </c>
      <c r="J202" s="13" t="str">
        <f>_xll.BDH("RCOM IN Equity","ARDR_INVESTMENT_IN_MF_ST","FY 2016","FY 2016","Currency=INR","Period=FY","BEST_FPERIOD_OVERRIDE=FY","FILING_STATUS=MR","EQY_CONSOLIDATED=Y","SCALING_FORMAT=MLN","Sort=A","Dates=H","DateFormat=P","Fill=—","Direction=H","UseDPDF=Y")</f>
        <v>—</v>
      </c>
      <c r="K202" s="13" t="str">
        <f>_xll.BDH("RCOM IN Equity","ARDR_INVESTMENT_IN_MF_ST","FY 2017","FY 2017","Currency=INR","Period=FY","BEST_FPERIOD_OVERRIDE=FY","FILING_STATUS=MR","EQY_CONSOLIDATED=Y","SCALING_FORMAT=MLN","Sort=A","Dates=H","DateFormat=P","Fill=—","Direction=H","UseDPDF=Y")</f>
        <v>—</v>
      </c>
      <c r="L202" s="13" t="str">
        <f>_xll.BDH("RCOM IN Equity","ARDR_INVESTMENT_IN_MF_ST","FY 2018","FY 2018","Currency=INR","Period=FY","BEST_FPERIOD_OVERRIDE=FY","FILING_STATUS=MR","EQY_CONSOLIDATED=Y","SCALING_FORMAT=MLN","Sort=A","Dates=H","DateFormat=P","Fill=—","Direction=H","UseDPDF=Y")</f>
        <v>—</v>
      </c>
    </row>
    <row r="203" spans="1:12">
      <c r="A203" s="10" t="s">
        <v>1197</v>
      </c>
      <c r="B203" s="10" t="s">
        <v>1198</v>
      </c>
      <c r="C203" s="13" t="str">
        <f>_xll.BDH("RCOM IN Equity","ARDR_INVESTMENT_IN_MF_LT","FY 2009","FY 2009","Currency=INR","Period=FY","BEST_FPERIOD_OVERRIDE=FY","FILING_STATUS=MR","EQY_CONSOLIDATED=Y","SCALING_FORMAT=MLN","Sort=A","Dates=H","DateFormat=P","Fill=—","Direction=H","UseDPDF=Y")</f>
        <v>—</v>
      </c>
      <c r="D203" s="13" t="str">
        <f>_xll.BDH("RCOM IN Equity","ARDR_INVESTMENT_IN_MF_LT","FY 2010","FY 2010","Currency=INR","Period=FY","BEST_FPERIOD_OVERRIDE=FY","FILING_STATUS=MR","EQY_CONSOLIDATED=Y","SCALING_FORMAT=MLN","Sort=A","Dates=H","DateFormat=P","Fill=—","Direction=H","UseDPDF=Y")</f>
        <v>—</v>
      </c>
      <c r="E203" s="13" t="str">
        <f>_xll.BDH("RCOM IN Equity","ARDR_INVESTMENT_IN_MF_LT","FY 2011","FY 2011","Currency=INR","Period=FY","BEST_FPERIOD_OVERRIDE=FY","FILING_STATUS=MR","EQY_CONSOLIDATED=Y","SCALING_FORMAT=MLN","Sort=A","Dates=H","DateFormat=P","Fill=—","Direction=H","UseDPDF=Y")</f>
        <v>—</v>
      </c>
      <c r="F203" s="13" t="str">
        <f>_xll.BDH("RCOM IN Equity","ARDR_INVESTMENT_IN_MF_LT","FY 2012","FY 2012","Currency=INR","Period=FY","BEST_FPERIOD_OVERRIDE=FY","FILING_STATUS=MR","EQY_CONSOLIDATED=Y","SCALING_FORMAT=MLN","Sort=A","Dates=H","DateFormat=P","Fill=—","Direction=H","UseDPDF=Y")</f>
        <v>—</v>
      </c>
      <c r="G203" s="13" t="str">
        <f>_xll.BDH("RCOM IN Equity","ARDR_INVESTMENT_IN_MF_LT","FY 2013","FY 2013","Currency=INR","Period=FY","BEST_FPERIOD_OVERRIDE=FY","FILING_STATUS=MR","EQY_CONSOLIDATED=Y","SCALING_FORMAT=MLN","Sort=A","Dates=H","DateFormat=P","Fill=—","Direction=H","UseDPDF=Y")</f>
        <v>—</v>
      </c>
      <c r="H203" s="13" t="str">
        <f>_xll.BDH("RCOM IN Equity","ARDR_INVESTMENT_IN_MF_LT","FY 2014","FY 2014","Currency=INR","Period=FY","BEST_FPERIOD_OVERRIDE=FY","FILING_STATUS=MR","EQY_CONSOLIDATED=Y","SCALING_FORMAT=MLN","Sort=A","Dates=H","DateFormat=P","Fill=—","Direction=H","UseDPDF=Y")</f>
        <v>—</v>
      </c>
      <c r="I203" s="13" t="str">
        <f>_xll.BDH("RCOM IN Equity","ARDR_INVESTMENT_IN_MF_LT","FY 2015","FY 2015","Currency=INR","Period=FY","BEST_FPERIOD_OVERRIDE=FY","FILING_STATUS=MR","EQY_CONSOLIDATED=Y","SCALING_FORMAT=MLN","Sort=A","Dates=H","DateFormat=P","Fill=—","Direction=H","UseDPDF=Y")</f>
        <v>—</v>
      </c>
      <c r="J203" s="13" t="str">
        <f>_xll.BDH("RCOM IN Equity","ARDR_INVESTMENT_IN_MF_LT","FY 2016","FY 2016","Currency=INR","Period=FY","BEST_FPERIOD_OVERRIDE=FY","FILING_STATUS=MR","EQY_CONSOLIDATED=Y","SCALING_FORMAT=MLN","Sort=A","Dates=H","DateFormat=P","Fill=—","Direction=H","UseDPDF=Y")</f>
        <v>—</v>
      </c>
      <c r="K203" s="13" t="str">
        <f>_xll.BDH("RCOM IN Equity","ARDR_INVESTMENT_IN_MF_LT","FY 2017","FY 2017","Currency=INR","Period=FY","BEST_FPERIOD_OVERRIDE=FY","FILING_STATUS=MR","EQY_CONSOLIDATED=Y","SCALING_FORMAT=MLN","Sort=A","Dates=H","DateFormat=P","Fill=—","Direction=H","UseDPDF=Y")</f>
        <v>—</v>
      </c>
      <c r="L203" s="13" t="str">
        <f>_xll.BDH("RCOM IN Equity","ARDR_INVESTMENT_IN_MF_LT","FY 2018","FY 2018","Currency=INR","Period=FY","BEST_FPERIOD_OVERRIDE=FY","FILING_STATUS=MR","EQY_CONSOLIDATED=Y","SCALING_FORMAT=MLN","Sort=A","Dates=H","DateFormat=P","Fill=—","Direction=H","UseDPDF=Y")</f>
        <v>—</v>
      </c>
    </row>
    <row r="204" spans="1:12">
      <c r="A204" s="10" t="s">
        <v>1199</v>
      </c>
      <c r="B204" s="10" t="s">
        <v>1200</v>
      </c>
      <c r="C204" s="13" t="str">
        <f>_xll.BDH("RCOM IN Equity","ARDR_CAPITAL_LEASE_YR_2_5","FY 2009","FY 2009","Currency=INR","Period=FY","BEST_FPERIOD_OVERRIDE=FY","FILING_STATUS=MR","EQY_CONSOLIDATED=Y","SCALING_FORMAT=MLN","Sort=A","Dates=H","DateFormat=P","Fill=—","Direction=H","UseDPDF=Y")</f>
        <v>—</v>
      </c>
      <c r="D204" s="13" t="str">
        <f>_xll.BDH("RCOM IN Equity","ARDR_CAPITAL_LEASE_YR_2_5","FY 2010","FY 2010","Currency=INR","Period=FY","BEST_FPERIOD_OVERRIDE=FY","FILING_STATUS=MR","EQY_CONSOLIDATED=Y","SCALING_FORMAT=MLN","Sort=A","Dates=H","DateFormat=P","Fill=—","Direction=H","UseDPDF=Y")</f>
        <v>—</v>
      </c>
      <c r="E204" s="13" t="str">
        <f>_xll.BDH("RCOM IN Equity","ARDR_CAPITAL_LEASE_YR_2_5","FY 2011","FY 2011","Currency=INR","Period=FY","BEST_FPERIOD_OVERRIDE=FY","FILING_STATUS=MR","EQY_CONSOLIDATED=Y","SCALING_FORMAT=MLN","Sort=A","Dates=H","DateFormat=P","Fill=—","Direction=H","UseDPDF=Y")</f>
        <v>—</v>
      </c>
      <c r="F204" s="13" t="str">
        <f>_xll.BDH("RCOM IN Equity","ARDR_CAPITAL_LEASE_YR_2_5","FY 2012","FY 2012","Currency=INR","Period=FY","BEST_FPERIOD_OVERRIDE=FY","FILING_STATUS=MR","EQY_CONSOLIDATED=Y","SCALING_FORMAT=MLN","Sort=A","Dates=H","DateFormat=P","Fill=—","Direction=H","UseDPDF=Y")</f>
        <v>—</v>
      </c>
      <c r="G204" s="13" t="str">
        <f>_xll.BDH("RCOM IN Equity","ARDR_CAPITAL_LEASE_YR_2_5","FY 2013","FY 2013","Currency=INR","Period=FY","BEST_FPERIOD_OVERRIDE=FY","FILING_STATUS=MR","EQY_CONSOLIDATED=Y","SCALING_FORMAT=MLN","Sort=A","Dates=H","DateFormat=P","Fill=—","Direction=H","UseDPDF=Y")</f>
        <v>—</v>
      </c>
      <c r="H204" s="13">
        <f>_xll.BDH("RCOM IN Equity","ARDR_CAPITAL_LEASE_YR_2_5","FY 2014","FY 2014","Currency=INR","Period=FY","BEST_FPERIOD_OVERRIDE=FY","FILING_STATUS=MR","EQY_CONSOLIDATED=Y","SCALING_FORMAT=MLN","Sort=A","Dates=H","DateFormat=P","Fill=—","Direction=H","UseDPDF=Y")</f>
        <v>1490</v>
      </c>
      <c r="I204" s="13">
        <f>_xll.BDH("RCOM IN Equity","ARDR_CAPITAL_LEASE_YR_2_5","FY 2015","FY 2015","Currency=INR","Period=FY","BEST_FPERIOD_OVERRIDE=FY","FILING_STATUS=MR","EQY_CONSOLIDATED=Y","SCALING_FORMAT=MLN","Sort=A","Dates=H","DateFormat=P","Fill=—","Direction=H","UseDPDF=Y")</f>
        <v>820</v>
      </c>
      <c r="J204" s="13">
        <f>_xll.BDH("RCOM IN Equity","ARDR_CAPITAL_LEASE_YR_2_5","FY 2016","FY 2016","Currency=INR","Period=FY","BEST_FPERIOD_OVERRIDE=FY","FILING_STATUS=MR","EQY_CONSOLIDATED=Y","SCALING_FORMAT=MLN","Sort=A","Dates=H","DateFormat=P","Fill=—","Direction=H","UseDPDF=Y")</f>
        <v>700</v>
      </c>
      <c r="K204" s="13">
        <f>_xll.BDH("RCOM IN Equity","ARDR_CAPITAL_LEASE_YR_2_5","FY 2017","FY 2017","Currency=INR","Period=FY","BEST_FPERIOD_OVERRIDE=FY","FILING_STATUS=MR","EQY_CONSOLIDATED=Y","SCALING_FORMAT=MLN","Sort=A","Dates=H","DateFormat=P","Fill=—","Direction=H","UseDPDF=Y")</f>
        <v>580</v>
      </c>
      <c r="L204" s="13">
        <f>_xll.BDH("RCOM IN Equity","ARDR_CAPITAL_LEASE_YR_2_5","FY 2018","FY 2018","Currency=INR","Period=FY","BEST_FPERIOD_OVERRIDE=FY","FILING_STATUS=MR","EQY_CONSOLIDATED=Y","SCALING_FORMAT=MLN","Sort=A","Dates=H","DateFormat=P","Fill=—","Direction=H","UseDPDF=Y")</f>
        <v>0</v>
      </c>
    </row>
    <row r="205" spans="1:12">
      <c r="A205" s="10" t="s">
        <v>598</v>
      </c>
      <c r="B205" s="10" t="s">
        <v>599</v>
      </c>
      <c r="C205" s="13">
        <f>_xll.BDH("RCOM IN Equity","ARDR_SERVICE_COST_OPRB","FY 2009","FY 2009","Currency=INR","Period=FY","BEST_FPERIOD_OVERRIDE=FY","FILING_STATUS=MR","EQY_CONSOLIDATED=Y","SCALING_FORMAT=MLN","Sort=A","Dates=H","DateFormat=P","Fill=—","Direction=H","UseDPDF=Y")</f>
        <v>96.9</v>
      </c>
      <c r="D205" s="13">
        <f>_xll.BDH("RCOM IN Equity","ARDR_SERVICE_COST_OPRB","FY 2010","FY 2010","Currency=INR","Period=FY","BEST_FPERIOD_OVERRIDE=FY","FILING_STATUS=MR","EQY_CONSOLIDATED=Y","SCALING_FORMAT=MLN","Sort=A","Dates=H","DateFormat=P","Fill=—","Direction=H","UseDPDF=Y")</f>
        <v>91.1</v>
      </c>
      <c r="E205" s="13">
        <f>_xll.BDH("RCOM IN Equity","ARDR_SERVICE_COST_OPRB","FY 2011","FY 2011","Currency=INR","Period=FY","BEST_FPERIOD_OVERRIDE=FY","FILING_STATUS=MR","EQY_CONSOLIDATED=Y","SCALING_FORMAT=MLN","Sort=A","Dates=H","DateFormat=P","Fill=—","Direction=H","UseDPDF=Y")</f>
        <v>80</v>
      </c>
      <c r="F205" s="13">
        <f>_xll.BDH("RCOM IN Equity","ARDR_SERVICE_COST_OPRB","FY 2012","FY 2012","Currency=INR","Period=FY","BEST_FPERIOD_OVERRIDE=FY","FILING_STATUS=MR","EQY_CONSOLIDATED=Y","SCALING_FORMAT=MLN","Sort=A","Dates=H","DateFormat=P","Fill=—","Direction=H","UseDPDF=Y")</f>
        <v>70</v>
      </c>
      <c r="G205" s="13">
        <f>_xll.BDH("RCOM IN Equity","ARDR_SERVICE_COST_OPRB","FY 2013","FY 2013","Currency=INR","Period=FY","BEST_FPERIOD_OVERRIDE=FY","FILING_STATUS=MR","EQY_CONSOLIDATED=Y","SCALING_FORMAT=MLN","Sort=A","Dates=H","DateFormat=P","Fill=—","Direction=H","UseDPDF=Y")</f>
        <v>80</v>
      </c>
      <c r="H205" s="13">
        <f>_xll.BDH("RCOM IN Equity","ARDR_SERVICE_COST_OPRB","FY 2014","FY 2014","Currency=INR","Period=FY","BEST_FPERIOD_OVERRIDE=FY","FILING_STATUS=MR","EQY_CONSOLIDATED=Y","SCALING_FORMAT=MLN","Sort=A","Dates=H","DateFormat=P","Fill=—","Direction=H","UseDPDF=Y")</f>
        <v>60</v>
      </c>
      <c r="I205" s="13">
        <f>_xll.BDH("RCOM IN Equity","ARDR_SERVICE_COST_OPRB","FY 2015","FY 2015","Currency=INR","Period=FY","BEST_FPERIOD_OVERRIDE=FY","FILING_STATUS=MR","EQY_CONSOLIDATED=Y","SCALING_FORMAT=MLN","Sort=A","Dates=H","DateFormat=P","Fill=—","Direction=H","UseDPDF=Y")</f>
        <v>50</v>
      </c>
      <c r="J205" s="13">
        <f>_xll.BDH("RCOM IN Equity","ARDR_SERVICE_COST_OPRB","FY 2016","FY 2016","Currency=INR","Period=FY","BEST_FPERIOD_OVERRIDE=FY","FILING_STATUS=MR","EQY_CONSOLIDATED=Y","SCALING_FORMAT=MLN","Sort=A","Dates=H","DateFormat=P","Fill=—","Direction=H","UseDPDF=Y")</f>
        <v>60</v>
      </c>
      <c r="K205" s="13">
        <f>_xll.BDH("RCOM IN Equity","ARDR_SERVICE_COST_OPRB","FY 2017","FY 2017","Currency=INR","Period=FY","BEST_FPERIOD_OVERRIDE=FY","FILING_STATUS=MR","EQY_CONSOLIDATED=Y","SCALING_FORMAT=MLN","Sort=A","Dates=H","DateFormat=P","Fill=—","Direction=H","UseDPDF=Y")</f>
        <v>60</v>
      </c>
      <c r="L205" s="13">
        <f>_xll.BDH("RCOM IN Equity","ARDR_SERVICE_COST_OPRB","FY 2018","FY 2018","Currency=INR","Period=FY","BEST_FPERIOD_OVERRIDE=FY","FILING_STATUS=MR","EQY_CONSOLIDATED=Y","SCALING_FORMAT=MLN","Sort=A","Dates=H","DateFormat=P","Fill=—","Direction=H","UseDPDF=Y")</f>
        <v>60</v>
      </c>
    </row>
    <row r="206" spans="1:12">
      <c r="A206" s="10" t="s">
        <v>600</v>
      </c>
      <c r="B206" s="10" t="s">
        <v>601</v>
      </c>
      <c r="C206" s="13">
        <f>_xll.BDH("RCOM IN Equity","ARDR_INTEREST_COST_OPRB","FY 2009","FY 2009","Currency=INR","Period=FY","BEST_FPERIOD_OVERRIDE=FY","FILING_STATUS=MR","EQY_CONSOLIDATED=Y","SCALING_FORMAT=MLN","Sort=A","Dates=H","DateFormat=P","Fill=—","Direction=H","UseDPDF=Y")</f>
        <v>24.4</v>
      </c>
      <c r="D206" s="13">
        <f>_xll.BDH("RCOM IN Equity","ARDR_INTEREST_COST_OPRB","FY 2010","FY 2010","Currency=INR","Period=FY","BEST_FPERIOD_OVERRIDE=FY","FILING_STATUS=MR","EQY_CONSOLIDATED=Y","SCALING_FORMAT=MLN","Sort=A","Dates=H","DateFormat=P","Fill=—","Direction=H","UseDPDF=Y")</f>
        <v>25</v>
      </c>
      <c r="E206" s="13">
        <f>_xll.BDH("RCOM IN Equity","ARDR_INTEREST_COST_OPRB","FY 2011","FY 2011","Currency=INR","Period=FY","BEST_FPERIOD_OVERRIDE=FY","FILING_STATUS=MR","EQY_CONSOLIDATED=Y","SCALING_FORMAT=MLN","Sort=A","Dates=H","DateFormat=P","Fill=—","Direction=H","UseDPDF=Y")</f>
        <v>30</v>
      </c>
      <c r="F206" s="13">
        <f>_xll.BDH("RCOM IN Equity","ARDR_INTEREST_COST_OPRB","FY 2012","FY 2012","Currency=INR","Period=FY","BEST_FPERIOD_OVERRIDE=FY","FILING_STATUS=MR","EQY_CONSOLIDATED=Y","SCALING_FORMAT=MLN","Sort=A","Dates=H","DateFormat=P","Fill=—","Direction=H","UseDPDF=Y")</f>
        <v>30</v>
      </c>
      <c r="G206" s="13">
        <f>_xll.BDH("RCOM IN Equity","ARDR_INTEREST_COST_OPRB","FY 2013","FY 2013","Currency=INR","Period=FY","BEST_FPERIOD_OVERRIDE=FY","FILING_STATUS=MR","EQY_CONSOLIDATED=Y","SCALING_FORMAT=MLN","Sort=A","Dates=H","DateFormat=P","Fill=—","Direction=H","UseDPDF=Y")</f>
        <v>30</v>
      </c>
      <c r="H206" s="13">
        <f>_xll.BDH("RCOM IN Equity","ARDR_INTEREST_COST_OPRB","FY 2014","FY 2014","Currency=INR","Period=FY","BEST_FPERIOD_OVERRIDE=FY","FILING_STATUS=MR","EQY_CONSOLIDATED=Y","SCALING_FORMAT=MLN","Sort=A","Dates=H","DateFormat=P","Fill=—","Direction=H","UseDPDF=Y")</f>
        <v>30</v>
      </c>
      <c r="I206" s="13">
        <f>_xll.BDH("RCOM IN Equity","ARDR_INTEREST_COST_OPRB","FY 2015","FY 2015","Currency=INR","Period=FY","BEST_FPERIOD_OVERRIDE=FY","FILING_STATUS=MR","EQY_CONSOLIDATED=Y","SCALING_FORMAT=MLN","Sort=A","Dates=H","DateFormat=P","Fill=—","Direction=H","UseDPDF=Y")</f>
        <v>40</v>
      </c>
      <c r="J206" s="13">
        <f>_xll.BDH("RCOM IN Equity","ARDR_INTEREST_COST_OPRB","FY 2016","FY 2016","Currency=INR","Period=FY","BEST_FPERIOD_OVERRIDE=FY","FILING_STATUS=MR","EQY_CONSOLIDATED=Y","SCALING_FORMAT=MLN","Sort=A","Dates=H","DateFormat=P","Fill=—","Direction=H","UseDPDF=Y")</f>
        <v>30</v>
      </c>
      <c r="K206" s="13">
        <f>_xll.BDH("RCOM IN Equity","ARDR_INTEREST_COST_OPRB","FY 2017","FY 2017","Currency=INR","Period=FY","BEST_FPERIOD_OVERRIDE=FY","FILING_STATUS=MR","EQY_CONSOLIDATED=Y","SCALING_FORMAT=MLN","Sort=A","Dates=H","DateFormat=P","Fill=—","Direction=H","UseDPDF=Y")</f>
        <v>40</v>
      </c>
      <c r="L206" s="13">
        <f>_xll.BDH("RCOM IN Equity","ARDR_INTEREST_COST_OPRB","FY 2018","FY 2018","Currency=INR","Period=FY","BEST_FPERIOD_OVERRIDE=FY","FILING_STATUS=MR","EQY_CONSOLIDATED=Y","SCALING_FORMAT=MLN","Sort=A","Dates=H","DateFormat=P","Fill=—","Direction=H","UseDPDF=Y")</f>
        <v>40</v>
      </c>
    </row>
    <row r="207" spans="1:12">
      <c r="A207" s="10" t="s">
        <v>602</v>
      </c>
      <c r="B207" s="10" t="s">
        <v>603</v>
      </c>
      <c r="C207" s="13">
        <f>_xll.BDH("RCOM IN Equity","ARDR_EXP_RETURN_PLAN_ASSETS_OPRB","FY 2009","FY 2009","Currency=INR","Period=FY","BEST_FPERIOD_OVERRIDE=FY","FILING_STATUS=MR","EQY_CONSOLIDATED=Y","SCALING_FORMAT=MLN","Sort=A","Dates=H","DateFormat=P","Fill=—","Direction=H","UseDPDF=Y")</f>
        <v>-26</v>
      </c>
      <c r="D207" s="13">
        <f>_xll.BDH("RCOM IN Equity","ARDR_EXP_RETURN_PLAN_ASSETS_OPRB","FY 2010","FY 2010","Currency=INR","Period=FY","BEST_FPERIOD_OVERRIDE=FY","FILING_STATUS=MR","EQY_CONSOLIDATED=Y","SCALING_FORMAT=MLN","Sort=A","Dates=H","DateFormat=P","Fill=—","Direction=H","UseDPDF=Y")</f>
        <v>-17.899999999999999</v>
      </c>
      <c r="E207" s="13">
        <f>_xll.BDH("RCOM IN Equity","ARDR_EXP_RETURN_PLAN_ASSETS_OPRB","FY 2011","FY 2011","Currency=INR","Period=FY","BEST_FPERIOD_OVERRIDE=FY","FILING_STATUS=MR","EQY_CONSOLIDATED=Y","SCALING_FORMAT=MLN","Sort=A","Dates=H","DateFormat=P","Fill=—","Direction=H","UseDPDF=Y")</f>
        <v>-30</v>
      </c>
      <c r="F207" s="13">
        <f>_xll.BDH("RCOM IN Equity","ARDR_EXP_RETURN_PLAN_ASSETS_OPRB","FY 2012","FY 2012","Currency=INR","Period=FY","BEST_FPERIOD_OVERRIDE=FY","FILING_STATUS=MR","EQY_CONSOLIDATED=Y","SCALING_FORMAT=MLN","Sort=A","Dates=H","DateFormat=P","Fill=—","Direction=H","UseDPDF=Y")</f>
        <v>-30</v>
      </c>
      <c r="G207" s="13">
        <f>_xll.BDH("RCOM IN Equity","ARDR_EXP_RETURN_PLAN_ASSETS_OPRB","FY 2013","FY 2013","Currency=INR","Period=FY","BEST_FPERIOD_OVERRIDE=FY","FILING_STATUS=MR","EQY_CONSOLIDATED=Y","SCALING_FORMAT=MLN","Sort=A","Dates=H","DateFormat=P","Fill=—","Direction=H","UseDPDF=Y")</f>
        <v>-30</v>
      </c>
      <c r="H207" s="13">
        <f>_xll.BDH("RCOM IN Equity","ARDR_EXP_RETURN_PLAN_ASSETS_OPRB","FY 2014","FY 2014","Currency=INR","Period=FY","BEST_FPERIOD_OVERRIDE=FY","FILING_STATUS=MR","EQY_CONSOLIDATED=Y","SCALING_FORMAT=MLN","Sort=A","Dates=H","DateFormat=P","Fill=—","Direction=H","UseDPDF=Y")</f>
        <v>-20</v>
      </c>
      <c r="I207" s="13">
        <f>_xll.BDH("RCOM IN Equity","ARDR_EXP_RETURN_PLAN_ASSETS_OPRB","FY 2015","FY 2015","Currency=INR","Period=FY","BEST_FPERIOD_OVERRIDE=FY","FILING_STATUS=MR","EQY_CONSOLIDATED=Y","SCALING_FORMAT=MLN","Sort=A","Dates=H","DateFormat=P","Fill=—","Direction=H","UseDPDF=Y")</f>
        <v>-10</v>
      </c>
      <c r="J207" s="13">
        <f>_xll.BDH("RCOM IN Equity","ARDR_EXP_RETURN_PLAN_ASSETS_OPRB","FY 2016","FY 2016","Currency=INR","Period=FY","BEST_FPERIOD_OVERRIDE=FY","FILING_STATUS=MR","EQY_CONSOLIDATED=Y","SCALING_FORMAT=MLN","Sort=A","Dates=H","DateFormat=P","Fill=—","Direction=H","UseDPDF=Y")</f>
        <v>-10</v>
      </c>
      <c r="K207" s="13">
        <f>_xll.BDH("RCOM IN Equity","ARDR_EXP_RETURN_PLAN_ASSETS_OPRB","FY 2017","FY 2017","Currency=INR","Period=FY","BEST_FPERIOD_OVERRIDE=FY","FILING_STATUS=MR","EQY_CONSOLIDATED=Y","SCALING_FORMAT=MLN","Sort=A","Dates=H","DateFormat=P","Fill=—","Direction=H","UseDPDF=Y")</f>
        <v>0</v>
      </c>
      <c r="L207" s="13">
        <f>_xll.BDH("RCOM IN Equity","ARDR_EXP_RETURN_PLAN_ASSETS_OPRB","FY 2018","FY 2018","Currency=INR","Period=FY","BEST_FPERIOD_OVERRIDE=FY","FILING_STATUS=MR","EQY_CONSOLIDATED=Y","SCALING_FORMAT=MLN","Sort=A","Dates=H","DateFormat=P","Fill=—","Direction=H","UseDPDF=Y")</f>
        <v>-10</v>
      </c>
    </row>
    <row r="208" spans="1:12">
      <c r="A208" s="10" t="s">
        <v>1201</v>
      </c>
      <c r="B208" s="10" t="s">
        <v>1202</v>
      </c>
      <c r="C208" s="13" t="str">
        <f>_xll.BDH("RCOM IN Equity","ARDR_OPRB_EXPENSE_INCOME","FY 2009","FY 2009","Currency=INR","Period=FY","BEST_FPERIOD_OVERRIDE=FY","FILING_STATUS=MR","EQY_CONSOLIDATED=Y","SCALING_FORMAT=MLN","Sort=A","Dates=H","DateFormat=P","Fill=—","Direction=H","UseDPDF=Y")</f>
        <v>—</v>
      </c>
      <c r="D208" s="13" t="str">
        <f>_xll.BDH("RCOM IN Equity","ARDR_OPRB_EXPENSE_INCOME","FY 2010","FY 2010","Currency=INR","Period=FY","BEST_FPERIOD_OVERRIDE=FY","FILING_STATUS=MR","EQY_CONSOLIDATED=Y","SCALING_FORMAT=MLN","Sort=A","Dates=H","DateFormat=P","Fill=—","Direction=H","UseDPDF=Y")</f>
        <v>—</v>
      </c>
      <c r="E208" s="13" t="str">
        <f>_xll.BDH("RCOM IN Equity","ARDR_OPRB_EXPENSE_INCOME","FY 2011","FY 2011","Currency=INR","Period=FY","BEST_FPERIOD_OVERRIDE=FY","FILING_STATUS=MR","EQY_CONSOLIDATED=Y","SCALING_FORMAT=MLN","Sort=A","Dates=H","DateFormat=P","Fill=—","Direction=H","UseDPDF=Y")</f>
        <v>—</v>
      </c>
      <c r="F208" s="13" t="str">
        <f>_xll.BDH("RCOM IN Equity","ARDR_OPRB_EXPENSE_INCOME","FY 2012","FY 2012","Currency=INR","Period=FY","BEST_FPERIOD_OVERRIDE=FY","FILING_STATUS=MR","EQY_CONSOLIDATED=Y","SCALING_FORMAT=MLN","Sort=A","Dates=H","DateFormat=P","Fill=—","Direction=H","UseDPDF=Y")</f>
        <v>—</v>
      </c>
      <c r="G208" s="13" t="str">
        <f>_xll.BDH("RCOM IN Equity","ARDR_OPRB_EXPENSE_INCOME","FY 2013","FY 2013","Currency=INR","Period=FY","BEST_FPERIOD_OVERRIDE=FY","FILING_STATUS=MR","EQY_CONSOLIDATED=Y","SCALING_FORMAT=MLN","Sort=A","Dates=H","DateFormat=P","Fill=—","Direction=H","UseDPDF=Y")</f>
        <v>—</v>
      </c>
      <c r="H208" s="13" t="str">
        <f>_xll.BDH("RCOM IN Equity","ARDR_OPRB_EXPENSE_INCOME","FY 2014","FY 2014","Currency=INR","Period=FY","BEST_FPERIOD_OVERRIDE=FY","FILING_STATUS=MR","EQY_CONSOLIDATED=Y","SCALING_FORMAT=MLN","Sort=A","Dates=H","DateFormat=P","Fill=—","Direction=H","UseDPDF=Y")</f>
        <v>—</v>
      </c>
      <c r="I208" s="13" t="str">
        <f>_xll.BDH("RCOM IN Equity","ARDR_OPRB_EXPENSE_INCOME","FY 2015","FY 2015","Currency=INR","Period=FY","BEST_FPERIOD_OVERRIDE=FY","FILING_STATUS=MR","EQY_CONSOLIDATED=Y","SCALING_FORMAT=MLN","Sort=A","Dates=H","DateFormat=P","Fill=—","Direction=H","UseDPDF=Y")</f>
        <v>—</v>
      </c>
      <c r="J208" s="13">
        <f>_xll.BDH("RCOM IN Equity","ARDR_OPRB_EXPENSE_INCOME","FY 2016","FY 2016","Currency=INR","Period=FY","BEST_FPERIOD_OVERRIDE=FY","FILING_STATUS=MR","EQY_CONSOLIDATED=Y","SCALING_FORMAT=MLN","Sort=A","Dates=H","DateFormat=P","Fill=—","Direction=H","UseDPDF=Y")</f>
        <v>90</v>
      </c>
      <c r="K208" s="13">
        <f>_xll.BDH("RCOM IN Equity","ARDR_OPRB_EXPENSE_INCOME","FY 2017","FY 2017","Currency=INR","Period=FY","BEST_FPERIOD_OVERRIDE=FY","FILING_STATUS=MR","EQY_CONSOLIDATED=Y","SCALING_FORMAT=MLN","Sort=A","Dates=H","DateFormat=P","Fill=—","Direction=H","UseDPDF=Y")</f>
        <v>100</v>
      </c>
      <c r="L208" s="13">
        <f>_xll.BDH("RCOM IN Equity","ARDR_OPRB_EXPENSE_INCOME","FY 2018","FY 2018","Currency=INR","Period=FY","BEST_FPERIOD_OVERRIDE=FY","FILING_STATUS=MR","EQY_CONSOLIDATED=Y","SCALING_FORMAT=MLN","Sort=A","Dates=H","DateFormat=P","Fill=—","Direction=H","UseDPDF=Y")</f>
        <v>100</v>
      </c>
    </row>
    <row r="209" spans="1:12">
      <c r="A209" s="10" t="s">
        <v>604</v>
      </c>
      <c r="B209" s="10" t="s">
        <v>605</v>
      </c>
      <c r="C209" s="13" t="str">
        <f>_xll.BDH("RCOM IN Equity","ARDR_ACTUAL_RET_PLAN_ASSETS_OPRB","FY 2009","FY 2009","Currency=INR","Period=FY","BEST_FPERIOD_OVERRIDE=FY","FILING_STATUS=MR","EQY_CONSOLIDATED=Y","SCALING_FORMAT=MLN","Sort=A","Dates=H","DateFormat=P","Fill=—","Direction=H","UseDPDF=Y")</f>
        <v>—</v>
      </c>
      <c r="D209" s="13">
        <f>_xll.BDH("RCOM IN Equity","ARDR_ACTUAL_RET_PLAN_ASSETS_OPRB","FY 2010","FY 2010","Currency=INR","Period=FY","BEST_FPERIOD_OVERRIDE=FY","FILING_STATUS=MR","EQY_CONSOLIDATED=Y","SCALING_FORMAT=MLN","Sort=A","Dates=H","DateFormat=P","Fill=—","Direction=H","UseDPDF=Y")</f>
        <v>47.7</v>
      </c>
      <c r="E209" s="13">
        <f>_xll.BDH("RCOM IN Equity","ARDR_ACTUAL_RET_PLAN_ASSETS_OPRB","FY 2011","FY 2011","Currency=INR","Period=FY","BEST_FPERIOD_OVERRIDE=FY","FILING_STATUS=MR","EQY_CONSOLIDATED=Y","SCALING_FORMAT=MLN","Sort=A","Dates=H","DateFormat=P","Fill=—","Direction=H","UseDPDF=Y")</f>
        <v>20</v>
      </c>
      <c r="F209" s="13">
        <f>_xll.BDH("RCOM IN Equity","ARDR_ACTUAL_RET_PLAN_ASSETS_OPRB","FY 2012","FY 2012","Currency=INR","Period=FY","BEST_FPERIOD_OVERRIDE=FY","FILING_STATUS=MR","EQY_CONSOLIDATED=Y","SCALING_FORMAT=MLN","Sort=A","Dates=H","DateFormat=P","Fill=—","Direction=H","UseDPDF=Y")</f>
        <v>20</v>
      </c>
      <c r="G209" s="13">
        <f>_xll.BDH("RCOM IN Equity","ARDR_ACTUAL_RET_PLAN_ASSETS_OPRB","FY 2013","FY 2013","Currency=INR","Period=FY","BEST_FPERIOD_OVERRIDE=FY","FILING_STATUS=MR","EQY_CONSOLIDATED=Y","SCALING_FORMAT=MLN","Sort=A","Dates=H","DateFormat=P","Fill=—","Direction=H","UseDPDF=Y")</f>
        <v>30</v>
      </c>
      <c r="H209" s="13">
        <f>_xll.BDH("RCOM IN Equity","ARDR_ACTUAL_RET_PLAN_ASSETS_OPRB","FY 2014","FY 2014","Currency=INR","Period=FY","BEST_FPERIOD_OVERRIDE=FY","FILING_STATUS=MR","EQY_CONSOLIDATED=Y","SCALING_FORMAT=MLN","Sort=A","Dates=H","DateFormat=P","Fill=—","Direction=H","UseDPDF=Y")</f>
        <v>20</v>
      </c>
      <c r="I209" s="13">
        <f>_xll.BDH("RCOM IN Equity","ARDR_ACTUAL_RET_PLAN_ASSETS_OPRB","FY 2015","FY 2015","Currency=INR","Period=FY","BEST_FPERIOD_OVERRIDE=FY","FILING_STATUS=MR","EQY_CONSOLIDATED=Y","SCALING_FORMAT=MLN","Sort=A","Dates=H","DateFormat=P","Fill=—","Direction=H","UseDPDF=Y")</f>
        <v>0</v>
      </c>
      <c r="J209" s="13" t="str">
        <f>_xll.BDH("RCOM IN Equity","ARDR_ACTUAL_RET_PLAN_ASSETS_OPRB","FY 2016","FY 2016","Currency=INR","Period=FY","BEST_FPERIOD_OVERRIDE=FY","FILING_STATUS=MR","EQY_CONSOLIDATED=Y","SCALING_FORMAT=MLN","Sort=A","Dates=H","DateFormat=P","Fill=—","Direction=H","UseDPDF=Y")</f>
        <v>—</v>
      </c>
      <c r="K209" s="13" t="str">
        <f>_xll.BDH("RCOM IN Equity","ARDR_ACTUAL_RET_PLAN_ASSETS_OPRB","FY 2017","FY 2017","Currency=INR","Period=FY","BEST_FPERIOD_OVERRIDE=FY","FILING_STATUS=MR","EQY_CONSOLIDATED=Y","SCALING_FORMAT=MLN","Sort=A","Dates=H","DateFormat=P","Fill=—","Direction=H","UseDPDF=Y")</f>
        <v>—</v>
      </c>
      <c r="L209" s="13" t="str">
        <f>_xll.BDH("RCOM IN Equity","ARDR_ACTUAL_RET_PLAN_ASSETS_OPRB","FY 2018","FY 2018","Currency=INR","Period=FY","BEST_FPERIOD_OVERRIDE=FY","FILING_STATUS=MR","EQY_CONSOLIDATED=Y","SCALING_FORMAT=MLN","Sort=A","Dates=H","DateFormat=P","Fill=—","Direction=H","UseDPDF=Y")</f>
        <v>—</v>
      </c>
    </row>
    <row r="210" spans="1:12">
      <c r="A210" s="10" t="s">
        <v>1203</v>
      </c>
      <c r="B210" s="10" t="s">
        <v>1204</v>
      </c>
      <c r="C210" s="14" t="str">
        <f>_xll.BDH("RCOM IN Equity","ARDR_AVG_EXER_PX_OPT_OUTSTANDING","FY 2009","FY 2009","Currency=INR","Period=FY","BEST_FPERIOD_OVERRIDE=FY","FILING_STATUS=MR","EQY_CONSOLIDATED=Y","Sort=A","Dates=H","DateFormat=P","Fill=—","Direction=H","UseDPDF=Y")</f>
        <v>—</v>
      </c>
      <c r="D210" s="14" t="str">
        <f>_xll.BDH("RCOM IN Equity","ARDR_AVG_EXER_PX_OPT_OUTSTANDING","FY 2010","FY 2010","Currency=INR","Period=FY","BEST_FPERIOD_OVERRIDE=FY","FILING_STATUS=MR","EQY_CONSOLIDATED=Y","Sort=A","Dates=H","DateFormat=P","Fill=—","Direction=H","UseDPDF=Y")</f>
        <v>—</v>
      </c>
      <c r="E210" s="14" t="str">
        <f>_xll.BDH("RCOM IN Equity","ARDR_AVG_EXER_PX_OPT_OUTSTANDING","FY 2011","FY 2011","Currency=INR","Period=FY","BEST_FPERIOD_OVERRIDE=FY","FILING_STATUS=MR","EQY_CONSOLIDATED=Y","Sort=A","Dates=H","DateFormat=P","Fill=—","Direction=H","UseDPDF=Y")</f>
        <v>—</v>
      </c>
      <c r="F210" s="14" t="str">
        <f>_xll.BDH("RCOM IN Equity","ARDR_AVG_EXER_PX_OPT_OUTSTANDING","FY 2012","FY 2012","Currency=INR","Period=FY","BEST_FPERIOD_OVERRIDE=FY","FILING_STATUS=MR","EQY_CONSOLIDATED=Y","Sort=A","Dates=H","DateFormat=P","Fill=—","Direction=H","UseDPDF=Y")</f>
        <v>—</v>
      </c>
      <c r="G210" s="14" t="str">
        <f>_xll.BDH("RCOM IN Equity","ARDR_AVG_EXER_PX_OPT_OUTSTANDING","FY 2013","FY 2013","Currency=INR","Period=FY","BEST_FPERIOD_OVERRIDE=FY","FILING_STATUS=MR","EQY_CONSOLIDATED=Y","Sort=A","Dates=H","DateFormat=P","Fill=—","Direction=H","UseDPDF=Y")</f>
        <v>—</v>
      </c>
      <c r="H210" s="14" t="str">
        <f>_xll.BDH("RCOM IN Equity","ARDR_AVG_EXER_PX_OPT_OUTSTANDING","FY 2014","FY 2014","Currency=INR","Period=FY","BEST_FPERIOD_OVERRIDE=FY","FILING_STATUS=MR","EQY_CONSOLIDATED=Y","Sort=A","Dates=H","DateFormat=P","Fill=—","Direction=H","UseDPDF=Y")</f>
        <v>—</v>
      </c>
      <c r="I210" s="14" t="str">
        <f>_xll.BDH("RCOM IN Equity","ARDR_AVG_EXER_PX_OPT_OUTSTANDING","FY 2015","FY 2015","Currency=INR","Period=FY","BEST_FPERIOD_OVERRIDE=FY","FILING_STATUS=MR","EQY_CONSOLIDATED=Y","Sort=A","Dates=H","DateFormat=P","Fill=—","Direction=H","UseDPDF=Y")</f>
        <v>—</v>
      </c>
      <c r="J210" s="14">
        <f>_xll.BDH("RCOM IN Equity","ARDR_AVG_EXER_PX_OPT_OUTSTANDING","FY 2016","FY 2016","Currency=INR","Period=FY","BEST_FPERIOD_OVERRIDE=FY","FILING_STATUS=MR","EQY_CONSOLIDATED=Y","Sort=A","Dates=H","DateFormat=P","Fill=—","Direction=H","UseDPDF=Y")</f>
        <v>628</v>
      </c>
      <c r="K210" s="14">
        <f>_xll.BDH("RCOM IN Equity","ARDR_AVG_EXER_PX_OPT_OUTSTANDING","FY 2017","FY 2017","Currency=INR","Period=FY","BEST_FPERIOD_OVERRIDE=FY","FILING_STATUS=MR","EQY_CONSOLIDATED=Y","Sort=A","Dates=H","DateFormat=P","Fill=—","Direction=H","UseDPDF=Y")</f>
        <v>623</v>
      </c>
      <c r="L210" s="14">
        <f>_xll.BDH("RCOM IN Equity","ARDR_AVG_EXER_PX_OPT_OUTSTANDING","FY 2018","FY 2018","Currency=INR","Period=FY","BEST_FPERIOD_OVERRIDE=FY","FILING_STATUS=MR","EQY_CONSOLIDATED=Y","Sort=A","Dates=H","DateFormat=P","Fill=—","Direction=H","UseDPDF=Y")</f>
        <v>0</v>
      </c>
    </row>
    <row r="211" spans="1:12">
      <c r="A211" s="10" t="s">
        <v>1205</v>
      </c>
      <c r="B211" s="10" t="s">
        <v>1206</v>
      </c>
      <c r="C211" s="13" t="str">
        <f>_xll.BDH("RCOM IN Equity","ARD_CAPITAL_LEASE_INTEREST","FY 2009","FY 2009","Currency=INR","Period=FY","BEST_FPERIOD_OVERRIDE=FY","FILING_STATUS=MR","EQY_CONSOLIDATED=Y","SCALING_FORMAT=MLN","Sort=A","Dates=H","DateFormat=P","Fill=—","Direction=H","UseDPDF=Y")</f>
        <v>—</v>
      </c>
      <c r="D211" s="13" t="str">
        <f>_xll.BDH("RCOM IN Equity","ARD_CAPITAL_LEASE_INTEREST","FY 2010","FY 2010","Currency=INR","Period=FY","BEST_FPERIOD_OVERRIDE=FY","FILING_STATUS=MR","EQY_CONSOLIDATED=Y","SCALING_FORMAT=MLN","Sort=A","Dates=H","DateFormat=P","Fill=—","Direction=H","UseDPDF=Y")</f>
        <v>—</v>
      </c>
      <c r="E211" s="13" t="str">
        <f>_xll.BDH("RCOM IN Equity","ARD_CAPITAL_LEASE_INTEREST","FY 2011","FY 2011","Currency=INR","Period=FY","BEST_FPERIOD_OVERRIDE=FY","FILING_STATUS=MR","EQY_CONSOLIDATED=Y","SCALING_FORMAT=MLN","Sort=A","Dates=H","DateFormat=P","Fill=—","Direction=H","UseDPDF=Y")</f>
        <v>—</v>
      </c>
      <c r="F211" s="13" t="str">
        <f>_xll.BDH("RCOM IN Equity","ARD_CAPITAL_LEASE_INTEREST","FY 2012","FY 2012","Currency=INR","Period=FY","BEST_FPERIOD_OVERRIDE=FY","FILING_STATUS=MR","EQY_CONSOLIDATED=Y","SCALING_FORMAT=MLN","Sort=A","Dates=H","DateFormat=P","Fill=—","Direction=H","UseDPDF=Y")</f>
        <v>—</v>
      </c>
      <c r="G211" s="13" t="str">
        <f>_xll.BDH("RCOM IN Equity","ARD_CAPITAL_LEASE_INTEREST","FY 2013","FY 2013","Currency=INR","Period=FY","BEST_FPERIOD_OVERRIDE=FY","FILING_STATUS=MR","EQY_CONSOLIDATED=Y","SCALING_FORMAT=MLN","Sort=A","Dates=H","DateFormat=P","Fill=—","Direction=H","UseDPDF=Y")</f>
        <v>—</v>
      </c>
      <c r="H211" s="13">
        <f>_xll.BDH("RCOM IN Equity","ARD_CAPITAL_LEASE_INTEREST","FY 2014","FY 2014","Currency=INR","Period=FY","BEST_FPERIOD_OVERRIDE=FY","FILING_STATUS=MR","EQY_CONSOLIDATED=Y","SCALING_FORMAT=MLN","Sort=A","Dates=H","DateFormat=P","Fill=—","Direction=H","UseDPDF=Y")</f>
        <v>1050</v>
      </c>
      <c r="I211" s="13">
        <f>_xll.BDH("RCOM IN Equity","ARD_CAPITAL_LEASE_INTEREST","FY 2015","FY 2015","Currency=INR","Period=FY","BEST_FPERIOD_OVERRIDE=FY","FILING_STATUS=MR","EQY_CONSOLIDATED=Y","SCALING_FORMAT=MLN","Sort=A","Dates=H","DateFormat=P","Fill=—","Direction=H","UseDPDF=Y")</f>
        <v>560</v>
      </c>
      <c r="J211" s="13">
        <f>_xll.BDH("RCOM IN Equity","ARD_CAPITAL_LEASE_INTEREST","FY 2016","FY 2016","Currency=INR","Period=FY","BEST_FPERIOD_OVERRIDE=FY","FILING_STATUS=MR","EQY_CONSOLIDATED=Y","SCALING_FORMAT=MLN","Sort=A","Dates=H","DateFormat=P","Fill=—","Direction=H","UseDPDF=Y")</f>
        <v>430</v>
      </c>
      <c r="K211" s="13">
        <f>_xll.BDH("RCOM IN Equity","ARD_CAPITAL_LEASE_INTEREST","FY 2017","FY 2017","Currency=INR","Period=FY","BEST_FPERIOD_OVERRIDE=FY","FILING_STATUS=MR","EQY_CONSOLIDATED=Y","SCALING_FORMAT=MLN","Sort=A","Dates=H","DateFormat=P","Fill=—","Direction=H","UseDPDF=Y")</f>
        <v>310</v>
      </c>
      <c r="L211" s="13">
        <f>_xll.BDH("RCOM IN Equity","ARD_CAPITAL_LEASE_INTEREST","FY 2018","FY 2018","Currency=INR","Period=FY","BEST_FPERIOD_OVERRIDE=FY","FILING_STATUS=MR","EQY_CONSOLIDATED=Y","SCALING_FORMAT=MLN","Sort=A","Dates=H","DateFormat=P","Fill=—","Direction=H","UseDPDF=Y")</f>
        <v>0</v>
      </c>
    </row>
    <row r="212" spans="1:12">
      <c r="A212" s="10" t="s">
        <v>1207</v>
      </c>
      <c r="B212" s="10" t="s">
        <v>1208</v>
      </c>
      <c r="C212" s="13" t="str">
        <f>_xll.BDH("RCOM IN Equity","ARDR_OPTIONS_BEGINNING_OF_PERIOD","FY 2009","FY 2009","Currency=INR","Period=FY","BEST_FPERIOD_OVERRIDE=FY","FILING_STATUS=MR","EQY_CONSOLIDATED=Y","Sort=A","Dates=H","DateFormat=P","Fill=—","Direction=H","UseDPDF=Y")</f>
        <v>—</v>
      </c>
      <c r="D212" s="13" t="str">
        <f>_xll.BDH("RCOM IN Equity","ARDR_OPTIONS_BEGINNING_OF_PERIOD","FY 2010","FY 2010","Currency=INR","Period=FY","BEST_FPERIOD_OVERRIDE=FY","FILING_STATUS=MR","EQY_CONSOLIDATED=Y","Sort=A","Dates=H","DateFormat=P","Fill=—","Direction=H","UseDPDF=Y")</f>
        <v>—</v>
      </c>
      <c r="E212" s="13" t="str">
        <f>_xll.BDH("RCOM IN Equity","ARDR_OPTIONS_BEGINNING_OF_PERIOD","FY 2011","FY 2011","Currency=INR","Period=FY","BEST_FPERIOD_OVERRIDE=FY","FILING_STATUS=MR","EQY_CONSOLIDATED=Y","Sort=A","Dates=H","DateFormat=P","Fill=—","Direction=H","UseDPDF=Y")</f>
        <v>—</v>
      </c>
      <c r="F212" s="13" t="str">
        <f>_xll.BDH("RCOM IN Equity","ARDR_OPTIONS_BEGINNING_OF_PERIOD","FY 2012","FY 2012","Currency=INR","Period=FY","BEST_FPERIOD_OVERRIDE=FY","FILING_STATUS=MR","EQY_CONSOLIDATED=Y","Sort=A","Dates=H","DateFormat=P","Fill=—","Direction=H","UseDPDF=Y")</f>
        <v>—</v>
      </c>
      <c r="G212" s="13" t="str">
        <f>_xll.BDH("RCOM IN Equity","ARDR_OPTIONS_BEGINNING_OF_PERIOD","FY 2013","FY 2013","Currency=INR","Period=FY","BEST_FPERIOD_OVERRIDE=FY","FILING_STATUS=MR","EQY_CONSOLIDATED=Y","Sort=A","Dates=H","DateFormat=P","Fill=—","Direction=H","UseDPDF=Y")</f>
        <v>—</v>
      </c>
      <c r="H212" s="13" t="str">
        <f>_xll.BDH("RCOM IN Equity","ARDR_OPTIONS_BEGINNING_OF_PERIOD","FY 2014","FY 2014","Currency=INR","Period=FY","BEST_FPERIOD_OVERRIDE=FY","FILING_STATUS=MR","EQY_CONSOLIDATED=Y","Sort=A","Dates=H","DateFormat=P","Fill=—","Direction=H","UseDPDF=Y")</f>
        <v>—</v>
      </c>
      <c r="I212" s="13" t="str">
        <f>_xll.BDH("RCOM IN Equity","ARDR_OPTIONS_BEGINNING_OF_PERIOD","FY 2015","FY 2015","Currency=INR","Period=FY","BEST_FPERIOD_OVERRIDE=FY","FILING_STATUS=MR","EQY_CONSOLIDATED=Y","Sort=A","Dates=H","DateFormat=P","Fill=—","Direction=H","UseDPDF=Y")</f>
        <v>—</v>
      </c>
      <c r="J212" s="13">
        <f>_xll.BDH("RCOM IN Equity","ARDR_OPTIONS_BEGINNING_OF_PERIOD","FY 2016","FY 2016","Currency=INR","Period=FY","BEST_FPERIOD_OVERRIDE=FY","FILING_STATUS=MR","EQY_CONSOLIDATED=Y","Sort=A","Dates=H","DateFormat=P","Fill=—","Direction=H","UseDPDF=Y")</f>
        <v>1.3376000000000001</v>
      </c>
      <c r="K212" s="13">
        <f>_xll.BDH("RCOM IN Equity","ARDR_OPTIONS_BEGINNING_OF_PERIOD","FY 2017","FY 2017","Currency=INR","Period=FY","BEST_FPERIOD_OVERRIDE=FY","FILING_STATUS=MR","EQY_CONSOLIDATED=Y","Sort=A","Dates=H","DateFormat=P","Fill=—","Direction=H","UseDPDF=Y")</f>
        <v>0.70240000000000002</v>
      </c>
      <c r="L212" s="13">
        <f>_xll.BDH("RCOM IN Equity","ARDR_OPTIONS_BEGINNING_OF_PERIOD","FY 2018","FY 2018","Currency=INR","Period=FY","BEST_FPERIOD_OVERRIDE=FY","FILING_STATUS=MR","EQY_CONSOLIDATED=Y","Sort=A","Dates=H","DateFormat=P","Fill=—","Direction=H","UseDPDF=Y")</f>
        <v>0.60160000000000002</v>
      </c>
    </row>
    <row r="213" spans="1:12">
      <c r="A213" s="10" t="s">
        <v>606</v>
      </c>
      <c r="B213" s="10" t="s">
        <v>607</v>
      </c>
      <c r="C213" s="13" t="str">
        <f>_xll.BDH("RCOM IN Equity","ARDR_ACTUARIAL_LOSSES_GAINS_OPEB","FY 2009","FY 2009","Currency=INR","Period=FY","BEST_FPERIOD_OVERRIDE=FY","FILING_STATUS=MR","EQY_CONSOLIDATED=Y","SCALING_FORMAT=MLN","Sort=A","Dates=H","DateFormat=P","Fill=—","Direction=H","UseDPDF=Y")</f>
        <v>—</v>
      </c>
      <c r="D213" s="13" t="str">
        <f>_xll.BDH("RCOM IN Equity","ARDR_ACTUARIAL_LOSSES_GAINS_OPEB","FY 2010","FY 2010","Currency=INR","Period=FY","BEST_FPERIOD_OVERRIDE=FY","FILING_STATUS=MR","EQY_CONSOLIDATED=Y","SCALING_FORMAT=MLN","Sort=A","Dates=H","DateFormat=P","Fill=—","Direction=H","UseDPDF=Y")</f>
        <v>—</v>
      </c>
      <c r="E213" s="13" t="str">
        <f>_xll.BDH("RCOM IN Equity","ARDR_ACTUARIAL_LOSSES_GAINS_OPEB","FY 2011","FY 2011","Currency=INR","Period=FY","BEST_FPERIOD_OVERRIDE=FY","FILING_STATUS=MR","EQY_CONSOLIDATED=Y","SCALING_FORMAT=MLN","Sort=A","Dates=H","DateFormat=P","Fill=—","Direction=H","UseDPDF=Y")</f>
        <v>—</v>
      </c>
      <c r="F213" s="13">
        <f>_xll.BDH("RCOM IN Equity","ARDR_ACTUARIAL_LOSSES_GAINS_OPEB","FY 2012","FY 2012","Currency=INR","Period=FY","BEST_FPERIOD_OVERRIDE=FY","FILING_STATUS=MR","EQY_CONSOLIDATED=Y","SCALING_FORMAT=MLN","Sort=A","Dates=H","DateFormat=P","Fill=—","Direction=H","UseDPDF=Y")</f>
        <v>-40</v>
      </c>
      <c r="G213" s="13">
        <f>_xll.BDH("RCOM IN Equity","ARDR_ACTUARIAL_LOSSES_GAINS_OPEB","FY 2013","FY 2013","Currency=INR","Period=FY","BEST_FPERIOD_OVERRIDE=FY","FILING_STATUS=MR","EQY_CONSOLIDATED=Y","SCALING_FORMAT=MLN","Sort=A","Dates=H","DateFormat=P","Fill=—","Direction=H","UseDPDF=Y")</f>
        <v>10</v>
      </c>
      <c r="H213" s="13">
        <f>_xll.BDH("RCOM IN Equity","ARDR_ACTUARIAL_LOSSES_GAINS_OPEB","FY 2014","FY 2014","Currency=INR","Period=FY","BEST_FPERIOD_OVERRIDE=FY","FILING_STATUS=MR","EQY_CONSOLIDATED=Y","SCALING_FORMAT=MLN","Sort=A","Dates=H","DateFormat=P","Fill=—","Direction=H","UseDPDF=Y")</f>
        <v>80</v>
      </c>
      <c r="I213" s="13">
        <f>_xll.BDH("RCOM IN Equity","ARDR_ACTUARIAL_LOSSES_GAINS_OPEB","FY 2015","FY 2015","Currency=INR","Period=FY","BEST_FPERIOD_OVERRIDE=FY","FILING_STATUS=MR","EQY_CONSOLIDATED=Y","SCALING_FORMAT=MLN","Sort=A","Dates=H","DateFormat=P","Fill=—","Direction=H","UseDPDF=Y")</f>
        <v>30</v>
      </c>
      <c r="J213" s="13">
        <f>_xll.BDH("RCOM IN Equity","ARDR_ACTUARIAL_LOSSES_GAINS_OPEB","FY 2016","FY 2016","Currency=INR","Period=FY","BEST_FPERIOD_OVERRIDE=FY","FILING_STATUS=MR","EQY_CONSOLIDATED=Y","SCALING_FORMAT=MLN","Sort=A","Dates=H","DateFormat=P","Fill=—","Direction=H","UseDPDF=Y")</f>
        <v>40</v>
      </c>
      <c r="K213" s="13" t="str">
        <f>_xll.BDH("RCOM IN Equity","ARDR_ACTUARIAL_LOSSES_GAINS_OPEB","FY 2017","FY 2017","Currency=INR","Period=FY","BEST_FPERIOD_OVERRIDE=FY","FILING_STATUS=MR","EQY_CONSOLIDATED=Y","SCALING_FORMAT=MLN","Sort=A","Dates=H","DateFormat=P","Fill=—","Direction=H","UseDPDF=Y")</f>
        <v>—</v>
      </c>
      <c r="L213" s="13">
        <f>_xll.BDH("RCOM IN Equity","ARDR_ACTUARIAL_LOSSES_GAINS_OPEB","FY 2018","FY 2018","Currency=INR","Period=FY","BEST_FPERIOD_OVERRIDE=FY","FILING_STATUS=MR","EQY_CONSOLIDATED=Y","SCALING_FORMAT=MLN","Sort=A","Dates=H","DateFormat=P","Fill=—","Direction=H","UseDPDF=Y")</f>
        <v>0</v>
      </c>
    </row>
    <row r="214" spans="1:12">
      <c r="A214" s="10" t="s">
        <v>1209</v>
      </c>
      <c r="B214" s="10" t="s">
        <v>1210</v>
      </c>
      <c r="C214" s="13" t="str">
        <f>_xll.BDH("RCOM IN Equity","ARDR_PV_OF_CAPITAL_LEASE_YEAR_5","FY 2009","FY 2009","Currency=INR","Period=FY","BEST_FPERIOD_OVERRIDE=FY","FILING_STATUS=MR","EQY_CONSOLIDATED=Y","SCALING_FORMAT=MLN","Sort=A","Dates=H","DateFormat=P","Fill=—","Direction=H","UseDPDF=Y")</f>
        <v>—</v>
      </c>
      <c r="D214" s="13" t="str">
        <f>_xll.BDH("RCOM IN Equity","ARDR_PV_OF_CAPITAL_LEASE_YEAR_5","FY 2010","FY 2010","Currency=INR","Period=FY","BEST_FPERIOD_OVERRIDE=FY","FILING_STATUS=MR","EQY_CONSOLIDATED=Y","SCALING_FORMAT=MLN","Sort=A","Dates=H","DateFormat=P","Fill=—","Direction=H","UseDPDF=Y")</f>
        <v>—</v>
      </c>
      <c r="E214" s="13" t="str">
        <f>_xll.BDH("RCOM IN Equity","ARDR_PV_OF_CAPITAL_LEASE_YEAR_5","FY 2011","FY 2011","Currency=INR","Period=FY","BEST_FPERIOD_OVERRIDE=FY","FILING_STATUS=MR","EQY_CONSOLIDATED=Y","SCALING_FORMAT=MLN","Sort=A","Dates=H","DateFormat=P","Fill=—","Direction=H","UseDPDF=Y")</f>
        <v>—</v>
      </c>
      <c r="F214" s="13" t="str">
        <f>_xll.BDH("RCOM IN Equity","ARDR_PV_OF_CAPITAL_LEASE_YEAR_5","FY 2012","FY 2012","Currency=INR","Period=FY","BEST_FPERIOD_OVERRIDE=FY","FILING_STATUS=MR","EQY_CONSOLIDATED=Y","SCALING_FORMAT=MLN","Sort=A","Dates=H","DateFormat=P","Fill=—","Direction=H","UseDPDF=Y")</f>
        <v>—</v>
      </c>
      <c r="G214" s="13" t="str">
        <f>_xll.BDH("RCOM IN Equity","ARDR_PV_OF_CAPITAL_LEASE_YEAR_5","FY 2013","FY 2013","Currency=INR","Period=FY","BEST_FPERIOD_OVERRIDE=FY","FILING_STATUS=MR","EQY_CONSOLIDATED=Y","SCALING_FORMAT=MLN","Sort=A","Dates=H","DateFormat=P","Fill=—","Direction=H","UseDPDF=Y")</f>
        <v>—</v>
      </c>
      <c r="H214" s="13">
        <f>_xll.BDH("RCOM IN Equity","ARDR_PV_OF_CAPITAL_LEASE_YEAR_5","FY 2014","FY 2014","Currency=INR","Period=FY","BEST_FPERIOD_OVERRIDE=FY","FILING_STATUS=MR","EQY_CONSOLIDATED=Y","SCALING_FORMAT=MLN","Sort=A","Dates=H","DateFormat=P","Fill=—","Direction=H","UseDPDF=Y")</f>
        <v>1750</v>
      </c>
      <c r="I214" s="13">
        <f>_xll.BDH("RCOM IN Equity","ARDR_PV_OF_CAPITAL_LEASE_YEAR_5","FY 2015","FY 2015","Currency=INR","Period=FY","BEST_FPERIOD_OVERRIDE=FY","FILING_STATUS=MR","EQY_CONSOLIDATED=Y","SCALING_FORMAT=MLN","Sort=A","Dates=H","DateFormat=P","Fill=—","Direction=H","UseDPDF=Y")</f>
        <v>720</v>
      </c>
      <c r="J214" s="13">
        <f>_xll.BDH("RCOM IN Equity","ARDR_PV_OF_CAPITAL_LEASE_YEAR_5","FY 2016","FY 2016","Currency=INR","Period=FY","BEST_FPERIOD_OVERRIDE=FY","FILING_STATUS=MR","EQY_CONSOLIDATED=Y","SCALING_FORMAT=MLN","Sort=A","Dates=H","DateFormat=P","Fill=—","Direction=H","UseDPDF=Y")</f>
        <v>540</v>
      </c>
      <c r="K214" s="13">
        <f>_xll.BDH("RCOM IN Equity","ARDR_PV_OF_CAPITAL_LEASE_YEAR_5","FY 2017","FY 2017","Currency=INR","Period=FY","BEST_FPERIOD_OVERRIDE=FY","FILING_STATUS=MR","EQY_CONSOLIDATED=Y","SCALING_FORMAT=MLN","Sort=A","Dates=H","DateFormat=P","Fill=—","Direction=H","UseDPDF=Y")</f>
        <v>390</v>
      </c>
      <c r="L214" s="13">
        <f>_xll.BDH("RCOM IN Equity","ARDR_PV_OF_CAPITAL_LEASE_YEAR_5","FY 2018","FY 2018","Currency=INR","Period=FY","BEST_FPERIOD_OVERRIDE=FY","FILING_STATUS=MR","EQY_CONSOLIDATED=Y","SCALING_FORMAT=MLN","Sort=A","Dates=H","DateFormat=P","Fill=—","Direction=H","UseDPDF=Y")</f>
        <v>0</v>
      </c>
    </row>
    <row r="215" spans="1:12">
      <c r="A215" s="10" t="s">
        <v>1211</v>
      </c>
      <c r="B215" s="10" t="s">
        <v>1212</v>
      </c>
      <c r="C215" s="13" t="str">
        <f>_xll.BDH("RCOM IN Equity","ARDR_PV_OF_CAPITAL_LEASE_YRS_2_5","FY 2009","FY 2009","Currency=INR","Period=FY","BEST_FPERIOD_OVERRIDE=FY","FILING_STATUS=MR","EQY_CONSOLIDATED=Y","SCALING_FORMAT=MLN","Sort=A","Dates=H","DateFormat=P","Fill=—","Direction=H","UseDPDF=Y")</f>
        <v>—</v>
      </c>
      <c r="D215" s="13" t="str">
        <f>_xll.BDH("RCOM IN Equity","ARDR_PV_OF_CAPITAL_LEASE_YRS_2_5","FY 2010","FY 2010","Currency=INR","Period=FY","BEST_FPERIOD_OVERRIDE=FY","FILING_STATUS=MR","EQY_CONSOLIDATED=Y","SCALING_FORMAT=MLN","Sort=A","Dates=H","DateFormat=P","Fill=—","Direction=H","UseDPDF=Y")</f>
        <v>—</v>
      </c>
      <c r="E215" s="13" t="str">
        <f>_xll.BDH("RCOM IN Equity","ARDR_PV_OF_CAPITAL_LEASE_YRS_2_5","FY 2011","FY 2011","Currency=INR","Period=FY","BEST_FPERIOD_OVERRIDE=FY","FILING_STATUS=MR","EQY_CONSOLIDATED=Y","SCALING_FORMAT=MLN","Sort=A","Dates=H","DateFormat=P","Fill=—","Direction=H","UseDPDF=Y")</f>
        <v>—</v>
      </c>
      <c r="F215" s="13" t="str">
        <f>_xll.BDH("RCOM IN Equity","ARDR_PV_OF_CAPITAL_LEASE_YRS_2_5","FY 2012","FY 2012","Currency=INR","Period=FY","BEST_FPERIOD_OVERRIDE=FY","FILING_STATUS=MR","EQY_CONSOLIDATED=Y","SCALING_FORMAT=MLN","Sort=A","Dates=H","DateFormat=P","Fill=—","Direction=H","UseDPDF=Y")</f>
        <v>—</v>
      </c>
      <c r="G215" s="13" t="str">
        <f>_xll.BDH("RCOM IN Equity","ARDR_PV_OF_CAPITAL_LEASE_YRS_2_5","FY 2013","FY 2013","Currency=INR","Period=FY","BEST_FPERIOD_OVERRIDE=FY","FILING_STATUS=MR","EQY_CONSOLIDATED=Y","SCALING_FORMAT=MLN","Sort=A","Dates=H","DateFormat=P","Fill=—","Direction=H","UseDPDF=Y")</f>
        <v>—</v>
      </c>
      <c r="H215" s="13">
        <f>_xll.BDH("RCOM IN Equity","ARDR_PV_OF_CAPITAL_LEASE_YRS_2_5","FY 2014","FY 2014","Currency=INR","Period=FY","BEST_FPERIOD_OVERRIDE=FY","FILING_STATUS=MR","EQY_CONSOLIDATED=Y","SCALING_FORMAT=MLN","Sort=A","Dates=H","DateFormat=P","Fill=—","Direction=H","UseDPDF=Y")</f>
        <v>950</v>
      </c>
      <c r="I215" s="13">
        <f>_xll.BDH("RCOM IN Equity","ARDR_PV_OF_CAPITAL_LEASE_YRS_2_5","FY 2015","FY 2015","Currency=INR","Period=FY","BEST_FPERIOD_OVERRIDE=FY","FILING_STATUS=MR","EQY_CONSOLIDATED=Y","SCALING_FORMAT=MLN","Sort=A","Dates=H","DateFormat=P","Fill=—","Direction=H","UseDPDF=Y")</f>
        <v>530</v>
      </c>
      <c r="J215" s="13">
        <f>_xll.BDH("RCOM IN Equity","ARDR_PV_OF_CAPITAL_LEASE_YRS_2_5","FY 2016","FY 2016","Currency=INR","Period=FY","BEST_FPERIOD_OVERRIDE=FY","FILING_STATUS=MR","EQY_CONSOLIDATED=Y","SCALING_FORMAT=MLN","Sort=A","Dates=H","DateFormat=P","Fill=—","Direction=H","UseDPDF=Y")</f>
        <v>470</v>
      </c>
      <c r="K215" s="13">
        <f>_xll.BDH("RCOM IN Equity","ARDR_PV_OF_CAPITAL_LEASE_YRS_2_5","FY 2017","FY 2017","Currency=INR","Period=FY","BEST_FPERIOD_OVERRIDE=FY","FILING_STATUS=MR","EQY_CONSOLIDATED=Y","SCALING_FORMAT=MLN","Sort=A","Dates=H","DateFormat=P","Fill=—","Direction=H","UseDPDF=Y")</f>
        <v>490</v>
      </c>
      <c r="L215" s="13">
        <f>_xll.BDH("RCOM IN Equity","ARDR_PV_OF_CAPITAL_LEASE_YRS_2_5","FY 2018","FY 2018","Currency=INR","Period=FY","BEST_FPERIOD_OVERRIDE=FY","FILING_STATUS=MR","EQY_CONSOLIDATED=Y","SCALING_FORMAT=MLN","Sort=A","Dates=H","DateFormat=P","Fill=—","Direction=H","UseDPDF=Y")</f>
        <v>0</v>
      </c>
    </row>
    <row r="216" spans="1:12">
      <c r="A216" s="7" t="s">
        <v>57</v>
      </c>
      <c r="B216" s="7"/>
      <c r="C216" s="7" t="s">
        <v>3</v>
      </c>
      <c r="D216" s="7"/>
      <c r="E216" s="7"/>
      <c r="F216" s="7"/>
      <c r="G216" s="7"/>
      <c r="H216" s="7"/>
      <c r="I216" s="7"/>
      <c r="J216" s="7"/>
      <c r="K216" s="7"/>
      <c r="L216" s="7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L101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1213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77</v>
      </c>
      <c r="B6" s="6" t="s">
        <v>78</v>
      </c>
      <c r="C6" s="19">
        <f>_xll.BDH("RCOM IN Equity","BS_TOT_ASSET","FY 2009","FY 2009","Currency=INR","Period=FY","BEST_FPERIOD_OVERRIDE=FY","FILING_STATUS=MR","EQY_CONSOLIDATED=Y","SCALING_FORMAT=MLN","Sort=A","Dates=H","DateFormat=P","Fill=—","Direction=H","UseDPDF=Y")</f>
        <v>1022069.9</v>
      </c>
      <c r="D6" s="19">
        <f>_xll.BDH("RCOM IN Equity","BS_TOT_ASSET","FY 2010","FY 2010","Currency=INR","Period=FY","BEST_FPERIOD_OVERRIDE=FY","FILING_STATUS=MR","EQY_CONSOLIDATED=Y","SCALING_FORMAT=MLN","Sort=A","Dates=H","DateFormat=P","Fill=—","Direction=H","UseDPDF=Y")</f>
        <v>925686.3</v>
      </c>
      <c r="E6" s="19">
        <f>_xll.BDH("RCOM IN Equity","BS_TOT_ASSET","FY 2011","FY 2011","Currency=INR","Period=FY","BEST_FPERIOD_OVERRIDE=FY","FILING_STATUS=MR","EQY_CONSOLIDATED=Y","SCALING_FORMAT=MLN","Sort=A","Dates=H","DateFormat=P","Fill=—","Direction=H","UseDPDF=Y")</f>
        <v>947230</v>
      </c>
      <c r="F6" s="19">
        <f>_xll.BDH("RCOM IN Equity","BS_TOT_ASSET","FY 2012","FY 2012","Currency=INR","Period=FY","BEST_FPERIOD_OVERRIDE=FY","FILING_STATUS=MR","EQY_CONSOLIDATED=Y","SCALING_FORMAT=MLN","Sort=A","Dates=H","DateFormat=P","Fill=—","Direction=H","UseDPDF=Y")</f>
        <v>922650</v>
      </c>
      <c r="G6" s="19">
        <f>_xll.BDH("RCOM IN Equity","BS_TOT_ASSET","FY 2013","FY 2013","Currency=INR","Period=FY","BEST_FPERIOD_OVERRIDE=FY","FILING_STATUS=MR","EQY_CONSOLIDATED=Y","SCALING_FORMAT=MLN","Sort=A","Dates=H","DateFormat=P","Fill=—","Direction=H","UseDPDF=Y")</f>
        <v>901820</v>
      </c>
      <c r="H6" s="19">
        <f>_xll.BDH("RCOM IN Equity","BS_TOT_ASSET","FY 2014","FY 2014","Currency=INR","Period=FY","BEST_FPERIOD_OVERRIDE=FY","FILING_STATUS=MR","EQY_CONSOLIDATED=Y","SCALING_FORMAT=MLN","Sort=A","Dates=H","DateFormat=P","Fill=—","Direction=H","UseDPDF=Y")</f>
        <v>907390</v>
      </c>
      <c r="I6" s="19">
        <f>_xll.BDH("RCOM IN Equity","BS_TOT_ASSET","FY 2015","FY 2015","Currency=INR","Period=FY","BEST_FPERIOD_OVERRIDE=FY","FILING_STATUS=MR","EQY_CONSOLIDATED=Y","SCALING_FORMAT=MLN","Sort=A","Dates=H","DateFormat=P","Fill=—","Direction=H","UseDPDF=Y")</f>
        <v>930220</v>
      </c>
      <c r="J6" s="19">
        <f>_xll.BDH("RCOM IN Equity","BS_TOT_ASSET","FY 2016","FY 2016","Currency=INR","Period=FY","BEST_FPERIOD_OVERRIDE=FY","FILING_STATUS=MR","EQY_CONSOLIDATED=Y","SCALING_FORMAT=MLN","Sort=A","Dates=H","DateFormat=P","Fill=—","Direction=H","UseDPDF=Y")</f>
        <v>1034540</v>
      </c>
      <c r="K6" s="19">
        <f>_xll.BDH("RCOM IN Equity","BS_TOT_ASSET","FY 2017","FY 2017","Currency=INR","Period=FY","BEST_FPERIOD_OVERRIDE=FY","FILING_STATUS=MR","EQY_CONSOLIDATED=Y","SCALING_FORMAT=MLN","Sort=A","Dates=H","DateFormat=P","Fill=—","Direction=H","UseDPDF=Y")</f>
        <v>997310</v>
      </c>
      <c r="L6" s="19">
        <f>_xll.BDH("RCOM IN Equity","BS_TOT_ASSET","FY 2018","FY 2018","Currency=INR","Period=FY","BEST_FPERIOD_OVERRIDE=FY","FILING_STATUS=MR","EQY_CONSOLIDATED=Y","SCALING_FORMAT=MLN","Sort=A","Dates=H","DateFormat=P","Fill=—","Direction=H","UseDPDF=Y")</f>
        <v>745780</v>
      </c>
    </row>
    <row r="7" spans="1:12">
      <c r="A7" s="6" t="s">
        <v>77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>
      <c r="A8" s="10" t="s">
        <v>688</v>
      </c>
      <c r="B8" s="10" t="s">
        <v>689</v>
      </c>
      <c r="C8" s="13">
        <v>10.7303130637151</v>
      </c>
      <c r="D8" s="13">
        <v>5.2485166951266304</v>
      </c>
      <c r="E8" s="13">
        <v>5.6142647509052699</v>
      </c>
      <c r="F8" s="13">
        <v>1.1586191947108899</v>
      </c>
      <c r="G8" s="13">
        <v>1.4215697145771899</v>
      </c>
      <c r="H8" s="13">
        <v>1.22218671133691</v>
      </c>
      <c r="I8" s="13">
        <v>2.8788888649996802</v>
      </c>
      <c r="J8" s="13">
        <v>1.4663521951785301</v>
      </c>
      <c r="K8" s="13">
        <v>1.31754419388154</v>
      </c>
      <c r="L8" s="13">
        <v>0.98688621309233304</v>
      </c>
    </row>
    <row r="9" spans="1:12">
      <c r="A9" s="10" t="s">
        <v>691</v>
      </c>
      <c r="B9" s="10" t="s">
        <v>692</v>
      </c>
      <c r="C9" s="13">
        <v>1.64656057281405</v>
      </c>
      <c r="D9" s="13">
        <v>0.88425204089117404</v>
      </c>
      <c r="E9" s="13">
        <v>5.1370839183725199</v>
      </c>
      <c r="F9" s="13">
        <v>0.59610903376144797</v>
      </c>
      <c r="G9" s="13">
        <v>0.81058304317934804</v>
      </c>
      <c r="H9" s="13">
        <v>0.55543922679333002</v>
      </c>
      <c r="I9" s="13">
        <v>1.5136204338758601</v>
      </c>
      <c r="J9" s="13">
        <v>1.4663521951785301</v>
      </c>
      <c r="K9" s="13">
        <v>1.31754419388154</v>
      </c>
      <c r="L9" s="13">
        <v>0.98688621309233304</v>
      </c>
    </row>
    <row r="10" spans="1:12">
      <c r="A10" s="10" t="s">
        <v>693</v>
      </c>
      <c r="B10" s="10" t="s">
        <v>694</v>
      </c>
      <c r="C10" s="13">
        <v>9.0837524909010607</v>
      </c>
      <c r="D10" s="13">
        <v>4.36426465423546</v>
      </c>
      <c r="E10" s="13">
        <v>0.47718083253275301</v>
      </c>
      <c r="F10" s="13">
        <v>0.56251016094943895</v>
      </c>
      <c r="G10" s="13">
        <v>0.61098667139784002</v>
      </c>
      <c r="H10" s="13">
        <v>0.66674748454358101</v>
      </c>
      <c r="I10" s="13">
        <v>1.3652684311238199</v>
      </c>
      <c r="J10" s="13">
        <v>0</v>
      </c>
      <c r="K10" s="13">
        <v>0</v>
      </c>
      <c r="L10" s="13">
        <v>0</v>
      </c>
    </row>
    <row r="11" spans="1:12">
      <c r="A11" s="10" t="s">
        <v>695</v>
      </c>
      <c r="B11" s="10" t="s">
        <v>696</v>
      </c>
      <c r="C11" s="13">
        <v>0.83289802390227896</v>
      </c>
      <c r="D11" s="13">
        <v>1.0699520993235001</v>
      </c>
      <c r="E11" s="13">
        <v>1.4125397210814701</v>
      </c>
      <c r="F11" s="13">
        <v>1.9964233457974301</v>
      </c>
      <c r="G11" s="13">
        <v>1.74535938435608</v>
      </c>
      <c r="H11" s="13">
        <v>1.24202382657953</v>
      </c>
      <c r="I11" s="13">
        <v>1.2835673281589299</v>
      </c>
      <c r="J11" s="13">
        <v>2.8814738917779898</v>
      </c>
      <c r="K11" s="13">
        <v>3.2597687780128499</v>
      </c>
      <c r="L11" s="13">
        <v>2.86009278875808</v>
      </c>
    </row>
    <row r="12" spans="1:12">
      <c r="A12" s="10" t="s">
        <v>697</v>
      </c>
      <c r="B12" s="10" t="s">
        <v>698</v>
      </c>
      <c r="C12" s="13">
        <v>0.83289802390227896</v>
      </c>
      <c r="D12" s="13">
        <v>1.0699520993235001</v>
      </c>
      <c r="E12" s="13">
        <v>1.4125397210814701</v>
      </c>
      <c r="F12" s="13">
        <v>1.9964233457974301</v>
      </c>
      <c r="G12" s="13">
        <v>1.74535938435608</v>
      </c>
      <c r="H12" s="13">
        <v>1.24202382657953</v>
      </c>
      <c r="I12" s="13">
        <v>1.2835673281589299</v>
      </c>
      <c r="J12" s="13">
        <v>2.8814738917779898</v>
      </c>
      <c r="K12" s="13">
        <v>3.2597687780128499</v>
      </c>
      <c r="L12" s="13">
        <v>2.86009278875808</v>
      </c>
    </row>
    <row r="13" spans="1:12">
      <c r="A13" s="10" t="s">
        <v>699</v>
      </c>
      <c r="B13" s="10" t="s">
        <v>700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</row>
    <row r="14" spans="1:12">
      <c r="A14" s="10" t="s">
        <v>701</v>
      </c>
      <c r="B14" s="10" t="s">
        <v>702</v>
      </c>
      <c r="C14" s="13" t="s">
        <v>44</v>
      </c>
      <c r="D14" s="13" t="s">
        <v>44</v>
      </c>
      <c r="E14" s="13" t="s">
        <v>44</v>
      </c>
      <c r="F14" s="13" t="s">
        <v>44</v>
      </c>
      <c r="G14" s="13" t="s">
        <v>44</v>
      </c>
      <c r="H14" s="13" t="s">
        <v>44</v>
      </c>
      <c r="I14" s="13" t="s">
        <v>44</v>
      </c>
      <c r="J14" s="13">
        <v>0.262918785160554</v>
      </c>
      <c r="K14" s="13">
        <v>0.61365072043797797</v>
      </c>
      <c r="L14" s="13">
        <v>0.113974630588109</v>
      </c>
    </row>
    <row r="15" spans="1:12">
      <c r="A15" s="10" t="s">
        <v>703</v>
      </c>
      <c r="B15" s="10" t="s">
        <v>704</v>
      </c>
      <c r="C15" s="13">
        <v>0.53100086403092395</v>
      </c>
      <c r="D15" s="13">
        <v>0.58835266331585601</v>
      </c>
      <c r="E15" s="13">
        <v>0.54580196995449903</v>
      </c>
      <c r="F15" s="13">
        <v>0.61345038747087199</v>
      </c>
      <c r="G15" s="13">
        <v>0.551107759863387</v>
      </c>
      <c r="H15" s="13">
        <v>0.45735571253815899</v>
      </c>
      <c r="I15" s="13">
        <v>0.43108081959106398</v>
      </c>
      <c r="J15" s="13">
        <v>0.201055541593365</v>
      </c>
      <c r="K15" s="13">
        <v>0.23563385507013901</v>
      </c>
      <c r="L15" s="13">
        <v>0.105929362546596</v>
      </c>
    </row>
    <row r="16" spans="1:12">
      <c r="A16" s="10" t="s">
        <v>705</v>
      </c>
      <c r="B16" s="10" t="s">
        <v>706</v>
      </c>
      <c r="C16" s="13" t="s">
        <v>44</v>
      </c>
      <c r="D16" s="13" t="s">
        <v>44</v>
      </c>
      <c r="E16" s="13" t="s">
        <v>44</v>
      </c>
      <c r="F16" s="13" t="s">
        <v>44</v>
      </c>
      <c r="G16" s="13" t="s">
        <v>44</v>
      </c>
      <c r="H16" s="13" t="s">
        <v>44</v>
      </c>
      <c r="I16" s="13">
        <v>0</v>
      </c>
      <c r="J16" s="13">
        <v>0</v>
      </c>
      <c r="K16" s="13">
        <v>0</v>
      </c>
      <c r="L16" s="13">
        <v>0</v>
      </c>
    </row>
    <row r="17" spans="1:12">
      <c r="A17" s="10" t="s">
        <v>707</v>
      </c>
      <c r="B17" s="10" t="s">
        <v>708</v>
      </c>
      <c r="C17" s="13" t="s">
        <v>44</v>
      </c>
      <c r="D17" s="13" t="s">
        <v>44</v>
      </c>
      <c r="E17" s="13" t="s">
        <v>44</v>
      </c>
      <c r="F17" s="13" t="s">
        <v>44</v>
      </c>
      <c r="G17" s="13" t="s">
        <v>44</v>
      </c>
      <c r="H17" s="13" t="s">
        <v>44</v>
      </c>
      <c r="I17" s="13">
        <v>0</v>
      </c>
      <c r="J17" s="13">
        <v>0</v>
      </c>
      <c r="K17" s="13">
        <v>0</v>
      </c>
      <c r="L17" s="13">
        <v>0</v>
      </c>
    </row>
    <row r="18" spans="1:12">
      <c r="A18" s="10" t="s">
        <v>709</v>
      </c>
      <c r="B18" s="10" t="s">
        <v>710</v>
      </c>
      <c r="C18" s="13" t="s">
        <v>44</v>
      </c>
      <c r="D18" s="13" t="s">
        <v>44</v>
      </c>
      <c r="E18" s="13" t="s">
        <v>44</v>
      </c>
      <c r="F18" s="13" t="s">
        <v>44</v>
      </c>
      <c r="G18" s="13" t="s">
        <v>44</v>
      </c>
      <c r="H18" s="13" t="s">
        <v>44</v>
      </c>
      <c r="I18" s="13">
        <v>0.16770226398056401</v>
      </c>
      <c r="J18" s="13">
        <v>5.0263885398341299E-2</v>
      </c>
      <c r="K18" s="13">
        <v>0.112302092629172</v>
      </c>
      <c r="L18" s="13">
        <v>2.6817560138378601E-3</v>
      </c>
    </row>
    <row r="19" spans="1:12">
      <c r="A19" s="10" t="s">
        <v>711</v>
      </c>
      <c r="B19" s="10" t="s">
        <v>712</v>
      </c>
      <c r="C19" s="13" t="s">
        <v>44</v>
      </c>
      <c r="D19" s="13" t="s">
        <v>44</v>
      </c>
      <c r="E19" s="13" t="s">
        <v>44</v>
      </c>
      <c r="F19" s="13" t="s">
        <v>44</v>
      </c>
      <c r="G19" s="13" t="s">
        <v>44</v>
      </c>
      <c r="H19" s="13" t="s">
        <v>44</v>
      </c>
      <c r="I19" s="13">
        <v>0.263378555610501</v>
      </c>
      <c r="J19" s="13">
        <v>0.15079165619502399</v>
      </c>
      <c r="K19" s="13">
        <v>0.123331762440966</v>
      </c>
      <c r="L19" s="13">
        <v>0.103247606532758</v>
      </c>
    </row>
    <row r="20" spans="1:12">
      <c r="A20" s="10" t="s">
        <v>713</v>
      </c>
      <c r="B20" s="10" t="s">
        <v>714</v>
      </c>
      <c r="C20" s="13">
        <v>11.3862760267179</v>
      </c>
      <c r="D20" s="13">
        <v>10.5907152347399</v>
      </c>
      <c r="E20" s="13">
        <v>9.7917084551798403</v>
      </c>
      <c r="F20" s="13">
        <v>9.8282122148160198</v>
      </c>
      <c r="G20" s="13">
        <v>9.8778026657204308</v>
      </c>
      <c r="H20" s="13">
        <v>11.820716560685</v>
      </c>
      <c r="I20" s="13">
        <v>15.6059856808067</v>
      </c>
      <c r="J20" s="13">
        <v>6.5565372049413302</v>
      </c>
      <c r="K20" s="13">
        <v>7.6154856564157596</v>
      </c>
      <c r="L20" s="13">
        <v>56.888090321542499</v>
      </c>
    </row>
    <row r="21" spans="1:12">
      <c r="A21" s="10" t="s">
        <v>715</v>
      </c>
      <c r="B21" s="10" t="s">
        <v>716</v>
      </c>
      <c r="C21" s="13" t="s">
        <v>44</v>
      </c>
      <c r="D21" s="13" t="s">
        <v>44</v>
      </c>
      <c r="E21" s="13" t="s">
        <v>44</v>
      </c>
      <c r="F21" s="13" t="s">
        <v>44</v>
      </c>
      <c r="G21" s="13" t="s">
        <v>44</v>
      </c>
      <c r="H21" s="13" t="s">
        <v>44</v>
      </c>
      <c r="I21" s="13" t="s">
        <v>44</v>
      </c>
      <c r="J21" s="13">
        <v>4.1293715081098803</v>
      </c>
      <c r="K21" s="13">
        <v>5.04356719575659</v>
      </c>
      <c r="L21" s="13">
        <v>4.1647670894901996</v>
      </c>
    </row>
    <row r="22" spans="1:12">
      <c r="A22" s="10" t="s">
        <v>717</v>
      </c>
      <c r="B22" s="10" t="s">
        <v>718</v>
      </c>
      <c r="C22" s="13" t="s">
        <v>44</v>
      </c>
      <c r="D22" s="13" t="s">
        <v>44</v>
      </c>
      <c r="E22" s="13" t="s">
        <v>44</v>
      </c>
      <c r="F22" s="13" t="s">
        <v>44</v>
      </c>
      <c r="G22" s="13" t="s">
        <v>44</v>
      </c>
      <c r="H22" s="13" t="s">
        <v>44</v>
      </c>
      <c r="I22" s="13" t="s">
        <v>44</v>
      </c>
      <c r="J22" s="13" t="s">
        <v>44</v>
      </c>
      <c r="K22" s="13" t="s">
        <v>44</v>
      </c>
      <c r="L22" s="13">
        <v>49.389900506851902</v>
      </c>
    </row>
    <row r="23" spans="1:12">
      <c r="A23" s="10" t="s">
        <v>719</v>
      </c>
      <c r="B23" s="10" t="s">
        <v>720</v>
      </c>
      <c r="C23" s="13" t="s">
        <v>44</v>
      </c>
      <c r="D23" s="13" t="s">
        <v>44</v>
      </c>
      <c r="E23" s="13" t="s">
        <v>44</v>
      </c>
      <c r="F23" s="13" t="s">
        <v>44</v>
      </c>
      <c r="G23" s="13" t="s">
        <v>44</v>
      </c>
      <c r="H23" s="13" t="s">
        <v>44</v>
      </c>
      <c r="I23" s="13" t="s">
        <v>44</v>
      </c>
      <c r="J23" s="13">
        <v>0.71819359328783805</v>
      </c>
      <c r="K23" s="13">
        <v>0.77207688682556097</v>
      </c>
      <c r="L23" s="13">
        <v>0.94263723886400796</v>
      </c>
    </row>
    <row r="24" spans="1:12">
      <c r="A24" s="10" t="s">
        <v>721</v>
      </c>
      <c r="B24" s="10" t="s">
        <v>722</v>
      </c>
      <c r="C24" s="13">
        <v>11.3862760267179</v>
      </c>
      <c r="D24" s="13">
        <v>10.5907152347399</v>
      </c>
      <c r="E24" s="13">
        <v>9.7917084551798403</v>
      </c>
      <c r="F24" s="13">
        <v>9.8282122148160198</v>
      </c>
      <c r="G24" s="13">
        <v>9.8778026657204308</v>
      </c>
      <c r="H24" s="13">
        <v>11.820716560685</v>
      </c>
      <c r="I24" s="13">
        <v>15.6059856808067</v>
      </c>
      <c r="J24" s="13">
        <v>1.7089721035436001</v>
      </c>
      <c r="K24" s="13">
        <v>1.79984157383361</v>
      </c>
      <c r="L24" s="13">
        <v>2.3907854863364499</v>
      </c>
    </row>
    <row r="25" spans="1:12">
      <c r="A25" s="6" t="s">
        <v>75</v>
      </c>
      <c r="B25" s="6" t="s">
        <v>76</v>
      </c>
      <c r="C25" s="19">
        <v>23.480487978366298</v>
      </c>
      <c r="D25" s="19">
        <v>17.4975366925059</v>
      </c>
      <c r="E25" s="19">
        <v>17.364314897121101</v>
      </c>
      <c r="F25" s="19">
        <v>13.5967051427952</v>
      </c>
      <c r="G25" s="19">
        <v>13.5958395245171</v>
      </c>
      <c r="H25" s="19">
        <v>14.742282811139599</v>
      </c>
      <c r="I25" s="19">
        <v>20.1995226935564</v>
      </c>
      <c r="J25" s="19">
        <v>11.3683376186518</v>
      </c>
      <c r="K25" s="19">
        <v>13.042083203818301</v>
      </c>
      <c r="L25" s="19">
        <v>60.954973316527699</v>
      </c>
    </row>
    <row r="26" spans="1:12">
      <c r="A26" s="10" t="s">
        <v>723</v>
      </c>
      <c r="B26" s="10" t="s">
        <v>724</v>
      </c>
      <c r="C26" s="13">
        <v>51.969831026234097</v>
      </c>
      <c r="D26" s="13">
        <v>57.701934229770899</v>
      </c>
      <c r="E26" s="13">
        <v>59.000453955216798</v>
      </c>
      <c r="F26" s="13">
        <v>52.649433696417901</v>
      </c>
      <c r="G26" s="13">
        <v>53.450799494355898</v>
      </c>
      <c r="H26" s="13">
        <v>51.933567705176401</v>
      </c>
      <c r="I26" s="13">
        <v>48.674507105845898</v>
      </c>
      <c r="J26" s="13">
        <v>50.774257157770599</v>
      </c>
      <c r="K26" s="13">
        <v>51.849475087986697</v>
      </c>
      <c r="L26" s="13">
        <v>22.4811606640028</v>
      </c>
    </row>
    <row r="27" spans="1:12">
      <c r="A27" s="10" t="s">
        <v>725</v>
      </c>
      <c r="B27" s="10" t="s">
        <v>726</v>
      </c>
      <c r="C27" s="13">
        <v>64.528091473978407</v>
      </c>
      <c r="D27" s="13">
        <v>75.065559466527702</v>
      </c>
      <c r="E27" s="13">
        <v>81.881908301046195</v>
      </c>
      <c r="F27" s="13">
        <v>80.049856391914602</v>
      </c>
      <c r="G27" s="13">
        <v>85.971701669956303</v>
      </c>
      <c r="H27" s="13">
        <v>89.963521749192694</v>
      </c>
      <c r="I27" s="13">
        <v>89.510008385113196</v>
      </c>
      <c r="J27" s="13">
        <v>76.096622653546504</v>
      </c>
      <c r="K27" s="13">
        <v>80.661980728158696</v>
      </c>
      <c r="L27" s="13">
        <v>54.862023653088002</v>
      </c>
    </row>
    <row r="28" spans="1:12">
      <c r="A28" s="10" t="s">
        <v>727</v>
      </c>
      <c r="B28" s="10" t="s">
        <v>728</v>
      </c>
      <c r="C28" s="13">
        <v>12.558260447744299</v>
      </c>
      <c r="D28" s="13">
        <v>17.3636252367568</v>
      </c>
      <c r="E28" s="13">
        <v>22.8814543458294</v>
      </c>
      <c r="F28" s="13">
        <v>27.400422695496701</v>
      </c>
      <c r="G28" s="13">
        <v>32.520902175600497</v>
      </c>
      <c r="H28" s="13">
        <v>38.029954044016399</v>
      </c>
      <c r="I28" s="13">
        <v>40.835501279267298</v>
      </c>
      <c r="J28" s="13">
        <v>25.322365495775902</v>
      </c>
      <c r="K28" s="13">
        <v>28.812505640172098</v>
      </c>
      <c r="L28" s="13">
        <v>32.380862989085301</v>
      </c>
    </row>
    <row r="29" spans="1:12">
      <c r="A29" s="10" t="s">
        <v>729</v>
      </c>
      <c r="B29" s="10" t="s">
        <v>730</v>
      </c>
      <c r="C29" s="13">
        <v>0.27026527246326298</v>
      </c>
      <c r="D29" s="13">
        <v>0.123940475299246</v>
      </c>
      <c r="E29" s="13">
        <v>1.65957581579975</v>
      </c>
      <c r="F29" s="13">
        <v>1.53362596867718</v>
      </c>
      <c r="G29" s="13">
        <v>2.2953582754873501</v>
      </c>
      <c r="H29" s="13">
        <v>2.6989497349541001</v>
      </c>
      <c r="I29" s="13">
        <v>0.13437681408699001</v>
      </c>
      <c r="J29" s="13">
        <v>0</v>
      </c>
      <c r="K29" s="13">
        <v>0</v>
      </c>
      <c r="L29" s="13">
        <v>4.2908096221405803E-2</v>
      </c>
    </row>
    <row r="30" spans="1:12">
      <c r="A30" s="10" t="s">
        <v>731</v>
      </c>
      <c r="B30" s="10" t="s">
        <v>732</v>
      </c>
      <c r="C30" s="13">
        <v>0.27026527246326298</v>
      </c>
      <c r="D30" s="13">
        <v>0.123940475299246</v>
      </c>
      <c r="E30" s="13">
        <v>1.65957581579975</v>
      </c>
      <c r="F30" s="13">
        <v>1.53362596867718</v>
      </c>
      <c r="G30" s="13">
        <v>2.2953582754873501</v>
      </c>
      <c r="H30" s="13">
        <v>2.6989497349541001</v>
      </c>
      <c r="I30" s="13">
        <v>0.13437681408699001</v>
      </c>
      <c r="J30" s="13">
        <v>0</v>
      </c>
      <c r="K30" s="13">
        <v>0</v>
      </c>
      <c r="L30" s="13">
        <v>4.2908096221405803E-2</v>
      </c>
    </row>
    <row r="31" spans="1:12">
      <c r="A31" s="10" t="s">
        <v>733</v>
      </c>
      <c r="B31" s="10" t="s">
        <v>734</v>
      </c>
      <c r="C31" s="13">
        <v>24.279415722936399</v>
      </c>
      <c r="D31" s="13">
        <v>24.676588602424001</v>
      </c>
      <c r="E31" s="13">
        <v>21.975655331862399</v>
      </c>
      <c r="F31" s="13">
        <v>32.220235192109698</v>
      </c>
      <c r="G31" s="13">
        <v>30.658002705639699</v>
      </c>
      <c r="H31" s="13">
        <v>30.625199748729901</v>
      </c>
      <c r="I31" s="13">
        <v>30.991593386510701</v>
      </c>
      <c r="J31" s="13">
        <v>37.857405223577601</v>
      </c>
      <c r="K31" s="13">
        <v>35.108441708195002</v>
      </c>
      <c r="L31" s="13">
        <v>16.520957923248101</v>
      </c>
    </row>
    <row r="32" spans="1:12">
      <c r="A32" s="10" t="s">
        <v>735</v>
      </c>
      <c r="B32" s="10" t="s">
        <v>736</v>
      </c>
      <c r="C32" s="13">
        <v>24.274288872023298</v>
      </c>
      <c r="D32" s="13">
        <v>24.670949543057901</v>
      </c>
      <c r="E32" s="13">
        <v>21.336950898936902</v>
      </c>
      <c r="F32" s="13">
        <v>30.249823876876398</v>
      </c>
      <c r="G32" s="13">
        <v>29.023530194495599</v>
      </c>
      <c r="H32" s="13">
        <v>27.1316633421131</v>
      </c>
      <c r="I32" s="13">
        <v>24.130850766485299</v>
      </c>
      <c r="J32" s="13">
        <v>26.121754596245701</v>
      </c>
      <c r="K32" s="13">
        <v>22.082401660466701</v>
      </c>
      <c r="L32" s="13">
        <v>5.8167287940143204</v>
      </c>
    </row>
    <row r="33" spans="1:12">
      <c r="A33" s="11" t="s">
        <v>737</v>
      </c>
      <c r="B33" s="11" t="s">
        <v>738</v>
      </c>
      <c r="C33" s="25">
        <v>5.10877974197264</v>
      </c>
      <c r="D33" s="25">
        <v>5.3987619780048597</v>
      </c>
      <c r="E33" s="25">
        <v>5.0114544514004002</v>
      </c>
      <c r="F33" s="25">
        <v>5.4289275456565296</v>
      </c>
      <c r="G33" s="25">
        <v>5.6829522521123996</v>
      </c>
      <c r="H33" s="25">
        <v>5.8409283769933502</v>
      </c>
      <c r="I33" s="25">
        <v>5.82980370234998</v>
      </c>
      <c r="J33" s="25">
        <v>3.4324434047982701</v>
      </c>
      <c r="K33" s="25">
        <v>3.55756986293129</v>
      </c>
      <c r="L33" s="25">
        <v>4.7587760465552797</v>
      </c>
    </row>
    <row r="34" spans="1:12">
      <c r="A34" s="11" t="s">
        <v>739</v>
      </c>
      <c r="B34" s="11" t="s">
        <v>740</v>
      </c>
      <c r="C34" s="25">
        <v>19.165509130050701</v>
      </c>
      <c r="D34" s="25">
        <v>19.272187565053098</v>
      </c>
      <c r="E34" s="25">
        <v>16.325496447536501</v>
      </c>
      <c r="F34" s="25">
        <v>24.820896331219899</v>
      </c>
      <c r="G34" s="25">
        <v>23.340577942383199</v>
      </c>
      <c r="H34" s="25">
        <v>21.2907349651197</v>
      </c>
      <c r="I34" s="25">
        <v>18.3010470641354</v>
      </c>
      <c r="J34" s="25">
        <v>22.689311191447398</v>
      </c>
      <c r="K34" s="25">
        <v>18.524831797535398</v>
      </c>
      <c r="L34" s="25">
        <v>1.05795274745904</v>
      </c>
    </row>
    <row r="35" spans="1:12">
      <c r="A35" s="10" t="s">
        <v>741</v>
      </c>
      <c r="B35" s="10" t="s">
        <v>742</v>
      </c>
      <c r="C35" s="13" t="s">
        <v>44</v>
      </c>
      <c r="D35" s="13" t="s">
        <v>44</v>
      </c>
      <c r="E35" s="13">
        <v>3.5894133420605302E-2</v>
      </c>
      <c r="F35" s="13">
        <v>0.122473310572807</v>
      </c>
      <c r="G35" s="13">
        <v>0.13639085405069701</v>
      </c>
      <c r="H35" s="13">
        <v>0.123430939287407</v>
      </c>
      <c r="I35" s="13">
        <v>0.15695211885360499</v>
      </c>
      <c r="J35" s="13">
        <v>0.14885842983354899</v>
      </c>
      <c r="K35" s="13">
        <v>0.14238301029770101</v>
      </c>
      <c r="L35" s="13">
        <v>0.13811043471265</v>
      </c>
    </row>
    <row r="36" spans="1:12">
      <c r="A36" s="10" t="s">
        <v>743</v>
      </c>
      <c r="B36" s="10" t="s">
        <v>744</v>
      </c>
      <c r="C36" s="13" t="s">
        <v>44</v>
      </c>
      <c r="D36" s="13" t="s">
        <v>44</v>
      </c>
      <c r="E36" s="13" t="s">
        <v>44</v>
      </c>
      <c r="F36" s="13" t="s">
        <v>44</v>
      </c>
      <c r="G36" s="13" t="s">
        <v>44</v>
      </c>
      <c r="H36" s="13">
        <v>1.63986819338983</v>
      </c>
      <c r="I36" s="13">
        <v>0</v>
      </c>
      <c r="J36" s="13">
        <v>1.86363021246158</v>
      </c>
      <c r="K36" s="13">
        <v>3.6798989281166299</v>
      </c>
      <c r="L36" s="13">
        <v>4.7922979967282604</v>
      </c>
    </row>
    <row r="37" spans="1:12">
      <c r="A37" s="10" t="s">
        <v>745</v>
      </c>
      <c r="B37" s="10" t="s">
        <v>746</v>
      </c>
      <c r="C37" s="13">
        <v>5.1268509130344203E-3</v>
      </c>
      <c r="D37" s="13">
        <v>5.6390593660076904E-3</v>
      </c>
      <c r="E37" s="13">
        <v>5.2785490324419601E-3</v>
      </c>
      <c r="F37" s="13">
        <v>5.4191730341949804E-3</v>
      </c>
      <c r="G37" s="13">
        <v>5.5443436605974597E-3</v>
      </c>
      <c r="H37" s="13">
        <v>0</v>
      </c>
      <c r="I37" s="13">
        <v>0</v>
      </c>
      <c r="J37" s="13">
        <v>2.8998395422119998E-2</v>
      </c>
      <c r="K37" s="13">
        <v>3.2086312179763599E-2</v>
      </c>
      <c r="L37" s="13" t="s">
        <v>44</v>
      </c>
    </row>
    <row r="38" spans="1:12">
      <c r="A38" s="10" t="s">
        <v>747</v>
      </c>
      <c r="B38" s="10" t="s">
        <v>748</v>
      </c>
      <c r="C38" s="13">
        <v>0</v>
      </c>
      <c r="D38" s="13">
        <v>0</v>
      </c>
      <c r="E38" s="13">
        <v>0.59753175047243001</v>
      </c>
      <c r="F38" s="13">
        <v>1.8425188316262899</v>
      </c>
      <c r="G38" s="13">
        <v>1.4925373134328399</v>
      </c>
      <c r="H38" s="13">
        <v>1.73023727393954</v>
      </c>
      <c r="I38" s="13">
        <v>6.7037905011717704</v>
      </c>
      <c r="J38" s="13">
        <v>9.6941635896147105</v>
      </c>
      <c r="K38" s="13">
        <v>9.1716717971342892</v>
      </c>
      <c r="L38" s="13">
        <v>5.7738206977929103</v>
      </c>
    </row>
    <row r="39" spans="1:12">
      <c r="A39" s="6" t="s">
        <v>749</v>
      </c>
      <c r="B39" s="6" t="s">
        <v>750</v>
      </c>
      <c r="C39" s="19">
        <v>76.519512021633702</v>
      </c>
      <c r="D39" s="19">
        <v>82.502463307494097</v>
      </c>
      <c r="E39" s="19">
        <v>82.635685102878895</v>
      </c>
      <c r="F39" s="19">
        <v>86.403294857204799</v>
      </c>
      <c r="G39" s="19">
        <v>86.404160475482897</v>
      </c>
      <c r="H39" s="19">
        <v>85.257717188860397</v>
      </c>
      <c r="I39" s="19">
        <v>79.800477306443597</v>
      </c>
      <c r="J39" s="19">
        <v>88.631662381348207</v>
      </c>
      <c r="K39" s="19">
        <v>86.957916796181706</v>
      </c>
      <c r="L39" s="19">
        <v>39.045026683472301</v>
      </c>
    </row>
    <row r="40" spans="1:12">
      <c r="A40" s="6" t="s">
        <v>77</v>
      </c>
      <c r="B40" s="6" t="s">
        <v>78</v>
      </c>
      <c r="C40" s="19">
        <v>100</v>
      </c>
      <c r="D40" s="19">
        <v>100</v>
      </c>
      <c r="E40" s="19">
        <v>100</v>
      </c>
      <c r="F40" s="19">
        <v>100</v>
      </c>
      <c r="G40" s="19">
        <v>100</v>
      </c>
      <c r="H40" s="19">
        <v>100</v>
      </c>
      <c r="I40" s="19">
        <v>100</v>
      </c>
      <c r="J40" s="19">
        <v>100</v>
      </c>
      <c r="K40" s="19">
        <v>100</v>
      </c>
      <c r="L40" s="19">
        <v>100</v>
      </c>
    </row>
    <row r="41" spans="1:12">
      <c r="A41" s="6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</row>
    <row r="42" spans="1:12">
      <c r="A42" s="6" t="s">
        <v>751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pans="1:12">
      <c r="A43" s="10" t="s">
        <v>752</v>
      </c>
      <c r="B43" s="10" t="s">
        <v>753</v>
      </c>
      <c r="C43" s="13">
        <v>5.19915516541481</v>
      </c>
      <c r="D43" s="13">
        <v>5.35128369081405</v>
      </c>
      <c r="E43" s="13">
        <v>6.3258131604784502</v>
      </c>
      <c r="F43" s="13">
        <v>8.8733539261908607</v>
      </c>
      <c r="G43" s="13">
        <v>7.4915171541992898</v>
      </c>
      <c r="H43" s="13">
        <v>9.2947905531248995</v>
      </c>
      <c r="I43" s="13">
        <v>9.2236245189310093</v>
      </c>
      <c r="J43" s="13">
        <v>5.8924739497747796</v>
      </c>
      <c r="K43" s="13">
        <v>6.1034181949443997</v>
      </c>
      <c r="L43" s="13">
        <v>7.2152645552307604</v>
      </c>
    </row>
    <row r="44" spans="1:12">
      <c r="A44" s="10" t="s">
        <v>755</v>
      </c>
      <c r="B44" s="10" t="s">
        <v>756</v>
      </c>
      <c r="C44" s="13">
        <v>0.46624991108729502</v>
      </c>
      <c r="D44" s="13">
        <v>2.0838700972456898</v>
      </c>
      <c r="E44" s="13">
        <v>1.9942358244565701</v>
      </c>
      <c r="F44" s="13">
        <v>2.51232861865279</v>
      </c>
      <c r="G44" s="13">
        <v>2.6213656827304801</v>
      </c>
      <c r="H44" s="13">
        <v>3.8748498440582302</v>
      </c>
      <c r="I44" s="13">
        <v>6.6715400657908903</v>
      </c>
      <c r="J44" s="13">
        <v>5.5821911187580904</v>
      </c>
      <c r="K44" s="13">
        <v>4.7588011751611798</v>
      </c>
      <c r="L44" s="13">
        <v>6.52739413768135</v>
      </c>
    </row>
    <row r="45" spans="1:12">
      <c r="A45" s="10" t="s">
        <v>757</v>
      </c>
      <c r="B45" s="10" t="s">
        <v>758</v>
      </c>
      <c r="C45" s="13">
        <v>0.23862360098854299</v>
      </c>
      <c r="D45" s="13">
        <v>0.54196545849279598</v>
      </c>
      <c r="E45" s="13">
        <v>0.24914751433126101</v>
      </c>
      <c r="F45" s="13">
        <v>6.7197745624017799E-2</v>
      </c>
      <c r="G45" s="13">
        <v>9.9798185890754301E-2</v>
      </c>
      <c r="H45" s="13">
        <v>8.8164956633862007E-3</v>
      </c>
      <c r="I45" s="13">
        <v>3.01004063554858E-2</v>
      </c>
      <c r="J45" s="13">
        <v>2.4165329518433299E-2</v>
      </c>
      <c r="K45" s="13">
        <v>1.2032367067411299E-2</v>
      </c>
      <c r="L45" s="13">
        <v>1.7431414089946098E-2</v>
      </c>
    </row>
    <row r="46" spans="1:12">
      <c r="A46" s="10" t="s">
        <v>759</v>
      </c>
      <c r="B46" s="10" t="s">
        <v>760</v>
      </c>
      <c r="C46" s="13">
        <v>0.27205575665617399</v>
      </c>
      <c r="D46" s="13">
        <v>0.26506819858952202</v>
      </c>
      <c r="E46" s="13">
        <v>0.19425060439386399</v>
      </c>
      <c r="F46" s="13">
        <v>0.19509022923101901</v>
      </c>
      <c r="G46" s="13">
        <v>0.23729790867357101</v>
      </c>
      <c r="H46" s="13">
        <v>0.189554656762803</v>
      </c>
      <c r="I46" s="13">
        <v>0.20747780095031301</v>
      </c>
      <c r="J46" s="13">
        <v>0.26001894561834199</v>
      </c>
      <c r="K46" s="13">
        <v>1.30350643230289</v>
      </c>
      <c r="L46" s="13">
        <v>0.64228056531416799</v>
      </c>
    </row>
    <row r="47" spans="1:12">
      <c r="A47" s="10" t="s">
        <v>761</v>
      </c>
      <c r="B47" s="10" t="s">
        <v>762</v>
      </c>
      <c r="C47" s="13">
        <v>4.2222258966827999</v>
      </c>
      <c r="D47" s="13">
        <v>2.4603799364860399</v>
      </c>
      <c r="E47" s="13">
        <v>3.88817921729675</v>
      </c>
      <c r="F47" s="13">
        <v>6.0987373326830303</v>
      </c>
      <c r="G47" s="13">
        <v>4.5330553769044801</v>
      </c>
      <c r="H47" s="13">
        <v>5.2215695566404703</v>
      </c>
      <c r="I47" s="13">
        <v>2.3145062458343202</v>
      </c>
      <c r="J47" s="13">
        <v>2.6098555879908E-2</v>
      </c>
      <c r="K47" s="13">
        <v>2.9078220412910701E-2</v>
      </c>
      <c r="L47" s="13">
        <v>2.8158438145297501E-2</v>
      </c>
    </row>
    <row r="48" spans="1:12">
      <c r="A48" s="10" t="s">
        <v>763</v>
      </c>
      <c r="B48" s="10" t="s">
        <v>764</v>
      </c>
      <c r="C48" s="13">
        <v>11.6152721061446</v>
      </c>
      <c r="D48" s="13">
        <v>11.303613329915301</v>
      </c>
      <c r="E48" s="13">
        <v>20.858714356597702</v>
      </c>
      <c r="F48" s="13">
        <v>9.3827561914051891</v>
      </c>
      <c r="G48" s="13">
        <v>14.2700317136457</v>
      </c>
      <c r="H48" s="13">
        <v>15.5225426773493</v>
      </c>
      <c r="I48" s="13">
        <v>10.194362623895399</v>
      </c>
      <c r="J48" s="13">
        <v>14.018790960233501</v>
      </c>
      <c r="K48" s="13">
        <v>23.245530476983099</v>
      </c>
      <c r="L48" s="13">
        <v>45.875459250717398</v>
      </c>
    </row>
    <row r="49" spans="1:12">
      <c r="A49" s="10" t="s">
        <v>765</v>
      </c>
      <c r="B49" s="10" t="s">
        <v>766</v>
      </c>
      <c r="C49" s="13">
        <v>0</v>
      </c>
      <c r="D49" s="13">
        <v>0</v>
      </c>
      <c r="E49" s="13">
        <v>11.277092152909001</v>
      </c>
      <c r="F49" s="13">
        <v>6.0033598872812002</v>
      </c>
      <c r="G49" s="13">
        <v>9.7580448426515307</v>
      </c>
      <c r="H49" s="13">
        <v>9.8182699831384497</v>
      </c>
      <c r="I49" s="13">
        <v>1.7060480316484301</v>
      </c>
      <c r="J49" s="13">
        <v>4.2182999207377199</v>
      </c>
      <c r="K49" s="13">
        <v>9.5226158366004494</v>
      </c>
      <c r="L49" s="13">
        <v>31.242457561211101</v>
      </c>
    </row>
    <row r="50" spans="1:12">
      <c r="A50" s="10" t="s">
        <v>767</v>
      </c>
      <c r="B50" s="10" t="s">
        <v>768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2.2041239158465498E-2</v>
      </c>
      <c r="I50" s="13">
        <v>1.18251596396551E-2</v>
      </c>
      <c r="J50" s="13">
        <v>9.6661318073733207E-3</v>
      </c>
      <c r="K50" s="13">
        <v>2.0053945112352201E-3</v>
      </c>
      <c r="L50" s="13">
        <v>0</v>
      </c>
    </row>
    <row r="51" spans="1:12">
      <c r="A51" s="10" t="s">
        <v>769</v>
      </c>
      <c r="B51" s="10" t="s">
        <v>770</v>
      </c>
      <c r="C51" s="13">
        <v>11.6152721061446</v>
      </c>
      <c r="D51" s="13">
        <v>11.303613329915301</v>
      </c>
      <c r="E51" s="13">
        <v>9.5816222036886494</v>
      </c>
      <c r="F51" s="13">
        <v>3.3793963041239898</v>
      </c>
      <c r="G51" s="13">
        <v>4.5119868709942104</v>
      </c>
      <c r="H51" s="13">
        <v>5.6822314550524</v>
      </c>
      <c r="I51" s="13">
        <v>8.4764894326073392</v>
      </c>
      <c r="J51" s="13">
        <v>9.7908249076884406</v>
      </c>
      <c r="K51" s="13">
        <v>13.7209092458714</v>
      </c>
      <c r="L51" s="13">
        <v>14.633001689506299</v>
      </c>
    </row>
    <row r="52" spans="1:12">
      <c r="A52" s="10" t="s">
        <v>771</v>
      </c>
      <c r="B52" s="10" t="s">
        <v>772</v>
      </c>
      <c r="C52" s="13">
        <v>14.448620392793099</v>
      </c>
      <c r="D52" s="13">
        <v>14.8878945275522</v>
      </c>
      <c r="E52" s="13">
        <v>6.9170106521119497</v>
      </c>
      <c r="F52" s="13">
        <v>6.0261204140248203</v>
      </c>
      <c r="G52" s="13">
        <v>4.2292253443037398</v>
      </c>
      <c r="H52" s="13">
        <v>3.3271250509703698</v>
      </c>
      <c r="I52" s="13">
        <v>3.0745415063103398</v>
      </c>
      <c r="J52" s="13">
        <v>6.8407214800781002</v>
      </c>
      <c r="K52" s="13">
        <v>6.7822442369975198</v>
      </c>
      <c r="L52" s="13">
        <v>17.2758722411435</v>
      </c>
    </row>
    <row r="53" spans="1:12">
      <c r="A53" s="10" t="s">
        <v>773</v>
      </c>
      <c r="B53" s="10" t="s">
        <v>774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1.4363871865756801</v>
      </c>
      <c r="K53" s="13">
        <v>1.3807141209854501</v>
      </c>
      <c r="L53" s="13">
        <v>3.15508595028024</v>
      </c>
    </row>
    <row r="54" spans="1:12">
      <c r="A54" s="10" t="s">
        <v>775</v>
      </c>
      <c r="B54" s="10" t="s">
        <v>776</v>
      </c>
      <c r="C54" s="13" t="s">
        <v>44</v>
      </c>
      <c r="D54" s="13" t="s">
        <v>44</v>
      </c>
      <c r="E54" s="13" t="s">
        <v>44</v>
      </c>
      <c r="F54" s="13" t="s">
        <v>44</v>
      </c>
      <c r="G54" s="13" t="s">
        <v>44</v>
      </c>
      <c r="H54" s="13" t="s">
        <v>44</v>
      </c>
      <c r="I54" s="13" t="s">
        <v>44</v>
      </c>
      <c r="J54" s="13" t="s">
        <v>44</v>
      </c>
      <c r="K54" s="13">
        <v>0</v>
      </c>
      <c r="L54" s="13">
        <v>0</v>
      </c>
    </row>
    <row r="55" spans="1:12">
      <c r="A55" s="10" t="s">
        <v>777</v>
      </c>
      <c r="B55" s="10" t="s">
        <v>778</v>
      </c>
      <c r="C55" s="13">
        <v>14.448620392793099</v>
      </c>
      <c r="D55" s="13">
        <v>14.8878945275522</v>
      </c>
      <c r="E55" s="13">
        <v>6.9170106521119497</v>
      </c>
      <c r="F55" s="13">
        <v>6.0261204140248203</v>
      </c>
      <c r="G55" s="13">
        <v>4.2292253443037398</v>
      </c>
      <c r="H55" s="13">
        <v>3.3271250509703698</v>
      </c>
      <c r="I55" s="13">
        <v>3.0745415063103398</v>
      </c>
      <c r="J55" s="13">
        <v>5.4043342935024299</v>
      </c>
      <c r="K55" s="13">
        <v>5.4015301160120703</v>
      </c>
      <c r="L55" s="13">
        <v>14.1207862908633</v>
      </c>
    </row>
    <row r="56" spans="1:12">
      <c r="A56" s="6" t="s">
        <v>79</v>
      </c>
      <c r="B56" s="6" t="s">
        <v>80</v>
      </c>
      <c r="C56" s="19">
        <v>31.263047664352499</v>
      </c>
      <c r="D56" s="19">
        <v>31.5427915482815</v>
      </c>
      <c r="E56" s="19">
        <v>34.101538169188103</v>
      </c>
      <c r="F56" s="19">
        <v>24.2822305316209</v>
      </c>
      <c r="G56" s="19">
        <v>25.9907742121488</v>
      </c>
      <c r="H56" s="19">
        <v>28.144458281444599</v>
      </c>
      <c r="I56" s="19">
        <v>22.492528649136801</v>
      </c>
      <c r="J56" s="19">
        <v>26.751986390086401</v>
      </c>
      <c r="K56" s="19">
        <v>36.131192908925001</v>
      </c>
      <c r="L56" s="19">
        <v>70.366596047091605</v>
      </c>
    </row>
    <row r="57" spans="1:12">
      <c r="A57" s="10" t="s">
        <v>779</v>
      </c>
      <c r="B57" s="10" t="s">
        <v>780</v>
      </c>
      <c r="C57" s="13">
        <v>26.701334223813799</v>
      </c>
      <c r="D57" s="13">
        <v>20.797347870439499</v>
      </c>
      <c r="E57" s="13">
        <v>20.388923492710301</v>
      </c>
      <c r="F57" s="13">
        <v>32.131360754348897</v>
      </c>
      <c r="G57" s="13">
        <v>31.800137499722801</v>
      </c>
      <c r="H57" s="13">
        <v>31.059412160151599</v>
      </c>
      <c r="I57" s="13">
        <v>32.767517361484401</v>
      </c>
      <c r="J57" s="13">
        <v>28.1419761439867</v>
      </c>
      <c r="K57" s="13">
        <v>22.610823114177101</v>
      </c>
      <c r="L57" s="13">
        <v>17.525275550430401</v>
      </c>
    </row>
    <row r="58" spans="1:12">
      <c r="A58" s="10" t="s">
        <v>781</v>
      </c>
      <c r="B58" s="10" t="s">
        <v>782</v>
      </c>
      <c r="C58" s="13">
        <v>26.701334223813799</v>
      </c>
      <c r="D58" s="13">
        <v>20.797347870439499</v>
      </c>
      <c r="E58" s="13">
        <v>20.388923492710301</v>
      </c>
      <c r="F58" s="13">
        <v>32.131360754348897</v>
      </c>
      <c r="G58" s="13">
        <v>31.800137499722801</v>
      </c>
      <c r="H58" s="13">
        <v>30.761855431512402</v>
      </c>
      <c r="I58" s="13">
        <v>32.633140547397403</v>
      </c>
      <c r="J58" s="13">
        <v>28.044348212732199</v>
      </c>
      <c r="K58" s="13">
        <v>22.522585755682801</v>
      </c>
      <c r="L58" s="13">
        <v>17.525275550430401</v>
      </c>
    </row>
    <row r="59" spans="1:12">
      <c r="A59" s="10" t="s">
        <v>783</v>
      </c>
      <c r="B59" s="10" t="s">
        <v>784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0.29755672863928401</v>
      </c>
      <c r="I59" s="13">
        <v>0.13437681408699001</v>
      </c>
      <c r="J59" s="13">
        <v>9.7627931254470598E-2</v>
      </c>
      <c r="K59" s="13">
        <v>8.8237358494349799E-2</v>
      </c>
      <c r="L59" s="13">
        <v>0</v>
      </c>
    </row>
    <row r="60" spans="1:12">
      <c r="A60" s="10" t="s">
        <v>785</v>
      </c>
      <c r="B60" s="10" t="s">
        <v>786</v>
      </c>
      <c r="C60" s="13">
        <v>2.74932272244785E-2</v>
      </c>
      <c r="D60" s="13">
        <v>0.107001691609782</v>
      </c>
      <c r="E60" s="13">
        <v>1.88444200458178</v>
      </c>
      <c r="F60" s="13">
        <v>3.3154500623204899</v>
      </c>
      <c r="G60" s="13">
        <v>3.8699518750970299</v>
      </c>
      <c r="H60" s="13">
        <v>3.8340735516150701</v>
      </c>
      <c r="I60" s="13">
        <v>1.5394207821805601</v>
      </c>
      <c r="J60" s="13">
        <v>14.304908461731801</v>
      </c>
      <c r="K60" s="13">
        <v>12.210847178911299</v>
      </c>
      <c r="L60" s="13">
        <v>7.9312934109254698</v>
      </c>
    </row>
    <row r="61" spans="1:12">
      <c r="A61" s="10" t="s">
        <v>787</v>
      </c>
      <c r="B61" s="10" t="s">
        <v>788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</row>
    <row r="62" spans="1:12">
      <c r="A62" s="10" t="s">
        <v>789</v>
      </c>
      <c r="B62" s="10" t="s">
        <v>790</v>
      </c>
      <c r="C62" s="13" t="s">
        <v>44</v>
      </c>
      <c r="D62" s="13" t="s">
        <v>44</v>
      </c>
      <c r="E62" s="13" t="s">
        <v>44</v>
      </c>
      <c r="F62" s="13" t="s">
        <v>44</v>
      </c>
      <c r="G62" s="13" t="s">
        <v>44</v>
      </c>
      <c r="H62" s="13" t="s">
        <v>44</v>
      </c>
      <c r="I62" s="13" t="s">
        <v>44</v>
      </c>
      <c r="J62" s="13" t="s">
        <v>44</v>
      </c>
      <c r="K62" s="13">
        <v>0</v>
      </c>
      <c r="L62" s="13">
        <v>0</v>
      </c>
    </row>
    <row r="63" spans="1:12">
      <c r="A63" s="11" t="s">
        <v>791</v>
      </c>
      <c r="B63" s="11" t="s">
        <v>792</v>
      </c>
      <c r="C63" s="25" t="s">
        <v>44</v>
      </c>
      <c r="D63" s="25" t="s">
        <v>44</v>
      </c>
      <c r="E63" s="25" t="s">
        <v>44</v>
      </c>
      <c r="F63" s="25" t="s">
        <v>44</v>
      </c>
      <c r="G63" s="25" t="s">
        <v>44</v>
      </c>
      <c r="H63" s="25" t="s">
        <v>44</v>
      </c>
      <c r="I63" s="25" t="s">
        <v>44</v>
      </c>
      <c r="J63" s="25" t="s">
        <v>44</v>
      </c>
      <c r="K63" s="25">
        <v>0</v>
      </c>
      <c r="L63" s="25">
        <v>0</v>
      </c>
    </row>
    <row r="64" spans="1:12">
      <c r="A64" s="11" t="s">
        <v>793</v>
      </c>
      <c r="B64" s="11" t="s">
        <v>794</v>
      </c>
      <c r="C64" s="25" t="s">
        <v>44</v>
      </c>
      <c r="D64" s="25" t="s">
        <v>44</v>
      </c>
      <c r="E64" s="25" t="s">
        <v>44</v>
      </c>
      <c r="F64" s="25" t="s">
        <v>44</v>
      </c>
      <c r="G64" s="25" t="s">
        <v>44</v>
      </c>
      <c r="H64" s="25" t="s">
        <v>44</v>
      </c>
      <c r="I64" s="25" t="s">
        <v>44</v>
      </c>
      <c r="J64" s="25" t="s">
        <v>44</v>
      </c>
      <c r="K64" s="25">
        <v>0</v>
      </c>
      <c r="L64" s="25">
        <v>0</v>
      </c>
    </row>
    <row r="65" spans="1:12">
      <c r="A65" s="10" t="s">
        <v>795</v>
      </c>
      <c r="B65" s="10" t="s">
        <v>796</v>
      </c>
      <c r="C65" s="13" t="s">
        <v>44</v>
      </c>
      <c r="D65" s="13" t="s">
        <v>44</v>
      </c>
      <c r="E65" s="13" t="s">
        <v>44</v>
      </c>
      <c r="F65" s="13" t="s">
        <v>44</v>
      </c>
      <c r="G65" s="13" t="s">
        <v>44</v>
      </c>
      <c r="H65" s="13" t="s">
        <v>44</v>
      </c>
      <c r="I65" s="13">
        <v>5.9125798198275702E-2</v>
      </c>
      <c r="J65" s="13">
        <v>6.7662922651613305E-2</v>
      </c>
      <c r="K65" s="13">
        <v>0.10628590909546699</v>
      </c>
      <c r="L65" s="13">
        <v>2.4135804124540802E-2</v>
      </c>
    </row>
    <row r="66" spans="1:12">
      <c r="A66" s="10" t="s">
        <v>773</v>
      </c>
      <c r="B66" s="10" t="s">
        <v>797</v>
      </c>
      <c r="C66" s="13">
        <v>0</v>
      </c>
      <c r="D66" s="13">
        <v>0</v>
      </c>
      <c r="E66" s="13">
        <v>0.97547586119527496</v>
      </c>
      <c r="F66" s="13">
        <v>0.92342708502682502</v>
      </c>
      <c r="G66" s="13">
        <v>0.82721607416114096</v>
      </c>
      <c r="H66" s="13">
        <v>0.43751859729553999</v>
      </c>
      <c r="I66" s="13">
        <v>0.37518006493087702</v>
      </c>
      <c r="J66" s="13">
        <v>3.71372784039283</v>
      </c>
      <c r="K66" s="13">
        <v>3.3119090353049701</v>
      </c>
      <c r="L66" s="13">
        <v>3.9234090482447899</v>
      </c>
    </row>
    <row r="67" spans="1:12">
      <c r="A67" s="10" t="s">
        <v>798</v>
      </c>
      <c r="B67" s="10" t="s">
        <v>799</v>
      </c>
      <c r="C67" s="13">
        <v>2.74932272244785E-2</v>
      </c>
      <c r="D67" s="13">
        <v>0.107001691609782</v>
      </c>
      <c r="E67" s="13">
        <v>0.38744549898123998</v>
      </c>
      <c r="F67" s="13">
        <v>1.1033436297621</v>
      </c>
      <c r="G67" s="13">
        <v>1.5213679004679399</v>
      </c>
      <c r="H67" s="13">
        <v>1.9870177101356601</v>
      </c>
      <c r="I67" s="13">
        <v>0.56868267721614196</v>
      </c>
      <c r="J67" s="13">
        <v>3.7581920467067498</v>
      </c>
      <c r="K67" s="13">
        <v>4.5622725130601296</v>
      </c>
      <c r="L67" s="13">
        <v>3.37498994341495</v>
      </c>
    </row>
    <row r="68" spans="1:12">
      <c r="A68" s="10" t="s">
        <v>775</v>
      </c>
      <c r="B68" s="10" t="s">
        <v>800</v>
      </c>
      <c r="C68" s="13" t="s">
        <v>44</v>
      </c>
      <c r="D68" s="13" t="s">
        <v>44</v>
      </c>
      <c r="E68" s="13" t="s">
        <v>44</v>
      </c>
      <c r="F68" s="13" t="s">
        <v>44</v>
      </c>
      <c r="G68" s="13" t="s">
        <v>44</v>
      </c>
      <c r="H68" s="13" t="s">
        <v>44</v>
      </c>
      <c r="I68" s="13" t="s">
        <v>44</v>
      </c>
      <c r="J68" s="13" t="s">
        <v>44</v>
      </c>
      <c r="K68" s="13">
        <v>0</v>
      </c>
      <c r="L68" s="13">
        <v>0</v>
      </c>
    </row>
    <row r="69" spans="1:12">
      <c r="A69" s="10" t="s">
        <v>801</v>
      </c>
      <c r="B69" s="10" t="s">
        <v>802</v>
      </c>
      <c r="C69" s="13">
        <v>0</v>
      </c>
      <c r="D69" s="13">
        <v>0</v>
      </c>
      <c r="E69" s="13">
        <v>0.52152064440526602</v>
      </c>
      <c r="F69" s="13">
        <v>1.2886793475315701</v>
      </c>
      <c r="G69" s="13">
        <v>1.5213679004679399</v>
      </c>
      <c r="H69" s="13">
        <v>1.4095372441838701</v>
      </c>
      <c r="I69" s="13">
        <v>0.53643224183526494</v>
      </c>
      <c r="J69" s="13">
        <v>6.7653256519805902</v>
      </c>
      <c r="K69" s="13">
        <v>4.2303797214507002</v>
      </c>
      <c r="L69" s="13">
        <v>0.608758615141194</v>
      </c>
    </row>
    <row r="70" spans="1:12">
      <c r="A70" s="6" t="s">
        <v>803</v>
      </c>
      <c r="B70" s="6" t="s">
        <v>804</v>
      </c>
      <c r="C70" s="19">
        <v>26.728827451038299</v>
      </c>
      <c r="D70" s="19">
        <v>20.904349562049301</v>
      </c>
      <c r="E70" s="19">
        <v>22.273365497292101</v>
      </c>
      <c r="F70" s="19">
        <v>35.446810816669398</v>
      </c>
      <c r="G70" s="19">
        <v>35.670089374819803</v>
      </c>
      <c r="H70" s="19">
        <v>34.893485711766701</v>
      </c>
      <c r="I70" s="19">
        <v>34.306938143664901</v>
      </c>
      <c r="J70" s="19">
        <v>42.446884605718502</v>
      </c>
      <c r="K70" s="19">
        <v>34.821670293088403</v>
      </c>
      <c r="L70" s="19">
        <v>25.456568961355899</v>
      </c>
    </row>
    <row r="71" spans="1:12">
      <c r="A71" s="6" t="s">
        <v>81</v>
      </c>
      <c r="B71" s="6" t="s">
        <v>82</v>
      </c>
      <c r="C71" s="19">
        <v>57.991875115390798</v>
      </c>
      <c r="D71" s="19">
        <v>52.447141110330797</v>
      </c>
      <c r="E71" s="19">
        <v>56.374903666480201</v>
      </c>
      <c r="F71" s="19">
        <v>59.729041348290203</v>
      </c>
      <c r="G71" s="19">
        <v>61.660863586968603</v>
      </c>
      <c r="H71" s="19">
        <v>63.0379439932113</v>
      </c>
      <c r="I71" s="19">
        <v>56.799466792801702</v>
      </c>
      <c r="J71" s="19">
        <v>69.198870995804896</v>
      </c>
      <c r="K71" s="19">
        <v>70.952863202013404</v>
      </c>
      <c r="L71" s="19">
        <v>95.823165008447504</v>
      </c>
    </row>
    <row r="72" spans="1:12">
      <c r="A72" s="10" t="s">
        <v>805</v>
      </c>
      <c r="B72" s="10" t="s">
        <v>123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</row>
    <row r="73" spans="1:12">
      <c r="A73" s="10" t="s">
        <v>806</v>
      </c>
      <c r="B73" s="10" t="s">
        <v>807</v>
      </c>
      <c r="C73" s="13">
        <v>9.9836028827382606</v>
      </c>
      <c r="D73" s="13">
        <v>10.710583056052601</v>
      </c>
      <c r="E73" s="13">
        <v>10.148538369772901</v>
      </c>
      <c r="F73" s="13">
        <v>9.8401343954912495</v>
      </c>
      <c r="G73" s="13">
        <v>10.067419218912899</v>
      </c>
      <c r="H73" s="13">
        <v>10.005620515985401</v>
      </c>
      <c r="I73" s="13">
        <v>16.2735696931909</v>
      </c>
      <c r="J73" s="13">
        <v>14.632590330001699</v>
      </c>
      <c r="K73" s="13">
        <v>15.178831055539399</v>
      </c>
      <c r="L73" s="13">
        <v>20.4845933117005</v>
      </c>
    </row>
    <row r="74" spans="1:12">
      <c r="A74" s="10" t="s">
        <v>808</v>
      </c>
      <c r="B74" s="10" t="s">
        <v>809</v>
      </c>
      <c r="C74" s="13">
        <v>1.0097254600688299</v>
      </c>
      <c r="D74" s="13">
        <v>1.1148593211328699</v>
      </c>
      <c r="E74" s="13">
        <v>1.08949252029602</v>
      </c>
      <c r="F74" s="13">
        <v>1.11851731425784</v>
      </c>
      <c r="G74" s="13">
        <v>1.14435253154732</v>
      </c>
      <c r="H74" s="13">
        <v>1.13732794057682</v>
      </c>
      <c r="I74" s="13">
        <v>1.3373180537937299</v>
      </c>
      <c r="J74" s="13">
        <v>1.20246679683724</v>
      </c>
      <c r="K74" s="13">
        <v>1.24735538598831</v>
      </c>
      <c r="L74" s="13">
        <v>1.8544342835688801</v>
      </c>
    </row>
    <row r="75" spans="1:12">
      <c r="A75" s="10" t="s">
        <v>810</v>
      </c>
      <c r="B75" s="10" t="s">
        <v>811</v>
      </c>
      <c r="C75" s="13">
        <v>8.97387742266943</v>
      </c>
      <c r="D75" s="13">
        <v>9.5957237349196998</v>
      </c>
      <c r="E75" s="13">
        <v>9.0590458494769006</v>
      </c>
      <c r="F75" s="13">
        <v>8.7216170812334006</v>
      </c>
      <c r="G75" s="13">
        <v>8.9230666873655498</v>
      </c>
      <c r="H75" s="13">
        <v>8.8682925754085904</v>
      </c>
      <c r="I75" s="13">
        <v>14.936251639397099</v>
      </c>
      <c r="J75" s="13">
        <v>13.430123533164499</v>
      </c>
      <c r="K75" s="13">
        <v>13.9314756695511</v>
      </c>
      <c r="L75" s="13">
        <v>18.630159028131601</v>
      </c>
    </row>
    <row r="76" spans="1:12">
      <c r="A76" s="10" t="s">
        <v>812</v>
      </c>
      <c r="B76" s="10" t="s">
        <v>813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</row>
    <row r="77" spans="1:12">
      <c r="A77" s="10" t="s">
        <v>814</v>
      </c>
      <c r="B77" s="10" t="s">
        <v>815</v>
      </c>
      <c r="C77" s="13">
        <v>5.5097210083185102</v>
      </c>
      <c r="D77" s="13">
        <v>10.7669088329383</v>
      </c>
      <c r="E77" s="13">
        <v>12.0815430254532</v>
      </c>
      <c r="F77" s="13">
        <v>13.2455427301794</v>
      </c>
      <c r="G77" s="13">
        <v>13.9318267503493</v>
      </c>
      <c r="H77" s="13">
        <v>14.802896218825399</v>
      </c>
      <c r="I77" s="13">
        <v>15.2071552965965</v>
      </c>
      <c r="J77" s="13">
        <v>9.5704371024803301</v>
      </c>
      <c r="K77" s="13">
        <v>8.5209212782384594</v>
      </c>
      <c r="L77" s="13">
        <v>-20.570409504143299</v>
      </c>
    </row>
    <row r="78" spans="1:12">
      <c r="A78" s="10" t="s">
        <v>816</v>
      </c>
      <c r="B78" s="10" t="s">
        <v>817</v>
      </c>
      <c r="C78" s="13">
        <v>25.874022901956099</v>
      </c>
      <c r="D78" s="13">
        <v>25.364121733248101</v>
      </c>
      <c r="E78" s="13">
        <v>20.525110057747298</v>
      </c>
      <c r="F78" s="13">
        <v>16.253183764157601</v>
      </c>
      <c r="G78" s="13">
        <v>13.535960612982599</v>
      </c>
      <c r="H78" s="13">
        <v>11.334707237240901</v>
      </c>
      <c r="I78" s="13">
        <v>9.3010255638451103</v>
      </c>
      <c r="J78" s="13">
        <v>6.3255166547451003</v>
      </c>
      <c r="K78" s="13">
        <v>4.9463055619616796</v>
      </c>
      <c r="L78" s="13">
        <v>3.8174796856982001</v>
      </c>
    </row>
    <row r="79" spans="1:12">
      <c r="A79" s="6" t="s">
        <v>818</v>
      </c>
      <c r="B79" s="6" t="s">
        <v>819</v>
      </c>
      <c r="C79" s="19">
        <v>41.367346793012899</v>
      </c>
      <c r="D79" s="19">
        <v>46.841613622239002</v>
      </c>
      <c r="E79" s="19">
        <v>42.755191452973399</v>
      </c>
      <c r="F79" s="19">
        <v>39.338860889828197</v>
      </c>
      <c r="G79" s="19">
        <v>37.535206582244797</v>
      </c>
      <c r="H79" s="19">
        <v>36.1432239720517</v>
      </c>
      <c r="I79" s="19">
        <v>40.781750553632499</v>
      </c>
      <c r="J79" s="19">
        <v>30.5285440872272</v>
      </c>
      <c r="K79" s="19">
        <v>28.646057895739499</v>
      </c>
      <c r="L79" s="19">
        <v>3.7316634932553798</v>
      </c>
    </row>
    <row r="80" spans="1:12">
      <c r="A80" s="10" t="s">
        <v>820</v>
      </c>
      <c r="B80" s="10" t="s">
        <v>125</v>
      </c>
      <c r="C80" s="13">
        <v>0.64077809159627896</v>
      </c>
      <c r="D80" s="13">
        <v>0.71124526743022998</v>
      </c>
      <c r="E80" s="13">
        <v>0.869904880546435</v>
      </c>
      <c r="F80" s="13">
        <v>0.93209776188153703</v>
      </c>
      <c r="G80" s="13">
        <v>0.80392983078663105</v>
      </c>
      <c r="H80" s="13">
        <v>0.81883203473699295</v>
      </c>
      <c r="I80" s="13">
        <v>0.55040743050031204</v>
      </c>
      <c r="J80" s="13">
        <v>0.27258491696792803</v>
      </c>
      <c r="K80" s="13">
        <v>0.40107890224704501</v>
      </c>
      <c r="L80" s="13">
        <v>0.44517149829708502</v>
      </c>
    </row>
    <row r="81" spans="1:12">
      <c r="A81" s="6" t="s">
        <v>83</v>
      </c>
      <c r="B81" s="6" t="s">
        <v>84</v>
      </c>
      <c r="C81" s="19">
        <v>42.008124884609202</v>
      </c>
      <c r="D81" s="19">
        <v>47.552858889669203</v>
      </c>
      <c r="E81" s="19">
        <v>43.625096333519799</v>
      </c>
      <c r="F81" s="19">
        <v>40.270958651709698</v>
      </c>
      <c r="G81" s="19">
        <v>38.339136413031397</v>
      </c>
      <c r="H81" s="19">
        <v>36.9620560067887</v>
      </c>
      <c r="I81" s="19">
        <v>41.332157984132799</v>
      </c>
      <c r="J81" s="19">
        <v>30.801129004195101</v>
      </c>
      <c r="K81" s="19">
        <v>29.0471367979866</v>
      </c>
      <c r="L81" s="19">
        <v>4.1768349915524698</v>
      </c>
    </row>
    <row r="82" spans="1:12">
      <c r="A82" s="6" t="s">
        <v>821</v>
      </c>
      <c r="B82" s="6" t="s">
        <v>822</v>
      </c>
      <c r="C82" s="19">
        <v>100</v>
      </c>
      <c r="D82" s="19">
        <v>100</v>
      </c>
      <c r="E82" s="19">
        <v>100</v>
      </c>
      <c r="F82" s="19">
        <v>100</v>
      </c>
      <c r="G82" s="19">
        <v>100</v>
      </c>
      <c r="H82" s="19">
        <v>100</v>
      </c>
      <c r="I82" s="19">
        <v>98.131624776934501</v>
      </c>
      <c r="J82" s="19">
        <v>100</v>
      </c>
      <c r="K82" s="19">
        <v>100</v>
      </c>
      <c r="L82" s="19">
        <v>100</v>
      </c>
    </row>
    <row r="83" spans="1:12">
      <c r="A83" s="6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</row>
    <row r="84" spans="1:12">
      <c r="A84" s="6" t="s">
        <v>2</v>
      </c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</row>
    <row r="85" spans="1:12">
      <c r="A85" s="10" t="s">
        <v>352</v>
      </c>
      <c r="B85" s="10" t="s">
        <v>353</v>
      </c>
      <c r="C85" s="12" t="s">
        <v>354</v>
      </c>
      <c r="D85" s="12" t="s">
        <v>354</v>
      </c>
      <c r="E85" s="12" t="s">
        <v>354</v>
      </c>
      <c r="F85" s="12" t="s">
        <v>354</v>
      </c>
      <c r="G85" s="12" t="s">
        <v>354</v>
      </c>
      <c r="H85" s="12" t="s">
        <v>354</v>
      </c>
      <c r="I85" s="12" t="s">
        <v>354</v>
      </c>
      <c r="J85" s="12" t="s">
        <v>354</v>
      </c>
      <c r="K85" s="12" t="s">
        <v>354</v>
      </c>
      <c r="L85" s="12" t="s">
        <v>354</v>
      </c>
    </row>
    <row r="86" spans="1:12">
      <c r="A86" s="10" t="s">
        <v>823</v>
      </c>
      <c r="B86" s="10" t="s">
        <v>86</v>
      </c>
      <c r="C86" s="13">
        <v>0.20194576525538999</v>
      </c>
      <c r="D86" s="13">
        <v>0.22297260756694801</v>
      </c>
      <c r="E86" s="13">
        <v>0.217901341912735</v>
      </c>
      <c r="F86" s="13">
        <v>0.223706376307376</v>
      </c>
      <c r="G86" s="13">
        <v>0.228873487059502</v>
      </c>
      <c r="H86" s="13">
        <v>0.22746855056811299</v>
      </c>
      <c r="I86" s="13">
        <v>0.26756893476811899</v>
      </c>
      <c r="J86" s="13">
        <v>0.240588062810525</v>
      </c>
      <c r="K86" s="13">
        <v>0.24956931595993201</v>
      </c>
      <c r="L86" s="13">
        <v>0.37082424441524298</v>
      </c>
    </row>
    <row r="87" spans="1:12">
      <c r="A87" s="10" t="s">
        <v>824</v>
      </c>
      <c r="B87" s="10" t="s">
        <v>825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</row>
    <row r="88" spans="1:12">
      <c r="A88" s="10" t="s">
        <v>826</v>
      </c>
      <c r="B88" s="10" t="s">
        <v>827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</row>
    <row r="89" spans="1:12">
      <c r="A89" s="10" t="s">
        <v>828</v>
      </c>
      <c r="B89" s="10" t="s">
        <v>829</v>
      </c>
      <c r="C89" s="13">
        <v>0.17043844065851099</v>
      </c>
      <c r="D89" s="13">
        <v>4.8717259831975497</v>
      </c>
      <c r="E89" s="13">
        <v>0.178414957296538</v>
      </c>
      <c r="F89" s="13">
        <v>0.182084213948951</v>
      </c>
      <c r="G89" s="13">
        <v>0.204031846709986</v>
      </c>
      <c r="H89" s="13">
        <v>9.4777328381401599E-2</v>
      </c>
      <c r="I89" s="13">
        <v>7.3100986863322698E-2</v>
      </c>
      <c r="J89" s="13">
        <v>6.7662922651613305E-2</v>
      </c>
      <c r="K89" s="13">
        <v>3.50944039466164E-2</v>
      </c>
      <c r="L89" s="13">
        <v>1.47496580761082E-2</v>
      </c>
    </row>
    <row r="90" spans="1:12">
      <c r="A90" s="10" t="s">
        <v>830</v>
      </c>
      <c r="B90" s="10" t="s">
        <v>831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0.31959796779775002</v>
      </c>
      <c r="I90" s="13">
        <v>0.14620197372664501</v>
      </c>
      <c r="J90" s="13">
        <v>0.107294063061844</v>
      </c>
      <c r="K90" s="13">
        <v>9.0242753005585E-2</v>
      </c>
      <c r="L90" s="13">
        <v>0</v>
      </c>
    </row>
    <row r="91" spans="1:12">
      <c r="A91" s="10" t="s">
        <v>832</v>
      </c>
      <c r="B91" s="10" t="s">
        <v>833</v>
      </c>
      <c r="C91" s="13">
        <v>1.00091001603706E-3</v>
      </c>
      <c r="D91" s="13">
        <v>8.9555176521463001E-4</v>
      </c>
      <c r="E91" s="13" t="s">
        <v>44</v>
      </c>
      <c r="F91" s="13" t="s">
        <v>44</v>
      </c>
      <c r="G91" s="13" t="s">
        <v>44</v>
      </c>
      <c r="H91" s="13" t="s">
        <v>44</v>
      </c>
      <c r="I91" s="13" t="s">
        <v>44</v>
      </c>
      <c r="J91" s="13" t="s">
        <v>44</v>
      </c>
      <c r="K91" s="13" t="s">
        <v>44</v>
      </c>
      <c r="L91" s="13" t="s">
        <v>44</v>
      </c>
    </row>
    <row r="92" spans="1:12">
      <c r="A92" s="10" t="s">
        <v>834</v>
      </c>
      <c r="B92" s="10" t="s">
        <v>835</v>
      </c>
      <c r="C92" s="13">
        <v>2167406</v>
      </c>
      <c r="D92" s="13">
        <v>2162907</v>
      </c>
      <c r="E92" s="13">
        <v>2098743</v>
      </c>
      <c r="F92" s="13">
        <v>1952760</v>
      </c>
      <c r="G92" s="13">
        <v>1879525</v>
      </c>
      <c r="H92" s="13">
        <v>1720386</v>
      </c>
      <c r="I92" s="13">
        <v>1657702</v>
      </c>
      <c r="J92" s="13">
        <v>1626555</v>
      </c>
      <c r="K92" s="13">
        <v>1626664</v>
      </c>
      <c r="L92" s="13">
        <v>1313518</v>
      </c>
    </row>
    <row r="93" spans="1:12">
      <c r="A93" s="10" t="s">
        <v>836</v>
      </c>
      <c r="B93" s="10" t="s">
        <v>837</v>
      </c>
      <c r="C93" s="13">
        <v>1.2932554808628999E-3</v>
      </c>
      <c r="D93" s="13" t="s">
        <v>44</v>
      </c>
      <c r="E93" s="13">
        <v>0</v>
      </c>
      <c r="F93" s="13">
        <v>0</v>
      </c>
      <c r="G93" s="13">
        <v>0</v>
      </c>
      <c r="H93" s="13" t="s">
        <v>44</v>
      </c>
      <c r="I93" s="13" t="s">
        <v>44</v>
      </c>
      <c r="J93" s="13" t="s">
        <v>44</v>
      </c>
      <c r="K93" s="13" t="s">
        <v>44</v>
      </c>
      <c r="L93" s="13" t="s">
        <v>44</v>
      </c>
    </row>
    <row r="94" spans="1:12">
      <c r="A94" s="10" t="s">
        <v>838</v>
      </c>
      <c r="B94" s="10" t="s">
        <v>839</v>
      </c>
      <c r="C94" s="13">
        <v>1.5726125972401699E-4</v>
      </c>
      <c r="D94" s="13">
        <v>1.1283980328973199E-3</v>
      </c>
      <c r="E94" s="13">
        <v>7.6111461841369104E-4</v>
      </c>
      <c r="F94" s="13">
        <v>3.2707570584728798E-4</v>
      </c>
      <c r="G94" s="13">
        <v>4.3408329821915698E-5</v>
      </c>
      <c r="H94" s="13">
        <v>2.3709816065859199E-4</v>
      </c>
      <c r="I94" s="13">
        <v>1.43797381264647E-4</v>
      </c>
      <c r="J94" s="13">
        <v>6.7898776267713202E-5</v>
      </c>
      <c r="K94" s="13">
        <v>6.0320060963993102E-5</v>
      </c>
      <c r="L94" s="13">
        <v>5.2768376733084799E-5</v>
      </c>
    </row>
    <row r="95" spans="1:12">
      <c r="A95" s="10" t="s">
        <v>840</v>
      </c>
      <c r="B95" s="10" t="s">
        <v>841</v>
      </c>
      <c r="C95" s="13">
        <v>27.586293266243299</v>
      </c>
      <c r="D95" s="13">
        <v>26.852444505228199</v>
      </c>
      <c r="E95" s="13">
        <v>35.6333730984027</v>
      </c>
      <c r="F95" s="13">
        <v>40.355497751043202</v>
      </c>
      <c r="G95" s="13">
        <v>44.648599498791299</v>
      </c>
      <c r="H95" s="13">
        <v>45.359768126163999</v>
      </c>
      <c r="I95" s="13">
        <v>40.0829911203801</v>
      </c>
      <c r="J95" s="13">
        <v>40.694414909041697</v>
      </c>
      <c r="K95" s="13">
        <v>44.538809397278698</v>
      </c>
      <c r="L95" s="13">
        <v>62.413848588055501</v>
      </c>
    </row>
    <row r="96" spans="1:12">
      <c r="A96" s="10" t="s">
        <v>842</v>
      </c>
      <c r="B96" s="10" t="s">
        <v>843</v>
      </c>
      <c r="C96" s="13">
        <v>6.4250935283389097E-3</v>
      </c>
      <c r="D96" s="13">
        <v>6.10018998876833E-3</v>
      </c>
      <c r="E96" s="13">
        <v>8.6231331355637007E-3</v>
      </c>
      <c r="F96" s="13">
        <v>1.08610985747575E-2</v>
      </c>
      <c r="G96" s="13">
        <v>1.29135501541328E-2</v>
      </c>
      <c r="H96" s="13">
        <v>1.3524484400313E-2</v>
      </c>
      <c r="I96" s="13">
        <v>1.04252473608394E-2</v>
      </c>
      <c r="J96" s="13">
        <v>1.27708818412048E-2</v>
      </c>
      <c r="K96" s="13">
        <v>1.5374645095306399E-2</v>
      </c>
      <c r="L96" s="13">
        <v>0.20036548499557499</v>
      </c>
    </row>
    <row r="97" spans="1:12">
      <c r="A97" s="10" t="s">
        <v>844</v>
      </c>
      <c r="B97" s="10" t="s">
        <v>845</v>
      </c>
      <c r="C97" s="13">
        <v>2.2084919045165098E-3</v>
      </c>
      <c r="D97" s="13">
        <v>3.1794526936392998E-3</v>
      </c>
      <c r="E97" s="13">
        <v>2.8744686084689001E-3</v>
      </c>
      <c r="F97" s="13">
        <v>1.4123280767354899E-3</v>
      </c>
      <c r="G97" s="13">
        <v>1.3297832161628699E-3</v>
      </c>
      <c r="H97" s="13">
        <v>1.3629099945999001E-3</v>
      </c>
      <c r="I97" s="13">
        <v>2.35931983831782E-3</v>
      </c>
      <c r="J97" s="13">
        <v>5.7657847932414397E-4</v>
      </c>
      <c r="K97" s="13">
        <v>8.4465642578536297E-4</v>
      </c>
      <c r="L97" s="13">
        <v>-2.9684866850813898E-4</v>
      </c>
    </row>
    <row r="98" spans="1:12">
      <c r="A98" s="10" t="s">
        <v>846</v>
      </c>
      <c r="B98" s="10" t="s">
        <v>847</v>
      </c>
      <c r="C98" s="13">
        <v>7.3484406497050704E-5</v>
      </c>
      <c r="D98" s="13">
        <v>5.9925700531594803E-5</v>
      </c>
      <c r="E98" s="13">
        <v>5.3756109920505103E-5</v>
      </c>
      <c r="F98" s="13">
        <v>6.0688776892646202E-5</v>
      </c>
      <c r="G98" s="13">
        <v>5.8005256037790197E-5</v>
      </c>
      <c r="H98" s="13">
        <v>5.7726887005587499E-5</v>
      </c>
      <c r="I98" s="13">
        <v>9.6542215819913602E-5</v>
      </c>
      <c r="J98" s="13">
        <v>4.1076517099387199E-5</v>
      </c>
      <c r="K98" s="13">
        <v>3.61938614874011E-5</v>
      </c>
      <c r="L98" s="13">
        <v>1.16153423261552E-4</v>
      </c>
    </row>
    <row r="99" spans="1:12">
      <c r="A99" s="10" t="s">
        <v>848</v>
      </c>
      <c r="B99" s="10" t="s">
        <v>849</v>
      </c>
      <c r="C99" s="13" t="s">
        <v>44</v>
      </c>
      <c r="D99" s="13" t="s">
        <v>44</v>
      </c>
      <c r="E99" s="13" t="s">
        <v>44</v>
      </c>
      <c r="F99" s="13">
        <v>-0.35328016962011599</v>
      </c>
      <c r="G99" s="13" t="s">
        <v>44</v>
      </c>
      <c r="H99" s="13" t="s">
        <v>44</v>
      </c>
      <c r="I99" s="13" t="s">
        <v>44</v>
      </c>
      <c r="J99" s="13" t="s">
        <v>44</v>
      </c>
      <c r="K99" s="13" t="s">
        <v>44</v>
      </c>
      <c r="L99" s="13" t="s">
        <v>44</v>
      </c>
    </row>
    <row r="100" spans="1:12">
      <c r="A100" s="10" t="s">
        <v>850</v>
      </c>
      <c r="B100" s="10" t="s">
        <v>851</v>
      </c>
      <c r="C100" s="13">
        <v>37150</v>
      </c>
      <c r="D100" s="13">
        <v>30974</v>
      </c>
      <c r="E100" s="13">
        <v>28065</v>
      </c>
      <c r="F100" s="13">
        <v>24460</v>
      </c>
      <c r="G100" s="13">
        <v>18653</v>
      </c>
      <c r="H100" s="13" t="s">
        <v>44</v>
      </c>
      <c r="I100" s="13" t="s">
        <v>44</v>
      </c>
      <c r="J100" s="13" t="s">
        <v>44</v>
      </c>
      <c r="K100" s="13" t="s">
        <v>44</v>
      </c>
      <c r="L100" s="13" t="s">
        <v>44</v>
      </c>
    </row>
    <row r="101" spans="1:12">
      <c r="A101" s="7" t="s">
        <v>57</v>
      </c>
      <c r="B101" s="7"/>
      <c r="C101" s="7" t="s">
        <v>3</v>
      </c>
      <c r="D101" s="7"/>
      <c r="E101" s="7"/>
      <c r="F101" s="7"/>
      <c r="G101" s="7"/>
      <c r="H101" s="7"/>
      <c r="I101" s="7"/>
      <c r="J101" s="7"/>
      <c r="K101" s="7"/>
      <c r="L101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L67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687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209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</row>
    <row r="6" spans="1:12">
      <c r="A6" s="6" t="s">
        <v>1214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21"/>
    </row>
    <row r="7" spans="1:12">
      <c r="A7" s="10" t="s">
        <v>1215</v>
      </c>
      <c r="B7" s="10" t="s">
        <v>1216</v>
      </c>
      <c r="C7" s="13">
        <f>_xll.BDH("RCOM IN Equity","CF_NET_INC","FY 2010","FY 2010","Currency=INR","Period=FY","BEST_FPERIOD_OVERRIDE=FY","FILING_STATUS=MR","EQY_CONSOLIDATED=Y","SCALING_FORMAT=MLN","Sort=A","Dates=H","DateFormat=P","Fill=—","Direction=H","UseDPDF=Y")</f>
        <v>46550</v>
      </c>
      <c r="D7" s="13">
        <f>_xll.BDH("RCOM IN Equity","CF_NET_INC","FY 2011","FY 2011","Currency=INR","Period=FY","BEST_FPERIOD_OVERRIDE=FY","FILING_STATUS=MR","EQY_CONSOLIDATED=Y","SCALING_FORMAT=MLN","Sort=A","Dates=H","DateFormat=P","Fill=—","Direction=H","UseDPDF=Y")</f>
        <v>13450</v>
      </c>
      <c r="E7" s="13">
        <f>_xll.BDH("RCOM IN Equity","CF_NET_INC","FY 2012","FY 2012","Currency=INR","Period=FY","BEST_FPERIOD_OVERRIDE=FY","FILING_STATUS=MR","EQY_CONSOLIDATED=Y","SCALING_FORMAT=MLN","Sort=A","Dates=H","DateFormat=P","Fill=—","Direction=H","UseDPDF=Y")</f>
        <v>9280</v>
      </c>
      <c r="F7" s="13">
        <f>_xll.BDH("RCOM IN Equity","CF_NET_INC","FY 2013","FY 2013","Currency=INR","Period=FY","BEST_FPERIOD_OVERRIDE=FY","FILING_STATUS=MR","EQY_CONSOLIDATED=Y","SCALING_FORMAT=MLN","Sort=A","Dates=H","DateFormat=P","Fill=—","Direction=H","UseDPDF=Y")</f>
        <v>6720</v>
      </c>
      <c r="G7" s="13">
        <f>_xll.BDH("RCOM IN Equity","CF_NET_INC","FY 2014","FY 2014","Currency=INR","Period=FY","BEST_FPERIOD_OVERRIDE=FY","FILING_STATUS=MR","EQY_CONSOLIDATED=Y","SCALING_FORMAT=MLN","Sort=A","Dates=H","DateFormat=P","Fill=—","Direction=H","UseDPDF=Y")</f>
        <v>10470</v>
      </c>
      <c r="H7" s="13">
        <f>_xll.BDH("RCOM IN Equity","CF_NET_INC","FY 2015","FY 2015","Currency=INR","Period=FY","BEST_FPERIOD_OVERRIDE=FY","FILING_STATUS=MR","EQY_CONSOLIDATED=Y","SCALING_FORMAT=MLN","Sort=A","Dates=H","DateFormat=P","Fill=—","Direction=H","UseDPDF=Y")</f>
        <v>7140</v>
      </c>
      <c r="I7" s="13">
        <f>_xll.BDH("RCOM IN Equity","CF_NET_INC","FY 2016","FY 2016","Currency=INR","Period=FY","BEST_FPERIOD_OVERRIDE=FY","FILING_STATUS=MR","EQY_CONSOLIDATED=Y","SCALING_FORMAT=MLN","Sort=A","Dates=H","DateFormat=P","Fill=—","Direction=H","UseDPDF=Y")</f>
        <v>6390</v>
      </c>
      <c r="J7" s="13">
        <f>_xll.BDH("RCOM IN Equity","CF_NET_INC","FY 2017","FY 2017","Currency=INR","Period=FY","BEST_FPERIOD_OVERRIDE=FY","FILING_STATUS=MR","EQY_CONSOLIDATED=Y","SCALING_FORMAT=MLN","Sort=A","Dates=H","DateFormat=P","Fill=—","Direction=H","UseDPDF=Y")</f>
        <v>-14030</v>
      </c>
      <c r="K7" s="13">
        <f>_xll.BDH("RCOM IN Equity","CF_NET_INC","FY 2018","FY 2018","Currency=INR","Period=FY","BEST_FPERIOD_OVERRIDE=FY","FILING_STATUS=MR","EQY_CONSOLIDATED=Y","SCALING_FORMAT=MLN","Sort=A","Dates=H","DateFormat=P","Fill=—","Direction=H","UseDPDF=Y")</f>
        <v>-238390</v>
      </c>
      <c r="L7" s="16">
        <v>-192140</v>
      </c>
    </row>
    <row r="8" spans="1:12">
      <c r="A8" s="10" t="s">
        <v>632</v>
      </c>
      <c r="B8" s="10" t="s">
        <v>1217</v>
      </c>
      <c r="C8" s="13">
        <f>_xll.BDH("RCOM IN Equity","CF_DEPR_AMORT","FY 2010","FY 2010","Currency=INR","Period=FY","BEST_FPERIOD_OVERRIDE=FY","FILING_STATUS=MR","EQY_CONSOLIDATED=Y","SCALING_FORMAT=MLN","Sort=A","Dates=H","DateFormat=P","Fill=—","Direction=H","UseDPDF=Y")</f>
        <v>37465.1</v>
      </c>
      <c r="D8" s="13">
        <f>_xll.BDH("RCOM IN Equity","CF_DEPR_AMORT","FY 2011","FY 2011","Currency=INR","Period=FY","BEST_FPERIOD_OVERRIDE=FY","FILING_STATUS=MR","EQY_CONSOLIDATED=Y","SCALING_FORMAT=MLN","Sort=A","Dates=H","DateFormat=P","Fill=—","Direction=H","UseDPDF=Y")</f>
        <v>65040</v>
      </c>
      <c r="E8" s="13">
        <f>_xll.BDH("RCOM IN Equity","CF_DEPR_AMORT","FY 2012","FY 2012","Currency=INR","Period=FY","BEST_FPERIOD_OVERRIDE=FY","FILING_STATUS=MR","EQY_CONSOLIDATED=Y","SCALING_FORMAT=MLN","Sort=A","Dates=H","DateFormat=P","Fill=—","Direction=H","UseDPDF=Y")</f>
        <v>39780</v>
      </c>
      <c r="F8" s="13">
        <f>_xll.BDH("RCOM IN Equity","CF_DEPR_AMORT","FY 2013","FY 2013","Currency=INR","Period=FY","BEST_FPERIOD_OVERRIDE=FY","FILING_STATUS=MR","EQY_CONSOLIDATED=Y","SCALING_FORMAT=MLN","Sort=A","Dates=H","DateFormat=P","Fill=—","Direction=H","UseDPDF=Y")</f>
        <v>38450</v>
      </c>
      <c r="G8" s="13">
        <f>_xll.BDH("RCOM IN Equity","CF_DEPR_AMORT","FY 2014","FY 2014","Currency=INR","Period=FY","BEST_FPERIOD_OVERRIDE=FY","FILING_STATUS=MR","EQY_CONSOLIDATED=Y","SCALING_FORMAT=MLN","Sort=A","Dates=H","DateFormat=P","Fill=—","Direction=H","UseDPDF=Y")</f>
        <v>45350</v>
      </c>
      <c r="H8" s="13">
        <f>_xll.BDH("RCOM IN Equity","CF_DEPR_AMORT","FY 2015","FY 2015","Currency=INR","Period=FY","BEST_FPERIOD_OVERRIDE=FY","FILING_STATUS=MR","EQY_CONSOLIDATED=Y","SCALING_FORMAT=MLN","Sort=A","Dates=H","DateFormat=P","Fill=—","Direction=H","UseDPDF=Y")</f>
        <v>38170</v>
      </c>
      <c r="I8" s="13">
        <f>_xll.BDH("RCOM IN Equity","CF_DEPR_AMORT","FY 2016","FY 2016","Currency=INR","Period=FY","BEST_FPERIOD_OVERRIDE=FY","FILING_STATUS=MR","EQY_CONSOLIDATED=Y","SCALING_FORMAT=MLN","Sort=A","Dates=H","DateFormat=P","Fill=—","Direction=H","UseDPDF=Y")</f>
        <v>44840</v>
      </c>
      <c r="J8" s="13">
        <f>_xll.BDH("RCOM IN Equity","CF_DEPR_AMORT","FY 2017","FY 2017","Currency=INR","Period=FY","BEST_FPERIOD_OVERRIDE=FY","FILING_STATUS=MR","EQY_CONSOLIDATED=Y","SCALING_FORMAT=MLN","Sort=A","Dates=H","DateFormat=P","Fill=—","Direction=H","UseDPDF=Y")</f>
        <v>42210</v>
      </c>
      <c r="K8" s="13">
        <f>_xll.BDH("RCOM IN Equity","CF_DEPR_AMORT","FY 2018","FY 2018","Currency=INR","Period=FY","BEST_FPERIOD_OVERRIDE=FY","FILING_STATUS=MR","EQY_CONSOLIDATED=Y","SCALING_FORMAT=MLN","Sort=A","Dates=H","DateFormat=P","Fill=—","Direction=H","UseDPDF=Y")</f>
        <v>28670</v>
      </c>
      <c r="L8" s="16">
        <v>7970</v>
      </c>
    </row>
    <row r="9" spans="1:12">
      <c r="A9" s="10" t="s">
        <v>1218</v>
      </c>
      <c r="B9" s="10" t="s">
        <v>1219</v>
      </c>
      <c r="C9" s="13">
        <f>_xll.BDH("RCOM IN Equity","NON_CASH_ITEMS_DETAILED","FY 2010","FY 2010","Currency=INR","Period=FY","BEST_FPERIOD_OVERRIDE=FY","FILING_STATUS=MR","EQY_CONSOLIDATED=Y","SCALING_FORMAT=MLN","Sort=A","Dates=H","DateFormat=P","Fill=—","Direction=H","UseDPDF=Y")</f>
        <v>-27857.8</v>
      </c>
      <c r="D9" s="13">
        <f>_xll.BDH("RCOM IN Equity","NON_CASH_ITEMS_DETAILED","FY 2011","FY 2011","Currency=INR","Period=FY","BEST_FPERIOD_OVERRIDE=FY","FILING_STATUS=MR","EQY_CONSOLIDATED=Y","SCALING_FORMAT=MLN","Sort=A","Dates=H","DateFormat=P","Fill=—","Direction=H","UseDPDF=Y")</f>
        <v>-7300</v>
      </c>
      <c r="E9" s="13">
        <f>_xll.BDH("RCOM IN Equity","NON_CASH_ITEMS_DETAILED","FY 2012","FY 2012","Currency=INR","Period=FY","BEST_FPERIOD_OVERRIDE=FY","FILING_STATUS=MR","EQY_CONSOLIDATED=Y","SCALING_FORMAT=MLN","Sort=A","Dates=H","DateFormat=P","Fill=—","Direction=H","UseDPDF=Y")</f>
        <v>-1590</v>
      </c>
      <c r="F9" s="13">
        <f>_xll.BDH("RCOM IN Equity","NON_CASH_ITEMS_DETAILED","FY 2013","FY 2013","Currency=INR","Period=FY","BEST_FPERIOD_OVERRIDE=FY","FILING_STATUS=MR","EQY_CONSOLIDATED=Y","SCALING_FORMAT=MLN","Sort=A","Dates=H","DateFormat=P","Fill=—","Direction=H","UseDPDF=Y")</f>
        <v>-2730</v>
      </c>
      <c r="G9" s="13">
        <f>_xll.BDH("RCOM IN Equity","NON_CASH_ITEMS_DETAILED","FY 2014","FY 2014","Currency=INR","Period=FY","BEST_FPERIOD_OVERRIDE=FY","FILING_STATUS=MR","EQY_CONSOLIDATED=Y","SCALING_FORMAT=MLN","Sort=A","Dates=H","DateFormat=P","Fill=—","Direction=H","UseDPDF=Y")</f>
        <v>-17720</v>
      </c>
      <c r="H9" s="13">
        <f>_xll.BDH("RCOM IN Equity","NON_CASH_ITEMS_DETAILED","FY 2015","FY 2015","Currency=INR","Period=FY","BEST_FPERIOD_OVERRIDE=FY","FILING_STATUS=MR","EQY_CONSOLIDATED=Y","SCALING_FORMAT=MLN","Sort=A","Dates=H","DateFormat=P","Fill=—","Direction=H","UseDPDF=Y")</f>
        <v>-2140</v>
      </c>
      <c r="I9" s="13">
        <f>_xll.BDH("RCOM IN Equity","NON_CASH_ITEMS_DETAILED","FY 2016","FY 2016","Currency=INR","Period=FY","BEST_FPERIOD_OVERRIDE=FY","FILING_STATUS=MR","EQY_CONSOLIDATED=Y","SCALING_FORMAT=MLN","Sort=A","Dates=H","DateFormat=P","Fill=—","Direction=H","UseDPDF=Y")</f>
        <v>21750</v>
      </c>
      <c r="J9" s="13">
        <f>_xll.BDH("RCOM IN Equity","NON_CASH_ITEMS_DETAILED","FY 2017","FY 2017","Currency=INR","Period=FY","BEST_FPERIOD_OVERRIDE=FY","FILING_STATUS=MR","EQY_CONSOLIDATED=Y","SCALING_FORMAT=MLN","Sort=A","Dates=H","DateFormat=P","Fill=—","Direction=H","UseDPDF=Y")</f>
        <v>23350</v>
      </c>
      <c r="K9" s="13">
        <f>_xll.BDH("RCOM IN Equity","NON_CASH_ITEMS_DETAILED","FY 2018","FY 2018","Currency=INR","Period=FY","BEST_FPERIOD_OVERRIDE=FY","FILING_STATUS=MR","EQY_CONSOLIDATED=Y","SCALING_FORMAT=MLN","Sort=A","Dates=H","DateFormat=P","Fill=—","Direction=H","UseDPDF=Y")</f>
        <v>456840</v>
      </c>
      <c r="L9" s="16"/>
    </row>
    <row r="10" spans="1:12">
      <c r="A10" s="10" t="s">
        <v>1220</v>
      </c>
      <c r="B10" s="10" t="s">
        <v>1221</v>
      </c>
      <c r="C10" s="13">
        <f>_xll.BDH("RCOM IN Equity","OTHER_NON_CASH_ADJ_LESS_DETAILED","FY 2010","FY 2010","Currency=INR","Period=FY","BEST_FPERIOD_OVERRIDE=FY","FILING_STATUS=MR","EQY_CONSOLIDATED=Y","SCALING_FORMAT=MLN","Sort=A","Dates=H","DateFormat=P","Fill=—","Direction=H","UseDPDF=Y")</f>
        <v>-27857.8</v>
      </c>
      <c r="D10" s="13">
        <f>_xll.BDH("RCOM IN Equity","OTHER_NON_CASH_ADJ_LESS_DETAILED","FY 2011","FY 2011","Currency=INR","Period=FY","BEST_FPERIOD_OVERRIDE=FY","FILING_STATUS=MR","EQY_CONSOLIDATED=Y","SCALING_FORMAT=MLN","Sort=A","Dates=H","DateFormat=P","Fill=—","Direction=H","UseDPDF=Y")</f>
        <v>-7300</v>
      </c>
      <c r="E10" s="13">
        <f>_xll.BDH("RCOM IN Equity","OTHER_NON_CASH_ADJ_LESS_DETAILED","FY 2012","FY 2012","Currency=INR","Period=FY","BEST_FPERIOD_OVERRIDE=FY","FILING_STATUS=MR","EQY_CONSOLIDATED=Y","SCALING_FORMAT=MLN","Sort=A","Dates=H","DateFormat=P","Fill=—","Direction=H","UseDPDF=Y")</f>
        <v>-1590</v>
      </c>
      <c r="F10" s="13">
        <f>_xll.BDH("RCOM IN Equity","OTHER_NON_CASH_ADJ_LESS_DETAILED","FY 2013","FY 2013","Currency=INR","Period=FY","BEST_FPERIOD_OVERRIDE=FY","FILING_STATUS=MR","EQY_CONSOLIDATED=Y","SCALING_FORMAT=MLN","Sort=A","Dates=H","DateFormat=P","Fill=—","Direction=H","UseDPDF=Y")</f>
        <v>-2730</v>
      </c>
      <c r="G10" s="13">
        <f>_xll.BDH("RCOM IN Equity","OTHER_NON_CASH_ADJ_LESS_DETAILED","FY 2014","FY 2014","Currency=INR","Period=FY","BEST_FPERIOD_OVERRIDE=FY","FILING_STATUS=MR","EQY_CONSOLIDATED=Y","SCALING_FORMAT=MLN","Sort=A","Dates=H","DateFormat=P","Fill=—","Direction=H","UseDPDF=Y")</f>
        <v>-17720</v>
      </c>
      <c r="H10" s="13">
        <f>_xll.BDH("RCOM IN Equity","OTHER_NON_CASH_ADJ_LESS_DETAILED","FY 2015","FY 2015","Currency=INR","Period=FY","BEST_FPERIOD_OVERRIDE=FY","FILING_STATUS=MR","EQY_CONSOLIDATED=Y","SCALING_FORMAT=MLN","Sort=A","Dates=H","DateFormat=P","Fill=—","Direction=H","UseDPDF=Y")</f>
        <v>-2140</v>
      </c>
      <c r="I10" s="13">
        <f>_xll.BDH("RCOM IN Equity","OTHER_NON_CASH_ADJ_LESS_DETAILED","FY 2016","FY 2016","Currency=INR","Period=FY","BEST_FPERIOD_OVERRIDE=FY","FILING_STATUS=MR","EQY_CONSOLIDATED=Y","SCALING_FORMAT=MLN","Sort=A","Dates=H","DateFormat=P","Fill=—","Direction=H","UseDPDF=Y")</f>
        <v>21750</v>
      </c>
      <c r="J10" s="13">
        <f>_xll.BDH("RCOM IN Equity","OTHER_NON_CASH_ADJ_LESS_DETAILED","FY 2017","FY 2017","Currency=INR","Period=FY","BEST_FPERIOD_OVERRIDE=FY","FILING_STATUS=MR","EQY_CONSOLIDATED=Y","SCALING_FORMAT=MLN","Sort=A","Dates=H","DateFormat=P","Fill=—","Direction=H","UseDPDF=Y")</f>
        <v>23350</v>
      </c>
      <c r="K10" s="13">
        <f>_xll.BDH("RCOM IN Equity","OTHER_NON_CASH_ADJ_LESS_DETAILED","FY 2018","FY 2018","Currency=INR","Period=FY","BEST_FPERIOD_OVERRIDE=FY","FILING_STATUS=MR","EQY_CONSOLIDATED=Y","SCALING_FORMAT=MLN","Sort=A","Dates=H","DateFormat=P","Fill=—","Direction=H","UseDPDF=Y")</f>
        <v>456840</v>
      </c>
      <c r="L10" s="16"/>
    </row>
    <row r="11" spans="1:12">
      <c r="A11" s="10" t="s">
        <v>1222</v>
      </c>
      <c r="B11" s="10" t="s">
        <v>1223</v>
      </c>
      <c r="C11" s="13">
        <f>_xll.BDH("RCOM IN Equity","CF_CHNG_NON_CASH_WORK_CAP","FY 2010","FY 2010","Currency=INR","Period=FY","BEST_FPERIOD_OVERRIDE=FY","FILING_STATUS=MR","EQY_CONSOLIDATED=Y","SCALING_FORMAT=MLN","Sort=A","Dates=H","DateFormat=P","Fill=—","Direction=H","UseDPDF=Y")</f>
        <v>25599.1</v>
      </c>
      <c r="D11" s="13">
        <f>_xll.BDH("RCOM IN Equity","CF_CHNG_NON_CASH_WORK_CAP","FY 2011","FY 2011","Currency=INR","Period=FY","BEST_FPERIOD_OVERRIDE=FY","FILING_STATUS=MR","EQY_CONSOLIDATED=Y","SCALING_FORMAT=MLN","Sort=A","Dates=H","DateFormat=P","Fill=—","Direction=H","UseDPDF=Y")</f>
        <v>-60470</v>
      </c>
      <c r="E11" s="13">
        <f>_xll.BDH("RCOM IN Equity","CF_CHNG_NON_CASH_WORK_CAP","FY 2012","FY 2012","Currency=INR","Period=FY","BEST_FPERIOD_OVERRIDE=FY","FILING_STATUS=MR","EQY_CONSOLIDATED=Y","SCALING_FORMAT=MLN","Sort=A","Dates=H","DateFormat=P","Fill=—","Direction=H","UseDPDF=Y")</f>
        <v>-6740</v>
      </c>
      <c r="F11" s="13">
        <f>_xll.BDH("RCOM IN Equity","CF_CHNG_NON_CASH_WORK_CAP","FY 2013","FY 2013","Currency=INR","Period=FY","BEST_FPERIOD_OVERRIDE=FY","FILING_STATUS=MR","EQY_CONSOLIDATED=Y","SCALING_FORMAT=MLN","Sort=A","Dates=H","DateFormat=P","Fill=—","Direction=H","UseDPDF=Y")</f>
        <v>-28740</v>
      </c>
      <c r="G11" s="13">
        <f>_xll.BDH("RCOM IN Equity","CF_CHNG_NON_CASH_WORK_CAP","FY 2014","FY 2014","Currency=INR","Period=FY","BEST_FPERIOD_OVERRIDE=FY","FILING_STATUS=MR","EQY_CONSOLIDATED=Y","SCALING_FORMAT=MLN","Sort=A","Dates=H","DateFormat=P","Fill=—","Direction=H","UseDPDF=Y")</f>
        <v>600</v>
      </c>
      <c r="H11" s="13">
        <f>_xll.BDH("RCOM IN Equity","CF_CHNG_NON_CASH_WORK_CAP","FY 2015","FY 2015","Currency=INR","Period=FY","BEST_FPERIOD_OVERRIDE=FY","FILING_STATUS=MR","EQY_CONSOLIDATED=Y","SCALING_FORMAT=MLN","Sort=A","Dates=H","DateFormat=P","Fill=—","Direction=H","UseDPDF=Y")</f>
        <v>-38310</v>
      </c>
      <c r="I11" s="13">
        <f>_xll.BDH("RCOM IN Equity","CF_CHNG_NON_CASH_WORK_CAP","FY 2016","FY 2016","Currency=INR","Period=FY","BEST_FPERIOD_OVERRIDE=FY","FILING_STATUS=MR","EQY_CONSOLIDATED=Y","SCALING_FORMAT=MLN","Sort=A","Dates=H","DateFormat=P","Fill=—","Direction=H","UseDPDF=Y")</f>
        <v>69230</v>
      </c>
      <c r="J11" s="13">
        <f>_xll.BDH("RCOM IN Equity","CF_CHNG_NON_CASH_WORK_CAP","FY 2017","FY 2017","Currency=INR","Period=FY","BEST_FPERIOD_OVERRIDE=FY","FILING_STATUS=MR","EQY_CONSOLIDATED=Y","SCALING_FORMAT=MLN","Sort=A","Dates=H","DateFormat=P","Fill=—","Direction=H","UseDPDF=Y")</f>
        <v>-61710</v>
      </c>
      <c r="K11" s="13">
        <f>_xll.BDH("RCOM IN Equity","CF_CHNG_NON_CASH_WORK_CAP","FY 2018","FY 2018","Currency=INR","Period=FY","BEST_FPERIOD_OVERRIDE=FY","FILING_STATUS=MR","EQY_CONSOLIDATED=Y","SCALING_FORMAT=MLN","Sort=A","Dates=H","DateFormat=P","Fill=—","Direction=H","UseDPDF=Y")</f>
        <v>6920</v>
      </c>
      <c r="L11" s="16"/>
    </row>
    <row r="12" spans="1:12">
      <c r="A12" s="10" t="s">
        <v>1224</v>
      </c>
      <c r="B12" s="10" t="s">
        <v>1225</v>
      </c>
      <c r="C12" s="13">
        <f>_xll.BDH("RCOM IN Equity","CF_CHANGE_IN_INVENTORIES","FY 2010","FY 2010","Currency=INR","Period=FY","BEST_FPERIOD_OVERRIDE=FY","FILING_STATUS=MR","EQY_CONSOLIDATED=Y","SCALING_FORMAT=MLN","Sort=A","Dates=H","DateFormat=P","Fill=—","Direction=H","UseDPDF=Y")</f>
        <v>-19.100000000000001</v>
      </c>
      <c r="D12" s="13">
        <f>_xll.BDH("RCOM IN Equity","CF_CHANGE_IN_INVENTORIES","FY 2011","FY 2011","Currency=INR","Period=FY","BEST_FPERIOD_OVERRIDE=FY","FILING_STATUS=MR","EQY_CONSOLIDATED=Y","SCALING_FORMAT=MLN","Sort=A","Dates=H","DateFormat=P","Fill=—","Direction=H","UseDPDF=Y")</f>
        <v>270</v>
      </c>
      <c r="E12" s="13">
        <f>_xll.BDH("RCOM IN Equity","CF_CHANGE_IN_INVENTORIES","FY 2012","FY 2012","Currency=INR","Period=FY","BEST_FPERIOD_OVERRIDE=FY","FILING_STATUS=MR","EQY_CONSOLIDATED=Y","SCALING_FORMAT=MLN","Sort=A","Dates=H","DateFormat=P","Fill=—","Direction=H","UseDPDF=Y")</f>
        <v>-490</v>
      </c>
      <c r="F12" s="13">
        <f>_xll.BDH("RCOM IN Equity","CF_CHANGE_IN_INVENTORIES","FY 2013","FY 2013","Currency=INR","Period=FY","BEST_FPERIOD_OVERRIDE=FY","FILING_STATUS=MR","EQY_CONSOLIDATED=Y","SCALING_FORMAT=MLN","Sort=A","Dates=H","DateFormat=P","Fill=—","Direction=H","UseDPDF=Y")</f>
        <v>700</v>
      </c>
      <c r="G12" s="13">
        <f>_xll.BDH("RCOM IN Equity","CF_CHANGE_IN_INVENTORIES","FY 2014","FY 2014","Currency=INR","Period=FY","BEST_FPERIOD_OVERRIDE=FY","FILING_STATUS=MR","EQY_CONSOLIDATED=Y","SCALING_FORMAT=MLN","Sort=A","Dates=H","DateFormat=P","Fill=—","Direction=H","UseDPDF=Y")</f>
        <v>820</v>
      </c>
      <c r="H12" s="13">
        <f>_xll.BDH("RCOM IN Equity","CF_CHANGE_IN_INVENTORIES","FY 2015","FY 2015","Currency=INR","Period=FY","BEST_FPERIOD_OVERRIDE=FY","FILING_STATUS=MR","EQY_CONSOLIDATED=Y","SCALING_FORMAT=MLN","Sort=A","Dates=H","DateFormat=P","Fill=—","Direction=H","UseDPDF=Y")</f>
        <v>140</v>
      </c>
      <c r="I12" s="13">
        <f>_xll.BDH("RCOM IN Equity","CF_CHANGE_IN_INVENTORIES","FY 2016","FY 2016","Currency=INR","Period=FY","BEST_FPERIOD_OVERRIDE=FY","FILING_STATUS=MR","EQY_CONSOLIDATED=Y","SCALING_FORMAT=MLN","Sort=A","Dates=H","DateFormat=P","Fill=—","Direction=H","UseDPDF=Y")</f>
        <v>1930</v>
      </c>
      <c r="J12" s="13">
        <f>_xll.BDH("RCOM IN Equity","CF_CHANGE_IN_INVENTORIES","FY 2017","FY 2017","Currency=INR","Period=FY","BEST_FPERIOD_OVERRIDE=FY","FILING_STATUS=MR","EQY_CONSOLIDATED=Y","SCALING_FORMAT=MLN","Sort=A","Dates=H","DateFormat=P","Fill=—","Direction=H","UseDPDF=Y")</f>
        <v>-270</v>
      </c>
      <c r="K12" s="13">
        <f>_xll.BDH("RCOM IN Equity","CF_CHANGE_IN_INVENTORIES","FY 2018","FY 2018","Currency=INR","Period=FY","BEST_FPERIOD_OVERRIDE=FY","FILING_STATUS=MR","EQY_CONSOLIDATED=Y","SCALING_FORMAT=MLN","Sort=A","Dates=H","DateFormat=P","Fill=—","Direction=H","UseDPDF=Y")</f>
        <v>650</v>
      </c>
      <c r="L12" s="16"/>
    </row>
    <row r="13" spans="1:12">
      <c r="A13" s="10" t="s">
        <v>1226</v>
      </c>
      <c r="B13" s="10" t="s">
        <v>1227</v>
      </c>
      <c r="C13" s="13">
        <f>_xll.BDH("RCOM IN Equity","CF_CHANGE_IN_ACCOUNTS_PAYABLE","FY 2010","FY 2010","Currency=INR","Period=FY","BEST_FPERIOD_OVERRIDE=FY","FILING_STATUS=MR","EQY_CONSOLIDATED=Y","SCALING_FORMAT=MLN","Sort=A","Dates=H","DateFormat=P","Fill=—","Direction=H","UseDPDF=Y")</f>
        <v>9299.7999999999993</v>
      </c>
      <c r="D13" s="13" t="str">
        <f>_xll.BDH("RCOM IN Equity","CF_CHANGE_IN_ACCOUNTS_PAYABLE","FY 2011","FY 2011","Currency=INR","Period=FY","BEST_FPERIOD_OVERRIDE=FY","FILING_STATUS=MR","EQY_CONSOLIDATED=Y","SCALING_FORMAT=MLN","Sort=A","Dates=H","DateFormat=P","Fill=—","Direction=H","UseDPDF=Y")</f>
        <v>—</v>
      </c>
      <c r="E13" s="13" t="str">
        <f>_xll.BDH("RCOM IN Equity","CF_CHANGE_IN_ACCOUNTS_PAYABLE","FY 2012","FY 2012","Currency=INR","Period=FY","BEST_FPERIOD_OVERRIDE=FY","FILING_STATUS=MR","EQY_CONSOLIDATED=Y","SCALING_FORMAT=MLN","Sort=A","Dates=H","DateFormat=P","Fill=—","Direction=H","UseDPDF=Y")</f>
        <v>—</v>
      </c>
      <c r="F13" s="13" t="str">
        <f>_xll.BDH("RCOM IN Equity","CF_CHANGE_IN_ACCOUNTS_PAYABLE","FY 2013","FY 2013","Currency=INR","Period=FY","BEST_FPERIOD_OVERRIDE=FY","FILING_STATUS=MR","EQY_CONSOLIDATED=Y","SCALING_FORMAT=MLN","Sort=A","Dates=H","DateFormat=P","Fill=—","Direction=H","UseDPDF=Y")</f>
        <v>—</v>
      </c>
      <c r="G13" s="13" t="str">
        <f>_xll.BDH("RCOM IN Equity","CF_CHANGE_IN_ACCOUNTS_PAYABLE","FY 2014","FY 2014","Currency=INR","Period=FY","BEST_FPERIOD_OVERRIDE=FY","FILING_STATUS=MR","EQY_CONSOLIDATED=Y","SCALING_FORMAT=MLN","Sort=A","Dates=H","DateFormat=P","Fill=—","Direction=H","UseDPDF=Y")</f>
        <v>—</v>
      </c>
      <c r="H13" s="13" t="str">
        <f>_xll.BDH("RCOM IN Equity","CF_CHANGE_IN_ACCOUNTS_PAYABLE","FY 2015","FY 2015","Currency=INR","Period=FY","BEST_FPERIOD_OVERRIDE=FY","FILING_STATUS=MR","EQY_CONSOLIDATED=Y","SCALING_FORMAT=MLN","Sort=A","Dates=H","DateFormat=P","Fill=—","Direction=H","UseDPDF=Y")</f>
        <v>—</v>
      </c>
      <c r="I13" s="13" t="str">
        <f>_xll.BDH("RCOM IN Equity","CF_CHANGE_IN_ACCOUNTS_PAYABLE","FY 2016","FY 2016","Currency=INR","Period=FY","BEST_FPERIOD_OVERRIDE=FY","FILING_STATUS=MR","EQY_CONSOLIDATED=Y","SCALING_FORMAT=MLN","Sort=A","Dates=H","DateFormat=P","Fill=—","Direction=H","UseDPDF=Y")</f>
        <v>—</v>
      </c>
      <c r="J13" s="13" t="str">
        <f>_xll.BDH("RCOM IN Equity","CF_CHANGE_IN_ACCOUNTS_PAYABLE","FY 2017","FY 2017","Currency=INR","Period=FY","BEST_FPERIOD_OVERRIDE=FY","FILING_STATUS=MR","EQY_CONSOLIDATED=Y","SCALING_FORMAT=MLN","Sort=A","Dates=H","DateFormat=P","Fill=—","Direction=H","UseDPDF=Y")</f>
        <v>—</v>
      </c>
      <c r="K13" s="13" t="str">
        <f>_xll.BDH("RCOM IN Equity","CF_CHANGE_IN_ACCOUNTS_PAYABLE","FY 2018","FY 2018","Currency=INR","Period=FY","BEST_FPERIOD_OVERRIDE=FY","FILING_STATUS=MR","EQY_CONSOLIDATED=Y","SCALING_FORMAT=MLN","Sort=A","Dates=H","DateFormat=P","Fill=—","Direction=H","UseDPDF=Y")</f>
        <v>—</v>
      </c>
      <c r="L13" s="16"/>
    </row>
    <row r="14" spans="1:12">
      <c r="A14" s="10" t="s">
        <v>1228</v>
      </c>
      <c r="B14" s="10" t="s">
        <v>1229</v>
      </c>
      <c r="C14" s="13">
        <f>_xll.BDH("RCOM IN Equity","INC_DEC_IN_OT_OP_AST_LIAB_DETAIL","FY 2010","FY 2010","Currency=INR","Period=FY","BEST_FPERIOD_OVERRIDE=FY","FILING_STATUS=MR","EQY_CONSOLIDATED=Y","SCALING_FORMAT=MLN","Sort=A","Dates=H","DateFormat=P","Fill=—","Direction=H","UseDPDF=Y")</f>
        <v>16318.4</v>
      </c>
      <c r="D14" s="13">
        <f>_xll.BDH("RCOM IN Equity","INC_DEC_IN_OT_OP_AST_LIAB_DETAIL","FY 2011","FY 2011","Currency=INR","Period=FY","BEST_FPERIOD_OVERRIDE=FY","FILING_STATUS=MR","EQY_CONSOLIDATED=Y","SCALING_FORMAT=MLN","Sort=A","Dates=H","DateFormat=P","Fill=—","Direction=H","UseDPDF=Y")</f>
        <v>-60740</v>
      </c>
      <c r="E14" s="13">
        <f>_xll.BDH("RCOM IN Equity","INC_DEC_IN_OT_OP_AST_LIAB_DETAIL","FY 2012","FY 2012","Currency=INR","Period=FY","BEST_FPERIOD_OVERRIDE=FY","FILING_STATUS=MR","EQY_CONSOLIDATED=Y","SCALING_FORMAT=MLN","Sort=A","Dates=H","DateFormat=P","Fill=—","Direction=H","UseDPDF=Y")</f>
        <v>-6250</v>
      </c>
      <c r="F14" s="13">
        <f>_xll.BDH("RCOM IN Equity","INC_DEC_IN_OT_OP_AST_LIAB_DETAIL","FY 2013","FY 2013","Currency=INR","Period=FY","BEST_FPERIOD_OVERRIDE=FY","FILING_STATUS=MR","EQY_CONSOLIDATED=Y","SCALING_FORMAT=MLN","Sort=A","Dates=H","DateFormat=P","Fill=—","Direction=H","UseDPDF=Y")</f>
        <v>-29440</v>
      </c>
      <c r="G14" s="13">
        <f>_xll.BDH("RCOM IN Equity","INC_DEC_IN_OT_OP_AST_LIAB_DETAIL","FY 2014","FY 2014","Currency=INR","Period=FY","BEST_FPERIOD_OVERRIDE=FY","FILING_STATUS=MR","EQY_CONSOLIDATED=Y","SCALING_FORMAT=MLN","Sort=A","Dates=H","DateFormat=P","Fill=—","Direction=H","UseDPDF=Y")</f>
        <v>-220</v>
      </c>
      <c r="H14" s="13">
        <f>_xll.BDH("RCOM IN Equity","INC_DEC_IN_OT_OP_AST_LIAB_DETAIL","FY 2015","FY 2015","Currency=INR","Period=FY","BEST_FPERIOD_OVERRIDE=FY","FILING_STATUS=MR","EQY_CONSOLIDATED=Y","SCALING_FORMAT=MLN","Sort=A","Dates=H","DateFormat=P","Fill=—","Direction=H","UseDPDF=Y")</f>
        <v>-38450</v>
      </c>
      <c r="I14" s="13">
        <f>_xll.BDH("RCOM IN Equity","INC_DEC_IN_OT_OP_AST_LIAB_DETAIL","FY 2016","FY 2016","Currency=INR","Period=FY","BEST_FPERIOD_OVERRIDE=FY","FILING_STATUS=MR","EQY_CONSOLIDATED=Y","SCALING_FORMAT=MLN","Sort=A","Dates=H","DateFormat=P","Fill=—","Direction=H","UseDPDF=Y")</f>
        <v>67300</v>
      </c>
      <c r="J14" s="13">
        <f>_xll.BDH("RCOM IN Equity","INC_DEC_IN_OT_OP_AST_LIAB_DETAIL","FY 2017","FY 2017","Currency=INR","Period=FY","BEST_FPERIOD_OVERRIDE=FY","FILING_STATUS=MR","EQY_CONSOLIDATED=Y","SCALING_FORMAT=MLN","Sort=A","Dates=H","DateFormat=P","Fill=—","Direction=H","UseDPDF=Y")</f>
        <v>-61440</v>
      </c>
      <c r="K14" s="13">
        <f>_xll.BDH("RCOM IN Equity","INC_DEC_IN_OT_OP_AST_LIAB_DETAIL","FY 2018","FY 2018","Currency=INR","Period=FY","BEST_FPERIOD_OVERRIDE=FY","FILING_STATUS=MR","EQY_CONSOLIDATED=Y","SCALING_FORMAT=MLN","Sort=A","Dates=H","DateFormat=P","Fill=—","Direction=H","UseDPDF=Y")</f>
        <v>6270</v>
      </c>
      <c r="L14" s="16"/>
    </row>
    <row r="15" spans="1:12">
      <c r="A15" s="10" t="s">
        <v>1230</v>
      </c>
      <c r="B15" s="10" t="s">
        <v>1231</v>
      </c>
      <c r="C15" s="13">
        <f>_xll.BDH("RCOM IN Equity","CF_NET_CASH_DISCONT_OPS_OPER","FY 2010","FY 2010","Currency=INR","Period=FY","BEST_FPERIOD_OVERRIDE=FY","FILING_STATUS=MR","EQY_CONSOLIDATED=Y","SCALING_FORMAT=MLN","Sort=A","Dates=H","DateFormat=P","Fill=—","Direction=H","UseDPDF=Y")</f>
        <v>0</v>
      </c>
      <c r="D15" s="13">
        <f>_xll.BDH("RCOM IN Equity","CF_NET_CASH_DISCONT_OPS_OPER","FY 2011","FY 2011","Currency=INR","Period=FY","BEST_FPERIOD_OVERRIDE=FY","FILING_STATUS=MR","EQY_CONSOLIDATED=Y","SCALING_FORMAT=MLN","Sort=A","Dates=H","DateFormat=P","Fill=—","Direction=H","UseDPDF=Y")</f>
        <v>0</v>
      </c>
      <c r="E15" s="13">
        <f>_xll.BDH("RCOM IN Equity","CF_NET_CASH_DISCONT_OPS_OPER","FY 2012","FY 2012","Currency=INR","Period=FY","BEST_FPERIOD_OVERRIDE=FY","FILING_STATUS=MR","EQY_CONSOLIDATED=Y","SCALING_FORMAT=MLN","Sort=A","Dates=H","DateFormat=P","Fill=—","Direction=H","UseDPDF=Y")</f>
        <v>0</v>
      </c>
      <c r="F15" s="13">
        <f>_xll.BDH("RCOM IN Equity","CF_NET_CASH_DISCONT_OPS_OPER","FY 2013","FY 2013","Currency=INR","Period=FY","BEST_FPERIOD_OVERRIDE=FY","FILING_STATUS=MR","EQY_CONSOLIDATED=Y","SCALING_FORMAT=MLN","Sort=A","Dates=H","DateFormat=P","Fill=—","Direction=H","UseDPDF=Y")</f>
        <v>0</v>
      </c>
      <c r="G15" s="13">
        <f>_xll.BDH("RCOM IN Equity","CF_NET_CASH_DISCONT_OPS_OPER","FY 2014","FY 2014","Currency=INR","Period=FY","BEST_FPERIOD_OVERRIDE=FY","FILING_STATUS=MR","EQY_CONSOLIDATED=Y","SCALING_FORMAT=MLN","Sort=A","Dates=H","DateFormat=P","Fill=—","Direction=H","UseDPDF=Y")</f>
        <v>0</v>
      </c>
      <c r="H15" s="13">
        <f>_xll.BDH("RCOM IN Equity","CF_NET_CASH_DISCONT_OPS_OPER","FY 2015","FY 2015","Currency=INR","Period=FY","BEST_FPERIOD_OVERRIDE=FY","FILING_STATUS=MR","EQY_CONSOLIDATED=Y","SCALING_FORMAT=MLN","Sort=A","Dates=H","DateFormat=P","Fill=—","Direction=H","UseDPDF=Y")</f>
        <v>0</v>
      </c>
      <c r="I15" s="13">
        <f>_xll.BDH("RCOM IN Equity","CF_NET_CASH_DISCONT_OPS_OPER","FY 2016","FY 2016","Currency=INR","Period=FY","BEST_FPERIOD_OVERRIDE=FY","FILING_STATUS=MR","EQY_CONSOLIDATED=Y","SCALING_FORMAT=MLN","Sort=A","Dates=H","DateFormat=P","Fill=—","Direction=H","UseDPDF=Y")</f>
        <v>0</v>
      </c>
      <c r="J15" s="13">
        <f>_xll.BDH("RCOM IN Equity","CF_NET_CASH_DISCONT_OPS_OPER","FY 2017","FY 2017","Currency=INR","Period=FY","BEST_FPERIOD_OVERRIDE=FY","FILING_STATUS=MR","EQY_CONSOLIDATED=Y","SCALING_FORMAT=MLN","Sort=A","Dates=H","DateFormat=P","Fill=—","Direction=H","UseDPDF=Y")</f>
        <v>-25420</v>
      </c>
      <c r="K15" s="13">
        <f>_xll.BDH("RCOM IN Equity","CF_NET_CASH_DISCONT_OPS_OPER","FY 2018","FY 2018","Currency=INR","Period=FY","BEST_FPERIOD_OVERRIDE=FY","FILING_STATUS=MR","EQY_CONSOLIDATED=Y","SCALING_FORMAT=MLN","Sort=A","Dates=H","DateFormat=P","Fill=—","Direction=H","UseDPDF=Y")</f>
        <v>-258110</v>
      </c>
      <c r="L15" s="16"/>
    </row>
    <row r="16" spans="1:12">
      <c r="A16" s="6" t="s">
        <v>1214</v>
      </c>
      <c r="B16" s="6" t="s">
        <v>52</v>
      </c>
      <c r="C16" s="19">
        <f>_xll.BDH("RCOM IN Equity","CF_CASH_FROM_OPER","FY 2010","FY 2010","Currency=INR","Period=FY","BEST_FPERIOD_OVERRIDE=FY","FILING_STATUS=MR","EQY_CONSOLIDATED=Y","SCALING_FORMAT=MLN","Sort=A","Dates=H","DateFormat=P","Fill=—","Direction=H","UseDPDF=Y")</f>
        <v>81756.399999999994</v>
      </c>
      <c r="D16" s="19">
        <f>_xll.BDH("RCOM IN Equity","CF_CASH_FROM_OPER","FY 2011","FY 2011","Currency=INR","Period=FY","BEST_FPERIOD_OVERRIDE=FY","FILING_STATUS=MR","EQY_CONSOLIDATED=Y","SCALING_FORMAT=MLN","Sort=A","Dates=H","DateFormat=P","Fill=—","Direction=H","UseDPDF=Y")</f>
        <v>10720</v>
      </c>
      <c r="E16" s="19">
        <f>_xll.BDH("RCOM IN Equity","CF_CASH_FROM_OPER","FY 2012","FY 2012","Currency=INR","Period=FY","BEST_FPERIOD_OVERRIDE=FY","FILING_STATUS=MR","EQY_CONSOLIDATED=Y","SCALING_FORMAT=MLN","Sort=A","Dates=H","DateFormat=P","Fill=—","Direction=H","UseDPDF=Y")</f>
        <v>40730</v>
      </c>
      <c r="F16" s="19">
        <f>_xll.BDH("RCOM IN Equity","CF_CASH_FROM_OPER","FY 2013","FY 2013","Currency=INR","Period=FY","BEST_FPERIOD_OVERRIDE=FY","FILING_STATUS=MR","EQY_CONSOLIDATED=Y","SCALING_FORMAT=MLN","Sort=A","Dates=H","DateFormat=P","Fill=—","Direction=H","UseDPDF=Y")</f>
        <v>13700</v>
      </c>
      <c r="G16" s="19">
        <f>_xll.BDH("RCOM IN Equity","CF_CASH_FROM_OPER","FY 2014","FY 2014","Currency=INR","Period=FY","BEST_FPERIOD_OVERRIDE=FY","FILING_STATUS=MR","EQY_CONSOLIDATED=Y","SCALING_FORMAT=MLN","Sort=A","Dates=H","DateFormat=P","Fill=—","Direction=H","UseDPDF=Y")</f>
        <v>38700</v>
      </c>
      <c r="H16" s="19">
        <f>_xll.BDH("RCOM IN Equity","CF_CASH_FROM_OPER","FY 2015","FY 2015","Currency=INR","Period=FY","BEST_FPERIOD_OVERRIDE=FY","FILING_STATUS=MR","EQY_CONSOLIDATED=Y","SCALING_FORMAT=MLN","Sort=A","Dates=H","DateFormat=P","Fill=—","Direction=H","UseDPDF=Y")</f>
        <v>4860</v>
      </c>
      <c r="I16" s="19">
        <f>_xll.BDH("RCOM IN Equity","CF_CASH_FROM_OPER","FY 2016","FY 2016","Currency=INR","Period=FY","BEST_FPERIOD_OVERRIDE=FY","FILING_STATUS=MR","EQY_CONSOLIDATED=Y","SCALING_FORMAT=MLN","Sort=A","Dates=H","DateFormat=P","Fill=—","Direction=H","UseDPDF=Y")</f>
        <v>142210</v>
      </c>
      <c r="J16" s="19">
        <f>_xll.BDH("RCOM IN Equity","CF_CASH_FROM_OPER","FY 2017","FY 2017","Currency=INR","Period=FY","BEST_FPERIOD_OVERRIDE=FY","FILING_STATUS=MR","EQY_CONSOLIDATED=Y","SCALING_FORMAT=MLN","Sort=A","Dates=H","DateFormat=P","Fill=—","Direction=H","UseDPDF=Y")</f>
        <v>-35600</v>
      </c>
      <c r="K16" s="19">
        <f>_xll.BDH("RCOM IN Equity","CF_CASH_FROM_OPER","FY 2018","FY 2018","Currency=INR","Period=FY","BEST_FPERIOD_OVERRIDE=FY","FILING_STATUS=MR","EQY_CONSOLIDATED=Y","SCALING_FORMAT=MLN","Sort=A","Dates=H","DateFormat=P","Fill=—","Direction=H","UseDPDF=Y")</f>
        <v>-4070</v>
      </c>
      <c r="L16" s="22"/>
    </row>
    <row r="17" spans="1:12">
      <c r="A17" s="6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21"/>
    </row>
    <row r="18" spans="1:12">
      <c r="A18" s="6" t="s">
        <v>1232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21"/>
    </row>
    <row r="19" spans="1:12">
      <c r="A19" s="10" t="s">
        <v>1233</v>
      </c>
      <c r="B19" s="10" t="s">
        <v>1234</v>
      </c>
      <c r="C19" s="13">
        <f>_xll.BDH("RCOM IN Equity","CHG_IN_FXD_&amp;_INTANG_AST_DETAILED","FY 2010","FY 2010","Currency=INR","Period=FY","BEST_FPERIOD_OVERRIDE=FY","FILING_STATUS=MR","EQY_CONSOLIDATED=Y","SCALING_FORMAT=MLN","Sort=A","Dates=H","DateFormat=P","Fill=—","Direction=H","UseDPDF=Y")</f>
        <v>-74959</v>
      </c>
      <c r="D19" s="13">
        <f>_xll.BDH("RCOM IN Equity","CHG_IN_FXD_&amp;_INTANG_AST_DETAILED","FY 2011","FY 2011","Currency=INR","Period=FY","BEST_FPERIOD_OVERRIDE=FY","FILING_STATUS=MR","EQY_CONSOLIDATED=Y","SCALING_FORMAT=MLN","Sort=A","Dates=H","DateFormat=P","Fill=—","Direction=H","UseDPDF=Y")</f>
        <v>-101210</v>
      </c>
      <c r="E19" s="13">
        <f>_xll.BDH("RCOM IN Equity","CHG_IN_FXD_&amp;_INTANG_AST_DETAILED","FY 2012","FY 2012","Currency=INR","Period=FY","BEST_FPERIOD_OVERRIDE=FY","FILING_STATUS=MR","EQY_CONSOLIDATED=Y","SCALING_FORMAT=MLN","Sort=A","Dates=H","DateFormat=P","Fill=—","Direction=H","UseDPDF=Y")</f>
        <v>-46340</v>
      </c>
      <c r="F19" s="13">
        <f>_xll.BDH("RCOM IN Equity","CHG_IN_FXD_&amp;_INTANG_AST_DETAILED","FY 2013","FY 2013","Currency=INR","Period=FY","BEST_FPERIOD_OVERRIDE=FY","FILING_STATUS=MR","EQY_CONSOLIDATED=Y","SCALING_FORMAT=MLN","Sort=A","Dates=H","DateFormat=P","Fill=—","Direction=H","UseDPDF=Y")</f>
        <v>-21140</v>
      </c>
      <c r="G19" s="13">
        <f>_xll.BDH("RCOM IN Equity","CHG_IN_FXD_&amp;_INTANG_AST_DETAILED","FY 2014","FY 2014","Currency=INR","Period=FY","BEST_FPERIOD_OVERRIDE=FY","FILING_STATUS=MR","EQY_CONSOLIDATED=Y","SCALING_FORMAT=MLN","Sort=A","Dates=H","DateFormat=P","Fill=—","Direction=H","UseDPDF=Y")</f>
        <v>-21650</v>
      </c>
      <c r="H19" s="13">
        <f>_xll.BDH("RCOM IN Equity","CHG_IN_FXD_&amp;_INTANG_AST_DETAILED","FY 2015","FY 2015","Currency=INR","Period=FY","BEST_FPERIOD_OVERRIDE=FY","FILING_STATUS=MR","EQY_CONSOLIDATED=Y","SCALING_FORMAT=MLN","Sort=A","Dates=H","DateFormat=P","Fill=—","Direction=H","UseDPDF=Y")</f>
        <v>-24960</v>
      </c>
      <c r="I19" s="13">
        <f>_xll.BDH("RCOM IN Equity","CHG_IN_FXD_&amp;_INTANG_AST_DETAILED","FY 2016","FY 2016","Currency=INR","Period=FY","BEST_FPERIOD_OVERRIDE=FY","FILING_STATUS=MR","EQY_CONSOLIDATED=Y","SCALING_FORMAT=MLN","Sort=A","Dates=H","DateFormat=P","Fill=—","Direction=H","UseDPDF=Y")</f>
        <v>-153300</v>
      </c>
      <c r="J19" s="13">
        <f>_xll.BDH("RCOM IN Equity","CHG_IN_FXD_&amp;_INTANG_AST_DETAILED","FY 2017","FY 2017","Currency=INR","Period=FY","BEST_FPERIOD_OVERRIDE=FY","FILING_STATUS=MR","EQY_CONSOLIDATED=Y","SCALING_FORMAT=MLN","Sort=A","Dates=H","DateFormat=P","Fill=—","Direction=H","UseDPDF=Y")</f>
        <v>-39200</v>
      </c>
      <c r="K19" s="13">
        <f>_xll.BDH("RCOM IN Equity","CHG_IN_FXD_&amp;_INTANG_AST_DETAILED","FY 2018","FY 2018","Currency=INR","Period=FY","BEST_FPERIOD_OVERRIDE=FY","FILING_STATUS=MR","EQY_CONSOLIDATED=Y","SCALING_FORMAT=MLN","Sort=A","Dates=H","DateFormat=P","Fill=—","Direction=H","UseDPDF=Y")</f>
        <v>-5910</v>
      </c>
      <c r="L19" s="16"/>
    </row>
    <row r="20" spans="1:12">
      <c r="A20" s="10" t="s">
        <v>1235</v>
      </c>
      <c r="B20" s="10" t="s">
        <v>1236</v>
      </c>
      <c r="C20" s="13">
        <f>_xll.BDH("RCOM IN Equity","DISP_FXD_&amp;_INTANGIBLES_DETAILED","FY 2010","FY 2010","Currency=INR","Period=FY","BEST_FPERIOD_OVERRIDE=FY","FILING_STATUS=MR","EQY_CONSOLIDATED=Y","SCALING_FORMAT=MLN","Sort=A","Dates=H","DateFormat=P","Fill=—","Direction=H","UseDPDF=Y")</f>
        <v>1.3</v>
      </c>
      <c r="D20" s="13">
        <f>_xll.BDH("RCOM IN Equity","DISP_FXD_&amp;_INTANGIBLES_DETAILED","FY 2011","FY 2011","Currency=INR","Period=FY","BEST_FPERIOD_OVERRIDE=FY","FILING_STATUS=MR","EQY_CONSOLIDATED=Y","SCALING_FORMAT=MLN","Sort=A","Dates=H","DateFormat=P","Fill=—","Direction=H","UseDPDF=Y")</f>
        <v>2060</v>
      </c>
      <c r="E20" s="13">
        <f>_xll.BDH("RCOM IN Equity","DISP_FXD_&amp;_INTANGIBLES_DETAILED","FY 2012","FY 2012","Currency=INR","Period=FY","BEST_FPERIOD_OVERRIDE=FY","FILING_STATUS=MR","EQY_CONSOLIDATED=Y","SCALING_FORMAT=MLN","Sort=A","Dates=H","DateFormat=P","Fill=—","Direction=H","UseDPDF=Y")</f>
        <v>2160</v>
      </c>
      <c r="F20" s="13">
        <f>_xll.BDH("RCOM IN Equity","DISP_FXD_&amp;_INTANGIBLES_DETAILED","FY 2013","FY 2013","Currency=INR","Period=FY","BEST_FPERIOD_OVERRIDE=FY","FILING_STATUS=MR","EQY_CONSOLIDATED=Y","SCALING_FORMAT=MLN","Sort=A","Dates=H","DateFormat=P","Fill=—","Direction=H","UseDPDF=Y")</f>
        <v>0</v>
      </c>
      <c r="G20" s="13">
        <f>_xll.BDH("RCOM IN Equity","DISP_FXD_&amp;_INTANGIBLES_DETAILED","FY 2014","FY 2014","Currency=INR","Period=FY","BEST_FPERIOD_OVERRIDE=FY","FILING_STATUS=MR","EQY_CONSOLIDATED=Y","SCALING_FORMAT=MLN","Sort=A","Dates=H","DateFormat=P","Fill=—","Direction=H","UseDPDF=Y")</f>
        <v>0</v>
      </c>
      <c r="H20" s="13">
        <f>_xll.BDH("RCOM IN Equity","DISP_FXD_&amp;_INTANGIBLES_DETAILED","FY 2015","FY 2015","Currency=INR","Period=FY","BEST_FPERIOD_OVERRIDE=FY","FILING_STATUS=MR","EQY_CONSOLIDATED=Y","SCALING_FORMAT=MLN","Sort=A","Dates=H","DateFormat=P","Fill=—","Direction=H","UseDPDF=Y")</f>
        <v>0</v>
      </c>
      <c r="I20" s="13">
        <f>_xll.BDH("RCOM IN Equity","DISP_FXD_&amp;_INTANGIBLES_DETAILED","FY 2016","FY 2016","Currency=INR","Period=FY","BEST_FPERIOD_OVERRIDE=FY","FILING_STATUS=MR","EQY_CONSOLIDATED=Y","SCALING_FORMAT=MLN","Sort=A","Dates=H","DateFormat=P","Fill=—","Direction=H","UseDPDF=Y")</f>
        <v>0</v>
      </c>
      <c r="J20" s="13">
        <f>_xll.BDH("RCOM IN Equity","DISP_FXD_&amp;_INTANGIBLES_DETAILED","FY 2017","FY 2017","Currency=INR","Period=FY","BEST_FPERIOD_OVERRIDE=FY","FILING_STATUS=MR","EQY_CONSOLIDATED=Y","SCALING_FORMAT=MLN","Sort=A","Dates=H","DateFormat=P","Fill=—","Direction=H","UseDPDF=Y")</f>
        <v>0</v>
      </c>
      <c r="K20" s="13">
        <f>_xll.BDH("RCOM IN Equity","DISP_FXD_&amp;_INTANGIBLES_DETAILED","FY 2018","FY 2018","Currency=INR","Period=FY","BEST_FPERIOD_OVERRIDE=FY","FILING_STATUS=MR","EQY_CONSOLIDATED=Y","SCALING_FORMAT=MLN","Sort=A","Dates=H","DateFormat=P","Fill=—","Direction=H","UseDPDF=Y")</f>
        <v>0</v>
      </c>
      <c r="L20" s="16"/>
    </row>
    <row r="21" spans="1:12">
      <c r="A21" s="11" t="s">
        <v>1237</v>
      </c>
      <c r="B21" s="11" t="s">
        <v>1238</v>
      </c>
      <c r="C21" s="25">
        <f>_xll.BDH("RCOM IN Equity","CF_DISPOSAL_OF_FIXED_PROD_ASSETS","FY 2010","FY 2010","Currency=INR","Period=FY","BEST_FPERIOD_OVERRIDE=FY","FILING_STATUS=MR","EQY_CONSOLIDATED=Y","SCALING_FORMAT=MLN","Sort=A","Dates=H","DateFormat=P","Fill=—","Direction=H","UseDPDF=Y")</f>
        <v>1.3</v>
      </c>
      <c r="D21" s="25">
        <f>_xll.BDH("RCOM IN Equity","CF_DISPOSAL_OF_FIXED_PROD_ASSETS","FY 2011","FY 2011","Currency=INR","Period=FY","BEST_FPERIOD_OVERRIDE=FY","FILING_STATUS=MR","EQY_CONSOLIDATED=Y","SCALING_FORMAT=MLN","Sort=A","Dates=H","DateFormat=P","Fill=—","Direction=H","UseDPDF=Y")</f>
        <v>2060</v>
      </c>
      <c r="E21" s="25">
        <f>_xll.BDH("RCOM IN Equity","CF_DISPOSAL_OF_FIXED_PROD_ASSETS","FY 2012","FY 2012","Currency=INR","Period=FY","BEST_FPERIOD_OVERRIDE=FY","FILING_STATUS=MR","EQY_CONSOLIDATED=Y","SCALING_FORMAT=MLN","Sort=A","Dates=H","DateFormat=P","Fill=—","Direction=H","UseDPDF=Y")</f>
        <v>2160</v>
      </c>
      <c r="F21" s="25">
        <f>_xll.BDH("RCOM IN Equity","CF_DISPOSAL_OF_FIXED_PROD_ASSETS","FY 2013","FY 2013","Currency=INR","Period=FY","BEST_FPERIOD_OVERRIDE=FY","FILING_STATUS=MR","EQY_CONSOLIDATED=Y","SCALING_FORMAT=MLN","Sort=A","Dates=H","DateFormat=P","Fill=—","Direction=H","UseDPDF=Y")</f>
        <v>0</v>
      </c>
      <c r="G21" s="25">
        <f>_xll.BDH("RCOM IN Equity","CF_DISPOSAL_OF_FIXED_PROD_ASSETS","FY 2014","FY 2014","Currency=INR","Period=FY","BEST_FPERIOD_OVERRIDE=FY","FILING_STATUS=MR","EQY_CONSOLIDATED=Y","SCALING_FORMAT=MLN","Sort=A","Dates=H","DateFormat=P","Fill=—","Direction=H","UseDPDF=Y")</f>
        <v>0</v>
      </c>
      <c r="H21" s="25">
        <f>_xll.BDH("RCOM IN Equity","CF_DISPOSAL_OF_FIXED_PROD_ASSETS","FY 2015","FY 2015","Currency=INR","Period=FY","BEST_FPERIOD_OVERRIDE=FY","FILING_STATUS=MR","EQY_CONSOLIDATED=Y","SCALING_FORMAT=MLN","Sort=A","Dates=H","DateFormat=P","Fill=—","Direction=H","UseDPDF=Y")</f>
        <v>0</v>
      </c>
      <c r="I21" s="25">
        <f>_xll.BDH("RCOM IN Equity","CF_DISPOSAL_OF_FIXED_PROD_ASSETS","FY 2016","FY 2016","Currency=INR","Period=FY","BEST_FPERIOD_OVERRIDE=FY","FILING_STATUS=MR","EQY_CONSOLIDATED=Y","SCALING_FORMAT=MLN","Sort=A","Dates=H","DateFormat=P","Fill=—","Direction=H","UseDPDF=Y")</f>
        <v>0</v>
      </c>
      <c r="J21" s="25">
        <f>_xll.BDH("RCOM IN Equity","CF_DISPOSAL_OF_FIXED_PROD_ASSETS","FY 2017","FY 2017","Currency=INR","Period=FY","BEST_FPERIOD_OVERRIDE=FY","FILING_STATUS=MR","EQY_CONSOLIDATED=Y","SCALING_FORMAT=MLN","Sort=A","Dates=H","DateFormat=P","Fill=—","Direction=H","UseDPDF=Y")</f>
        <v>0</v>
      </c>
      <c r="K21" s="25">
        <f>_xll.BDH("RCOM IN Equity","CF_DISPOSAL_OF_FIXED_PROD_ASSETS","FY 2018","FY 2018","Currency=INR","Period=FY","BEST_FPERIOD_OVERRIDE=FY","FILING_STATUS=MR","EQY_CONSOLIDATED=Y","SCALING_FORMAT=MLN","Sort=A","Dates=H","DateFormat=P","Fill=—","Direction=H","UseDPDF=Y")</f>
        <v>0</v>
      </c>
      <c r="L21" s="28"/>
    </row>
    <row r="22" spans="1:12">
      <c r="A22" s="11" t="s">
        <v>1239</v>
      </c>
      <c r="B22" s="11" t="s">
        <v>1240</v>
      </c>
      <c r="C22" s="25">
        <f>_xll.BDH("RCOM IN Equity","CF_DISPOSAL_OF_INTANGIBLE_ASSETS","FY 2010","FY 2010","Currency=INR","Period=FY","BEST_FPERIOD_OVERRIDE=FY","FILING_STATUS=MR","EQY_CONSOLIDATED=Y","SCALING_FORMAT=MLN","Sort=A","Dates=H","DateFormat=P","Fill=—","Direction=H","UseDPDF=Y")</f>
        <v>0</v>
      </c>
      <c r="D22" s="25">
        <f>_xll.BDH("RCOM IN Equity","CF_DISPOSAL_OF_INTANGIBLE_ASSETS","FY 2011","FY 2011","Currency=INR","Period=FY","BEST_FPERIOD_OVERRIDE=FY","FILING_STATUS=MR","EQY_CONSOLIDATED=Y","SCALING_FORMAT=MLN","Sort=A","Dates=H","DateFormat=P","Fill=—","Direction=H","UseDPDF=Y")</f>
        <v>0</v>
      </c>
      <c r="E22" s="25">
        <f>_xll.BDH("RCOM IN Equity","CF_DISPOSAL_OF_INTANGIBLE_ASSETS","FY 2012","FY 2012","Currency=INR","Period=FY","BEST_FPERIOD_OVERRIDE=FY","FILING_STATUS=MR","EQY_CONSOLIDATED=Y","SCALING_FORMAT=MLN","Sort=A","Dates=H","DateFormat=P","Fill=—","Direction=H","UseDPDF=Y")</f>
        <v>0</v>
      </c>
      <c r="F22" s="25">
        <f>_xll.BDH("RCOM IN Equity","CF_DISPOSAL_OF_INTANGIBLE_ASSETS","FY 2013","FY 2013","Currency=INR","Period=FY","BEST_FPERIOD_OVERRIDE=FY","FILING_STATUS=MR","EQY_CONSOLIDATED=Y","SCALING_FORMAT=MLN","Sort=A","Dates=H","DateFormat=P","Fill=—","Direction=H","UseDPDF=Y")</f>
        <v>0</v>
      </c>
      <c r="G22" s="25">
        <f>_xll.BDH("RCOM IN Equity","CF_DISPOSAL_OF_INTANGIBLE_ASSETS","FY 2014","FY 2014","Currency=INR","Period=FY","BEST_FPERIOD_OVERRIDE=FY","FILING_STATUS=MR","EQY_CONSOLIDATED=Y","SCALING_FORMAT=MLN","Sort=A","Dates=H","DateFormat=P","Fill=—","Direction=H","UseDPDF=Y")</f>
        <v>0</v>
      </c>
      <c r="H22" s="25">
        <f>_xll.BDH("RCOM IN Equity","CF_DISPOSAL_OF_INTANGIBLE_ASSETS","FY 2015","FY 2015","Currency=INR","Period=FY","BEST_FPERIOD_OVERRIDE=FY","FILING_STATUS=MR","EQY_CONSOLIDATED=Y","SCALING_FORMAT=MLN","Sort=A","Dates=H","DateFormat=P","Fill=—","Direction=H","UseDPDF=Y")</f>
        <v>0</v>
      </c>
      <c r="I22" s="25">
        <f>_xll.BDH("RCOM IN Equity","CF_DISPOSAL_OF_INTANGIBLE_ASSETS","FY 2016","FY 2016","Currency=INR","Period=FY","BEST_FPERIOD_OVERRIDE=FY","FILING_STATUS=MR","EQY_CONSOLIDATED=Y","SCALING_FORMAT=MLN","Sort=A","Dates=H","DateFormat=P","Fill=—","Direction=H","UseDPDF=Y")</f>
        <v>0</v>
      </c>
      <c r="J22" s="25">
        <f>_xll.BDH("RCOM IN Equity","CF_DISPOSAL_OF_INTANGIBLE_ASSETS","FY 2017","FY 2017","Currency=INR","Period=FY","BEST_FPERIOD_OVERRIDE=FY","FILING_STATUS=MR","EQY_CONSOLIDATED=Y","SCALING_FORMAT=MLN","Sort=A","Dates=H","DateFormat=P","Fill=—","Direction=H","UseDPDF=Y")</f>
        <v>0</v>
      </c>
      <c r="K22" s="25">
        <f>_xll.BDH("RCOM IN Equity","CF_DISPOSAL_OF_INTANGIBLE_ASSETS","FY 2018","FY 2018","Currency=INR","Period=FY","BEST_FPERIOD_OVERRIDE=FY","FILING_STATUS=MR","EQY_CONSOLIDATED=Y","SCALING_FORMAT=MLN","Sort=A","Dates=H","DateFormat=P","Fill=—","Direction=H","UseDPDF=Y")</f>
        <v>0</v>
      </c>
      <c r="L22" s="28"/>
    </row>
    <row r="23" spans="1:12">
      <c r="A23" s="10" t="s">
        <v>1241</v>
      </c>
      <c r="B23" s="10" t="s">
        <v>1242</v>
      </c>
      <c r="C23" s="13">
        <f>_xll.BDH("RCOM IN Equity","ACQUIS_FXD_&amp;_INTANG_DETAILED","FY 2010","FY 2010","Currency=INR","Period=FY","BEST_FPERIOD_OVERRIDE=FY","FILING_STATUS=MR","EQY_CONSOLIDATED=Y","SCALING_FORMAT=MLN","Sort=A","Dates=H","DateFormat=P","Fill=—","Direction=H","UseDPDF=Y")</f>
        <v>-74960.3</v>
      </c>
      <c r="D23" s="13">
        <f>_xll.BDH("RCOM IN Equity","ACQUIS_FXD_&amp;_INTANG_DETAILED","FY 2011","FY 2011","Currency=INR","Period=FY","BEST_FPERIOD_OVERRIDE=FY","FILING_STATUS=MR","EQY_CONSOLIDATED=Y","SCALING_FORMAT=MLN","Sort=A","Dates=H","DateFormat=P","Fill=—","Direction=H","UseDPDF=Y")</f>
        <v>-103270</v>
      </c>
      <c r="E23" s="13">
        <f>_xll.BDH("RCOM IN Equity","ACQUIS_FXD_&amp;_INTANG_DETAILED","FY 2012","FY 2012","Currency=INR","Period=FY","BEST_FPERIOD_OVERRIDE=FY","FILING_STATUS=MR","EQY_CONSOLIDATED=Y","SCALING_FORMAT=MLN","Sort=A","Dates=H","DateFormat=P","Fill=—","Direction=H","UseDPDF=Y")</f>
        <v>-48500</v>
      </c>
      <c r="F23" s="13">
        <f>_xll.BDH("RCOM IN Equity","ACQUIS_FXD_&amp;_INTANG_DETAILED","FY 2013","FY 2013","Currency=INR","Period=FY","BEST_FPERIOD_OVERRIDE=FY","FILING_STATUS=MR","EQY_CONSOLIDATED=Y","SCALING_FORMAT=MLN","Sort=A","Dates=H","DateFormat=P","Fill=—","Direction=H","UseDPDF=Y")</f>
        <v>-21140</v>
      </c>
      <c r="G23" s="13">
        <f>_xll.BDH("RCOM IN Equity","ACQUIS_FXD_&amp;_INTANG_DETAILED","FY 2014","FY 2014","Currency=INR","Period=FY","BEST_FPERIOD_OVERRIDE=FY","FILING_STATUS=MR","EQY_CONSOLIDATED=Y","SCALING_FORMAT=MLN","Sort=A","Dates=H","DateFormat=P","Fill=—","Direction=H","UseDPDF=Y")</f>
        <v>-21650</v>
      </c>
      <c r="H23" s="13">
        <f>_xll.BDH("RCOM IN Equity","ACQUIS_FXD_&amp;_INTANG_DETAILED","FY 2015","FY 2015","Currency=INR","Period=FY","BEST_FPERIOD_OVERRIDE=FY","FILING_STATUS=MR","EQY_CONSOLIDATED=Y","SCALING_FORMAT=MLN","Sort=A","Dates=H","DateFormat=P","Fill=—","Direction=H","UseDPDF=Y")</f>
        <v>-24960</v>
      </c>
      <c r="I23" s="13">
        <f>_xll.BDH("RCOM IN Equity","ACQUIS_FXD_&amp;_INTANG_DETAILED","FY 2016","FY 2016","Currency=INR","Period=FY","BEST_FPERIOD_OVERRIDE=FY","FILING_STATUS=MR","EQY_CONSOLIDATED=Y","SCALING_FORMAT=MLN","Sort=A","Dates=H","DateFormat=P","Fill=—","Direction=H","UseDPDF=Y")</f>
        <v>-153300</v>
      </c>
      <c r="J23" s="13">
        <f>_xll.BDH("RCOM IN Equity","ACQUIS_FXD_&amp;_INTANG_DETAILED","FY 2017","FY 2017","Currency=INR","Period=FY","BEST_FPERIOD_OVERRIDE=FY","FILING_STATUS=MR","EQY_CONSOLIDATED=Y","SCALING_FORMAT=MLN","Sort=A","Dates=H","DateFormat=P","Fill=—","Direction=H","UseDPDF=Y")</f>
        <v>-39200</v>
      </c>
      <c r="K23" s="13">
        <f>_xll.BDH("RCOM IN Equity","ACQUIS_FXD_&amp;_INTANG_DETAILED","FY 2018","FY 2018","Currency=INR","Period=FY","BEST_FPERIOD_OVERRIDE=FY","FILING_STATUS=MR","EQY_CONSOLIDATED=Y","SCALING_FORMAT=MLN","Sort=A","Dates=H","DateFormat=P","Fill=—","Direction=H","UseDPDF=Y")</f>
        <v>-5910</v>
      </c>
      <c r="L23" s="16"/>
    </row>
    <row r="24" spans="1:12">
      <c r="A24" s="11" t="s">
        <v>1243</v>
      </c>
      <c r="B24" s="11" t="s">
        <v>1244</v>
      </c>
      <c r="C24" s="25">
        <f>_xll.BDH("RCOM IN Equity","CF_PURCHASE_OF_FIXED_PROD_ASSETS","FY 2010","FY 2010","Currency=INR","Period=FY","BEST_FPERIOD_OVERRIDE=FY","FILING_STATUS=MR","EQY_CONSOLIDATED=Y","SCALING_FORMAT=MLN","Sort=A","Dates=H","DateFormat=P","Fill=—","Direction=H","UseDPDF=Y")</f>
        <v>-74960.3</v>
      </c>
      <c r="D24" s="25">
        <f>_xll.BDH("RCOM IN Equity","CF_PURCHASE_OF_FIXED_PROD_ASSETS","FY 2011","FY 2011","Currency=INR","Period=FY","BEST_FPERIOD_OVERRIDE=FY","FILING_STATUS=MR","EQY_CONSOLIDATED=Y","SCALING_FORMAT=MLN","Sort=A","Dates=H","DateFormat=P","Fill=—","Direction=H","UseDPDF=Y")</f>
        <v>-103270</v>
      </c>
      <c r="E24" s="25">
        <f>_xll.BDH("RCOM IN Equity","CF_PURCHASE_OF_FIXED_PROD_ASSETS","FY 2012","FY 2012","Currency=INR","Period=FY","BEST_FPERIOD_OVERRIDE=FY","FILING_STATUS=MR","EQY_CONSOLIDATED=Y","SCALING_FORMAT=MLN","Sort=A","Dates=H","DateFormat=P","Fill=—","Direction=H","UseDPDF=Y")</f>
        <v>-48500</v>
      </c>
      <c r="F24" s="25">
        <f>_xll.BDH("RCOM IN Equity","CF_PURCHASE_OF_FIXED_PROD_ASSETS","FY 2013","FY 2013","Currency=INR","Period=FY","BEST_FPERIOD_OVERRIDE=FY","FILING_STATUS=MR","EQY_CONSOLIDATED=Y","SCALING_FORMAT=MLN","Sort=A","Dates=H","DateFormat=P","Fill=—","Direction=H","UseDPDF=Y")</f>
        <v>-21140</v>
      </c>
      <c r="G24" s="25">
        <f>_xll.BDH("RCOM IN Equity","CF_PURCHASE_OF_FIXED_PROD_ASSETS","FY 2014","FY 2014","Currency=INR","Period=FY","BEST_FPERIOD_OVERRIDE=FY","FILING_STATUS=MR","EQY_CONSOLIDATED=Y","SCALING_FORMAT=MLN","Sort=A","Dates=H","DateFormat=P","Fill=—","Direction=H","UseDPDF=Y")</f>
        <v>-21650</v>
      </c>
      <c r="H24" s="25">
        <f>_xll.BDH("RCOM IN Equity","CF_PURCHASE_OF_FIXED_PROD_ASSETS","FY 2015","FY 2015","Currency=INR","Period=FY","BEST_FPERIOD_OVERRIDE=FY","FILING_STATUS=MR","EQY_CONSOLIDATED=Y","SCALING_FORMAT=MLN","Sort=A","Dates=H","DateFormat=P","Fill=—","Direction=H","UseDPDF=Y")</f>
        <v>-24960</v>
      </c>
      <c r="I24" s="25">
        <f>_xll.BDH("RCOM IN Equity","CF_PURCHASE_OF_FIXED_PROD_ASSETS","FY 2016","FY 2016","Currency=INR","Period=FY","BEST_FPERIOD_OVERRIDE=FY","FILING_STATUS=MR","EQY_CONSOLIDATED=Y","SCALING_FORMAT=MLN","Sort=A","Dates=H","DateFormat=P","Fill=—","Direction=H","UseDPDF=Y")</f>
        <v>-153300</v>
      </c>
      <c r="J24" s="25">
        <f>_xll.BDH("RCOM IN Equity","CF_PURCHASE_OF_FIXED_PROD_ASSETS","FY 2017","FY 2017","Currency=INR","Period=FY","BEST_FPERIOD_OVERRIDE=FY","FILING_STATUS=MR","EQY_CONSOLIDATED=Y","SCALING_FORMAT=MLN","Sort=A","Dates=H","DateFormat=P","Fill=—","Direction=H","UseDPDF=Y")</f>
        <v>-39200</v>
      </c>
      <c r="K24" s="25">
        <f>_xll.BDH("RCOM IN Equity","CF_PURCHASE_OF_FIXED_PROD_ASSETS","FY 2018","FY 2018","Currency=INR","Period=FY","BEST_FPERIOD_OVERRIDE=FY","FILING_STATUS=MR","EQY_CONSOLIDATED=Y","SCALING_FORMAT=MLN","Sort=A","Dates=H","DateFormat=P","Fill=—","Direction=H","UseDPDF=Y")</f>
        <v>-5910</v>
      </c>
      <c r="L24" s="28"/>
    </row>
    <row r="25" spans="1:12">
      <c r="A25" s="11" t="s">
        <v>1245</v>
      </c>
      <c r="B25" s="11" t="s">
        <v>1246</v>
      </c>
      <c r="C25" s="25">
        <f>_xll.BDH("RCOM IN Equity","CF_ACQUISITION_OF_INTANG_ASSETS","FY 2010","FY 2010","Currency=INR","Period=FY","BEST_FPERIOD_OVERRIDE=FY","FILING_STATUS=MR","EQY_CONSOLIDATED=Y","SCALING_FORMAT=MLN","Sort=A","Dates=H","DateFormat=P","Fill=—","Direction=H","UseDPDF=Y")</f>
        <v>0</v>
      </c>
      <c r="D25" s="25">
        <f>_xll.BDH("RCOM IN Equity","CF_ACQUISITION_OF_INTANG_ASSETS","FY 2011","FY 2011","Currency=INR","Period=FY","BEST_FPERIOD_OVERRIDE=FY","FILING_STATUS=MR","EQY_CONSOLIDATED=Y","SCALING_FORMAT=MLN","Sort=A","Dates=H","DateFormat=P","Fill=—","Direction=H","UseDPDF=Y")</f>
        <v>0</v>
      </c>
      <c r="E25" s="25">
        <f>_xll.BDH("RCOM IN Equity","CF_ACQUISITION_OF_INTANG_ASSETS","FY 2012","FY 2012","Currency=INR","Period=FY","BEST_FPERIOD_OVERRIDE=FY","FILING_STATUS=MR","EQY_CONSOLIDATED=Y","SCALING_FORMAT=MLN","Sort=A","Dates=H","DateFormat=P","Fill=—","Direction=H","UseDPDF=Y")</f>
        <v>0</v>
      </c>
      <c r="F25" s="25">
        <f>_xll.BDH("RCOM IN Equity","CF_ACQUISITION_OF_INTANG_ASSETS","FY 2013","FY 2013","Currency=INR","Period=FY","BEST_FPERIOD_OVERRIDE=FY","FILING_STATUS=MR","EQY_CONSOLIDATED=Y","SCALING_FORMAT=MLN","Sort=A","Dates=H","DateFormat=P","Fill=—","Direction=H","UseDPDF=Y")</f>
        <v>0</v>
      </c>
      <c r="G25" s="25">
        <f>_xll.BDH("RCOM IN Equity","CF_ACQUISITION_OF_INTANG_ASSETS","FY 2014","FY 2014","Currency=INR","Period=FY","BEST_FPERIOD_OVERRIDE=FY","FILING_STATUS=MR","EQY_CONSOLIDATED=Y","SCALING_FORMAT=MLN","Sort=A","Dates=H","DateFormat=P","Fill=—","Direction=H","UseDPDF=Y")</f>
        <v>0</v>
      </c>
      <c r="H25" s="25">
        <f>_xll.BDH("RCOM IN Equity","CF_ACQUISITION_OF_INTANG_ASSETS","FY 2015","FY 2015","Currency=INR","Period=FY","BEST_FPERIOD_OVERRIDE=FY","FILING_STATUS=MR","EQY_CONSOLIDATED=Y","SCALING_FORMAT=MLN","Sort=A","Dates=H","DateFormat=P","Fill=—","Direction=H","UseDPDF=Y")</f>
        <v>0</v>
      </c>
      <c r="I25" s="25">
        <f>_xll.BDH("RCOM IN Equity","CF_ACQUISITION_OF_INTANG_ASSETS","FY 2016","FY 2016","Currency=INR","Period=FY","BEST_FPERIOD_OVERRIDE=FY","FILING_STATUS=MR","EQY_CONSOLIDATED=Y","SCALING_FORMAT=MLN","Sort=A","Dates=H","DateFormat=P","Fill=—","Direction=H","UseDPDF=Y")</f>
        <v>0</v>
      </c>
      <c r="J25" s="25">
        <f>_xll.BDH("RCOM IN Equity","CF_ACQUISITION_OF_INTANG_ASSETS","FY 2017","FY 2017","Currency=INR","Period=FY","BEST_FPERIOD_OVERRIDE=FY","FILING_STATUS=MR","EQY_CONSOLIDATED=Y","SCALING_FORMAT=MLN","Sort=A","Dates=H","DateFormat=P","Fill=—","Direction=H","UseDPDF=Y")</f>
        <v>0</v>
      </c>
      <c r="K25" s="25">
        <f>_xll.BDH("RCOM IN Equity","CF_ACQUISITION_OF_INTANG_ASSETS","FY 2018","FY 2018","Currency=INR","Period=FY","BEST_FPERIOD_OVERRIDE=FY","FILING_STATUS=MR","EQY_CONSOLIDATED=Y","SCALING_FORMAT=MLN","Sort=A","Dates=H","DateFormat=P","Fill=—","Direction=H","UseDPDF=Y")</f>
        <v>0</v>
      </c>
      <c r="L25" s="28"/>
    </row>
    <row r="26" spans="1:12">
      <c r="A26" s="10" t="s">
        <v>1247</v>
      </c>
      <c r="B26" s="10" t="s">
        <v>1248</v>
      </c>
      <c r="C26" s="13">
        <f>_xll.BDH("RCOM IN Equity","NET_CHG_IN_LT_INVEST_DETAILED","FY 2010","FY 2010","Currency=INR","Period=FY","BEST_FPERIOD_OVERRIDE=FY","FILING_STATUS=MR","EQY_CONSOLIDATED=Y","SCALING_FORMAT=MLN","Sort=A","Dates=H","DateFormat=P","Fill=—","Direction=H","UseDPDF=Y")</f>
        <v>0</v>
      </c>
      <c r="D26" s="13">
        <f>_xll.BDH("RCOM IN Equity","NET_CHG_IN_LT_INVEST_DETAILED","FY 2011","FY 2011","Currency=INR","Period=FY","BEST_FPERIOD_OVERRIDE=FY","FILING_STATUS=MR","EQY_CONSOLIDATED=Y","SCALING_FORMAT=MLN","Sort=A","Dates=H","DateFormat=P","Fill=—","Direction=H","UseDPDF=Y")</f>
        <v>0</v>
      </c>
      <c r="E26" s="13">
        <f>_xll.BDH("RCOM IN Equity","NET_CHG_IN_LT_INVEST_DETAILED","FY 2012","FY 2012","Currency=INR","Period=FY","BEST_FPERIOD_OVERRIDE=FY","FILING_STATUS=MR","EQY_CONSOLIDATED=Y","SCALING_FORMAT=MLN","Sort=A","Dates=H","DateFormat=P","Fill=—","Direction=H","UseDPDF=Y")</f>
        <v>0</v>
      </c>
      <c r="F26" s="13">
        <f>_xll.BDH("RCOM IN Equity","NET_CHG_IN_LT_INVEST_DETAILED","FY 2013","FY 2013","Currency=INR","Period=FY","BEST_FPERIOD_OVERRIDE=FY","FILING_STATUS=MR","EQY_CONSOLIDATED=Y","SCALING_FORMAT=MLN","Sort=A","Dates=H","DateFormat=P","Fill=—","Direction=H","UseDPDF=Y")</f>
        <v>0</v>
      </c>
      <c r="G26" s="13">
        <f>_xll.BDH("RCOM IN Equity","NET_CHG_IN_LT_INVEST_DETAILED","FY 2014","FY 2014","Currency=INR","Period=FY","BEST_FPERIOD_OVERRIDE=FY","FILING_STATUS=MR","EQY_CONSOLIDATED=Y","SCALING_FORMAT=MLN","Sort=A","Dates=H","DateFormat=P","Fill=—","Direction=H","UseDPDF=Y")</f>
        <v>0</v>
      </c>
      <c r="H26" s="13">
        <f>_xll.BDH("RCOM IN Equity","NET_CHG_IN_LT_INVEST_DETAILED","FY 2015","FY 2015","Currency=INR","Period=FY","BEST_FPERIOD_OVERRIDE=FY","FILING_STATUS=MR","EQY_CONSOLIDATED=Y","SCALING_FORMAT=MLN","Sort=A","Dates=H","DateFormat=P","Fill=—","Direction=H","UseDPDF=Y")</f>
        <v>0</v>
      </c>
      <c r="I26" s="13">
        <f>_xll.BDH("RCOM IN Equity","NET_CHG_IN_LT_INVEST_DETAILED","FY 2016","FY 2016","Currency=INR","Period=FY","BEST_FPERIOD_OVERRIDE=FY","FILING_STATUS=MR","EQY_CONSOLIDATED=Y","SCALING_FORMAT=MLN","Sort=A","Dates=H","DateFormat=P","Fill=—","Direction=H","UseDPDF=Y")</f>
        <v>0</v>
      </c>
      <c r="J26" s="13">
        <f>_xll.BDH("RCOM IN Equity","NET_CHG_IN_LT_INVEST_DETAILED","FY 2017","FY 2017","Currency=INR","Period=FY","BEST_FPERIOD_OVERRIDE=FY","FILING_STATUS=MR","EQY_CONSOLIDATED=Y","SCALING_FORMAT=MLN","Sort=A","Dates=H","DateFormat=P","Fill=—","Direction=H","UseDPDF=Y")</f>
        <v>0</v>
      </c>
      <c r="K26" s="13">
        <f>_xll.BDH("RCOM IN Equity","NET_CHG_IN_LT_INVEST_DETAILED","FY 2018","FY 2018","Currency=INR","Period=FY","BEST_FPERIOD_OVERRIDE=FY","FILING_STATUS=MR","EQY_CONSOLIDATED=Y","SCALING_FORMAT=MLN","Sort=A","Dates=H","DateFormat=P","Fill=—","Direction=H","UseDPDF=Y")</f>
        <v>0</v>
      </c>
      <c r="L26" s="16"/>
    </row>
    <row r="27" spans="1:12">
      <c r="A27" s="10" t="s">
        <v>1249</v>
      </c>
      <c r="B27" s="10" t="s">
        <v>1250</v>
      </c>
      <c r="C27" s="13">
        <f>_xll.BDH("RCOM IN Equity","CF_DECR_INVEST","FY 2010","FY 2010","Currency=INR","Period=FY","BEST_FPERIOD_OVERRIDE=FY","FILING_STATUS=MR","EQY_CONSOLIDATED=Y","SCALING_FORMAT=MLN","Sort=A","Dates=H","DateFormat=P","Fill=—","Direction=H","UseDPDF=Y")</f>
        <v>0</v>
      </c>
      <c r="D27" s="13">
        <f>_xll.BDH("RCOM IN Equity","CF_DECR_INVEST","FY 2011","FY 2011","Currency=INR","Period=FY","BEST_FPERIOD_OVERRIDE=FY","FILING_STATUS=MR","EQY_CONSOLIDATED=Y","SCALING_FORMAT=MLN","Sort=A","Dates=H","DateFormat=P","Fill=—","Direction=H","UseDPDF=Y")</f>
        <v>0</v>
      </c>
      <c r="E27" s="13">
        <f>_xll.BDH("RCOM IN Equity","CF_DECR_INVEST","FY 2012","FY 2012","Currency=INR","Period=FY","BEST_FPERIOD_OVERRIDE=FY","FILING_STATUS=MR","EQY_CONSOLIDATED=Y","SCALING_FORMAT=MLN","Sort=A","Dates=H","DateFormat=P","Fill=—","Direction=H","UseDPDF=Y")</f>
        <v>0</v>
      </c>
      <c r="F27" s="13">
        <f>_xll.BDH("RCOM IN Equity","CF_DECR_INVEST","FY 2013","FY 2013","Currency=INR","Period=FY","BEST_FPERIOD_OVERRIDE=FY","FILING_STATUS=MR","EQY_CONSOLIDATED=Y","SCALING_FORMAT=MLN","Sort=A","Dates=H","DateFormat=P","Fill=—","Direction=H","UseDPDF=Y")</f>
        <v>0</v>
      </c>
      <c r="G27" s="13">
        <f>_xll.BDH("RCOM IN Equity","CF_DECR_INVEST","FY 2014","FY 2014","Currency=INR","Period=FY","BEST_FPERIOD_OVERRIDE=FY","FILING_STATUS=MR","EQY_CONSOLIDATED=Y","SCALING_FORMAT=MLN","Sort=A","Dates=H","DateFormat=P","Fill=—","Direction=H","UseDPDF=Y")</f>
        <v>0</v>
      </c>
      <c r="H27" s="13">
        <f>_xll.BDH("RCOM IN Equity","CF_DECR_INVEST","FY 2015","FY 2015","Currency=INR","Period=FY","BEST_FPERIOD_OVERRIDE=FY","FILING_STATUS=MR","EQY_CONSOLIDATED=Y","SCALING_FORMAT=MLN","Sort=A","Dates=H","DateFormat=P","Fill=—","Direction=H","UseDPDF=Y")</f>
        <v>0</v>
      </c>
      <c r="I27" s="13">
        <f>_xll.BDH("RCOM IN Equity","CF_DECR_INVEST","FY 2016","FY 2016","Currency=INR","Period=FY","BEST_FPERIOD_OVERRIDE=FY","FILING_STATUS=MR","EQY_CONSOLIDATED=Y","SCALING_FORMAT=MLN","Sort=A","Dates=H","DateFormat=P","Fill=—","Direction=H","UseDPDF=Y")</f>
        <v>0</v>
      </c>
      <c r="J27" s="13">
        <f>_xll.BDH("RCOM IN Equity","CF_DECR_INVEST","FY 2017","FY 2017","Currency=INR","Period=FY","BEST_FPERIOD_OVERRIDE=FY","FILING_STATUS=MR","EQY_CONSOLIDATED=Y","SCALING_FORMAT=MLN","Sort=A","Dates=H","DateFormat=P","Fill=—","Direction=H","UseDPDF=Y")</f>
        <v>0</v>
      </c>
      <c r="K27" s="13">
        <f>_xll.BDH("RCOM IN Equity","CF_DECR_INVEST","FY 2018","FY 2018","Currency=INR","Period=FY","BEST_FPERIOD_OVERRIDE=FY","FILING_STATUS=MR","EQY_CONSOLIDATED=Y","SCALING_FORMAT=MLN","Sort=A","Dates=H","DateFormat=P","Fill=—","Direction=H","UseDPDF=Y")</f>
        <v>0</v>
      </c>
      <c r="L27" s="16"/>
    </row>
    <row r="28" spans="1:12">
      <c r="A28" s="10" t="s">
        <v>1251</v>
      </c>
      <c r="B28" s="10" t="s">
        <v>1252</v>
      </c>
      <c r="C28" s="13">
        <f>_xll.BDH("RCOM IN Equity","CF_INCR_INVEST","FY 2010","FY 2010","Currency=INR","Period=FY","BEST_FPERIOD_OVERRIDE=FY","FILING_STATUS=MR","EQY_CONSOLIDATED=Y","SCALING_FORMAT=MLN","Sort=A","Dates=H","DateFormat=P","Fill=—","Direction=H","UseDPDF=Y")</f>
        <v>0</v>
      </c>
      <c r="D28" s="13">
        <f>_xll.BDH("RCOM IN Equity","CF_INCR_INVEST","FY 2011","FY 2011","Currency=INR","Period=FY","BEST_FPERIOD_OVERRIDE=FY","FILING_STATUS=MR","EQY_CONSOLIDATED=Y","SCALING_FORMAT=MLN","Sort=A","Dates=H","DateFormat=P","Fill=—","Direction=H","UseDPDF=Y")</f>
        <v>0</v>
      </c>
      <c r="E28" s="13">
        <f>_xll.BDH("RCOM IN Equity","CF_INCR_INVEST","FY 2012","FY 2012","Currency=INR","Period=FY","BEST_FPERIOD_OVERRIDE=FY","FILING_STATUS=MR","EQY_CONSOLIDATED=Y","SCALING_FORMAT=MLN","Sort=A","Dates=H","DateFormat=P","Fill=—","Direction=H","UseDPDF=Y")</f>
        <v>0</v>
      </c>
      <c r="F28" s="13">
        <f>_xll.BDH("RCOM IN Equity","CF_INCR_INVEST","FY 2013","FY 2013","Currency=INR","Period=FY","BEST_FPERIOD_OVERRIDE=FY","FILING_STATUS=MR","EQY_CONSOLIDATED=Y","SCALING_FORMAT=MLN","Sort=A","Dates=H","DateFormat=P","Fill=—","Direction=H","UseDPDF=Y")</f>
        <v>0</v>
      </c>
      <c r="G28" s="13">
        <f>_xll.BDH("RCOM IN Equity","CF_INCR_INVEST","FY 2014","FY 2014","Currency=INR","Period=FY","BEST_FPERIOD_OVERRIDE=FY","FILING_STATUS=MR","EQY_CONSOLIDATED=Y","SCALING_FORMAT=MLN","Sort=A","Dates=H","DateFormat=P","Fill=—","Direction=H","UseDPDF=Y")</f>
        <v>0</v>
      </c>
      <c r="H28" s="13">
        <f>_xll.BDH("RCOM IN Equity","CF_INCR_INVEST","FY 2015","FY 2015","Currency=INR","Period=FY","BEST_FPERIOD_OVERRIDE=FY","FILING_STATUS=MR","EQY_CONSOLIDATED=Y","SCALING_FORMAT=MLN","Sort=A","Dates=H","DateFormat=P","Fill=—","Direction=H","UseDPDF=Y")</f>
        <v>0</v>
      </c>
      <c r="I28" s="13">
        <f>_xll.BDH("RCOM IN Equity","CF_INCR_INVEST","FY 2016","FY 2016","Currency=INR","Period=FY","BEST_FPERIOD_OVERRIDE=FY","FILING_STATUS=MR","EQY_CONSOLIDATED=Y","SCALING_FORMAT=MLN","Sort=A","Dates=H","DateFormat=P","Fill=—","Direction=H","UseDPDF=Y")</f>
        <v>0</v>
      </c>
      <c r="J28" s="13">
        <f>_xll.BDH("RCOM IN Equity","CF_INCR_INVEST","FY 2017","FY 2017","Currency=INR","Period=FY","BEST_FPERIOD_OVERRIDE=FY","FILING_STATUS=MR","EQY_CONSOLIDATED=Y","SCALING_FORMAT=MLN","Sort=A","Dates=H","DateFormat=P","Fill=—","Direction=H","UseDPDF=Y")</f>
        <v>0</v>
      </c>
      <c r="K28" s="13">
        <f>_xll.BDH("RCOM IN Equity","CF_INCR_INVEST","FY 2018","FY 2018","Currency=INR","Period=FY","BEST_FPERIOD_OVERRIDE=FY","FILING_STATUS=MR","EQY_CONSOLIDATED=Y","SCALING_FORMAT=MLN","Sort=A","Dates=H","DateFormat=P","Fill=—","Direction=H","UseDPDF=Y")</f>
        <v>0</v>
      </c>
      <c r="L28" s="16"/>
    </row>
    <row r="29" spans="1:12">
      <c r="A29" s="10" t="s">
        <v>1253</v>
      </c>
      <c r="B29" s="10" t="s">
        <v>1254</v>
      </c>
      <c r="C29" s="13">
        <f>_xll.BDH("RCOM IN Equity","CF_NT_CSH_RCVD_PD_FOR_ACQUIS_DIV","FY 2010","FY 2010","Currency=INR","Period=FY","BEST_FPERIOD_OVERRIDE=FY","FILING_STATUS=MR","EQY_CONSOLIDATED=Y","SCALING_FORMAT=MLN","Sort=A","Dates=H","DateFormat=P","Fill=—","Direction=H","UseDPDF=Y")</f>
        <v>0</v>
      </c>
      <c r="D29" s="13">
        <f>_xll.BDH("RCOM IN Equity","CF_NT_CSH_RCVD_PD_FOR_ACQUIS_DIV","FY 2011","FY 2011","Currency=INR","Period=FY","BEST_FPERIOD_OVERRIDE=FY","FILING_STATUS=MR","EQY_CONSOLIDATED=Y","SCALING_FORMAT=MLN","Sort=A","Dates=H","DateFormat=P","Fill=—","Direction=H","UseDPDF=Y")</f>
        <v>0</v>
      </c>
      <c r="E29" s="13">
        <f>_xll.BDH("RCOM IN Equity","CF_NT_CSH_RCVD_PD_FOR_ACQUIS_DIV","FY 2012","FY 2012","Currency=INR","Period=FY","BEST_FPERIOD_OVERRIDE=FY","FILING_STATUS=MR","EQY_CONSOLIDATED=Y","SCALING_FORMAT=MLN","Sort=A","Dates=H","DateFormat=P","Fill=—","Direction=H","UseDPDF=Y")</f>
        <v>0</v>
      </c>
      <c r="F29" s="13">
        <f>_xll.BDH("RCOM IN Equity","CF_NT_CSH_RCVD_PD_FOR_ACQUIS_DIV","FY 2013","FY 2013","Currency=INR","Period=FY","BEST_FPERIOD_OVERRIDE=FY","FILING_STATUS=MR","EQY_CONSOLIDATED=Y","SCALING_FORMAT=MLN","Sort=A","Dates=H","DateFormat=P","Fill=—","Direction=H","UseDPDF=Y")</f>
        <v>0</v>
      </c>
      <c r="G29" s="13">
        <f>_xll.BDH("RCOM IN Equity","CF_NT_CSH_RCVD_PD_FOR_ACQUIS_DIV","FY 2014","FY 2014","Currency=INR","Period=FY","BEST_FPERIOD_OVERRIDE=FY","FILING_STATUS=MR","EQY_CONSOLIDATED=Y","SCALING_FORMAT=MLN","Sort=A","Dates=H","DateFormat=P","Fill=—","Direction=H","UseDPDF=Y")</f>
        <v>0</v>
      </c>
      <c r="H29" s="13">
        <f>_xll.BDH("RCOM IN Equity","CF_NT_CSH_RCVD_PD_FOR_ACQUIS_DIV","FY 2015","FY 2015","Currency=INR","Period=FY","BEST_FPERIOD_OVERRIDE=FY","FILING_STATUS=MR","EQY_CONSOLIDATED=Y","SCALING_FORMAT=MLN","Sort=A","Dates=H","DateFormat=P","Fill=—","Direction=H","UseDPDF=Y")</f>
        <v>0</v>
      </c>
      <c r="I29" s="13">
        <f>_xll.BDH("RCOM IN Equity","CF_NT_CSH_RCVD_PD_FOR_ACQUIS_DIV","FY 2016","FY 2016","Currency=INR","Period=FY","BEST_FPERIOD_OVERRIDE=FY","FILING_STATUS=MR","EQY_CONSOLIDATED=Y","SCALING_FORMAT=MLN","Sort=A","Dates=H","DateFormat=P","Fill=—","Direction=H","UseDPDF=Y")</f>
        <v>0</v>
      </c>
      <c r="J29" s="13">
        <f>_xll.BDH("RCOM IN Equity","CF_NT_CSH_RCVD_PD_FOR_ACQUIS_DIV","FY 2017","FY 2017","Currency=INR","Period=FY","BEST_FPERIOD_OVERRIDE=FY","FILING_STATUS=MR","EQY_CONSOLIDATED=Y","SCALING_FORMAT=MLN","Sort=A","Dates=H","DateFormat=P","Fill=—","Direction=H","UseDPDF=Y")</f>
        <v>0</v>
      </c>
      <c r="K29" s="13">
        <f>_xll.BDH("RCOM IN Equity","CF_NT_CSH_RCVD_PD_FOR_ACQUIS_DIV","FY 2018","FY 2018","Currency=INR","Period=FY","BEST_FPERIOD_OVERRIDE=FY","FILING_STATUS=MR","EQY_CONSOLIDATED=Y","SCALING_FORMAT=MLN","Sort=A","Dates=H","DateFormat=P","Fill=—","Direction=H","UseDPDF=Y")</f>
        <v>0</v>
      </c>
      <c r="L29" s="16"/>
    </row>
    <row r="30" spans="1:12">
      <c r="A30" s="10" t="s">
        <v>1255</v>
      </c>
      <c r="B30" s="10" t="s">
        <v>1256</v>
      </c>
      <c r="C30" s="13">
        <f>_xll.BDH("RCOM IN Equity","CF_CASH_FOR_DIVESTITURES","FY 2010","FY 2010","Currency=INR","Period=FY","BEST_FPERIOD_OVERRIDE=FY","FILING_STATUS=MR","EQY_CONSOLIDATED=Y","SCALING_FORMAT=MLN","Sort=A","Dates=H","DateFormat=P","Fill=—","Direction=H","UseDPDF=Y")</f>
        <v>0</v>
      </c>
      <c r="D30" s="13">
        <f>_xll.BDH("RCOM IN Equity","CF_CASH_FOR_DIVESTITURES","FY 2011","FY 2011","Currency=INR","Period=FY","BEST_FPERIOD_OVERRIDE=FY","FILING_STATUS=MR","EQY_CONSOLIDATED=Y","SCALING_FORMAT=MLN","Sort=A","Dates=H","DateFormat=P","Fill=—","Direction=H","UseDPDF=Y")</f>
        <v>0</v>
      </c>
      <c r="E30" s="13">
        <f>_xll.BDH("RCOM IN Equity","CF_CASH_FOR_DIVESTITURES","FY 2012","FY 2012","Currency=INR","Period=FY","BEST_FPERIOD_OVERRIDE=FY","FILING_STATUS=MR","EQY_CONSOLIDATED=Y","SCALING_FORMAT=MLN","Sort=A","Dates=H","DateFormat=P","Fill=—","Direction=H","UseDPDF=Y")</f>
        <v>0</v>
      </c>
      <c r="F30" s="13">
        <f>_xll.BDH("RCOM IN Equity","CF_CASH_FOR_DIVESTITURES","FY 2013","FY 2013","Currency=INR","Period=FY","BEST_FPERIOD_OVERRIDE=FY","FILING_STATUS=MR","EQY_CONSOLIDATED=Y","SCALING_FORMAT=MLN","Sort=A","Dates=H","DateFormat=P","Fill=—","Direction=H","UseDPDF=Y")</f>
        <v>0</v>
      </c>
      <c r="G30" s="13">
        <f>_xll.BDH("RCOM IN Equity","CF_CASH_FOR_DIVESTITURES","FY 2014","FY 2014","Currency=INR","Period=FY","BEST_FPERIOD_OVERRIDE=FY","FILING_STATUS=MR","EQY_CONSOLIDATED=Y","SCALING_FORMAT=MLN","Sort=A","Dates=H","DateFormat=P","Fill=—","Direction=H","UseDPDF=Y")</f>
        <v>0</v>
      </c>
      <c r="H30" s="13">
        <f>_xll.BDH("RCOM IN Equity","CF_CASH_FOR_DIVESTITURES","FY 2015","FY 2015","Currency=INR","Period=FY","BEST_FPERIOD_OVERRIDE=FY","FILING_STATUS=MR","EQY_CONSOLIDATED=Y","SCALING_FORMAT=MLN","Sort=A","Dates=H","DateFormat=P","Fill=—","Direction=H","UseDPDF=Y")</f>
        <v>0</v>
      </c>
      <c r="I30" s="13">
        <f>_xll.BDH("RCOM IN Equity","CF_CASH_FOR_DIVESTITURES","FY 2016","FY 2016","Currency=INR","Period=FY","BEST_FPERIOD_OVERRIDE=FY","FILING_STATUS=MR","EQY_CONSOLIDATED=Y","SCALING_FORMAT=MLN","Sort=A","Dates=H","DateFormat=P","Fill=—","Direction=H","UseDPDF=Y")</f>
        <v>0</v>
      </c>
      <c r="J30" s="13">
        <f>_xll.BDH("RCOM IN Equity","CF_CASH_FOR_DIVESTITURES","FY 2017","FY 2017","Currency=INR","Period=FY","BEST_FPERIOD_OVERRIDE=FY","FILING_STATUS=MR","EQY_CONSOLIDATED=Y","SCALING_FORMAT=MLN","Sort=A","Dates=H","DateFormat=P","Fill=—","Direction=H","UseDPDF=Y")</f>
        <v>0</v>
      </c>
      <c r="K30" s="13">
        <f>_xll.BDH("RCOM IN Equity","CF_CASH_FOR_DIVESTITURES","FY 2018","FY 2018","Currency=INR","Period=FY","BEST_FPERIOD_OVERRIDE=FY","FILING_STATUS=MR","EQY_CONSOLIDATED=Y","SCALING_FORMAT=MLN","Sort=A","Dates=H","DateFormat=P","Fill=—","Direction=H","UseDPDF=Y")</f>
        <v>0</v>
      </c>
      <c r="L30" s="16"/>
    </row>
    <row r="31" spans="1:12">
      <c r="A31" s="10" t="s">
        <v>1257</v>
      </c>
      <c r="B31" s="10" t="s">
        <v>1258</v>
      </c>
      <c r="C31" s="13">
        <f>_xll.BDH("RCOM IN Equity","CF_CASH_FOR_ACQUIS_SUBSIDIARIES","FY 2010","FY 2010","Currency=INR","Period=FY","BEST_FPERIOD_OVERRIDE=FY","FILING_STATUS=MR","EQY_CONSOLIDATED=Y","SCALING_FORMAT=MLN","Sort=A","Dates=H","DateFormat=P","Fill=—","Direction=H","UseDPDF=Y")</f>
        <v>0</v>
      </c>
      <c r="D31" s="13">
        <f>_xll.BDH("RCOM IN Equity","CF_CASH_FOR_ACQUIS_SUBSIDIARIES","FY 2011","FY 2011","Currency=INR","Period=FY","BEST_FPERIOD_OVERRIDE=FY","FILING_STATUS=MR","EQY_CONSOLIDATED=Y","SCALING_FORMAT=MLN","Sort=A","Dates=H","DateFormat=P","Fill=—","Direction=H","UseDPDF=Y")</f>
        <v>0</v>
      </c>
      <c r="E31" s="13">
        <f>_xll.BDH("RCOM IN Equity","CF_CASH_FOR_ACQUIS_SUBSIDIARIES","FY 2012","FY 2012","Currency=INR","Period=FY","BEST_FPERIOD_OVERRIDE=FY","FILING_STATUS=MR","EQY_CONSOLIDATED=Y","SCALING_FORMAT=MLN","Sort=A","Dates=H","DateFormat=P","Fill=—","Direction=H","UseDPDF=Y")</f>
        <v>0</v>
      </c>
      <c r="F31" s="13">
        <f>_xll.BDH("RCOM IN Equity","CF_CASH_FOR_ACQUIS_SUBSIDIARIES","FY 2013","FY 2013","Currency=INR","Period=FY","BEST_FPERIOD_OVERRIDE=FY","FILING_STATUS=MR","EQY_CONSOLIDATED=Y","SCALING_FORMAT=MLN","Sort=A","Dates=H","DateFormat=P","Fill=—","Direction=H","UseDPDF=Y")</f>
        <v>0</v>
      </c>
      <c r="G31" s="13">
        <f>_xll.BDH("RCOM IN Equity","CF_CASH_FOR_ACQUIS_SUBSIDIARIES","FY 2014","FY 2014","Currency=INR","Period=FY","BEST_FPERIOD_OVERRIDE=FY","FILING_STATUS=MR","EQY_CONSOLIDATED=Y","SCALING_FORMAT=MLN","Sort=A","Dates=H","DateFormat=P","Fill=—","Direction=H","UseDPDF=Y")</f>
        <v>0</v>
      </c>
      <c r="H31" s="13">
        <f>_xll.BDH("RCOM IN Equity","CF_CASH_FOR_ACQUIS_SUBSIDIARIES","FY 2015","FY 2015","Currency=INR","Period=FY","BEST_FPERIOD_OVERRIDE=FY","FILING_STATUS=MR","EQY_CONSOLIDATED=Y","SCALING_FORMAT=MLN","Sort=A","Dates=H","DateFormat=P","Fill=—","Direction=H","UseDPDF=Y")</f>
        <v>0</v>
      </c>
      <c r="I31" s="13">
        <f>_xll.BDH("RCOM IN Equity","CF_CASH_FOR_ACQUIS_SUBSIDIARIES","FY 2016","FY 2016","Currency=INR","Period=FY","BEST_FPERIOD_OVERRIDE=FY","FILING_STATUS=MR","EQY_CONSOLIDATED=Y","SCALING_FORMAT=MLN","Sort=A","Dates=H","DateFormat=P","Fill=—","Direction=H","UseDPDF=Y")</f>
        <v>0</v>
      </c>
      <c r="J31" s="13">
        <f>_xll.BDH("RCOM IN Equity","CF_CASH_FOR_ACQUIS_SUBSIDIARIES","FY 2017","FY 2017","Currency=INR","Period=FY","BEST_FPERIOD_OVERRIDE=FY","FILING_STATUS=MR","EQY_CONSOLIDATED=Y","SCALING_FORMAT=MLN","Sort=A","Dates=H","DateFormat=P","Fill=—","Direction=H","UseDPDF=Y")</f>
        <v>0</v>
      </c>
      <c r="K31" s="13">
        <f>_xll.BDH("RCOM IN Equity","CF_CASH_FOR_ACQUIS_SUBSIDIARIES","FY 2018","FY 2018","Currency=INR","Period=FY","BEST_FPERIOD_OVERRIDE=FY","FILING_STATUS=MR","EQY_CONSOLIDATED=Y","SCALING_FORMAT=MLN","Sort=A","Dates=H","DateFormat=P","Fill=—","Direction=H","UseDPDF=Y")</f>
        <v>0</v>
      </c>
      <c r="L31" s="16"/>
    </row>
    <row r="32" spans="1:12">
      <c r="A32" s="10" t="s">
        <v>1259</v>
      </c>
      <c r="B32" s="10" t="s">
        <v>1260</v>
      </c>
      <c r="C32" s="13">
        <f>_xll.BDH("RCOM IN Equity","CF_CASH_FOR_JOINT_VENTURES_ASSOC","FY 2010","FY 2010","Currency=INR","Period=FY","BEST_FPERIOD_OVERRIDE=FY","FILING_STATUS=MR","EQY_CONSOLIDATED=Y","SCALING_FORMAT=MLN","Sort=A","Dates=H","DateFormat=P","Fill=—","Direction=H","UseDPDF=Y")</f>
        <v>0</v>
      </c>
      <c r="D32" s="13">
        <f>_xll.BDH("RCOM IN Equity","CF_CASH_FOR_JOINT_VENTURES_ASSOC","FY 2011","FY 2011","Currency=INR","Period=FY","BEST_FPERIOD_OVERRIDE=FY","FILING_STATUS=MR","EQY_CONSOLIDATED=Y","SCALING_FORMAT=MLN","Sort=A","Dates=H","DateFormat=P","Fill=—","Direction=H","UseDPDF=Y")</f>
        <v>0</v>
      </c>
      <c r="E32" s="13">
        <f>_xll.BDH("RCOM IN Equity","CF_CASH_FOR_JOINT_VENTURES_ASSOC","FY 2012","FY 2012","Currency=INR","Period=FY","BEST_FPERIOD_OVERRIDE=FY","FILING_STATUS=MR","EQY_CONSOLIDATED=Y","SCALING_FORMAT=MLN","Sort=A","Dates=H","DateFormat=P","Fill=—","Direction=H","UseDPDF=Y")</f>
        <v>0</v>
      </c>
      <c r="F32" s="13">
        <f>_xll.BDH("RCOM IN Equity","CF_CASH_FOR_JOINT_VENTURES_ASSOC","FY 2013","FY 2013","Currency=INR","Period=FY","BEST_FPERIOD_OVERRIDE=FY","FILING_STATUS=MR","EQY_CONSOLIDATED=Y","SCALING_FORMAT=MLN","Sort=A","Dates=H","DateFormat=P","Fill=—","Direction=H","UseDPDF=Y")</f>
        <v>0</v>
      </c>
      <c r="G32" s="13">
        <f>_xll.BDH("RCOM IN Equity","CF_CASH_FOR_JOINT_VENTURES_ASSOC","FY 2014","FY 2014","Currency=INR","Period=FY","BEST_FPERIOD_OVERRIDE=FY","FILING_STATUS=MR","EQY_CONSOLIDATED=Y","SCALING_FORMAT=MLN","Sort=A","Dates=H","DateFormat=P","Fill=—","Direction=H","UseDPDF=Y")</f>
        <v>0</v>
      </c>
      <c r="H32" s="13">
        <f>_xll.BDH("RCOM IN Equity","CF_CASH_FOR_JOINT_VENTURES_ASSOC","FY 2015","FY 2015","Currency=INR","Period=FY","BEST_FPERIOD_OVERRIDE=FY","FILING_STATUS=MR","EQY_CONSOLIDATED=Y","SCALING_FORMAT=MLN","Sort=A","Dates=H","DateFormat=P","Fill=—","Direction=H","UseDPDF=Y")</f>
        <v>0</v>
      </c>
      <c r="I32" s="13">
        <f>_xll.BDH("RCOM IN Equity","CF_CASH_FOR_JOINT_VENTURES_ASSOC","FY 2016","FY 2016","Currency=INR","Period=FY","BEST_FPERIOD_OVERRIDE=FY","FILING_STATUS=MR","EQY_CONSOLIDATED=Y","SCALING_FORMAT=MLN","Sort=A","Dates=H","DateFormat=P","Fill=—","Direction=H","UseDPDF=Y")</f>
        <v>0</v>
      </c>
      <c r="J32" s="13">
        <f>_xll.BDH("RCOM IN Equity","CF_CASH_FOR_JOINT_VENTURES_ASSOC","FY 2017","FY 2017","Currency=INR","Period=FY","BEST_FPERIOD_OVERRIDE=FY","FILING_STATUS=MR","EQY_CONSOLIDATED=Y","SCALING_FORMAT=MLN","Sort=A","Dates=H","DateFormat=P","Fill=—","Direction=H","UseDPDF=Y")</f>
        <v>0</v>
      </c>
      <c r="K32" s="13">
        <f>_xll.BDH("RCOM IN Equity","CF_CASH_FOR_JOINT_VENTURES_ASSOC","FY 2018","FY 2018","Currency=INR","Period=FY","BEST_FPERIOD_OVERRIDE=FY","FILING_STATUS=MR","EQY_CONSOLIDATED=Y","SCALING_FORMAT=MLN","Sort=A","Dates=H","DateFormat=P","Fill=—","Direction=H","UseDPDF=Y")</f>
        <v>0</v>
      </c>
      <c r="L32" s="16"/>
    </row>
    <row r="33" spans="1:12">
      <c r="A33" s="10" t="s">
        <v>1261</v>
      </c>
      <c r="B33" s="10" t="s">
        <v>1262</v>
      </c>
      <c r="C33" s="13">
        <f>_xll.BDH("RCOM IN Equity","OTHER_INVESTING_ACT_DETAILED","FY 2010","FY 2010","Currency=INR","Period=FY","BEST_FPERIOD_OVERRIDE=FY","FILING_STATUS=MR","EQY_CONSOLIDATED=Y","SCALING_FORMAT=MLN","Sort=A","Dates=H","DateFormat=P","Fill=—","Direction=H","UseDPDF=Y")</f>
        <v>56358.5</v>
      </c>
      <c r="D33" s="13">
        <f>_xll.BDH("RCOM IN Equity","OTHER_INVESTING_ACT_DETAILED","FY 2011","FY 2011","Currency=INR","Period=FY","BEST_FPERIOD_OVERRIDE=FY","FILING_STATUS=MR","EQY_CONSOLIDATED=Y","SCALING_FORMAT=MLN","Sort=A","Dates=H","DateFormat=P","Fill=—","Direction=H","UseDPDF=Y")</f>
        <v>36630</v>
      </c>
      <c r="E33" s="13">
        <f>_xll.BDH("RCOM IN Equity","OTHER_INVESTING_ACT_DETAILED","FY 2012","FY 2012","Currency=INR","Period=FY","BEST_FPERIOD_OVERRIDE=FY","FILING_STATUS=MR","EQY_CONSOLIDATED=Y","SCALING_FORMAT=MLN","Sort=A","Dates=H","DateFormat=P","Fill=—","Direction=H","UseDPDF=Y")</f>
        <v>230</v>
      </c>
      <c r="F33" s="13">
        <f>_xll.BDH("RCOM IN Equity","OTHER_INVESTING_ACT_DETAILED","FY 2013","FY 2013","Currency=INR","Period=FY","BEST_FPERIOD_OVERRIDE=FY","FILING_STATUS=MR","EQY_CONSOLIDATED=Y","SCALING_FORMAT=MLN","Sort=A","Dates=H","DateFormat=P","Fill=—","Direction=H","UseDPDF=Y")</f>
        <v>350</v>
      </c>
      <c r="G33" s="13">
        <f>_xll.BDH("RCOM IN Equity","OTHER_INVESTING_ACT_DETAILED","FY 2014","FY 2014","Currency=INR","Period=FY","BEST_FPERIOD_OVERRIDE=FY","FILING_STATUS=MR","EQY_CONSOLIDATED=Y","SCALING_FORMAT=MLN","Sort=A","Dates=H","DateFormat=P","Fill=—","Direction=H","UseDPDF=Y")</f>
        <v>160</v>
      </c>
      <c r="H33" s="13">
        <f>_xll.BDH("RCOM IN Equity","OTHER_INVESTING_ACT_DETAILED","FY 2015","FY 2015","Currency=INR","Period=FY","BEST_FPERIOD_OVERRIDE=FY","FILING_STATUS=MR","EQY_CONSOLIDATED=Y","SCALING_FORMAT=MLN","Sort=A","Dates=H","DateFormat=P","Fill=—","Direction=H","UseDPDF=Y")</f>
        <v>-6600</v>
      </c>
      <c r="I33" s="13">
        <f>_xll.BDH("RCOM IN Equity","OTHER_INVESTING_ACT_DETAILED","FY 2016","FY 2016","Currency=INR","Period=FY","BEST_FPERIOD_OVERRIDE=FY","FILING_STATUS=MR","EQY_CONSOLIDATED=Y","SCALING_FORMAT=MLN","Sort=A","Dates=H","DateFormat=P","Fill=—","Direction=H","UseDPDF=Y")</f>
        <v>2650</v>
      </c>
      <c r="J33" s="13">
        <f>_xll.BDH("RCOM IN Equity","OTHER_INVESTING_ACT_DETAILED","FY 2017","FY 2017","Currency=INR","Period=FY","BEST_FPERIOD_OVERRIDE=FY","FILING_STATUS=MR","EQY_CONSOLIDATED=Y","SCALING_FORMAT=MLN","Sort=A","Dates=H","DateFormat=P","Fill=—","Direction=H","UseDPDF=Y")</f>
        <v>45830</v>
      </c>
      <c r="K33" s="13">
        <f>_xll.BDH("RCOM IN Equity","OTHER_INVESTING_ACT_DETAILED","FY 2018","FY 2018","Currency=INR","Period=FY","BEST_FPERIOD_OVERRIDE=FY","FILING_STATUS=MR","EQY_CONSOLIDATED=Y","SCALING_FORMAT=MLN","Sort=A","Dates=H","DateFormat=P","Fill=—","Direction=H","UseDPDF=Y")</f>
        <v>2310</v>
      </c>
      <c r="L33" s="16"/>
    </row>
    <row r="34" spans="1:12">
      <c r="A34" s="10" t="s">
        <v>1230</v>
      </c>
      <c r="B34" s="10" t="s">
        <v>1263</v>
      </c>
      <c r="C34" s="13">
        <f>_xll.BDH("RCOM IN Equity","CF_NET_CASH_DISCONTINUED_OPS_INV","FY 2010","FY 2010","Currency=INR","Period=FY","BEST_FPERIOD_OVERRIDE=FY","FILING_STATUS=MR","EQY_CONSOLIDATED=Y","SCALING_FORMAT=MLN","Sort=A","Dates=H","DateFormat=P","Fill=—","Direction=H","UseDPDF=Y")</f>
        <v>0</v>
      </c>
      <c r="D34" s="13">
        <f>_xll.BDH("RCOM IN Equity","CF_NET_CASH_DISCONTINUED_OPS_INV","FY 2011","FY 2011","Currency=INR","Period=FY","BEST_FPERIOD_OVERRIDE=FY","FILING_STATUS=MR","EQY_CONSOLIDATED=Y","SCALING_FORMAT=MLN","Sort=A","Dates=H","DateFormat=P","Fill=—","Direction=H","UseDPDF=Y")</f>
        <v>0</v>
      </c>
      <c r="E34" s="13">
        <f>_xll.BDH("RCOM IN Equity","CF_NET_CASH_DISCONTINUED_OPS_INV","FY 2012","FY 2012","Currency=INR","Period=FY","BEST_FPERIOD_OVERRIDE=FY","FILING_STATUS=MR","EQY_CONSOLIDATED=Y","SCALING_FORMAT=MLN","Sort=A","Dates=H","DateFormat=P","Fill=—","Direction=H","UseDPDF=Y")</f>
        <v>0</v>
      </c>
      <c r="F34" s="13">
        <f>_xll.BDH("RCOM IN Equity","CF_NET_CASH_DISCONTINUED_OPS_INV","FY 2013","FY 2013","Currency=INR","Period=FY","BEST_FPERIOD_OVERRIDE=FY","FILING_STATUS=MR","EQY_CONSOLIDATED=Y","SCALING_FORMAT=MLN","Sort=A","Dates=H","DateFormat=P","Fill=—","Direction=H","UseDPDF=Y")</f>
        <v>0</v>
      </c>
      <c r="G34" s="13">
        <f>_xll.BDH("RCOM IN Equity","CF_NET_CASH_DISCONTINUED_OPS_INV","FY 2014","FY 2014","Currency=INR","Period=FY","BEST_FPERIOD_OVERRIDE=FY","FILING_STATUS=MR","EQY_CONSOLIDATED=Y","SCALING_FORMAT=MLN","Sort=A","Dates=H","DateFormat=P","Fill=—","Direction=H","UseDPDF=Y")</f>
        <v>0</v>
      </c>
      <c r="H34" s="13">
        <f>_xll.BDH("RCOM IN Equity","CF_NET_CASH_DISCONTINUED_OPS_INV","FY 2015","FY 2015","Currency=INR","Period=FY","BEST_FPERIOD_OVERRIDE=FY","FILING_STATUS=MR","EQY_CONSOLIDATED=Y","SCALING_FORMAT=MLN","Sort=A","Dates=H","DateFormat=P","Fill=—","Direction=H","UseDPDF=Y")</f>
        <v>0</v>
      </c>
      <c r="I34" s="13">
        <f>_xll.BDH("RCOM IN Equity","CF_NET_CASH_DISCONTINUED_OPS_INV","FY 2016","FY 2016","Currency=INR","Period=FY","BEST_FPERIOD_OVERRIDE=FY","FILING_STATUS=MR","EQY_CONSOLIDATED=Y","SCALING_FORMAT=MLN","Sort=A","Dates=H","DateFormat=P","Fill=—","Direction=H","UseDPDF=Y")</f>
        <v>0</v>
      </c>
      <c r="J34" s="13" t="str">
        <f>_xll.BDH("RCOM IN Equity","CF_NET_CASH_DISCONTINUED_OPS_INV","FY 2017","FY 2017","Currency=INR","Period=FY","BEST_FPERIOD_OVERRIDE=FY","FILING_STATUS=MR","EQY_CONSOLIDATED=Y","SCALING_FORMAT=MLN","Sort=A","Dates=H","DateFormat=P","Fill=—","Direction=H","UseDPDF=Y")</f>
        <v>—</v>
      </c>
      <c r="K34" s="13" t="str">
        <f>_xll.BDH("RCOM IN Equity","CF_NET_CASH_DISCONTINUED_OPS_INV","FY 2018","FY 2018","Currency=INR","Period=FY","BEST_FPERIOD_OVERRIDE=FY","FILING_STATUS=MR","EQY_CONSOLIDATED=Y","SCALING_FORMAT=MLN","Sort=A","Dates=H","DateFormat=P","Fill=—","Direction=H","UseDPDF=Y")</f>
        <v>—</v>
      </c>
      <c r="L34" s="16"/>
    </row>
    <row r="35" spans="1:12">
      <c r="A35" s="6" t="s">
        <v>1232</v>
      </c>
      <c r="B35" s="6" t="s">
        <v>89</v>
      </c>
      <c r="C35" s="19">
        <f>_xll.BDH("RCOM IN Equity","CF_CASH_FROM_INV_ACT","FY 2010","FY 2010","Currency=INR","Period=FY","BEST_FPERIOD_OVERRIDE=FY","FILING_STATUS=MR","EQY_CONSOLIDATED=Y","SCALING_FORMAT=MLN","Sort=A","Dates=H","DateFormat=P","Fill=—","Direction=H","UseDPDF=Y")</f>
        <v>-18600.5</v>
      </c>
      <c r="D35" s="19">
        <f>_xll.BDH("RCOM IN Equity","CF_CASH_FROM_INV_ACT","FY 2011","FY 2011","Currency=INR","Period=FY","BEST_FPERIOD_OVERRIDE=FY","FILING_STATUS=MR","EQY_CONSOLIDATED=Y","SCALING_FORMAT=MLN","Sort=A","Dates=H","DateFormat=P","Fill=—","Direction=H","UseDPDF=Y")</f>
        <v>-64580</v>
      </c>
      <c r="E35" s="19">
        <f>_xll.BDH("RCOM IN Equity","CF_CASH_FROM_INV_ACT","FY 2012","FY 2012","Currency=INR","Period=FY","BEST_FPERIOD_OVERRIDE=FY","FILING_STATUS=MR","EQY_CONSOLIDATED=Y","SCALING_FORMAT=MLN","Sort=A","Dates=H","DateFormat=P","Fill=—","Direction=H","UseDPDF=Y")</f>
        <v>-46110</v>
      </c>
      <c r="F35" s="19">
        <f>_xll.BDH("RCOM IN Equity","CF_CASH_FROM_INV_ACT","FY 2013","FY 2013","Currency=INR","Period=FY","BEST_FPERIOD_OVERRIDE=FY","FILING_STATUS=MR","EQY_CONSOLIDATED=Y","SCALING_FORMAT=MLN","Sort=A","Dates=H","DateFormat=P","Fill=—","Direction=H","UseDPDF=Y")</f>
        <v>-20790</v>
      </c>
      <c r="G35" s="19">
        <f>_xll.BDH("RCOM IN Equity","CF_CASH_FROM_INV_ACT","FY 2014","FY 2014","Currency=INR","Period=FY","BEST_FPERIOD_OVERRIDE=FY","FILING_STATUS=MR","EQY_CONSOLIDATED=Y","SCALING_FORMAT=MLN","Sort=A","Dates=H","DateFormat=P","Fill=—","Direction=H","UseDPDF=Y")</f>
        <v>-21490</v>
      </c>
      <c r="H35" s="19">
        <f>_xll.BDH("RCOM IN Equity","CF_CASH_FROM_INV_ACT","FY 2015","FY 2015","Currency=INR","Period=FY","BEST_FPERIOD_OVERRIDE=FY","FILING_STATUS=MR","EQY_CONSOLIDATED=Y","SCALING_FORMAT=MLN","Sort=A","Dates=H","DateFormat=P","Fill=—","Direction=H","UseDPDF=Y")</f>
        <v>-31560</v>
      </c>
      <c r="I35" s="19">
        <f>_xll.BDH("RCOM IN Equity","CF_CASH_FROM_INV_ACT","FY 2016","FY 2016","Currency=INR","Period=FY","BEST_FPERIOD_OVERRIDE=FY","FILING_STATUS=MR","EQY_CONSOLIDATED=Y","SCALING_FORMAT=MLN","Sort=A","Dates=H","DateFormat=P","Fill=—","Direction=H","UseDPDF=Y")</f>
        <v>-150650</v>
      </c>
      <c r="J35" s="19">
        <f>_xll.BDH("RCOM IN Equity","CF_CASH_FROM_INV_ACT","FY 2017","FY 2017","Currency=INR","Period=FY","BEST_FPERIOD_OVERRIDE=FY","FILING_STATUS=MR","EQY_CONSOLIDATED=Y","SCALING_FORMAT=MLN","Sort=A","Dates=H","DateFormat=P","Fill=—","Direction=H","UseDPDF=Y")</f>
        <v>6630</v>
      </c>
      <c r="K35" s="19">
        <f>_xll.BDH("RCOM IN Equity","CF_CASH_FROM_INV_ACT","FY 2018","FY 2018","Currency=INR","Period=FY","BEST_FPERIOD_OVERRIDE=FY","FILING_STATUS=MR","EQY_CONSOLIDATED=Y","SCALING_FORMAT=MLN","Sort=A","Dates=H","DateFormat=P","Fill=—","Direction=H","UseDPDF=Y")</f>
        <v>-3600</v>
      </c>
      <c r="L35" s="22"/>
    </row>
    <row r="36" spans="1:12">
      <c r="A36" s="6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1"/>
    </row>
    <row r="37" spans="1:12">
      <c r="A37" s="6" t="s">
        <v>1264</v>
      </c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1"/>
    </row>
    <row r="38" spans="1:12">
      <c r="A38" s="10" t="s">
        <v>1265</v>
      </c>
      <c r="B38" s="10" t="s">
        <v>1266</v>
      </c>
      <c r="C38" s="13">
        <f>_xll.BDH("RCOM IN Equity","CF_DVD_PAID","FY 2010","FY 2010","Currency=INR","Period=FY","BEST_FPERIOD_OVERRIDE=FY","FILING_STATUS=MR","EQY_CONSOLIDATED=Y","SCALING_FORMAT=MLN","Sort=A","Dates=H","DateFormat=P","Fill=—","Direction=H","UseDPDF=Y")</f>
        <v>-1910.6</v>
      </c>
      <c r="D38" s="13">
        <f>_xll.BDH("RCOM IN Equity","CF_DVD_PAID","FY 2011","FY 2011","Currency=INR","Period=FY","BEST_FPERIOD_OVERRIDE=FY","FILING_STATUS=MR","EQY_CONSOLIDATED=Y","SCALING_FORMAT=MLN","Sort=A","Dates=H","DateFormat=P","Fill=—","Direction=H","UseDPDF=Y")</f>
        <v>-2020</v>
      </c>
      <c r="E38" s="13">
        <f>_xll.BDH("RCOM IN Equity","CF_DVD_PAID","FY 2012","FY 2012","Currency=INR","Period=FY","BEST_FPERIOD_OVERRIDE=FY","FILING_STATUS=MR","EQY_CONSOLIDATED=Y","SCALING_FORMAT=MLN","Sort=A","Dates=H","DateFormat=P","Fill=—","Direction=H","UseDPDF=Y")</f>
        <v>-1190</v>
      </c>
      <c r="F38" s="13">
        <f>_xll.BDH("RCOM IN Equity","CF_DVD_PAID","FY 2013","FY 2013","Currency=INR","Period=FY","BEST_FPERIOD_OVERRIDE=FY","FILING_STATUS=MR","EQY_CONSOLIDATED=Y","SCALING_FORMAT=MLN","Sort=A","Dates=H","DateFormat=P","Fill=—","Direction=H","UseDPDF=Y")</f>
        <v>-600</v>
      </c>
      <c r="G38" s="13">
        <f>_xll.BDH("RCOM IN Equity","CF_DVD_PAID","FY 2014","FY 2014","Currency=INR","Period=FY","BEST_FPERIOD_OVERRIDE=FY","FILING_STATUS=MR","EQY_CONSOLIDATED=Y","SCALING_FORMAT=MLN","Sort=A","Dates=H","DateFormat=P","Fill=—","Direction=H","UseDPDF=Y")</f>
        <v>-610</v>
      </c>
      <c r="H38" s="13">
        <f>_xll.BDH("RCOM IN Equity","CF_DVD_PAID","FY 2015","FY 2015","Currency=INR","Period=FY","BEST_FPERIOD_OVERRIDE=FY","FILING_STATUS=MR","EQY_CONSOLIDATED=Y","SCALING_FORMAT=MLN","Sort=A","Dates=H","DateFormat=P","Fill=—","Direction=H","UseDPDF=Y")</f>
        <v>-10</v>
      </c>
      <c r="I38" s="13">
        <f>_xll.BDH("RCOM IN Equity","CF_DVD_PAID","FY 2016","FY 2016","Currency=INR","Period=FY","BEST_FPERIOD_OVERRIDE=FY","FILING_STATUS=MR","EQY_CONSOLIDATED=Y","SCALING_FORMAT=MLN","Sort=A","Dates=H","DateFormat=P","Fill=—","Direction=H","UseDPDF=Y")</f>
        <v>-20</v>
      </c>
      <c r="J38" s="13">
        <f>_xll.BDH("RCOM IN Equity","CF_DVD_PAID","FY 2017","FY 2017","Currency=INR","Period=FY","BEST_FPERIOD_OVERRIDE=FY","FILING_STATUS=MR","EQY_CONSOLIDATED=Y","SCALING_FORMAT=MLN","Sort=A","Dates=H","DateFormat=P","Fill=—","Direction=H","UseDPDF=Y")</f>
        <v>-20</v>
      </c>
      <c r="K38" s="13">
        <f>_xll.BDH("RCOM IN Equity","CF_DVD_PAID","FY 2018","FY 2018","Currency=INR","Period=FY","BEST_FPERIOD_OVERRIDE=FY","FILING_STATUS=MR","EQY_CONSOLIDATED=Y","SCALING_FORMAT=MLN","Sort=A","Dates=H","DateFormat=P","Fill=—","Direction=H","UseDPDF=Y")</f>
        <v>0</v>
      </c>
      <c r="L38" s="16"/>
    </row>
    <row r="39" spans="1:12">
      <c r="A39" s="10" t="s">
        <v>1267</v>
      </c>
      <c r="B39" s="10" t="s">
        <v>1268</v>
      </c>
      <c r="C39" s="13">
        <f>_xll.BDH("RCOM IN Equity","PROC_FR_REPAYMNTS_BOR_DETAILED","FY 2010","FY 2010","Currency=INR","Period=FY","BEST_FPERIOD_OVERRIDE=FY","FILING_STATUS=MR","EQY_CONSOLIDATED=Y","SCALING_FORMAT=MLN","Sort=A","Dates=H","DateFormat=P","Fill=—","Direction=H","UseDPDF=Y")</f>
        <v>-69898.3</v>
      </c>
      <c r="D39" s="13">
        <f>_xll.BDH("RCOM IN Equity","PROC_FR_REPAYMNTS_BOR_DETAILED","FY 2011","FY 2011","Currency=INR","Period=FY","BEST_FPERIOD_OVERRIDE=FY","FILING_STATUS=MR","EQY_CONSOLIDATED=Y","SCALING_FORMAT=MLN","Sort=A","Dates=H","DateFormat=P","Fill=—","Direction=H","UseDPDF=Y")</f>
        <v>96350</v>
      </c>
      <c r="E39" s="13">
        <f>_xll.BDH("RCOM IN Equity","PROC_FR_REPAYMNTS_BOR_DETAILED","FY 2012","FY 2012","Currency=INR","Period=FY","BEST_FPERIOD_OVERRIDE=FY","FILING_STATUS=MR","EQY_CONSOLIDATED=Y","SCALING_FORMAT=MLN","Sort=A","Dates=H","DateFormat=P","Fill=—","Direction=H","UseDPDF=Y")</f>
        <v>-33160</v>
      </c>
      <c r="F39" s="13">
        <f>_xll.BDH("RCOM IN Equity","PROC_FR_REPAYMNTS_BOR_DETAILED","FY 2013","FY 2013","Currency=INR","Period=FY","BEST_FPERIOD_OVERRIDE=FY","FILING_STATUS=MR","EQY_CONSOLIDATED=Y","SCALING_FORMAT=MLN","Sort=A","Dates=H","DateFormat=P","Fill=—","Direction=H","UseDPDF=Y")</f>
        <v>22150</v>
      </c>
      <c r="G39" s="13">
        <f>_xll.BDH("RCOM IN Equity","PROC_FR_REPAYMNTS_BOR_DETAILED","FY 2014","FY 2014","Currency=INR","Period=FY","BEST_FPERIOD_OVERRIDE=FY","FILING_STATUS=MR","EQY_CONSOLIDATED=Y","SCALING_FORMAT=MLN","Sort=A","Dates=H","DateFormat=P","Fill=—","Direction=H","UseDPDF=Y")</f>
        <v>-13640</v>
      </c>
      <c r="H39" s="13">
        <f>_xll.BDH("RCOM IN Equity","PROC_FR_REPAYMNTS_BOR_DETAILED","FY 2015","FY 2015","Currency=INR","Period=FY","BEST_FPERIOD_OVERRIDE=FY","FILING_STATUS=MR","EQY_CONSOLIDATED=Y","SCALING_FORMAT=MLN","Sort=A","Dates=H","DateFormat=P","Fill=—","Direction=H","UseDPDF=Y")</f>
        <v>-24370</v>
      </c>
      <c r="I39" s="13">
        <f>_xll.BDH("RCOM IN Equity","PROC_FR_REPAYMNTS_BOR_DETAILED","FY 2016","FY 2016","Currency=INR","Period=FY","BEST_FPERIOD_OVERRIDE=FY","FILING_STATUS=MR","EQY_CONSOLIDATED=Y","SCALING_FORMAT=MLN","Sort=A","Dates=H","DateFormat=P","Fill=—","Direction=H","UseDPDF=Y")</f>
        <v>37350</v>
      </c>
      <c r="J39" s="13">
        <f>_xll.BDH("RCOM IN Equity","PROC_FR_REPAYMNTS_BOR_DETAILED","FY 2017","FY 2017","Currency=INR","Period=FY","BEST_FPERIOD_OVERRIDE=FY","FILING_STATUS=MR","EQY_CONSOLIDATED=Y","SCALING_FORMAT=MLN","Sort=A","Dates=H","DateFormat=P","Fill=—","Direction=H","UseDPDF=Y")</f>
        <v>33140</v>
      </c>
      <c r="K39" s="13">
        <f>_xll.BDH("RCOM IN Equity","PROC_FR_REPAYMNTS_BOR_DETAILED","FY 2018","FY 2018","Currency=INR","Period=FY","BEST_FPERIOD_OVERRIDE=FY","FILING_STATUS=MR","EQY_CONSOLIDATED=Y","SCALING_FORMAT=MLN","Sort=A","Dates=H","DateFormat=P","Fill=—","Direction=H","UseDPDF=Y")</f>
        <v>6310</v>
      </c>
      <c r="L39" s="16"/>
    </row>
    <row r="40" spans="1:12">
      <c r="A40" s="10" t="s">
        <v>1269</v>
      </c>
      <c r="B40" s="10" t="s">
        <v>1270</v>
      </c>
      <c r="C40" s="13">
        <f>_xll.BDH("RCOM IN Equity","CF_NET_CHG_IN_ST_DBT_&amp;_CPTL_LEAS","FY 2010","FY 2010","Currency=INR","Period=FY","BEST_FPERIOD_OVERRIDE=FY","FILING_STATUS=MR","EQY_CONSOLIDATED=Y","SCALING_FORMAT=MLN","Sort=A","Dates=H","DateFormat=P","Fill=—","Direction=H","UseDPDF=Y")</f>
        <v>-32632.400000000001</v>
      </c>
      <c r="D40" s="13">
        <f>_xll.BDH("RCOM IN Equity","CF_NET_CHG_IN_ST_DBT_&amp;_CPTL_LEAS","FY 2011","FY 2011","Currency=INR","Period=FY","BEST_FPERIOD_OVERRIDE=FY","FILING_STATUS=MR","EQY_CONSOLIDATED=Y","SCALING_FORMAT=MLN","Sort=A","Dates=H","DateFormat=P","Fill=—","Direction=H","UseDPDF=Y")</f>
        <v>26840</v>
      </c>
      <c r="E40" s="13">
        <f>_xll.BDH("RCOM IN Equity","CF_NET_CHG_IN_ST_DBT_&amp;_CPTL_LEAS","FY 2012","FY 2012","Currency=INR","Period=FY","BEST_FPERIOD_OVERRIDE=FY","FILING_STATUS=MR","EQY_CONSOLIDATED=Y","SCALING_FORMAT=MLN","Sort=A","Dates=H","DateFormat=P","Fill=—","Direction=H","UseDPDF=Y")</f>
        <v>-52110</v>
      </c>
      <c r="F40" s="13">
        <f>_xll.BDH("RCOM IN Equity","CF_NET_CHG_IN_ST_DBT_&amp;_CPTL_LEAS","FY 2013","FY 2013","Currency=INR","Period=FY","BEST_FPERIOD_OVERRIDE=FY","FILING_STATUS=MR","EQY_CONSOLIDATED=Y","SCALING_FORMAT=MLN","Sort=A","Dates=H","DateFormat=P","Fill=—","Direction=H","UseDPDF=Y")</f>
        <v>32680</v>
      </c>
      <c r="G40" s="13">
        <f>_xll.BDH("RCOM IN Equity","CF_NET_CHG_IN_ST_DBT_&amp;_CPTL_LEAS","FY 2014","FY 2014","Currency=INR","Period=FY","BEST_FPERIOD_OVERRIDE=FY","FILING_STATUS=MR","EQY_CONSOLIDATED=Y","SCALING_FORMAT=MLN","Sort=A","Dates=H","DateFormat=P","Fill=—","Direction=H","UseDPDF=Y")</f>
        <v>1320</v>
      </c>
      <c r="H40" s="13">
        <f>_xll.BDH("RCOM IN Equity","CF_NET_CHG_IN_ST_DBT_&amp;_CPTL_LEAS","FY 2015","FY 2015","Currency=INR","Period=FY","BEST_FPERIOD_OVERRIDE=FY","FILING_STATUS=MR","EQY_CONSOLIDATED=Y","SCALING_FORMAT=MLN","Sort=A","Dates=H","DateFormat=P","Fill=—","Direction=H","UseDPDF=Y")</f>
        <v>-35150</v>
      </c>
      <c r="I40" s="13">
        <f>_xll.BDH("RCOM IN Equity","CF_NET_CHG_IN_ST_DBT_&amp;_CPTL_LEAS","FY 2016","FY 2016","Currency=INR","Period=FY","BEST_FPERIOD_OVERRIDE=FY","FILING_STATUS=MR","EQY_CONSOLIDATED=Y","SCALING_FORMAT=MLN","Sort=A","Dates=H","DateFormat=P","Fill=—","Direction=H","UseDPDF=Y")</f>
        <v>28010</v>
      </c>
      <c r="J40" s="13">
        <f>_xll.BDH("RCOM IN Equity","CF_NET_CHG_IN_ST_DBT_&amp;_CPTL_LEAS","FY 2017","FY 2017","Currency=INR","Period=FY","BEST_FPERIOD_OVERRIDE=FY","FILING_STATUS=MR","EQY_CONSOLIDATED=Y","SCALING_FORMAT=MLN","Sort=A","Dates=H","DateFormat=P","Fill=—","Direction=H","UseDPDF=Y")</f>
        <v>51580</v>
      </c>
      <c r="K40" s="13">
        <f>_xll.BDH("RCOM IN Equity","CF_NET_CHG_IN_ST_DBT_&amp;_CPTL_LEAS","FY 2018","FY 2018","Currency=INR","Period=FY","BEST_FPERIOD_OVERRIDE=FY","FILING_STATUS=MR","EQY_CONSOLIDATED=Y","SCALING_FORMAT=MLN","Sort=A","Dates=H","DateFormat=P","Fill=—","Direction=H","UseDPDF=Y")</f>
        <v>12600</v>
      </c>
      <c r="L40" s="16"/>
    </row>
    <row r="41" spans="1:12">
      <c r="A41" s="10" t="s">
        <v>1271</v>
      </c>
      <c r="B41" s="10" t="s">
        <v>1272</v>
      </c>
      <c r="C41" s="13">
        <f>_xll.BDH("RCOM IN Equity","CF_PROC_LT_DEBT_&amp;_CAPITAL_LEASE","FY 2010","FY 2010","Currency=INR","Period=FY","BEST_FPERIOD_OVERRIDE=FY","FILING_STATUS=MR","EQY_CONSOLIDATED=Y","SCALING_FORMAT=MLN","Sort=A","Dates=H","DateFormat=P","Fill=—","Direction=H","UseDPDF=Y")</f>
        <v>26680.7</v>
      </c>
      <c r="D41" s="13">
        <f>_xll.BDH("RCOM IN Equity","CF_PROC_LT_DEBT_&amp;_CAPITAL_LEASE","FY 2011","FY 2011","Currency=INR","Period=FY","BEST_FPERIOD_OVERRIDE=FY","FILING_STATUS=MR","EQY_CONSOLIDATED=Y","SCALING_FORMAT=MLN","Sort=A","Dates=H","DateFormat=P","Fill=—","Direction=H","UseDPDF=Y")</f>
        <v>90900</v>
      </c>
      <c r="E41" s="13">
        <f>_xll.BDH("RCOM IN Equity","CF_PROC_LT_DEBT_&amp;_CAPITAL_LEASE","FY 2012","FY 2012","Currency=INR","Period=FY","BEST_FPERIOD_OVERRIDE=FY","FILING_STATUS=MR","EQY_CONSOLIDATED=Y","SCALING_FORMAT=MLN","Sort=A","Dates=H","DateFormat=P","Fill=—","Direction=H","UseDPDF=Y")</f>
        <v>107560</v>
      </c>
      <c r="F41" s="13">
        <f>_xll.BDH("RCOM IN Equity","CF_PROC_LT_DEBT_&amp;_CAPITAL_LEASE","FY 2013","FY 2013","Currency=INR","Period=FY","BEST_FPERIOD_OVERRIDE=FY","FILING_STATUS=MR","EQY_CONSOLIDATED=Y","SCALING_FORMAT=MLN","Sort=A","Dates=H","DateFormat=P","Fill=—","Direction=H","UseDPDF=Y")</f>
        <v>14760</v>
      </c>
      <c r="G41" s="13">
        <f>_xll.BDH("RCOM IN Equity","CF_PROC_LT_DEBT_&amp;_CAPITAL_LEASE","FY 2014","FY 2014","Currency=INR","Period=FY","BEST_FPERIOD_OVERRIDE=FY","FILING_STATUS=MR","EQY_CONSOLIDATED=Y","SCALING_FORMAT=MLN","Sort=A","Dates=H","DateFormat=P","Fill=—","Direction=H","UseDPDF=Y")</f>
        <v>24990</v>
      </c>
      <c r="H41" s="13">
        <f>_xll.BDH("RCOM IN Equity","CF_PROC_LT_DEBT_&amp;_CAPITAL_LEASE","FY 2015","FY 2015","Currency=INR","Period=FY","BEST_FPERIOD_OVERRIDE=FY","FILING_STATUS=MR","EQY_CONSOLIDATED=Y","SCALING_FORMAT=MLN","Sort=A","Dates=H","DateFormat=P","Fill=—","Direction=H","UseDPDF=Y")</f>
        <v>64420</v>
      </c>
      <c r="I41" s="13">
        <f>_xll.BDH("RCOM IN Equity","CF_PROC_LT_DEBT_&amp;_CAPITAL_LEASE","FY 2016","FY 2016","Currency=INR","Period=FY","BEST_FPERIOD_OVERRIDE=FY","FILING_STATUS=MR","EQY_CONSOLIDATED=Y","SCALING_FORMAT=MLN","Sort=A","Dates=H","DateFormat=P","Fill=—","Direction=H","UseDPDF=Y")</f>
        <v>58510</v>
      </c>
      <c r="J41" s="13">
        <f>_xll.BDH("RCOM IN Equity","CF_PROC_LT_DEBT_&amp;_CAPITAL_LEASE","FY 2017","FY 2017","Currency=INR","Period=FY","BEST_FPERIOD_OVERRIDE=FY","FILING_STATUS=MR","EQY_CONSOLIDATED=Y","SCALING_FORMAT=MLN","Sort=A","Dates=H","DateFormat=P","Fill=—","Direction=H","UseDPDF=Y")</f>
        <v>43670</v>
      </c>
      <c r="K41" s="13">
        <f>_xll.BDH("RCOM IN Equity","CF_PROC_LT_DEBT_&amp;_CAPITAL_LEASE","FY 2018","FY 2018","Currency=INR","Period=FY","BEST_FPERIOD_OVERRIDE=FY","FILING_STATUS=MR","EQY_CONSOLIDATED=Y","SCALING_FORMAT=MLN","Sort=A","Dates=H","DateFormat=P","Fill=—","Direction=H","UseDPDF=Y")</f>
        <v>30520</v>
      </c>
      <c r="L41" s="16"/>
    </row>
    <row r="42" spans="1:12">
      <c r="A42" s="10" t="s">
        <v>1273</v>
      </c>
      <c r="B42" s="10" t="s">
        <v>1274</v>
      </c>
      <c r="C42" s="13">
        <f>_xll.BDH("RCOM IN Equity","CF_PYMT_LT_DEBT_&amp;_CAPITAL_LEASE","FY 2010","FY 2010","Currency=INR","Period=FY","BEST_FPERIOD_OVERRIDE=FY","FILING_STATUS=MR","EQY_CONSOLIDATED=Y","SCALING_FORMAT=MLN","Sort=A","Dates=H","DateFormat=P","Fill=—","Direction=H","UseDPDF=Y")</f>
        <v>-63946.6</v>
      </c>
      <c r="D42" s="13">
        <f>_xll.BDH("RCOM IN Equity","CF_PYMT_LT_DEBT_&amp;_CAPITAL_LEASE","FY 2011","FY 2011","Currency=INR","Period=FY","BEST_FPERIOD_OVERRIDE=FY","FILING_STATUS=MR","EQY_CONSOLIDATED=Y","SCALING_FORMAT=MLN","Sort=A","Dates=H","DateFormat=P","Fill=—","Direction=H","UseDPDF=Y")</f>
        <v>-21390</v>
      </c>
      <c r="E42" s="13">
        <f>_xll.BDH("RCOM IN Equity","CF_PYMT_LT_DEBT_&amp;_CAPITAL_LEASE","FY 2012","FY 2012","Currency=INR","Period=FY","BEST_FPERIOD_OVERRIDE=FY","FILING_STATUS=MR","EQY_CONSOLIDATED=Y","SCALING_FORMAT=MLN","Sort=A","Dates=H","DateFormat=P","Fill=—","Direction=H","UseDPDF=Y")</f>
        <v>-88610</v>
      </c>
      <c r="F42" s="13">
        <f>_xll.BDH("RCOM IN Equity","CF_PYMT_LT_DEBT_&amp;_CAPITAL_LEASE","FY 2013","FY 2013","Currency=INR","Period=FY","BEST_FPERIOD_OVERRIDE=FY","FILING_STATUS=MR","EQY_CONSOLIDATED=Y","SCALING_FORMAT=MLN","Sort=A","Dates=H","DateFormat=P","Fill=—","Direction=H","UseDPDF=Y")</f>
        <v>-25290</v>
      </c>
      <c r="G42" s="13">
        <f>_xll.BDH("RCOM IN Equity","CF_PYMT_LT_DEBT_&amp;_CAPITAL_LEASE","FY 2014","FY 2014","Currency=INR","Period=FY","BEST_FPERIOD_OVERRIDE=FY","FILING_STATUS=MR","EQY_CONSOLIDATED=Y","SCALING_FORMAT=MLN","Sort=A","Dates=H","DateFormat=P","Fill=—","Direction=H","UseDPDF=Y")</f>
        <v>-39950</v>
      </c>
      <c r="H42" s="13">
        <f>_xll.BDH("RCOM IN Equity","CF_PYMT_LT_DEBT_&amp;_CAPITAL_LEASE","FY 2015","FY 2015","Currency=INR","Period=FY","BEST_FPERIOD_OVERRIDE=FY","FILING_STATUS=MR","EQY_CONSOLIDATED=Y","SCALING_FORMAT=MLN","Sort=A","Dates=H","DateFormat=P","Fill=—","Direction=H","UseDPDF=Y")</f>
        <v>-53640</v>
      </c>
      <c r="I42" s="13">
        <f>_xll.BDH("RCOM IN Equity","CF_PYMT_LT_DEBT_&amp;_CAPITAL_LEASE","FY 2016","FY 2016","Currency=INR","Period=FY","BEST_FPERIOD_OVERRIDE=FY","FILING_STATUS=MR","EQY_CONSOLIDATED=Y","SCALING_FORMAT=MLN","Sort=A","Dates=H","DateFormat=P","Fill=—","Direction=H","UseDPDF=Y")</f>
        <v>-49170</v>
      </c>
      <c r="J42" s="13">
        <f>_xll.BDH("RCOM IN Equity","CF_PYMT_LT_DEBT_&amp;_CAPITAL_LEASE","FY 2017","FY 2017","Currency=INR","Period=FY","BEST_FPERIOD_OVERRIDE=FY","FILING_STATUS=MR","EQY_CONSOLIDATED=Y","SCALING_FORMAT=MLN","Sort=A","Dates=H","DateFormat=P","Fill=—","Direction=H","UseDPDF=Y")</f>
        <v>-62110</v>
      </c>
      <c r="K42" s="13">
        <f>_xll.BDH("RCOM IN Equity","CF_PYMT_LT_DEBT_&amp;_CAPITAL_LEASE","FY 2018","FY 2018","Currency=INR","Period=FY","BEST_FPERIOD_OVERRIDE=FY","FILING_STATUS=MR","EQY_CONSOLIDATED=Y","SCALING_FORMAT=MLN","Sort=A","Dates=H","DateFormat=P","Fill=—","Direction=H","UseDPDF=Y")</f>
        <v>-36810</v>
      </c>
      <c r="L42" s="16"/>
    </row>
    <row r="43" spans="1:12">
      <c r="A43" s="10" t="s">
        <v>1275</v>
      </c>
      <c r="B43" s="10" t="s">
        <v>1276</v>
      </c>
      <c r="C43" s="13">
        <f>_xll.BDH("RCOM IN Equity","PROC_FR_REPURCH_EQTY_DETAILED","FY 2010","FY 2010","Currency=INR","Period=FY","BEST_FPERIOD_OVERRIDE=FY","FILING_STATUS=MR","EQY_CONSOLIDATED=Y","SCALING_FORMAT=MLN","Sort=A","Dates=H","DateFormat=P","Fill=—","Direction=H","UseDPDF=Y")</f>
        <v>0</v>
      </c>
      <c r="D43" s="13">
        <f>_xll.BDH("RCOM IN Equity","PROC_FR_REPURCH_EQTY_DETAILED","FY 2011","FY 2011","Currency=INR","Period=FY","BEST_FPERIOD_OVERRIDE=FY","FILING_STATUS=MR","EQY_CONSOLIDATED=Y","SCALING_FORMAT=MLN","Sort=A","Dates=H","DateFormat=P","Fill=—","Direction=H","UseDPDF=Y")</f>
        <v>0</v>
      </c>
      <c r="E43" s="13">
        <f>_xll.BDH("RCOM IN Equity","PROC_FR_REPURCH_EQTY_DETAILED","FY 2012","FY 2012","Currency=INR","Period=FY","BEST_FPERIOD_OVERRIDE=FY","FILING_STATUS=MR","EQY_CONSOLIDATED=Y","SCALING_FORMAT=MLN","Sort=A","Dates=H","DateFormat=P","Fill=—","Direction=H","UseDPDF=Y")</f>
        <v>0</v>
      </c>
      <c r="F43" s="13">
        <f>_xll.BDH("RCOM IN Equity","PROC_FR_REPURCH_EQTY_DETAILED","FY 2013","FY 2013","Currency=INR","Period=FY","BEST_FPERIOD_OVERRIDE=FY","FILING_STATUS=MR","EQY_CONSOLIDATED=Y","SCALING_FORMAT=MLN","Sort=A","Dates=H","DateFormat=P","Fill=—","Direction=H","UseDPDF=Y")</f>
        <v>0</v>
      </c>
      <c r="G43" s="13">
        <f>_xll.BDH("RCOM IN Equity","PROC_FR_REPURCH_EQTY_DETAILED","FY 2014","FY 2014","Currency=INR","Period=FY","BEST_FPERIOD_OVERRIDE=FY","FILING_STATUS=MR","EQY_CONSOLIDATED=Y","SCALING_FORMAT=MLN","Sort=A","Dates=H","DateFormat=P","Fill=—","Direction=H","UseDPDF=Y")</f>
        <v>0</v>
      </c>
      <c r="H43" s="13">
        <f>_xll.BDH("RCOM IN Equity","PROC_FR_REPURCH_EQTY_DETAILED","FY 2015","FY 2015","Currency=INR","Period=FY","BEST_FPERIOD_OVERRIDE=FY","FILING_STATUS=MR","EQY_CONSOLIDATED=Y","SCALING_FORMAT=MLN","Sort=A","Dates=H","DateFormat=P","Fill=—","Direction=H","UseDPDF=Y")</f>
        <v>60710</v>
      </c>
      <c r="I43" s="13">
        <f>_xll.BDH("RCOM IN Equity","PROC_FR_REPURCH_EQTY_DETAILED","FY 2016","FY 2016","Currency=INR","Period=FY","BEST_FPERIOD_OVERRIDE=FY","FILING_STATUS=MR","EQY_CONSOLIDATED=Y","SCALING_FORMAT=MLN","Sort=A","Dates=H","DateFormat=P","Fill=—","Direction=H","UseDPDF=Y")</f>
        <v>0</v>
      </c>
      <c r="J43" s="13">
        <f>_xll.BDH("RCOM IN Equity","PROC_FR_REPURCH_EQTY_DETAILED","FY 2017","FY 2017","Currency=INR","Period=FY","BEST_FPERIOD_OVERRIDE=FY","FILING_STATUS=MR","EQY_CONSOLIDATED=Y","SCALING_FORMAT=MLN","Sort=A","Dates=H","DateFormat=P","Fill=—","Direction=H","UseDPDF=Y")</f>
        <v>0</v>
      </c>
      <c r="K43" s="13">
        <f>_xll.BDH("RCOM IN Equity","PROC_FR_REPURCH_EQTY_DETAILED","FY 2018","FY 2018","Currency=INR","Period=FY","BEST_FPERIOD_OVERRIDE=FY","FILING_STATUS=MR","EQY_CONSOLIDATED=Y","SCALING_FORMAT=MLN","Sort=A","Dates=H","DateFormat=P","Fill=—","Direction=H","UseDPDF=Y")</f>
        <v>0</v>
      </c>
      <c r="L43" s="16"/>
    </row>
    <row r="44" spans="1:12">
      <c r="A44" s="10" t="s">
        <v>1277</v>
      </c>
      <c r="B44" s="10" t="s">
        <v>1278</v>
      </c>
      <c r="C44" s="13">
        <f>_xll.BDH("RCOM IN Equity","CF_INCR_CAP_STOCK","FY 2010","FY 2010","Currency=INR","Period=FY","BEST_FPERIOD_OVERRIDE=FY","FILING_STATUS=MR","EQY_CONSOLIDATED=Y","SCALING_FORMAT=MLN","Sort=A","Dates=H","DateFormat=P","Fill=—","Direction=H","UseDPDF=Y")</f>
        <v>0</v>
      </c>
      <c r="D44" s="13">
        <f>_xll.BDH("RCOM IN Equity","CF_INCR_CAP_STOCK","FY 2011","FY 2011","Currency=INR","Period=FY","BEST_FPERIOD_OVERRIDE=FY","FILING_STATUS=MR","EQY_CONSOLIDATED=Y","SCALING_FORMAT=MLN","Sort=A","Dates=H","DateFormat=P","Fill=—","Direction=H","UseDPDF=Y")</f>
        <v>0</v>
      </c>
      <c r="E44" s="13">
        <f>_xll.BDH("RCOM IN Equity","CF_INCR_CAP_STOCK","FY 2012","FY 2012","Currency=INR","Period=FY","BEST_FPERIOD_OVERRIDE=FY","FILING_STATUS=MR","EQY_CONSOLIDATED=Y","SCALING_FORMAT=MLN","Sort=A","Dates=H","DateFormat=P","Fill=—","Direction=H","UseDPDF=Y")</f>
        <v>0</v>
      </c>
      <c r="F44" s="13">
        <f>_xll.BDH("RCOM IN Equity","CF_INCR_CAP_STOCK","FY 2013","FY 2013","Currency=INR","Period=FY","BEST_FPERIOD_OVERRIDE=FY","FILING_STATUS=MR","EQY_CONSOLIDATED=Y","SCALING_FORMAT=MLN","Sort=A","Dates=H","DateFormat=P","Fill=—","Direction=H","UseDPDF=Y")</f>
        <v>0</v>
      </c>
      <c r="G44" s="13">
        <f>_xll.BDH("RCOM IN Equity","CF_INCR_CAP_STOCK","FY 2014","FY 2014","Currency=INR","Period=FY","BEST_FPERIOD_OVERRIDE=FY","FILING_STATUS=MR","EQY_CONSOLIDATED=Y","SCALING_FORMAT=MLN","Sort=A","Dates=H","DateFormat=P","Fill=—","Direction=H","UseDPDF=Y")</f>
        <v>0</v>
      </c>
      <c r="H44" s="13">
        <f>_xll.BDH("RCOM IN Equity","CF_INCR_CAP_STOCK","FY 2015","FY 2015","Currency=INR","Period=FY","BEST_FPERIOD_OVERRIDE=FY","FILING_STATUS=MR","EQY_CONSOLIDATED=Y","SCALING_FORMAT=MLN","Sort=A","Dates=H","DateFormat=P","Fill=—","Direction=H","UseDPDF=Y")</f>
        <v>60710</v>
      </c>
      <c r="I44" s="13">
        <f>_xll.BDH("RCOM IN Equity","CF_INCR_CAP_STOCK","FY 2016","FY 2016","Currency=INR","Period=FY","BEST_FPERIOD_OVERRIDE=FY","FILING_STATUS=MR","EQY_CONSOLIDATED=Y","SCALING_FORMAT=MLN","Sort=A","Dates=H","DateFormat=P","Fill=—","Direction=H","UseDPDF=Y")</f>
        <v>0</v>
      </c>
      <c r="J44" s="13">
        <f>_xll.BDH("RCOM IN Equity","CF_INCR_CAP_STOCK","FY 2017","FY 2017","Currency=INR","Period=FY","BEST_FPERIOD_OVERRIDE=FY","FILING_STATUS=MR","EQY_CONSOLIDATED=Y","SCALING_FORMAT=MLN","Sort=A","Dates=H","DateFormat=P","Fill=—","Direction=H","UseDPDF=Y")</f>
        <v>0</v>
      </c>
      <c r="K44" s="13">
        <f>_xll.BDH("RCOM IN Equity","CF_INCR_CAP_STOCK","FY 2018","FY 2018","Currency=INR","Period=FY","BEST_FPERIOD_OVERRIDE=FY","FILING_STATUS=MR","EQY_CONSOLIDATED=Y","SCALING_FORMAT=MLN","Sort=A","Dates=H","DateFormat=P","Fill=—","Direction=H","UseDPDF=Y")</f>
        <v>0</v>
      </c>
      <c r="L44" s="16"/>
    </row>
    <row r="45" spans="1:12">
      <c r="A45" s="10" t="s">
        <v>1279</v>
      </c>
      <c r="B45" s="10" t="s">
        <v>1280</v>
      </c>
      <c r="C45" s="13">
        <f>_xll.BDH("RCOM IN Equity","CF_DECR_CAP_STOCK","FY 2010","FY 2010","Currency=INR","Period=FY","BEST_FPERIOD_OVERRIDE=FY","FILING_STATUS=MR","EQY_CONSOLIDATED=Y","SCALING_FORMAT=MLN","Sort=A","Dates=H","DateFormat=P","Fill=—","Direction=H","UseDPDF=Y")</f>
        <v>0</v>
      </c>
      <c r="D45" s="13">
        <f>_xll.BDH("RCOM IN Equity","CF_DECR_CAP_STOCK","FY 2011","FY 2011","Currency=INR","Period=FY","BEST_FPERIOD_OVERRIDE=FY","FILING_STATUS=MR","EQY_CONSOLIDATED=Y","SCALING_FORMAT=MLN","Sort=A","Dates=H","DateFormat=P","Fill=—","Direction=H","UseDPDF=Y")</f>
        <v>0</v>
      </c>
      <c r="E45" s="13">
        <f>_xll.BDH("RCOM IN Equity","CF_DECR_CAP_STOCK","FY 2012","FY 2012","Currency=INR","Period=FY","BEST_FPERIOD_OVERRIDE=FY","FILING_STATUS=MR","EQY_CONSOLIDATED=Y","SCALING_FORMAT=MLN","Sort=A","Dates=H","DateFormat=P","Fill=—","Direction=H","UseDPDF=Y")</f>
        <v>0</v>
      </c>
      <c r="F45" s="13">
        <f>_xll.BDH("RCOM IN Equity","CF_DECR_CAP_STOCK","FY 2013","FY 2013","Currency=INR","Period=FY","BEST_FPERIOD_OVERRIDE=FY","FILING_STATUS=MR","EQY_CONSOLIDATED=Y","SCALING_FORMAT=MLN","Sort=A","Dates=H","DateFormat=P","Fill=—","Direction=H","UseDPDF=Y")</f>
        <v>0</v>
      </c>
      <c r="G45" s="13">
        <f>_xll.BDH("RCOM IN Equity","CF_DECR_CAP_STOCK","FY 2014","FY 2014","Currency=INR","Period=FY","BEST_FPERIOD_OVERRIDE=FY","FILING_STATUS=MR","EQY_CONSOLIDATED=Y","SCALING_FORMAT=MLN","Sort=A","Dates=H","DateFormat=P","Fill=—","Direction=H","UseDPDF=Y")</f>
        <v>0</v>
      </c>
      <c r="H45" s="13">
        <f>_xll.BDH("RCOM IN Equity","CF_DECR_CAP_STOCK","FY 2015","FY 2015","Currency=INR","Period=FY","BEST_FPERIOD_OVERRIDE=FY","FILING_STATUS=MR","EQY_CONSOLIDATED=Y","SCALING_FORMAT=MLN","Sort=A","Dates=H","DateFormat=P","Fill=—","Direction=H","UseDPDF=Y")</f>
        <v>0</v>
      </c>
      <c r="I45" s="13">
        <f>_xll.BDH("RCOM IN Equity","CF_DECR_CAP_STOCK","FY 2016","FY 2016","Currency=INR","Period=FY","BEST_FPERIOD_OVERRIDE=FY","FILING_STATUS=MR","EQY_CONSOLIDATED=Y","SCALING_FORMAT=MLN","Sort=A","Dates=H","DateFormat=P","Fill=—","Direction=H","UseDPDF=Y")</f>
        <v>0</v>
      </c>
      <c r="J45" s="13">
        <f>_xll.BDH("RCOM IN Equity","CF_DECR_CAP_STOCK","FY 2017","FY 2017","Currency=INR","Period=FY","BEST_FPERIOD_OVERRIDE=FY","FILING_STATUS=MR","EQY_CONSOLIDATED=Y","SCALING_FORMAT=MLN","Sort=A","Dates=H","DateFormat=P","Fill=—","Direction=H","UseDPDF=Y")</f>
        <v>0</v>
      </c>
      <c r="K45" s="13">
        <f>_xll.BDH("RCOM IN Equity","CF_DECR_CAP_STOCK","FY 2018","FY 2018","Currency=INR","Period=FY","BEST_FPERIOD_OVERRIDE=FY","FILING_STATUS=MR","EQY_CONSOLIDATED=Y","SCALING_FORMAT=MLN","Sort=A","Dates=H","DateFormat=P","Fill=—","Direction=H","UseDPDF=Y")</f>
        <v>0</v>
      </c>
      <c r="L45" s="16"/>
    </row>
    <row r="46" spans="1:12">
      <c r="A46" s="10" t="s">
        <v>1281</v>
      </c>
      <c r="B46" s="10" t="s">
        <v>1282</v>
      </c>
      <c r="C46" s="13">
        <f>_xll.BDH("RCOM IN Equity","CF_OTHER_FINANCING_ACT_EXCL_FX","FY 2010","FY 2010","Currency=INR","Period=FY","BEST_FPERIOD_OVERRIDE=FY","FILING_STATUS=MR","EQY_CONSOLIDATED=Y","SCALING_FORMAT=MLN","Sort=A","Dates=H","DateFormat=P","Fill=—","Direction=H","UseDPDF=Y")</f>
        <v>0</v>
      </c>
      <c r="D46" s="13">
        <f>_xll.BDH("RCOM IN Equity","CF_OTHER_FINANCING_ACT_EXCL_FX","FY 2011","FY 2011","Currency=INR","Period=FY","BEST_FPERIOD_OVERRIDE=FY","FILING_STATUS=MR","EQY_CONSOLIDATED=Y","SCALING_FORMAT=MLN","Sort=A","Dates=H","DateFormat=P","Fill=—","Direction=H","UseDPDF=Y")</f>
        <v>0</v>
      </c>
      <c r="E46" s="13">
        <f>_xll.BDH("RCOM IN Equity","CF_OTHER_FINANCING_ACT_EXCL_FX","FY 2012","FY 2012","Currency=INR","Period=FY","BEST_FPERIOD_OVERRIDE=FY","FILING_STATUS=MR","EQY_CONSOLIDATED=Y","SCALING_FORMAT=MLN","Sort=A","Dates=H","DateFormat=P","Fill=—","Direction=H","UseDPDF=Y")</f>
        <v>-3440</v>
      </c>
      <c r="F46" s="13">
        <f>_xll.BDH("RCOM IN Equity","CF_OTHER_FINANCING_ACT_EXCL_FX","FY 2013","FY 2013","Currency=INR","Period=FY","BEST_FPERIOD_OVERRIDE=FY","FILING_STATUS=MR","EQY_CONSOLIDATED=Y","SCALING_FORMAT=MLN","Sort=A","Dates=H","DateFormat=P","Fill=—","Direction=H","UseDPDF=Y")</f>
        <v>-12660</v>
      </c>
      <c r="G46" s="13">
        <f>_xll.BDH("RCOM IN Equity","CF_OTHER_FINANCING_ACT_EXCL_FX","FY 2014","FY 2014","Currency=INR","Period=FY","BEST_FPERIOD_OVERRIDE=FY","FILING_STATUS=MR","EQY_CONSOLIDATED=Y","SCALING_FORMAT=MLN","Sort=A","Dates=H","DateFormat=P","Fill=—","Direction=H","UseDPDF=Y")</f>
        <v>-5240</v>
      </c>
      <c r="H46" s="13">
        <f>_xll.BDH("RCOM IN Equity","CF_OTHER_FINANCING_ACT_EXCL_FX","FY 2015","FY 2015","Currency=INR","Period=FY","BEST_FPERIOD_OVERRIDE=FY","FILING_STATUS=MR","EQY_CONSOLIDATED=Y","SCALING_FORMAT=MLN","Sort=A","Dates=H","DateFormat=P","Fill=—","Direction=H","UseDPDF=Y")</f>
        <v>-1110</v>
      </c>
      <c r="I46" s="13">
        <f>_xll.BDH("RCOM IN Equity","CF_OTHER_FINANCING_ACT_EXCL_FX","FY 2016","FY 2016","Currency=INR","Period=FY","BEST_FPERIOD_OVERRIDE=FY","FILING_STATUS=MR","EQY_CONSOLIDATED=Y","SCALING_FORMAT=MLN","Sort=A","Dates=H","DateFormat=P","Fill=—","Direction=H","UseDPDF=Y")</f>
        <v>-32970</v>
      </c>
      <c r="J46" s="13">
        <f>_xll.BDH("RCOM IN Equity","CF_OTHER_FINANCING_ACT_EXCL_FX","FY 2017","FY 2017","Currency=INR","Period=FY","BEST_FPERIOD_OVERRIDE=FY","FILING_STATUS=MR","EQY_CONSOLIDATED=Y","SCALING_FORMAT=MLN","Sort=A","Dates=H","DateFormat=P","Fill=—","Direction=H","UseDPDF=Y")</f>
        <v>-1640</v>
      </c>
      <c r="K46" s="13">
        <f>_xll.BDH("RCOM IN Equity","CF_OTHER_FINANCING_ACT_EXCL_FX","FY 2018","FY 2018","Currency=INR","Period=FY","BEST_FPERIOD_OVERRIDE=FY","FILING_STATUS=MR","EQY_CONSOLIDATED=Y","SCALING_FORMAT=MLN","Sort=A","Dates=H","DateFormat=P","Fill=—","Direction=H","UseDPDF=Y")</f>
        <v>-720</v>
      </c>
      <c r="L46" s="16"/>
    </row>
    <row r="47" spans="1:12">
      <c r="A47" s="10" t="s">
        <v>1230</v>
      </c>
      <c r="B47" s="10" t="s">
        <v>1283</v>
      </c>
      <c r="C47" s="13">
        <f>_xll.BDH("RCOM IN Equity","CF_NET_CASH_DISCONTINUED_OPS_FIN","FY 2010","FY 2010","Currency=INR","Period=FY","BEST_FPERIOD_OVERRIDE=FY","FILING_STATUS=MR","EQY_CONSOLIDATED=Y","SCALING_FORMAT=MLN","Sort=A","Dates=H","DateFormat=P","Fill=—","Direction=H","UseDPDF=Y")</f>
        <v>0</v>
      </c>
      <c r="D47" s="13">
        <f>_xll.BDH("RCOM IN Equity","CF_NET_CASH_DISCONTINUED_OPS_FIN","FY 2011","FY 2011","Currency=INR","Period=FY","BEST_FPERIOD_OVERRIDE=FY","FILING_STATUS=MR","EQY_CONSOLIDATED=Y","SCALING_FORMAT=MLN","Sort=A","Dates=H","DateFormat=P","Fill=—","Direction=H","UseDPDF=Y")</f>
        <v>0</v>
      </c>
      <c r="E47" s="13">
        <f>_xll.BDH("RCOM IN Equity","CF_NET_CASH_DISCONTINUED_OPS_FIN","FY 2012","FY 2012","Currency=INR","Period=FY","BEST_FPERIOD_OVERRIDE=FY","FILING_STATUS=MR","EQY_CONSOLIDATED=Y","SCALING_FORMAT=MLN","Sort=A","Dates=H","DateFormat=P","Fill=—","Direction=H","UseDPDF=Y")</f>
        <v>0</v>
      </c>
      <c r="F47" s="13">
        <f>_xll.BDH("RCOM IN Equity","CF_NET_CASH_DISCONTINUED_OPS_FIN","FY 2013","FY 2013","Currency=INR","Period=FY","BEST_FPERIOD_OVERRIDE=FY","FILING_STATUS=MR","EQY_CONSOLIDATED=Y","SCALING_FORMAT=MLN","Sort=A","Dates=H","DateFormat=P","Fill=—","Direction=H","UseDPDF=Y")</f>
        <v>0</v>
      </c>
      <c r="G47" s="13">
        <f>_xll.BDH("RCOM IN Equity","CF_NET_CASH_DISCONTINUED_OPS_FIN","FY 2014","FY 2014","Currency=INR","Period=FY","BEST_FPERIOD_OVERRIDE=FY","FILING_STATUS=MR","EQY_CONSOLIDATED=Y","SCALING_FORMAT=MLN","Sort=A","Dates=H","DateFormat=P","Fill=—","Direction=H","UseDPDF=Y")</f>
        <v>0</v>
      </c>
      <c r="H47" s="13">
        <f>_xll.BDH("RCOM IN Equity","CF_NET_CASH_DISCONTINUED_OPS_FIN","FY 2015","FY 2015","Currency=INR","Period=FY","BEST_FPERIOD_OVERRIDE=FY","FILING_STATUS=MR","EQY_CONSOLIDATED=Y","SCALING_FORMAT=MLN","Sort=A","Dates=H","DateFormat=P","Fill=—","Direction=H","UseDPDF=Y")</f>
        <v>0</v>
      </c>
      <c r="I47" s="13">
        <f>_xll.BDH("RCOM IN Equity","CF_NET_CASH_DISCONTINUED_OPS_FIN","FY 2016","FY 2016","Currency=INR","Period=FY","BEST_FPERIOD_OVERRIDE=FY","FILING_STATUS=MR","EQY_CONSOLIDATED=Y","SCALING_FORMAT=MLN","Sort=A","Dates=H","DateFormat=P","Fill=—","Direction=H","UseDPDF=Y")</f>
        <v>0</v>
      </c>
      <c r="J47" s="13" t="str">
        <f>_xll.BDH("RCOM IN Equity","CF_NET_CASH_DISCONTINUED_OPS_FIN","FY 2017","FY 2017","Currency=INR","Period=FY","BEST_FPERIOD_OVERRIDE=FY","FILING_STATUS=MR","EQY_CONSOLIDATED=Y","SCALING_FORMAT=MLN","Sort=A","Dates=H","DateFormat=P","Fill=—","Direction=H","UseDPDF=Y")</f>
        <v>—</v>
      </c>
      <c r="K47" s="13" t="str">
        <f>_xll.BDH("RCOM IN Equity","CF_NET_CASH_DISCONTINUED_OPS_FIN","FY 2018","FY 2018","Currency=INR","Period=FY","BEST_FPERIOD_OVERRIDE=FY","FILING_STATUS=MR","EQY_CONSOLIDATED=Y","SCALING_FORMAT=MLN","Sort=A","Dates=H","DateFormat=P","Fill=—","Direction=H","UseDPDF=Y")</f>
        <v>—</v>
      </c>
      <c r="L47" s="16"/>
    </row>
    <row r="48" spans="1:12">
      <c r="A48" s="6" t="s">
        <v>1264</v>
      </c>
      <c r="B48" s="6" t="s">
        <v>1284</v>
      </c>
      <c r="C48" s="19">
        <f>_xll.BDH("RCOM IN Equity","CFF_ACTIVITIES_DETAILED","FY 2010","FY 2010","Currency=INR","Period=FY","BEST_FPERIOD_OVERRIDE=FY","FILING_STATUS=MR","EQY_CONSOLIDATED=Y","SCALING_FORMAT=MLN","Sort=A","Dates=H","DateFormat=P","Fill=—","Direction=H","UseDPDF=Y")</f>
        <v>-71808.899999999994</v>
      </c>
      <c r="D48" s="19">
        <f>_xll.BDH("RCOM IN Equity","CFF_ACTIVITIES_DETAILED","FY 2011","FY 2011","Currency=INR","Period=FY","BEST_FPERIOD_OVERRIDE=FY","FILING_STATUS=MR","EQY_CONSOLIDATED=Y","SCALING_FORMAT=MLN","Sort=A","Dates=H","DateFormat=P","Fill=—","Direction=H","UseDPDF=Y")</f>
        <v>94330</v>
      </c>
      <c r="E48" s="19">
        <f>_xll.BDH("RCOM IN Equity","CFF_ACTIVITIES_DETAILED","FY 2012","FY 2012","Currency=INR","Period=FY","BEST_FPERIOD_OVERRIDE=FY","FILING_STATUS=MR","EQY_CONSOLIDATED=Y","SCALING_FORMAT=MLN","Sort=A","Dates=H","DateFormat=P","Fill=—","Direction=H","UseDPDF=Y")</f>
        <v>-37790</v>
      </c>
      <c r="F48" s="19">
        <f>_xll.BDH("RCOM IN Equity","CFF_ACTIVITIES_DETAILED","FY 2013","FY 2013","Currency=INR","Period=FY","BEST_FPERIOD_OVERRIDE=FY","FILING_STATUS=MR","EQY_CONSOLIDATED=Y","SCALING_FORMAT=MLN","Sort=A","Dates=H","DateFormat=P","Fill=—","Direction=H","UseDPDF=Y")</f>
        <v>8890</v>
      </c>
      <c r="G48" s="19">
        <f>_xll.BDH("RCOM IN Equity","CFF_ACTIVITIES_DETAILED","FY 2014","FY 2014","Currency=INR","Period=FY","BEST_FPERIOD_OVERRIDE=FY","FILING_STATUS=MR","EQY_CONSOLIDATED=Y","SCALING_FORMAT=MLN","Sort=A","Dates=H","DateFormat=P","Fill=—","Direction=H","UseDPDF=Y")</f>
        <v>-19490</v>
      </c>
      <c r="H48" s="19">
        <f>_xll.BDH("RCOM IN Equity","CFF_ACTIVITIES_DETAILED","FY 2015","FY 2015","Currency=INR","Period=FY","BEST_FPERIOD_OVERRIDE=FY","FILING_STATUS=MR","EQY_CONSOLIDATED=Y","SCALING_FORMAT=MLN","Sort=A","Dates=H","DateFormat=P","Fill=—","Direction=H","UseDPDF=Y")</f>
        <v>35220</v>
      </c>
      <c r="I48" s="19">
        <f>_xll.BDH("RCOM IN Equity","CFF_ACTIVITIES_DETAILED","FY 2016","FY 2016","Currency=INR","Period=FY","BEST_FPERIOD_OVERRIDE=FY","FILING_STATUS=MR","EQY_CONSOLIDATED=Y","SCALING_FORMAT=MLN","Sort=A","Dates=H","DateFormat=P","Fill=—","Direction=H","UseDPDF=Y")</f>
        <v>4360</v>
      </c>
      <c r="J48" s="19">
        <f>_xll.BDH("RCOM IN Equity","CFF_ACTIVITIES_DETAILED","FY 2017","FY 2017","Currency=INR","Period=FY","BEST_FPERIOD_OVERRIDE=FY","FILING_STATUS=MR","EQY_CONSOLIDATED=Y","SCALING_FORMAT=MLN","Sort=A","Dates=H","DateFormat=P","Fill=—","Direction=H","UseDPDF=Y")</f>
        <v>31480</v>
      </c>
      <c r="K48" s="19">
        <f>_xll.BDH("RCOM IN Equity","CFF_ACTIVITIES_DETAILED","FY 2018","FY 2018","Currency=INR","Period=FY","BEST_FPERIOD_OVERRIDE=FY","FILING_STATUS=MR","EQY_CONSOLIDATED=Y","SCALING_FORMAT=MLN","Sort=A","Dates=H","DateFormat=P","Fill=—","Direction=H","UseDPDF=Y")</f>
        <v>5590</v>
      </c>
      <c r="L48" s="22"/>
    </row>
    <row r="49" spans="1:12">
      <c r="A49" s="6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1"/>
    </row>
    <row r="50" spans="1:12">
      <c r="A50" s="10" t="s">
        <v>1285</v>
      </c>
      <c r="B50" s="10" t="s">
        <v>1286</v>
      </c>
      <c r="C50" s="13">
        <f>_xll.BDH("RCOM IN Equity","CF_EFFECT_FOREIGN_EXCHANGES","FY 2010","FY 2010","Currency=INR","Period=FY","BEST_FPERIOD_OVERRIDE=FY","FILING_STATUS=MR","EQY_CONSOLIDATED=Y","SCALING_FORMAT=MLN","Sort=A","Dates=H","DateFormat=P","Fill=—","Direction=H","UseDPDF=Y")</f>
        <v>9.4</v>
      </c>
      <c r="D50" s="13">
        <f>_xll.BDH("RCOM IN Equity","CF_EFFECT_FOREIGN_EXCHANGES","FY 2011","FY 2011","Currency=INR","Period=FY","BEST_FPERIOD_OVERRIDE=FY","FILING_STATUS=MR","EQY_CONSOLIDATED=Y","SCALING_FORMAT=MLN","Sort=A","Dates=H","DateFormat=P","Fill=—","Direction=H","UseDPDF=Y")</f>
        <v>0</v>
      </c>
      <c r="E50" s="13">
        <f>_xll.BDH("RCOM IN Equity","CF_EFFECT_FOREIGN_EXCHANGES","FY 2012","FY 2012","Currency=INR","Period=FY","BEST_FPERIOD_OVERRIDE=FY","FILING_STATUS=MR","EQY_CONSOLIDATED=Y","SCALING_FORMAT=MLN","Sort=A","Dates=H","DateFormat=P","Fill=—","Direction=H","UseDPDF=Y")</f>
        <v>10</v>
      </c>
      <c r="F50" s="13">
        <f>_xll.BDH("RCOM IN Equity","CF_EFFECT_FOREIGN_EXCHANGES","FY 2013","FY 2013","Currency=INR","Period=FY","BEST_FPERIOD_OVERRIDE=FY","FILING_STATUS=MR","EQY_CONSOLIDATED=Y","SCALING_FORMAT=MLN","Sort=A","Dates=H","DateFormat=P","Fill=—","Direction=H","UseDPDF=Y")</f>
        <v>10</v>
      </c>
      <c r="G50" s="13">
        <f>_xll.BDH("RCOM IN Equity","CF_EFFECT_FOREIGN_EXCHANGES","FY 2014","FY 2014","Currency=INR","Period=FY","BEST_FPERIOD_OVERRIDE=FY","FILING_STATUS=MR","EQY_CONSOLIDATED=Y","SCALING_FORMAT=MLN","Sort=A","Dates=H","DateFormat=P","Fill=—","Direction=H","UseDPDF=Y")</f>
        <v>10</v>
      </c>
      <c r="H50" s="13">
        <f>_xll.BDH("RCOM IN Equity","CF_EFFECT_FOREIGN_EXCHANGES","FY 2015","FY 2015","Currency=INR","Period=FY","BEST_FPERIOD_OVERRIDE=FY","FILING_STATUS=MR","EQY_CONSOLIDATED=Y","SCALING_FORMAT=MLN","Sort=A","Dates=H","DateFormat=P","Fill=—","Direction=H","UseDPDF=Y")</f>
        <v>0</v>
      </c>
      <c r="I50" s="13">
        <f>_xll.BDH("RCOM IN Equity","CF_EFFECT_FOREIGN_EXCHANGES","FY 2016","FY 2016","Currency=INR","Period=FY","BEST_FPERIOD_OVERRIDE=FY","FILING_STATUS=MR","EQY_CONSOLIDATED=Y","SCALING_FORMAT=MLN","Sort=A","Dates=H","DateFormat=P","Fill=—","Direction=H","UseDPDF=Y")</f>
        <v>0</v>
      </c>
      <c r="J50" s="13">
        <f>_xll.BDH("RCOM IN Equity","CF_EFFECT_FOREIGN_EXCHANGES","FY 2017","FY 2017","Currency=INR","Period=FY","BEST_FPERIOD_OVERRIDE=FY","FILING_STATUS=MR","EQY_CONSOLIDATED=Y","SCALING_FORMAT=MLN","Sort=A","Dates=H","DateFormat=P","Fill=—","Direction=H","UseDPDF=Y")</f>
        <v>0</v>
      </c>
      <c r="K50" s="13">
        <f>_xll.BDH("RCOM IN Equity","CF_EFFECT_FOREIGN_EXCHANGES","FY 2018","FY 2018","Currency=INR","Period=FY","BEST_FPERIOD_OVERRIDE=FY","FILING_STATUS=MR","EQY_CONSOLIDATED=Y","SCALING_FORMAT=MLN","Sort=A","Dates=H","DateFormat=P","Fill=—","Direction=H","UseDPDF=Y")</f>
        <v>0</v>
      </c>
      <c r="L50" s="16"/>
    </row>
    <row r="51" spans="1:12">
      <c r="A51" s="6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1"/>
    </row>
    <row r="52" spans="1:12">
      <c r="A52" s="6" t="s">
        <v>1287</v>
      </c>
      <c r="B52" s="6" t="s">
        <v>1288</v>
      </c>
      <c r="C52" s="19">
        <f>_xll.BDH("RCOM IN Equity","CF_NET_CHNG_CASH","FY 2010","FY 2010","Currency=INR","Period=FY","BEST_FPERIOD_OVERRIDE=FY","FILING_STATUS=MR","EQY_CONSOLIDATED=Y","SCALING_FORMAT=MLN","Sort=A","Dates=H","DateFormat=P","Fill=—","Direction=H","UseDPDF=Y")</f>
        <v>-8643.6</v>
      </c>
      <c r="D52" s="19">
        <f>_xll.BDH("RCOM IN Equity","CF_NET_CHNG_CASH","FY 2011","FY 2011","Currency=INR","Period=FY","BEST_FPERIOD_OVERRIDE=FY","FILING_STATUS=MR","EQY_CONSOLIDATED=Y","SCALING_FORMAT=MLN","Sort=A","Dates=H","DateFormat=P","Fill=—","Direction=H","UseDPDF=Y")</f>
        <v>40470</v>
      </c>
      <c r="E52" s="19">
        <f>_xll.BDH("RCOM IN Equity","CF_NET_CHNG_CASH","FY 2012","FY 2012","Currency=INR","Period=FY","BEST_FPERIOD_OVERRIDE=FY","FILING_STATUS=MR","EQY_CONSOLIDATED=Y","SCALING_FORMAT=MLN","Sort=A","Dates=H","DateFormat=P","Fill=—","Direction=H","UseDPDF=Y")</f>
        <v>-43160</v>
      </c>
      <c r="F52" s="19">
        <f>_xll.BDH("RCOM IN Equity","CF_NET_CHNG_CASH","FY 2013","FY 2013","Currency=INR","Period=FY","BEST_FPERIOD_OVERRIDE=FY","FILING_STATUS=MR","EQY_CONSOLIDATED=Y","SCALING_FORMAT=MLN","Sort=A","Dates=H","DateFormat=P","Fill=—","Direction=H","UseDPDF=Y")</f>
        <v>1810</v>
      </c>
      <c r="G52" s="19">
        <f>_xll.BDH("RCOM IN Equity","CF_NET_CHNG_CASH","FY 2014","FY 2014","Currency=INR","Period=FY","BEST_FPERIOD_OVERRIDE=FY","FILING_STATUS=MR","EQY_CONSOLIDATED=Y","SCALING_FORMAT=MLN","Sort=A","Dates=H","DateFormat=P","Fill=—","Direction=H","UseDPDF=Y")</f>
        <v>-2270</v>
      </c>
      <c r="H52" s="19">
        <f>_xll.BDH("RCOM IN Equity","CF_NET_CHNG_CASH","FY 2015","FY 2015","Currency=INR","Period=FY","BEST_FPERIOD_OVERRIDE=FY","FILING_STATUS=MR","EQY_CONSOLIDATED=Y","SCALING_FORMAT=MLN","Sort=A","Dates=H","DateFormat=P","Fill=—","Direction=H","UseDPDF=Y")</f>
        <v>8520</v>
      </c>
      <c r="I52" s="19">
        <f>_xll.BDH("RCOM IN Equity","CF_NET_CHNG_CASH","FY 2016","FY 2016","Currency=INR","Period=FY","BEST_FPERIOD_OVERRIDE=FY","FILING_STATUS=MR","EQY_CONSOLIDATED=Y","SCALING_FORMAT=MLN","Sort=A","Dates=H","DateFormat=P","Fill=—","Direction=H","UseDPDF=Y")</f>
        <v>-4080</v>
      </c>
      <c r="J52" s="19">
        <f>_xll.BDH("RCOM IN Equity","CF_NET_CHNG_CASH","FY 2017","FY 2017","Currency=INR","Period=FY","BEST_FPERIOD_OVERRIDE=FY","FILING_STATUS=MR","EQY_CONSOLIDATED=Y","SCALING_FORMAT=MLN","Sort=A","Dates=H","DateFormat=P","Fill=—","Direction=H","UseDPDF=Y")</f>
        <v>2510</v>
      </c>
      <c r="K52" s="19">
        <f>_xll.BDH("RCOM IN Equity","CF_NET_CHNG_CASH","FY 2018","FY 2018","Currency=INR","Period=FY","BEST_FPERIOD_OVERRIDE=FY","FILING_STATUS=MR","EQY_CONSOLIDATED=Y","SCALING_FORMAT=MLN","Sort=A","Dates=H","DateFormat=P","Fill=—","Direction=H","UseDPDF=Y")</f>
        <v>-2080</v>
      </c>
      <c r="L52" s="22"/>
    </row>
    <row r="53" spans="1:12">
      <c r="A53" s="6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1"/>
    </row>
    <row r="54" spans="1:12">
      <c r="A54" s="6" t="s">
        <v>1289</v>
      </c>
      <c r="B54" s="6" t="s">
        <v>1290</v>
      </c>
      <c r="C54" s="19">
        <f>_xll.BDH("RCOM IN Equity","CF_CASH_PAID_FOR_TAX","FY 2010","FY 2010","Currency=INR","Period=FY","BEST_FPERIOD_OVERRIDE=FY","FILING_STATUS=MR","EQY_CONSOLIDATED=Y","SCALING_FORMAT=MLN","Sort=A","Dates=H","DateFormat=P","Fill=—","Direction=H","UseDPDF=Y")</f>
        <v>3121.7</v>
      </c>
      <c r="D54" s="19">
        <f>_xll.BDH("RCOM IN Equity","CF_CASH_PAID_FOR_TAX","FY 2011","FY 2011","Currency=INR","Period=FY","BEST_FPERIOD_OVERRIDE=FY","FILING_STATUS=MR","EQY_CONSOLIDATED=Y","SCALING_FORMAT=MLN","Sort=A","Dates=H","DateFormat=P","Fill=—","Direction=H","UseDPDF=Y")</f>
        <v>800</v>
      </c>
      <c r="E54" s="19">
        <f>_xll.BDH("RCOM IN Equity","CF_CASH_PAID_FOR_TAX","FY 2012","FY 2012","Currency=INR","Period=FY","BEST_FPERIOD_OVERRIDE=FY","FILING_STATUS=MR","EQY_CONSOLIDATED=Y","SCALING_FORMAT=MLN","Sort=A","Dates=H","DateFormat=P","Fill=—","Direction=H","UseDPDF=Y")</f>
        <v>-810</v>
      </c>
      <c r="F54" s="19">
        <f>_xll.BDH("RCOM IN Equity","CF_CASH_PAID_FOR_TAX","FY 2013","FY 2013","Currency=INR","Period=FY","BEST_FPERIOD_OVERRIDE=FY","FILING_STATUS=MR","EQY_CONSOLIDATED=Y","SCALING_FORMAT=MLN","Sort=A","Dates=H","DateFormat=P","Fill=—","Direction=H","UseDPDF=Y")</f>
        <v>-2040</v>
      </c>
      <c r="G54" s="19">
        <f>_xll.BDH("RCOM IN Equity","CF_CASH_PAID_FOR_TAX","FY 2014","FY 2014","Currency=INR","Period=FY","BEST_FPERIOD_OVERRIDE=FY","FILING_STATUS=MR","EQY_CONSOLIDATED=Y","SCALING_FORMAT=MLN","Sort=A","Dates=H","DateFormat=P","Fill=—","Direction=H","UseDPDF=Y")</f>
        <v>2710</v>
      </c>
      <c r="H54" s="19">
        <f>_xll.BDH("RCOM IN Equity","CF_CASH_PAID_FOR_TAX","FY 2015","FY 2015","Currency=INR","Period=FY","BEST_FPERIOD_OVERRIDE=FY","FILING_STATUS=MR","EQY_CONSOLIDATED=Y","SCALING_FORMAT=MLN","Sort=A","Dates=H","DateFormat=P","Fill=—","Direction=H","UseDPDF=Y")</f>
        <v>4360</v>
      </c>
      <c r="I54" s="19">
        <f>_xll.BDH("RCOM IN Equity","CF_CASH_PAID_FOR_TAX","FY 2016","FY 2016","Currency=INR","Period=FY","BEST_FPERIOD_OVERRIDE=FY","FILING_STATUS=MR","EQY_CONSOLIDATED=Y","SCALING_FORMAT=MLN","Sort=A","Dates=H","DateFormat=P","Fill=—","Direction=H","UseDPDF=Y")</f>
        <v>1980</v>
      </c>
      <c r="J54" s="19">
        <f>_xll.BDH("RCOM IN Equity","CF_CASH_PAID_FOR_TAX","FY 2017","FY 2017","Currency=INR","Period=FY","BEST_FPERIOD_OVERRIDE=FY","FILING_STATUS=MR","EQY_CONSOLIDATED=Y","SCALING_FORMAT=MLN","Sort=A","Dates=H","DateFormat=P","Fill=—","Direction=H","UseDPDF=Y")</f>
        <v>-4740</v>
      </c>
      <c r="K54" s="19">
        <f>_xll.BDH("RCOM IN Equity","CF_CASH_PAID_FOR_TAX","FY 2018","FY 2018","Currency=INR","Period=FY","BEST_FPERIOD_OVERRIDE=FY","FILING_STATUS=MR","EQY_CONSOLIDATED=Y","SCALING_FORMAT=MLN","Sort=A","Dates=H","DateFormat=P","Fill=—","Direction=H","UseDPDF=Y")</f>
        <v>-3270</v>
      </c>
      <c r="L54" s="22"/>
    </row>
    <row r="55" spans="1:12">
      <c r="A55" s="6" t="s">
        <v>1291</v>
      </c>
      <c r="B55" s="6" t="s">
        <v>1292</v>
      </c>
      <c r="C55" s="19">
        <f>_xll.BDH("RCOM IN Equity","CF_ACT_CASH_PAID_FOR_INT_DEBT","FY 2010","FY 2010","Currency=INR","Period=FY","BEST_FPERIOD_OVERRIDE=FY","FILING_STATUS=MR","EQY_CONSOLIDATED=Y","SCALING_FORMAT=MLN","Sort=A","Dates=H","DateFormat=P","Fill=—","Direction=H","UseDPDF=Y")</f>
        <v>14408.4</v>
      </c>
      <c r="D55" s="19">
        <f>_xll.BDH("RCOM IN Equity","CF_ACT_CASH_PAID_FOR_INT_DEBT","FY 2011","FY 2011","Currency=INR","Period=FY","BEST_FPERIOD_OVERRIDE=FY","FILING_STATUS=MR","EQY_CONSOLIDATED=Y","SCALING_FORMAT=MLN","Sort=A","Dates=H","DateFormat=P","Fill=—","Direction=H","UseDPDF=Y")</f>
        <v>13620</v>
      </c>
      <c r="E55" s="19">
        <f>_xll.BDH("RCOM IN Equity","CF_ACT_CASH_PAID_FOR_INT_DEBT","FY 2012","FY 2012","Currency=INR","Period=FY","BEST_FPERIOD_OVERRIDE=FY","FILING_STATUS=MR","EQY_CONSOLIDATED=Y","SCALING_FORMAT=MLN","Sort=A","Dates=H","DateFormat=P","Fill=—","Direction=H","UseDPDF=Y")</f>
        <v>17180</v>
      </c>
      <c r="F55" s="19">
        <f>_xll.BDH("RCOM IN Equity","CF_ACT_CASH_PAID_FOR_INT_DEBT","FY 2013","FY 2013","Currency=INR","Period=FY","BEST_FPERIOD_OVERRIDE=FY","FILING_STATUS=MR","EQY_CONSOLIDATED=Y","SCALING_FORMAT=MLN","Sort=A","Dates=H","DateFormat=P","Fill=—","Direction=H","UseDPDF=Y")</f>
        <v>24650</v>
      </c>
      <c r="G55" s="19">
        <f>_xll.BDH("RCOM IN Equity","CF_ACT_CASH_PAID_FOR_INT_DEBT","FY 2014","FY 2014","Currency=INR","Period=FY","BEST_FPERIOD_OVERRIDE=FY","FILING_STATUS=MR","EQY_CONSOLIDATED=Y","SCALING_FORMAT=MLN","Sort=A","Dates=H","DateFormat=P","Fill=—","Direction=H","UseDPDF=Y")</f>
        <v>30180</v>
      </c>
      <c r="H55" s="19" t="str">
        <f>_xll.BDH("RCOM IN Equity","CF_ACT_CASH_PAID_FOR_INT_DEBT","FY 2015","FY 2015","Currency=INR","Period=FY","BEST_FPERIOD_OVERRIDE=FY","FILING_STATUS=MR","EQY_CONSOLIDATED=Y","SCALING_FORMAT=MLN","Sort=A","Dates=H","DateFormat=P","Fill=—","Direction=H","UseDPDF=Y")</f>
        <v>—</v>
      </c>
      <c r="I55" s="19" t="str">
        <f>_xll.BDH("RCOM IN Equity","CF_ACT_CASH_PAID_FOR_INT_DEBT","FY 2016","FY 2016","Currency=INR","Period=FY","BEST_FPERIOD_OVERRIDE=FY","FILING_STATUS=MR","EQY_CONSOLIDATED=Y","SCALING_FORMAT=MLN","Sort=A","Dates=H","DateFormat=P","Fill=—","Direction=H","UseDPDF=Y")</f>
        <v>—</v>
      </c>
      <c r="J55" s="19" t="str">
        <f>_xll.BDH("RCOM IN Equity","CF_ACT_CASH_PAID_FOR_INT_DEBT","FY 2017","FY 2017","Currency=INR","Period=FY","BEST_FPERIOD_OVERRIDE=FY","FILING_STATUS=MR","EQY_CONSOLIDATED=Y","SCALING_FORMAT=MLN","Sort=A","Dates=H","DateFormat=P","Fill=—","Direction=H","UseDPDF=Y")</f>
        <v>—</v>
      </c>
      <c r="K55" s="19" t="str">
        <f>_xll.BDH("RCOM IN Equity","CF_ACT_CASH_PAID_FOR_INT_DEBT","FY 2018","FY 2018","Currency=INR","Period=FY","BEST_FPERIOD_OVERRIDE=FY","FILING_STATUS=MR","EQY_CONSOLIDATED=Y","SCALING_FORMAT=MLN","Sort=A","Dates=H","DateFormat=P","Fill=—","Direction=H","UseDPDF=Y")</f>
        <v>—</v>
      </c>
      <c r="L55" s="22"/>
    </row>
    <row r="56" spans="1:12">
      <c r="A56" s="6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1"/>
    </row>
    <row r="57" spans="1:12">
      <c r="A57" s="6" t="s">
        <v>2</v>
      </c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1"/>
    </row>
    <row r="58" spans="1:12">
      <c r="A58" s="10" t="s">
        <v>46</v>
      </c>
      <c r="B58" s="10" t="s">
        <v>46</v>
      </c>
      <c r="C58" s="13">
        <f>_xll.BDH("RCOM IN Equity","EBITDA","FY 2010","FY 2010","Currency=INR","Period=FY","BEST_FPERIOD_OVERRIDE=FY","FILING_STATUS=MR","EQY_CONSOLIDATED=Y","SCALING_FORMAT=MLN","FA_ADJUSTED=GAAP","Sort=A","Dates=H","DateFormat=P","Fill=—","Direction=H","UseDPDF=Y")</f>
        <v>69890.399999999994</v>
      </c>
      <c r="D58" s="13">
        <f>_xll.BDH("RCOM IN Equity","EBITDA","FY 2011","FY 2011","Currency=INR","Period=FY","BEST_FPERIOD_OVERRIDE=FY","FILING_STATUS=MR","EQY_CONSOLIDATED=Y","SCALING_FORMAT=MLN","FA_ADJUSTED=GAAP","Sort=A","Dates=H","DateFormat=P","Fill=—","Direction=H","UseDPDF=Y")</f>
        <v>83760</v>
      </c>
      <c r="E58" s="13">
        <f>_xll.BDH("RCOM IN Equity","EBITDA","FY 2012","FY 2012","Currency=INR","Period=FY","BEST_FPERIOD_OVERRIDE=FY","FILING_STATUS=MR","EQY_CONSOLIDATED=Y","SCALING_FORMAT=MLN","FA_ADJUSTED=GAAP","Sort=A","Dates=H","DateFormat=P","Fill=—","Direction=H","UseDPDF=Y")</f>
        <v>57950</v>
      </c>
      <c r="F58" s="13">
        <f>_xll.BDH("RCOM IN Equity","EBITDA","FY 2013","FY 2013","Currency=INR","Period=FY","BEST_FPERIOD_OVERRIDE=FY","FILING_STATUS=MR","EQY_CONSOLIDATED=Y","SCALING_FORMAT=MLN","FA_ADJUSTED=GAAP","Sort=A","Dates=H","DateFormat=P","Fill=—","Direction=H","UseDPDF=Y")</f>
        <v>59410</v>
      </c>
      <c r="G58" s="13">
        <f>_xll.BDH("RCOM IN Equity","EBITDA","FY 2014","FY 2014","Currency=INR","Period=FY","BEST_FPERIOD_OVERRIDE=FY","FILING_STATUS=MR","EQY_CONSOLIDATED=Y","SCALING_FORMAT=MLN","FA_ADJUSTED=GAAP","Sort=A","Dates=H","DateFormat=P","Fill=—","Direction=H","UseDPDF=Y")</f>
        <v>67060</v>
      </c>
      <c r="H58" s="13">
        <f>_xll.BDH("RCOM IN Equity","EBITDA","FY 2015","FY 2015","Currency=INR","Period=FY","BEST_FPERIOD_OVERRIDE=FY","FILING_STATUS=MR","EQY_CONSOLIDATED=Y","SCALING_FORMAT=MLN","FA_ADJUSTED=GAAP","Sort=A","Dates=H","DateFormat=P","Fill=—","Direction=H","UseDPDF=Y")</f>
        <v>72060</v>
      </c>
      <c r="I58" s="13">
        <f>_xll.BDH("RCOM IN Equity","EBITDA","FY 2016","FY 2016","Currency=INR","Period=FY","BEST_FPERIOD_OVERRIDE=FY","FILING_STATUS=MR","EQY_CONSOLIDATED=Y","SCALING_FORMAT=MLN","FA_ADJUSTED=GAAP","Sort=A","Dates=H","DateFormat=P","Fill=—","Direction=H","UseDPDF=Y")</f>
        <v>72600</v>
      </c>
      <c r="J58" s="13">
        <f>_xll.BDH("RCOM IN Equity","EBITDA","FY 2017","FY 2017","Currency=INR","Period=FY","BEST_FPERIOD_OVERRIDE=FY","FILING_STATUS=MR","EQY_CONSOLIDATED=Y","SCALING_FORMAT=MLN","FA_ADJUSTED=GAAP","Sort=A","Dates=H","DateFormat=P","Fill=—","Direction=H","UseDPDF=Y")</f>
        <v>46610</v>
      </c>
      <c r="K58" s="13">
        <f>_xll.BDH("RCOM IN Equity","EBITDA","FY 2018","FY 2018","Currency=INR","Period=FY","BEST_FPERIOD_OVERRIDE=FY","FILING_STATUS=MR","EQY_CONSOLIDATED=Y","SCALING_FORMAT=MLN","FA_ADJUSTED=GAAP","Sort=A","Dates=H","DateFormat=P","Fill=—","Direction=H","UseDPDF=Y")</f>
        <v>31100</v>
      </c>
      <c r="L58" s="16">
        <v>5160</v>
      </c>
    </row>
    <row r="59" spans="1:12">
      <c r="A59" s="10" t="s">
        <v>1293</v>
      </c>
      <c r="B59" s="10" t="s">
        <v>356</v>
      </c>
      <c r="C59" s="14">
        <f>_xll.BDH("RCOM IN Equity","EBITDA_MARGIN","FY 2010","FY 2010","Currency=INR","Period=FY","BEST_FPERIOD_OVERRIDE=FY","FILING_STATUS=MR","EQY_CONSOLIDATED=Y","FA_ADJUSTED=GAAP","Sort=A","Dates=H","DateFormat=P","Fill=—","Direction=H","UseDPDF=Y")</f>
        <v>33.7879</v>
      </c>
      <c r="D59" s="14">
        <f>_xll.BDH("RCOM IN Equity","EBITDA_MARGIN","FY 2011","FY 2011","Currency=INR","Period=FY","BEST_FPERIOD_OVERRIDE=FY","FILING_STATUS=MR","EQY_CONSOLIDATED=Y","FA_ADJUSTED=GAAP","Sort=A","Dates=H","DateFormat=P","Fill=—","Direction=H","UseDPDF=Y")</f>
        <v>37.9193</v>
      </c>
      <c r="E59" s="14">
        <f>_xll.BDH("RCOM IN Equity","EBITDA_MARGIN","FY 2012","FY 2012","Currency=INR","Period=FY","BEST_FPERIOD_OVERRIDE=FY","FILING_STATUS=MR","EQY_CONSOLIDATED=Y","FA_ADJUSTED=GAAP","Sort=A","Dates=H","DateFormat=P","Fill=—","Direction=H","UseDPDF=Y")</f>
        <v>30.962800000000001</v>
      </c>
      <c r="F59" s="14">
        <f>_xll.BDH("RCOM IN Equity","EBITDA_MARGIN","FY 2013","FY 2013","Currency=INR","Period=FY","BEST_FPERIOD_OVERRIDE=FY","FILING_STATUS=MR","EQY_CONSOLIDATED=Y","FA_ADJUSTED=GAAP","Sort=A","Dates=H","DateFormat=P","Fill=—","Direction=H","UseDPDF=Y")</f>
        <v>30.792000000000002</v>
      </c>
      <c r="G59" s="14">
        <f>_xll.BDH("RCOM IN Equity","EBITDA_MARGIN","FY 2014","FY 2014","Currency=INR","Period=FY","BEST_FPERIOD_OVERRIDE=FY","FILING_STATUS=MR","EQY_CONSOLIDATED=Y","FA_ADJUSTED=GAAP","Sort=A","Dates=H","DateFormat=P","Fill=—","Direction=H","UseDPDF=Y")</f>
        <v>32.024799999999999</v>
      </c>
      <c r="H59" s="14">
        <f>_xll.BDH("RCOM IN Equity","EBITDA_MARGIN","FY 2015","FY 2015","Currency=INR","Period=FY","BEST_FPERIOD_OVERRIDE=FY","FILING_STATUS=MR","EQY_CONSOLIDATED=Y","FA_ADJUSTED=GAAP","Sort=A","Dates=H","DateFormat=P","Fill=—","Direction=H","UseDPDF=Y")</f>
        <v>33.636699999999998</v>
      </c>
      <c r="I59" s="14">
        <f>_xll.BDH("RCOM IN Equity","EBITDA_MARGIN","FY 2016","FY 2016","Currency=INR","Period=FY","BEST_FPERIOD_OVERRIDE=FY","FILING_STATUS=MR","EQY_CONSOLIDATED=Y","FA_ADJUSTED=GAAP","Sort=A","Dates=H","DateFormat=P","Fill=—","Direction=H","UseDPDF=Y")</f>
        <v>33.390099999999997</v>
      </c>
      <c r="J59" s="14">
        <f>_xll.BDH("RCOM IN Equity","EBITDA_MARGIN","FY 2017","FY 2017","Currency=INR","Period=FY","BEST_FPERIOD_OVERRIDE=FY","FILING_STATUS=MR","EQY_CONSOLIDATED=Y","FA_ADJUSTED=GAAP","Sort=A","Dates=H","DateFormat=P","Fill=—","Direction=H","UseDPDF=Y")</f>
        <v>71.116900000000001</v>
      </c>
      <c r="K59" s="14">
        <f>_xll.BDH("RCOM IN Equity","EBITDA_MARGIN","FY 2018","FY 2018","Currency=INR","Period=FY","BEST_FPERIOD_OVERRIDE=FY","FILING_STATUS=MR","EQY_CONSOLIDATED=Y","FA_ADJUSTED=GAAP","Sort=A","Dates=H","DateFormat=P","Fill=—","Direction=H","UseDPDF=Y")</f>
        <v>67.711699999999993</v>
      </c>
      <c r="L59" s="17">
        <v>12.893553223388301</v>
      </c>
    </row>
    <row r="60" spans="1:12">
      <c r="A60" s="10" t="s">
        <v>1294</v>
      </c>
      <c r="B60" s="10" t="s">
        <v>1295</v>
      </c>
      <c r="C60" s="13" t="str">
        <f>_xll.BDH("RCOM IN Equity","CF_INTEREST_RECEIVED","FY 2010","FY 2010","Currency=INR","Period=FY","BEST_FPERIOD_OVERRIDE=FY","FILING_STATUS=MR","EQY_CONSOLIDATED=Y","SCALING_FORMAT=MLN","Sort=A","Dates=H","DateFormat=P","Fill=—","Direction=H","UseDPDF=Y")</f>
        <v>—</v>
      </c>
      <c r="D60" s="13" t="str">
        <f>_xll.BDH("RCOM IN Equity","CF_INTEREST_RECEIVED","FY 2011","FY 2011","Currency=INR","Period=FY","BEST_FPERIOD_OVERRIDE=FY","FILING_STATUS=MR","EQY_CONSOLIDATED=Y","SCALING_FORMAT=MLN","Sort=A","Dates=H","DateFormat=P","Fill=—","Direction=H","UseDPDF=Y")</f>
        <v>—</v>
      </c>
      <c r="E60" s="13">
        <f>_xll.BDH("RCOM IN Equity","CF_INTEREST_RECEIVED","FY 2012","FY 2012","Currency=INR","Period=FY","BEST_FPERIOD_OVERRIDE=FY","FILING_STATUS=MR","EQY_CONSOLIDATED=Y","SCALING_FORMAT=MLN","Sort=A","Dates=H","DateFormat=P","Fill=—","Direction=H","UseDPDF=Y")</f>
        <v>400</v>
      </c>
      <c r="F60" s="13">
        <f>_xll.BDH("RCOM IN Equity","CF_INTEREST_RECEIVED","FY 2013","FY 2013","Currency=INR","Period=FY","BEST_FPERIOD_OVERRIDE=FY","FILING_STATUS=MR","EQY_CONSOLIDATED=Y","SCALING_FORMAT=MLN","Sort=A","Dates=H","DateFormat=P","Fill=—","Direction=H","UseDPDF=Y")</f>
        <v>100</v>
      </c>
      <c r="G60" s="13">
        <f>_xll.BDH("RCOM IN Equity","CF_INTEREST_RECEIVED","FY 2014","FY 2014","Currency=INR","Period=FY","BEST_FPERIOD_OVERRIDE=FY","FILING_STATUS=MR","EQY_CONSOLIDATED=Y","SCALING_FORMAT=MLN","Sort=A","Dates=H","DateFormat=P","Fill=—","Direction=H","UseDPDF=Y")</f>
        <v>490</v>
      </c>
      <c r="H60" s="13">
        <f>_xll.BDH("RCOM IN Equity","CF_INTEREST_RECEIVED","FY 2015","FY 2015","Currency=INR","Period=FY","BEST_FPERIOD_OVERRIDE=FY","FILING_STATUS=MR","EQY_CONSOLIDATED=Y","SCALING_FORMAT=MLN","Sort=A","Dates=H","DateFormat=P","Fill=—","Direction=H","UseDPDF=Y")</f>
        <v>300</v>
      </c>
      <c r="I60" s="13">
        <f>_xll.BDH("RCOM IN Equity","CF_INTEREST_RECEIVED","FY 2016","FY 2016","Currency=INR","Period=FY","BEST_FPERIOD_OVERRIDE=FY","FILING_STATUS=MR","EQY_CONSOLIDATED=Y","SCALING_FORMAT=MLN","Sort=A","Dates=H","DateFormat=P","Fill=—","Direction=H","UseDPDF=Y")</f>
        <v>1150</v>
      </c>
      <c r="J60" s="13">
        <f>_xll.BDH("RCOM IN Equity","CF_INTEREST_RECEIVED","FY 2017","FY 2017","Currency=INR","Period=FY","BEST_FPERIOD_OVERRIDE=FY","FILING_STATUS=MR","EQY_CONSOLIDATED=Y","SCALING_FORMAT=MLN","Sort=A","Dates=H","DateFormat=P","Fill=—","Direction=H","UseDPDF=Y")</f>
        <v>1490</v>
      </c>
      <c r="K60" s="13">
        <f>_xll.BDH("RCOM IN Equity","CF_INTEREST_RECEIVED","FY 2018","FY 2018","Currency=INR","Period=FY","BEST_FPERIOD_OVERRIDE=FY","FILING_STATUS=MR","EQY_CONSOLIDATED=Y","SCALING_FORMAT=MLN","Sort=A","Dates=H","DateFormat=P","Fill=—","Direction=H","UseDPDF=Y")</f>
        <v>920</v>
      </c>
      <c r="L60" s="16"/>
    </row>
    <row r="61" spans="1:12">
      <c r="A61" s="10" t="s">
        <v>55</v>
      </c>
      <c r="B61" s="10" t="s">
        <v>56</v>
      </c>
      <c r="C61" s="13">
        <f>_xll.BDH("RCOM IN Equity","CF_FREE_CASH_FLOW","FY 2010","FY 2010","Currency=INR","Period=FY","BEST_FPERIOD_OVERRIDE=FY","FILING_STATUS=MR","EQY_CONSOLIDATED=Y","SCALING_FORMAT=MLN","Sort=A","Dates=H","DateFormat=P","Fill=—","Direction=H","UseDPDF=Y")</f>
        <v>6796.1</v>
      </c>
      <c r="D61" s="13">
        <f>_xll.BDH("RCOM IN Equity","CF_FREE_CASH_FLOW","FY 2011","FY 2011","Currency=INR","Period=FY","BEST_FPERIOD_OVERRIDE=FY","FILING_STATUS=MR","EQY_CONSOLIDATED=Y","SCALING_FORMAT=MLN","Sort=A","Dates=H","DateFormat=P","Fill=—","Direction=H","UseDPDF=Y")</f>
        <v>-92550</v>
      </c>
      <c r="E61" s="13">
        <f>_xll.BDH("RCOM IN Equity","CF_FREE_CASH_FLOW","FY 2012","FY 2012","Currency=INR","Period=FY","BEST_FPERIOD_OVERRIDE=FY","FILING_STATUS=MR","EQY_CONSOLIDATED=Y","SCALING_FORMAT=MLN","Sort=A","Dates=H","DateFormat=P","Fill=—","Direction=H","UseDPDF=Y")</f>
        <v>-7770</v>
      </c>
      <c r="F61" s="13">
        <f>_xll.BDH("RCOM IN Equity","CF_FREE_CASH_FLOW","FY 2013","FY 2013","Currency=INR","Period=FY","BEST_FPERIOD_OVERRIDE=FY","FILING_STATUS=MR","EQY_CONSOLIDATED=Y","SCALING_FORMAT=MLN","Sort=A","Dates=H","DateFormat=P","Fill=—","Direction=H","UseDPDF=Y")</f>
        <v>-7440</v>
      </c>
      <c r="G61" s="13">
        <f>_xll.BDH("RCOM IN Equity","CF_FREE_CASH_FLOW","FY 2014","FY 2014","Currency=INR","Period=FY","BEST_FPERIOD_OVERRIDE=FY","FILING_STATUS=MR","EQY_CONSOLIDATED=Y","SCALING_FORMAT=MLN","Sort=A","Dates=H","DateFormat=P","Fill=—","Direction=H","UseDPDF=Y")</f>
        <v>17050</v>
      </c>
      <c r="H61" s="13">
        <f>_xll.BDH("RCOM IN Equity","CF_FREE_CASH_FLOW","FY 2015","FY 2015","Currency=INR","Period=FY","BEST_FPERIOD_OVERRIDE=FY","FILING_STATUS=MR","EQY_CONSOLIDATED=Y","SCALING_FORMAT=MLN","Sort=A","Dates=H","DateFormat=P","Fill=—","Direction=H","UseDPDF=Y")</f>
        <v>-20100</v>
      </c>
      <c r="I61" s="13">
        <f>_xll.BDH("RCOM IN Equity","CF_FREE_CASH_FLOW","FY 2016","FY 2016","Currency=INR","Period=FY","BEST_FPERIOD_OVERRIDE=FY","FILING_STATUS=MR","EQY_CONSOLIDATED=Y","SCALING_FORMAT=MLN","Sort=A","Dates=H","DateFormat=P","Fill=—","Direction=H","UseDPDF=Y")</f>
        <v>-11090</v>
      </c>
      <c r="J61" s="13">
        <f>_xll.BDH("RCOM IN Equity","CF_FREE_CASH_FLOW","FY 2017","FY 2017","Currency=INR","Period=FY","BEST_FPERIOD_OVERRIDE=FY","FILING_STATUS=MR","EQY_CONSOLIDATED=Y","SCALING_FORMAT=MLN","Sort=A","Dates=H","DateFormat=P","Fill=—","Direction=H","UseDPDF=Y")</f>
        <v>-74800</v>
      </c>
      <c r="K61" s="13">
        <f>_xll.BDH("RCOM IN Equity","CF_FREE_CASH_FLOW","FY 2018","FY 2018","Currency=INR","Period=FY","BEST_FPERIOD_OVERRIDE=FY","FILING_STATUS=MR","EQY_CONSOLIDATED=Y","SCALING_FORMAT=MLN","Sort=A","Dates=H","DateFormat=P","Fill=—","Direction=H","UseDPDF=Y")</f>
        <v>-9980</v>
      </c>
      <c r="L61" s="16"/>
    </row>
    <row r="62" spans="1:12">
      <c r="A62" s="10" t="s">
        <v>1296</v>
      </c>
      <c r="B62" s="10" t="s">
        <v>1297</v>
      </c>
      <c r="C62" s="13">
        <f>_xll.BDH("RCOM IN Equity","CF_FREE_CASH_FLOW_FIRM","FY 2010","FY 2010","Currency=INR","Period=FY","BEST_FPERIOD_OVERRIDE=FY","FILING_STATUS=MR","EQY_CONSOLIDATED=Y","SCALING_FORMAT=MLN","FA_ADJUSTED=GAAP","Sort=A","Dates=H","DateFormat=P","Fill=—","Direction=H","UseDPDF=Y")</f>
        <v>19073.505099999998</v>
      </c>
      <c r="D62" s="13">
        <f>_xll.BDH("RCOM IN Equity","CF_FREE_CASH_FLOW_FIRM","FY 2011","FY 2011","Currency=INR","Period=FY","BEST_FPERIOD_OVERRIDE=FY","FILING_STATUS=MR","EQY_CONSOLIDATED=Y","SCALING_FORMAT=MLN","FA_ADJUSTED=GAAP","Sort=A","Dates=H","DateFormat=P","Fill=—","Direction=H","UseDPDF=Y")</f>
        <v>-83601.3514</v>
      </c>
      <c r="E62" s="13" t="str">
        <f>_xll.BDH("RCOM IN Equity","CF_FREE_CASH_FLOW_FIRM","FY 2012","FY 2012","Currency=INR","Period=FY","BEST_FPERIOD_OVERRIDE=FY","FILING_STATUS=MR","EQY_CONSOLIDATED=Y","SCALING_FORMAT=MLN","FA_ADJUSTED=GAAP","Sort=A","Dates=H","DateFormat=P","Fill=—","Direction=H","UseDPDF=Y")</f>
        <v>—</v>
      </c>
      <c r="F62" s="13">
        <f>_xll.BDH("RCOM IN Equity","CF_FREE_CASH_FLOW_FIRM","FY 2013","FY 2013","Currency=INR","Period=FY","BEST_FPERIOD_OVERRIDE=FY","FILING_STATUS=MR","EQY_CONSOLIDATED=Y","SCALING_FORMAT=MLN","FA_ADJUSTED=GAAP","Sort=A","Dates=H","DateFormat=P","Fill=—","Direction=H","UseDPDF=Y")</f>
        <v>13236.809800000001</v>
      </c>
      <c r="G62" s="13" t="str">
        <f>_xll.BDH("RCOM IN Equity","CF_FREE_CASH_FLOW_FIRM","FY 2014","FY 2014","Currency=INR","Period=FY","BEST_FPERIOD_OVERRIDE=FY","FILING_STATUS=MR","EQY_CONSOLIDATED=Y","SCALING_FORMAT=MLN","FA_ADJUSTED=GAAP","Sort=A","Dates=H","DateFormat=P","Fill=—","Direction=H","UseDPDF=Y")</f>
        <v>—</v>
      </c>
      <c r="H62" s="13">
        <f>_xll.BDH("RCOM IN Equity","CF_FREE_CASH_FLOW_FIRM","FY 2015","FY 2015","Currency=INR","Period=FY","BEST_FPERIOD_OVERRIDE=FY","FILING_STATUS=MR","EQY_CONSOLIDATED=Y","SCALING_FORMAT=MLN","FA_ADJUSTED=GAAP","Sort=A","Dates=H","DateFormat=P","Fill=—","Direction=H","UseDPDF=Y")</f>
        <v>-3964.2705999999998</v>
      </c>
      <c r="I62" s="13" t="str">
        <f>_xll.BDH("RCOM IN Equity","CF_FREE_CASH_FLOW_FIRM","FY 2016","FY 2016","Currency=INR","Period=FY","BEST_FPERIOD_OVERRIDE=FY","FILING_STATUS=MR","EQY_CONSOLIDATED=Y","SCALING_FORMAT=MLN","FA_ADJUSTED=GAAP","Sort=A","Dates=H","DateFormat=P","Fill=—","Direction=H","UseDPDF=Y")</f>
        <v>—</v>
      </c>
      <c r="J62" s="13" t="str">
        <f>_xll.BDH("RCOM IN Equity","CF_FREE_CASH_FLOW_FIRM","FY 2017","FY 2017","Currency=INR","Period=FY","BEST_FPERIOD_OVERRIDE=FY","FILING_STATUS=MR","EQY_CONSOLIDATED=Y","SCALING_FORMAT=MLN","FA_ADJUSTED=GAAP","Sort=A","Dates=H","DateFormat=P","Fill=—","Direction=H","UseDPDF=Y")</f>
        <v>—</v>
      </c>
      <c r="K62" s="13" t="str">
        <f>_xll.BDH("RCOM IN Equity","CF_FREE_CASH_FLOW_FIRM","FY 2018","FY 2018","Currency=INR","Period=FY","BEST_FPERIOD_OVERRIDE=FY","FILING_STATUS=MR","EQY_CONSOLIDATED=Y","SCALING_FORMAT=MLN","FA_ADJUSTED=GAAP","Sort=A","Dates=H","DateFormat=P","Fill=—","Direction=H","UseDPDF=Y")</f>
        <v>—</v>
      </c>
      <c r="L62" s="16"/>
    </row>
    <row r="63" spans="1:12">
      <c r="A63" s="10" t="s">
        <v>1298</v>
      </c>
      <c r="B63" s="10" t="s">
        <v>1299</v>
      </c>
      <c r="C63" s="13">
        <f>_xll.BDH("RCOM IN Equity","FREE_CASH_FLOW_EQUITY","FY 2010","FY 2010","Currency=INR","Period=FY","BEST_FPERIOD_OVERRIDE=FY","FILING_STATUS=MR","EQY_CONSOLIDATED=Y","SCALING_FORMAT=MLN","Sort=A","Dates=H","DateFormat=P","Fill=—","Direction=H","UseDPDF=Y")</f>
        <v>-63100.9</v>
      </c>
      <c r="D63" s="13">
        <f>_xll.BDH("RCOM IN Equity","FREE_CASH_FLOW_EQUITY","FY 2011","FY 2011","Currency=INR","Period=FY","BEST_FPERIOD_OVERRIDE=FY","FILING_STATUS=MR","EQY_CONSOLIDATED=Y","SCALING_FORMAT=MLN","Sort=A","Dates=H","DateFormat=P","Fill=—","Direction=H","UseDPDF=Y")</f>
        <v>5860</v>
      </c>
      <c r="E63" s="13">
        <f>_xll.BDH("RCOM IN Equity","FREE_CASH_FLOW_EQUITY","FY 2012","FY 2012","Currency=INR","Period=FY","BEST_FPERIOD_OVERRIDE=FY","FILING_STATUS=MR","EQY_CONSOLIDATED=Y","SCALING_FORMAT=MLN","Sort=A","Dates=H","DateFormat=P","Fill=—","Direction=H","UseDPDF=Y")</f>
        <v>-38770</v>
      </c>
      <c r="F63" s="13">
        <f>_xll.BDH("RCOM IN Equity","FREE_CASH_FLOW_EQUITY","FY 2013","FY 2013","Currency=INR","Period=FY","BEST_FPERIOD_OVERRIDE=FY","FILING_STATUS=MR","EQY_CONSOLIDATED=Y","SCALING_FORMAT=MLN","Sort=A","Dates=H","DateFormat=P","Fill=—","Direction=H","UseDPDF=Y")</f>
        <v>14710</v>
      </c>
      <c r="G63" s="13">
        <f>_xll.BDH("RCOM IN Equity","FREE_CASH_FLOW_EQUITY","FY 2014","FY 2014","Currency=INR","Period=FY","BEST_FPERIOD_OVERRIDE=FY","FILING_STATUS=MR","EQY_CONSOLIDATED=Y","SCALING_FORMAT=MLN","Sort=A","Dates=H","DateFormat=P","Fill=—","Direction=H","UseDPDF=Y")</f>
        <v>3410</v>
      </c>
      <c r="H63" s="13">
        <f>_xll.BDH("RCOM IN Equity","FREE_CASH_FLOW_EQUITY","FY 2015","FY 2015","Currency=INR","Period=FY","BEST_FPERIOD_OVERRIDE=FY","FILING_STATUS=MR","EQY_CONSOLIDATED=Y","SCALING_FORMAT=MLN","Sort=A","Dates=H","DateFormat=P","Fill=—","Direction=H","UseDPDF=Y")</f>
        <v>-44470</v>
      </c>
      <c r="I63" s="13">
        <f>_xll.BDH("RCOM IN Equity","FREE_CASH_FLOW_EQUITY","FY 2016","FY 2016","Currency=INR","Period=FY","BEST_FPERIOD_OVERRIDE=FY","FILING_STATUS=MR","EQY_CONSOLIDATED=Y","SCALING_FORMAT=MLN","Sort=A","Dates=H","DateFormat=P","Fill=—","Direction=H","UseDPDF=Y")</f>
        <v>26260</v>
      </c>
      <c r="J63" s="13">
        <f>_xll.BDH("RCOM IN Equity","FREE_CASH_FLOW_EQUITY","FY 2017","FY 2017","Currency=INR","Period=FY","BEST_FPERIOD_OVERRIDE=FY","FILING_STATUS=MR","EQY_CONSOLIDATED=Y","SCALING_FORMAT=MLN","Sort=A","Dates=H","DateFormat=P","Fill=—","Direction=H","UseDPDF=Y")</f>
        <v>-41660</v>
      </c>
      <c r="K63" s="13">
        <f>_xll.BDH("RCOM IN Equity","FREE_CASH_FLOW_EQUITY","FY 2018","FY 2018","Currency=INR","Period=FY","BEST_FPERIOD_OVERRIDE=FY","FILING_STATUS=MR","EQY_CONSOLIDATED=Y","SCALING_FORMAT=MLN","Sort=A","Dates=H","DateFormat=P","Fill=—","Direction=H","UseDPDF=Y")</f>
        <v>-3670</v>
      </c>
      <c r="L63" s="16"/>
    </row>
    <row r="64" spans="1:12">
      <c r="A64" s="10" t="s">
        <v>1300</v>
      </c>
      <c r="B64" s="10" t="s">
        <v>230</v>
      </c>
      <c r="C64" s="14">
        <f>_xll.BDH("RCOM IN Equity","FREE_CASH_FLOW_PER_SH","FY 2010","FY 2010","Currency=INR","Period=FY","BEST_FPERIOD_OVERRIDE=FY","FILING_STATUS=MR","EQY_CONSOLIDATED=Y","Sort=A","Dates=H","DateFormat=P","Fill=—","Direction=H","UseDPDF=Y")</f>
        <v>3.2926000000000002</v>
      </c>
      <c r="D64" s="14">
        <f>_xll.BDH("RCOM IN Equity","FREE_CASH_FLOW_PER_SH","FY 2011","FY 2011","Currency=INR","Period=FY","BEST_FPERIOD_OVERRIDE=FY","FILING_STATUS=MR","EQY_CONSOLIDATED=Y","Sort=A","Dates=H","DateFormat=P","Fill=—","Direction=H","UseDPDF=Y")</f>
        <v>-44.839500000000001</v>
      </c>
      <c r="E64" s="14">
        <f>_xll.BDH("RCOM IN Equity","FREE_CASH_FLOW_PER_SH","FY 2012","FY 2012","Currency=INR","Period=FY","BEST_FPERIOD_OVERRIDE=FY","FILING_STATUS=MR","EQY_CONSOLIDATED=Y","Sort=A","Dates=H","DateFormat=P","Fill=—","Direction=H","UseDPDF=Y")</f>
        <v>-3.7645</v>
      </c>
      <c r="F64" s="14">
        <f>_xll.BDH("RCOM IN Equity","FREE_CASH_FLOW_PER_SH","FY 2013","FY 2013","Currency=INR","Period=FY","BEST_FPERIOD_OVERRIDE=FY","FILING_STATUS=MR","EQY_CONSOLIDATED=Y","Sort=A","Dates=H","DateFormat=P","Fill=—","Direction=H","UseDPDF=Y")</f>
        <v>-3.6046</v>
      </c>
      <c r="G64" s="14">
        <f>_xll.BDH("RCOM IN Equity","FREE_CASH_FLOW_PER_SH","FY 2014","FY 2014","Currency=INR","Period=FY","BEST_FPERIOD_OVERRIDE=FY","FILING_STATUS=MR","EQY_CONSOLIDATED=Y","Sort=A","Dates=H","DateFormat=P","Fill=—","Direction=H","UseDPDF=Y")</f>
        <v>8.2606000000000002</v>
      </c>
      <c r="H64" s="14">
        <f>_xll.BDH("RCOM IN Equity","FREE_CASH_FLOW_PER_SH","FY 2015","FY 2015","Currency=INR","Period=FY","BEST_FPERIOD_OVERRIDE=FY","FILING_STATUS=MR","EQY_CONSOLIDATED=Y","Sort=A","Dates=H","DateFormat=P","Fill=—","Direction=H","UseDPDF=Y")</f>
        <v>-8.6121999999999996</v>
      </c>
      <c r="I64" s="14">
        <f>_xll.BDH("RCOM IN Equity","FREE_CASH_FLOW_PER_SH","FY 2016","FY 2016","Currency=INR","Period=FY","BEST_FPERIOD_OVERRIDE=FY","FILING_STATUS=MR","EQY_CONSOLIDATED=Y","Sort=A","Dates=H","DateFormat=P","Fill=—","Direction=H","UseDPDF=Y")</f>
        <v>-4.4940999999999995</v>
      </c>
      <c r="J64" s="14">
        <f>_xll.BDH("RCOM IN Equity","FREE_CASH_FLOW_PER_SH","FY 2017","FY 2017","Currency=INR","Period=FY","BEST_FPERIOD_OVERRIDE=FY","FILING_STATUS=MR","EQY_CONSOLIDATED=Y","Sort=A","Dates=H","DateFormat=P","Fill=—","Direction=H","UseDPDF=Y")</f>
        <v>-30.311599999999999</v>
      </c>
      <c r="K64" s="14">
        <f>_xll.BDH("RCOM IN Equity","FREE_CASH_FLOW_PER_SH","FY 2018","FY 2018","Currency=INR","Period=FY","BEST_FPERIOD_OVERRIDE=FY","FILING_STATUS=MR","EQY_CONSOLIDATED=Y","Sort=A","Dates=H","DateFormat=P","Fill=—","Direction=H","UseDPDF=Y")</f>
        <v>-3.8639000000000001</v>
      </c>
      <c r="L64" s="17"/>
    </row>
    <row r="65" spans="1:12">
      <c r="A65" s="10" t="s">
        <v>1301</v>
      </c>
      <c r="B65" s="10" t="s">
        <v>188</v>
      </c>
      <c r="C65" s="14">
        <f>_xll.BDH("RCOM IN Equity","PX_TO_FREE_CASH_FLOW","FY 2010","FY 2010","Currency=INR","Period=FY","BEST_FPERIOD_OVERRIDE=FY","FILING_STATUS=MR","EQY_CONSOLIDATED=Y","Sort=A","Dates=H","DateFormat=P","Fill=—","Direction=H","UseDPDF=Y")</f>
        <v>51.615099999999998</v>
      </c>
      <c r="D65" s="14" t="str">
        <f>_xll.BDH("RCOM IN Equity","PX_TO_FREE_CASH_FLOW","FY 2011","FY 2011","Currency=INR","Period=FY","BEST_FPERIOD_OVERRIDE=FY","FILING_STATUS=MR","EQY_CONSOLIDATED=Y","Sort=A","Dates=H","DateFormat=P","Fill=—","Direction=H","UseDPDF=Y")</f>
        <v>—</v>
      </c>
      <c r="E65" s="14" t="str">
        <f>_xll.BDH("RCOM IN Equity","PX_TO_FREE_CASH_FLOW","FY 2012","FY 2012","Currency=INR","Period=FY","BEST_FPERIOD_OVERRIDE=FY","FILING_STATUS=MR","EQY_CONSOLIDATED=Y","Sort=A","Dates=H","DateFormat=P","Fill=—","Direction=H","UseDPDF=Y")</f>
        <v>—</v>
      </c>
      <c r="F65" s="14" t="str">
        <f>_xll.BDH("RCOM IN Equity","PX_TO_FREE_CASH_FLOW","FY 2013","FY 2013","Currency=INR","Period=FY","BEST_FPERIOD_OVERRIDE=FY","FILING_STATUS=MR","EQY_CONSOLIDATED=Y","Sort=A","Dates=H","DateFormat=P","Fill=—","Direction=H","UseDPDF=Y")</f>
        <v>—</v>
      </c>
      <c r="G65" s="14">
        <f>_xll.BDH("RCOM IN Equity","PX_TO_FREE_CASH_FLOW","FY 2014","FY 2014","Currency=INR","Period=FY","BEST_FPERIOD_OVERRIDE=FY","FILING_STATUS=MR","EQY_CONSOLIDATED=Y","Sort=A","Dates=H","DateFormat=P","Fill=—","Direction=H","UseDPDF=Y")</f>
        <v>15.6043</v>
      </c>
      <c r="H65" s="14" t="str">
        <f>_xll.BDH("RCOM IN Equity","PX_TO_FREE_CASH_FLOW","FY 2015","FY 2015","Currency=INR","Period=FY","BEST_FPERIOD_OVERRIDE=FY","FILING_STATUS=MR","EQY_CONSOLIDATED=Y","Sort=A","Dates=H","DateFormat=P","Fill=—","Direction=H","UseDPDF=Y")</f>
        <v>—</v>
      </c>
      <c r="I65" s="14" t="str">
        <f>_xll.BDH("RCOM IN Equity","PX_TO_FREE_CASH_FLOW","FY 2016","FY 2016","Currency=INR","Period=FY","BEST_FPERIOD_OVERRIDE=FY","FILING_STATUS=MR","EQY_CONSOLIDATED=Y","Sort=A","Dates=H","DateFormat=P","Fill=—","Direction=H","UseDPDF=Y")</f>
        <v>—</v>
      </c>
      <c r="J65" s="14" t="str">
        <f>_xll.BDH("RCOM IN Equity","PX_TO_FREE_CASH_FLOW","FY 2017","FY 2017","Currency=INR","Period=FY","BEST_FPERIOD_OVERRIDE=FY","FILING_STATUS=MR","EQY_CONSOLIDATED=Y","Sort=A","Dates=H","DateFormat=P","Fill=—","Direction=H","UseDPDF=Y")</f>
        <v>—</v>
      </c>
      <c r="K65" s="14" t="str">
        <f>_xll.BDH("RCOM IN Equity","PX_TO_FREE_CASH_FLOW","FY 2018","FY 2018","Currency=INR","Period=FY","BEST_FPERIOD_OVERRIDE=FY","FILING_STATUS=MR","EQY_CONSOLIDATED=Y","Sort=A","Dates=H","DateFormat=P","Fill=—","Direction=H","UseDPDF=Y")</f>
        <v>—</v>
      </c>
      <c r="L65" s="17"/>
    </row>
    <row r="66" spans="1:12">
      <c r="A66" s="10" t="s">
        <v>1302</v>
      </c>
      <c r="B66" s="10" t="s">
        <v>1303</v>
      </c>
      <c r="C66" s="14">
        <f>_xll.BDH("RCOM IN Equity","CASH_FLOW_TO_NET_INC","FY 2010","FY 2010","Currency=INR","Period=FY","BEST_FPERIOD_OVERRIDE=FY","FILING_STATUS=MR","EQY_CONSOLIDATED=Y","FA_ADJUSTED=GAAP","Sort=A","Dates=H","DateFormat=P","Fill=—","Direction=H","UseDPDF=Y")</f>
        <v>1.7563</v>
      </c>
      <c r="D66" s="14">
        <f>_xll.BDH("RCOM IN Equity","CASH_FLOW_TO_NET_INC","FY 2011","FY 2011","Currency=INR","Period=FY","BEST_FPERIOD_OVERRIDE=FY","FILING_STATUS=MR","EQY_CONSOLIDATED=Y","FA_ADJUSTED=GAAP","Sort=A","Dates=H","DateFormat=P","Fill=—","Direction=H","UseDPDF=Y")</f>
        <v>0.79700000000000004</v>
      </c>
      <c r="E66" s="14">
        <f>_xll.BDH("RCOM IN Equity","CASH_FLOW_TO_NET_INC","FY 2012","FY 2012","Currency=INR","Period=FY","BEST_FPERIOD_OVERRIDE=FY","FILING_STATUS=MR","EQY_CONSOLIDATED=Y","FA_ADJUSTED=GAAP","Sort=A","Dates=H","DateFormat=P","Fill=—","Direction=H","UseDPDF=Y")</f>
        <v>4.3890000000000002</v>
      </c>
      <c r="F66" s="14">
        <f>_xll.BDH("RCOM IN Equity","CASH_FLOW_TO_NET_INC","FY 2013","FY 2013","Currency=INR","Period=FY","BEST_FPERIOD_OVERRIDE=FY","FILING_STATUS=MR","EQY_CONSOLIDATED=Y","FA_ADJUSTED=GAAP","Sort=A","Dates=H","DateFormat=P","Fill=—","Direction=H","UseDPDF=Y")</f>
        <v>2.0387</v>
      </c>
      <c r="G66" s="14">
        <f>_xll.BDH("RCOM IN Equity","CASH_FLOW_TO_NET_INC","FY 2014","FY 2014","Currency=INR","Period=FY","BEST_FPERIOD_OVERRIDE=FY","FILING_STATUS=MR","EQY_CONSOLIDATED=Y","FA_ADJUSTED=GAAP","Sort=A","Dates=H","DateFormat=P","Fill=—","Direction=H","UseDPDF=Y")</f>
        <v>3.6962999999999999</v>
      </c>
      <c r="H66" s="14">
        <f>_xll.BDH("RCOM IN Equity","CASH_FLOW_TO_NET_INC","FY 2015","FY 2015","Currency=INR","Period=FY","BEST_FPERIOD_OVERRIDE=FY","FILING_STATUS=MR","EQY_CONSOLIDATED=Y","FA_ADJUSTED=GAAP","Sort=A","Dates=H","DateFormat=P","Fill=—","Direction=H","UseDPDF=Y")</f>
        <v>0.68069999999999997</v>
      </c>
      <c r="I66" s="14">
        <f>_xll.BDH("RCOM IN Equity","CASH_FLOW_TO_NET_INC","FY 2016","FY 2016","Currency=INR","Period=FY","BEST_FPERIOD_OVERRIDE=FY","FILING_STATUS=MR","EQY_CONSOLIDATED=Y","FA_ADJUSTED=GAAP","Sort=A","Dates=H","DateFormat=P","Fill=—","Direction=H","UseDPDF=Y")</f>
        <v>22.255099999999999</v>
      </c>
      <c r="J66" s="14" t="str">
        <f>_xll.BDH("RCOM IN Equity","CASH_FLOW_TO_NET_INC","FY 2017","FY 2017","Currency=INR","Period=FY","BEST_FPERIOD_OVERRIDE=FY","FILING_STATUS=MR","EQY_CONSOLIDATED=Y","FA_ADJUSTED=GAAP","Sort=A","Dates=H","DateFormat=P","Fill=—","Direction=H","UseDPDF=Y")</f>
        <v>—</v>
      </c>
      <c r="K66" s="14" t="str">
        <f>_xll.BDH("RCOM IN Equity","CASH_FLOW_TO_NET_INC","FY 2018","FY 2018","Currency=INR","Period=FY","BEST_FPERIOD_OVERRIDE=FY","FILING_STATUS=MR","EQY_CONSOLIDATED=Y","FA_ADJUSTED=GAAP","Sort=A","Dates=H","DateFormat=P","Fill=—","Direction=H","UseDPDF=Y")</f>
        <v>—</v>
      </c>
      <c r="L66" s="17"/>
    </row>
    <row r="67" spans="1:12">
      <c r="A67" s="7" t="s">
        <v>57</v>
      </c>
      <c r="B67" s="7"/>
      <c r="C67" s="7" t="s">
        <v>3</v>
      </c>
      <c r="D67" s="7"/>
      <c r="E67" s="7"/>
      <c r="F67" s="7"/>
      <c r="G67" s="7"/>
      <c r="H67" s="7"/>
      <c r="I67" s="7"/>
      <c r="J67" s="7"/>
      <c r="K67" s="7"/>
      <c r="L67" s="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L68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382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228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0" t="s">
        <v>1304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>
      <c r="A8" s="10" t="s">
        <v>1305</v>
      </c>
      <c r="B8" s="10" t="s">
        <v>1306</v>
      </c>
      <c r="C8" s="13">
        <f>_xll.BDH("RCOM IN Equity","ARD_DEPRECIATION_AND_AMORT_CF","FY 2009","FY 2009","Currency=INR","Period=FY","BEST_FPERIOD_OVERRIDE=FY","FILING_STATUS=MR","EQY_CONSOLIDATED=Y","SCALING_FORMAT=MLN","Sort=A","Dates=H","DateFormat=P","Fill=—","Direction=H","UseDPDF=Y")</f>
        <v>36077</v>
      </c>
      <c r="D8" s="13">
        <f>_xll.BDH("RCOM IN Equity","ARD_DEPRECIATION_AND_AMORT_CF","FY 2010","FY 2010","Currency=INR","Period=FY","BEST_FPERIOD_OVERRIDE=FY","FILING_STATUS=MR","EQY_CONSOLIDATED=Y","SCALING_FORMAT=MLN","Sort=A","Dates=H","DateFormat=P","Fill=—","Direction=H","UseDPDF=Y")</f>
        <v>37465.1</v>
      </c>
      <c r="E8" s="13">
        <f>_xll.BDH("RCOM IN Equity","ARD_DEPRECIATION_AND_AMORT_CF","FY 2011","FY 2011","Currency=INR","Period=FY","BEST_FPERIOD_OVERRIDE=FY","FILING_STATUS=MR","EQY_CONSOLIDATED=Y","SCALING_FORMAT=MLN","Sort=A","Dates=H","DateFormat=P","Fill=—","Direction=H","UseDPDF=Y")</f>
        <v>65040</v>
      </c>
      <c r="F8" s="13">
        <f>_xll.BDH("RCOM IN Equity","ARD_DEPRECIATION_AND_AMORT_CF","FY 2012","FY 2012","Currency=INR","Period=FY","BEST_FPERIOD_OVERRIDE=FY","FILING_STATUS=MR","EQY_CONSOLIDATED=Y","SCALING_FORMAT=MLN","Sort=A","Dates=H","DateFormat=P","Fill=—","Direction=H","UseDPDF=Y")</f>
        <v>39780</v>
      </c>
      <c r="G8" s="13">
        <f>_xll.BDH("RCOM IN Equity","ARD_DEPRECIATION_AND_AMORT_CF","FY 2013","FY 2013","Currency=INR","Period=FY","BEST_FPERIOD_OVERRIDE=FY","FILING_STATUS=MR","EQY_CONSOLIDATED=Y","SCALING_FORMAT=MLN","Sort=A","Dates=H","DateFormat=P","Fill=—","Direction=H","UseDPDF=Y")</f>
        <v>38450</v>
      </c>
      <c r="H8" s="13">
        <f>_xll.BDH("RCOM IN Equity","ARD_DEPRECIATION_AND_AMORT_CF","FY 2014","FY 2014","Currency=INR","Period=FY","BEST_FPERIOD_OVERRIDE=FY","FILING_STATUS=MR","EQY_CONSOLIDATED=Y","SCALING_FORMAT=MLN","Sort=A","Dates=H","DateFormat=P","Fill=—","Direction=H","UseDPDF=Y")</f>
        <v>45350</v>
      </c>
      <c r="I8" s="13">
        <f>_xll.BDH("RCOM IN Equity","ARD_DEPRECIATION_AND_AMORT_CF","FY 2015","FY 2015","Currency=INR","Period=FY","BEST_FPERIOD_OVERRIDE=FY","FILING_STATUS=MR","EQY_CONSOLIDATED=Y","SCALING_FORMAT=MLN","Sort=A","Dates=H","DateFormat=P","Fill=—","Direction=H","UseDPDF=Y")</f>
        <v>38170</v>
      </c>
      <c r="J8" s="13" t="str">
        <f>_xll.BDH("RCOM IN Equity","ARD_DEPRECIATION_AND_AMORT_CF","FY 2016","FY 2016","Currency=INR","Period=FY","BEST_FPERIOD_OVERRIDE=FY","FILING_STATUS=MR","EQY_CONSOLIDATED=Y","SCALING_FORMAT=MLN","Sort=A","Dates=H","DateFormat=P","Fill=—","Direction=H","UseDPDF=Y")</f>
        <v>—</v>
      </c>
      <c r="K8" s="13" t="str">
        <f>_xll.BDH("RCOM IN Equity","ARD_DEPRECIATION_AND_AMORT_CF","FY 2017","FY 2017","Currency=INR","Period=FY","BEST_FPERIOD_OVERRIDE=FY","FILING_STATUS=MR","EQY_CONSOLIDATED=Y","SCALING_FORMAT=MLN","Sort=A","Dates=H","DateFormat=P","Fill=—","Direction=H","UseDPDF=Y")</f>
        <v>—</v>
      </c>
      <c r="L8" s="13" t="str">
        <f>_xll.BDH("RCOM IN Equity","ARD_DEPRECIATION_AND_AMORT_CF","FY 2018","FY 2018","Currency=INR","Period=FY","BEST_FPERIOD_OVERRIDE=FY","FILING_STATUS=MR","EQY_CONSOLIDATED=Y","SCALING_FORMAT=MLN","Sort=A","Dates=H","DateFormat=P","Fill=—","Direction=H","UseDPDF=Y")</f>
        <v>—</v>
      </c>
    </row>
    <row r="9" spans="1:12">
      <c r="A9" s="10" t="s">
        <v>1307</v>
      </c>
      <c r="B9" s="10" t="s">
        <v>1308</v>
      </c>
      <c r="C9" s="13">
        <f>_xll.BDH("RCOM IN Equity","ARD_PROVISION_DOUBTFUL_ACCT_CF","FY 2009","FY 2009","Currency=INR","Period=FY","BEST_FPERIOD_OVERRIDE=FY","FILING_STATUS=MR","EQY_CONSOLIDATED=Y","SCALING_FORMAT=MLN","Sort=A","Dates=H","DateFormat=P","Fill=—","Direction=H","UseDPDF=Y")</f>
        <v>1368.1</v>
      </c>
      <c r="D9" s="13">
        <f>_xll.BDH("RCOM IN Equity","ARD_PROVISION_DOUBTFUL_ACCT_CF","FY 2010","FY 2010","Currency=INR","Period=FY","BEST_FPERIOD_OVERRIDE=FY","FILING_STATUS=MR","EQY_CONSOLIDATED=Y","SCALING_FORMAT=MLN","Sort=A","Dates=H","DateFormat=P","Fill=—","Direction=H","UseDPDF=Y")</f>
        <v>1982.8</v>
      </c>
      <c r="E9" s="13">
        <f>_xll.BDH("RCOM IN Equity","ARD_PROVISION_DOUBTFUL_ACCT_CF","FY 2011","FY 2011","Currency=INR","Period=FY","BEST_FPERIOD_OVERRIDE=FY","FILING_STATUS=MR","EQY_CONSOLIDATED=Y","SCALING_FORMAT=MLN","Sort=A","Dates=H","DateFormat=P","Fill=—","Direction=H","UseDPDF=Y")</f>
        <v>930</v>
      </c>
      <c r="F9" s="13">
        <f>_xll.BDH("RCOM IN Equity","ARD_PROVISION_DOUBTFUL_ACCT_CF","FY 2012","FY 2012","Currency=INR","Period=FY","BEST_FPERIOD_OVERRIDE=FY","FILING_STATUS=MR","EQY_CONSOLIDATED=Y","SCALING_FORMAT=MLN","Sort=A","Dates=H","DateFormat=P","Fill=—","Direction=H","UseDPDF=Y")</f>
        <v>600</v>
      </c>
      <c r="G9" s="13">
        <f>_xll.BDH("RCOM IN Equity","ARD_PROVISION_DOUBTFUL_ACCT_CF","FY 2013","FY 2013","Currency=INR","Period=FY","BEST_FPERIOD_OVERRIDE=FY","FILING_STATUS=MR","EQY_CONSOLIDATED=Y","SCALING_FORMAT=MLN","Sort=A","Dates=H","DateFormat=P","Fill=—","Direction=H","UseDPDF=Y")</f>
        <v>1080</v>
      </c>
      <c r="H9" s="13">
        <f>_xll.BDH("RCOM IN Equity","ARD_PROVISION_DOUBTFUL_ACCT_CF","FY 2014","FY 2014","Currency=INR","Period=FY","BEST_FPERIOD_OVERRIDE=FY","FILING_STATUS=MR","EQY_CONSOLIDATED=Y","SCALING_FORMAT=MLN","Sort=A","Dates=H","DateFormat=P","Fill=—","Direction=H","UseDPDF=Y")</f>
        <v>2890</v>
      </c>
      <c r="I9" s="13">
        <f>_xll.BDH("RCOM IN Equity","ARD_PROVISION_DOUBTFUL_ACCT_CF","FY 2015","FY 2015","Currency=INR","Period=FY","BEST_FPERIOD_OVERRIDE=FY","FILING_STATUS=MR","EQY_CONSOLIDATED=Y","SCALING_FORMAT=MLN","Sort=A","Dates=H","DateFormat=P","Fill=—","Direction=H","UseDPDF=Y")</f>
        <v>1160</v>
      </c>
      <c r="J9" s="13">
        <f>_xll.BDH("RCOM IN Equity","ARD_PROVISION_DOUBTFUL_ACCT_CF","FY 2016","FY 2016","Currency=INR","Period=FY","BEST_FPERIOD_OVERRIDE=FY","FILING_STATUS=MR","EQY_CONSOLIDATED=Y","SCALING_FORMAT=MLN","Sort=A","Dates=H","DateFormat=P","Fill=—","Direction=H","UseDPDF=Y")</f>
        <v>1360</v>
      </c>
      <c r="K9" s="13">
        <f>_xll.BDH("RCOM IN Equity","ARD_PROVISION_DOUBTFUL_ACCT_CF","FY 2017","FY 2017","Currency=INR","Period=FY","BEST_FPERIOD_OVERRIDE=FY","FILING_STATUS=MR","EQY_CONSOLIDATED=Y","SCALING_FORMAT=MLN","Sort=A","Dates=H","DateFormat=P","Fill=—","Direction=H","UseDPDF=Y")</f>
        <v>1430</v>
      </c>
      <c r="L9" s="13">
        <f>_xll.BDH("RCOM IN Equity","ARD_PROVISION_DOUBTFUL_ACCT_CF","FY 2018","FY 2018","Currency=INR","Period=FY","BEST_FPERIOD_OVERRIDE=FY","FILING_STATUS=MR","EQY_CONSOLIDATED=Y","SCALING_FORMAT=MLN","Sort=A","Dates=H","DateFormat=P","Fill=—","Direction=H","UseDPDF=Y")</f>
        <v>3990</v>
      </c>
    </row>
    <row r="10" spans="1:12">
      <c r="A10" s="10" t="s">
        <v>1309</v>
      </c>
      <c r="B10" s="10" t="s">
        <v>1310</v>
      </c>
      <c r="C10" s="13" t="str">
        <f>_xll.BDH("RCOM IN Equity","ARD_DISCONTINUED_OPS_OPERATING","FY 2009","FY 2009","Currency=INR","Period=FY","BEST_FPERIOD_OVERRIDE=FY","FILING_STATUS=MR","EQY_CONSOLIDATED=Y","SCALING_FORMAT=MLN","Sort=A","Dates=H","DateFormat=P","Fill=—","Direction=H","UseDPDF=Y")</f>
        <v>—</v>
      </c>
      <c r="D10" s="13" t="str">
        <f>_xll.BDH("RCOM IN Equity","ARD_DISCONTINUED_OPS_OPERATING","FY 2010","FY 2010","Currency=INR","Period=FY","BEST_FPERIOD_OVERRIDE=FY","FILING_STATUS=MR","EQY_CONSOLIDATED=Y","SCALING_FORMAT=MLN","Sort=A","Dates=H","DateFormat=P","Fill=—","Direction=H","UseDPDF=Y")</f>
        <v>—</v>
      </c>
      <c r="E10" s="13" t="str">
        <f>_xll.BDH("RCOM IN Equity","ARD_DISCONTINUED_OPS_OPERATING","FY 2011","FY 2011","Currency=INR","Period=FY","BEST_FPERIOD_OVERRIDE=FY","FILING_STATUS=MR","EQY_CONSOLIDATED=Y","SCALING_FORMAT=MLN","Sort=A","Dates=H","DateFormat=P","Fill=—","Direction=H","UseDPDF=Y")</f>
        <v>—</v>
      </c>
      <c r="F10" s="13" t="str">
        <f>_xll.BDH("RCOM IN Equity","ARD_DISCONTINUED_OPS_OPERATING","FY 2012","FY 2012","Currency=INR","Period=FY","BEST_FPERIOD_OVERRIDE=FY","FILING_STATUS=MR","EQY_CONSOLIDATED=Y","SCALING_FORMAT=MLN","Sort=A","Dates=H","DateFormat=P","Fill=—","Direction=H","UseDPDF=Y")</f>
        <v>—</v>
      </c>
      <c r="G10" s="13" t="str">
        <f>_xll.BDH("RCOM IN Equity","ARD_DISCONTINUED_OPS_OPERATING","FY 2013","FY 2013","Currency=INR","Period=FY","BEST_FPERIOD_OVERRIDE=FY","FILING_STATUS=MR","EQY_CONSOLIDATED=Y","SCALING_FORMAT=MLN","Sort=A","Dates=H","DateFormat=P","Fill=—","Direction=H","UseDPDF=Y")</f>
        <v>—</v>
      </c>
      <c r="H10" s="13" t="str">
        <f>_xll.BDH("RCOM IN Equity","ARD_DISCONTINUED_OPS_OPERATING","FY 2014","FY 2014","Currency=INR","Period=FY","BEST_FPERIOD_OVERRIDE=FY","FILING_STATUS=MR","EQY_CONSOLIDATED=Y","SCALING_FORMAT=MLN","Sort=A","Dates=H","DateFormat=P","Fill=—","Direction=H","UseDPDF=Y")</f>
        <v>—</v>
      </c>
      <c r="I10" s="13" t="str">
        <f>_xll.BDH("RCOM IN Equity","ARD_DISCONTINUED_OPS_OPERATING","FY 2015","FY 2015","Currency=INR","Period=FY","BEST_FPERIOD_OVERRIDE=FY","FILING_STATUS=MR","EQY_CONSOLIDATED=Y","SCALING_FORMAT=MLN","Sort=A","Dates=H","DateFormat=P","Fill=—","Direction=H","UseDPDF=Y")</f>
        <v>—</v>
      </c>
      <c r="J10" s="13" t="str">
        <f>_xll.BDH("RCOM IN Equity","ARD_DISCONTINUED_OPS_OPERATING","FY 2016","FY 2016","Currency=INR","Period=FY","BEST_FPERIOD_OVERRIDE=FY","FILING_STATUS=MR","EQY_CONSOLIDATED=Y","SCALING_FORMAT=MLN","Sort=A","Dates=H","DateFormat=P","Fill=—","Direction=H","UseDPDF=Y")</f>
        <v>—</v>
      </c>
      <c r="K10" s="13">
        <f>_xll.BDH("RCOM IN Equity","ARD_DISCONTINUED_OPS_OPERATING","FY 2017","FY 2017","Currency=INR","Period=FY","BEST_FPERIOD_OVERRIDE=FY","FILING_STATUS=MR","EQY_CONSOLIDATED=Y","SCALING_FORMAT=MLN","Sort=A","Dates=H","DateFormat=P","Fill=—","Direction=H","UseDPDF=Y")</f>
        <v>-25420</v>
      </c>
      <c r="L10" s="13">
        <f>_xll.BDH("RCOM IN Equity","ARD_DISCONTINUED_OPS_OPERATING","FY 2018","FY 2018","Currency=INR","Period=FY","BEST_FPERIOD_OVERRIDE=FY","FILING_STATUS=MR","EQY_CONSOLIDATED=Y","SCALING_FORMAT=MLN","Sort=A","Dates=H","DateFormat=P","Fill=—","Direction=H","UseDPDF=Y")</f>
        <v>-258110</v>
      </c>
    </row>
    <row r="11" spans="1:12">
      <c r="A11" s="10" t="s">
        <v>1311</v>
      </c>
      <c r="B11" s="10" t="s">
        <v>1312</v>
      </c>
      <c r="C11" s="13">
        <f>_xll.BDH("RCOM IN Equity","ARD_OTHER_NON_CASH_ITEMS","FY 2009","FY 2009","Currency=INR","Period=FY","BEST_FPERIOD_OVERRIDE=FY","FILING_STATUS=MR","EQY_CONSOLIDATED=Y","SCALING_FORMAT=MLN","Sort=A","Dates=H","DateFormat=P","Fill=—","Direction=H","UseDPDF=Y")</f>
        <v>-796.1</v>
      </c>
      <c r="D11" s="13">
        <f>_xll.BDH("RCOM IN Equity","ARD_OTHER_NON_CASH_ITEMS","FY 2010","FY 2010","Currency=INR","Period=FY","BEST_FPERIOD_OVERRIDE=FY","FILING_STATUS=MR","EQY_CONSOLIDATED=Y","SCALING_FORMAT=MLN","Sort=A","Dates=H","DateFormat=P","Fill=—","Direction=H","UseDPDF=Y")</f>
        <v>1660.3</v>
      </c>
      <c r="E11" s="13" t="str">
        <f>_xll.BDH("RCOM IN Equity","ARD_OTHER_NON_CASH_ITEMS","FY 2011","FY 2011","Currency=INR","Period=FY","BEST_FPERIOD_OVERRIDE=FY","FILING_STATUS=MR","EQY_CONSOLIDATED=Y","SCALING_FORMAT=MLN","Sort=A","Dates=H","DateFormat=P","Fill=—","Direction=H","UseDPDF=Y")</f>
        <v>—</v>
      </c>
      <c r="F11" s="13" t="str">
        <f>_xll.BDH("RCOM IN Equity","ARD_OTHER_NON_CASH_ITEMS","FY 2012","FY 2012","Currency=INR","Period=FY","BEST_FPERIOD_OVERRIDE=FY","FILING_STATUS=MR","EQY_CONSOLIDATED=Y","SCALING_FORMAT=MLN","Sort=A","Dates=H","DateFormat=P","Fill=—","Direction=H","UseDPDF=Y")</f>
        <v>—</v>
      </c>
      <c r="G11" s="13" t="str">
        <f>_xll.BDH("RCOM IN Equity","ARD_OTHER_NON_CASH_ITEMS","FY 2013","FY 2013","Currency=INR","Period=FY","BEST_FPERIOD_OVERRIDE=FY","FILING_STATUS=MR","EQY_CONSOLIDATED=Y","SCALING_FORMAT=MLN","Sort=A","Dates=H","DateFormat=P","Fill=—","Direction=H","UseDPDF=Y")</f>
        <v>—</v>
      </c>
      <c r="H11" s="13">
        <f>_xll.BDH("RCOM IN Equity","ARD_OTHER_NON_CASH_ITEMS","FY 2014","FY 2014","Currency=INR","Period=FY","BEST_FPERIOD_OVERRIDE=FY","FILING_STATUS=MR","EQY_CONSOLIDATED=Y","SCALING_FORMAT=MLN","Sort=A","Dates=H","DateFormat=P","Fill=—","Direction=H","UseDPDF=Y")</f>
        <v>560</v>
      </c>
      <c r="I11" s="13" t="str">
        <f>_xll.BDH("RCOM IN Equity","ARD_OTHER_NON_CASH_ITEMS","FY 2015","FY 2015","Currency=INR","Period=FY","BEST_FPERIOD_OVERRIDE=FY","FILING_STATUS=MR","EQY_CONSOLIDATED=Y","SCALING_FORMAT=MLN","Sort=A","Dates=H","DateFormat=P","Fill=—","Direction=H","UseDPDF=Y")</f>
        <v>—</v>
      </c>
      <c r="J11" s="13">
        <f>_xll.BDH("RCOM IN Equity","ARD_OTHER_NON_CASH_ITEMS","FY 2016","FY 2016","Currency=INR","Period=FY","BEST_FPERIOD_OVERRIDE=FY","FILING_STATUS=MR","EQY_CONSOLIDATED=Y","SCALING_FORMAT=MLN","Sort=A","Dates=H","DateFormat=P","Fill=—","Direction=H","UseDPDF=Y")</f>
        <v>-480</v>
      </c>
      <c r="K11" s="13" t="str">
        <f>_xll.BDH("RCOM IN Equity","ARD_OTHER_NON_CASH_ITEMS","FY 2017","FY 2017","Currency=INR","Period=FY","BEST_FPERIOD_OVERRIDE=FY","FILING_STATUS=MR","EQY_CONSOLIDATED=Y","SCALING_FORMAT=MLN","Sort=A","Dates=H","DateFormat=P","Fill=—","Direction=H","UseDPDF=Y")</f>
        <v>—</v>
      </c>
      <c r="L11" s="13" t="str">
        <f>_xll.BDH("RCOM IN Equity","ARD_OTHER_NON_CASH_ITEMS","FY 2018","FY 2018","Currency=INR","Period=FY","BEST_FPERIOD_OVERRIDE=FY","FILING_STATUS=MR","EQY_CONSOLIDATED=Y","SCALING_FORMAT=MLN","Sort=A","Dates=H","DateFormat=P","Fill=—","Direction=H","UseDPDF=Y")</f>
        <v>—</v>
      </c>
    </row>
    <row r="12" spans="1:12">
      <c r="A12" s="10" t="s">
        <v>1313</v>
      </c>
      <c r="B12" s="10" t="s">
        <v>1314</v>
      </c>
      <c r="C12" s="13">
        <f>_xll.BDH("RCOM IN Equity","ARD_CHANGE_IN_INVENTORIES","FY 2009","FY 2009","Currency=INR","Period=FY","BEST_FPERIOD_OVERRIDE=FY","FILING_STATUS=MR","EQY_CONSOLIDATED=Y","SCALING_FORMAT=MLN","Sort=A","Dates=H","DateFormat=P","Fill=—","Direction=H","UseDPDF=Y")</f>
        <v>-1338.6</v>
      </c>
      <c r="D12" s="13">
        <f>_xll.BDH("RCOM IN Equity","ARD_CHANGE_IN_INVENTORIES","FY 2010","FY 2010","Currency=INR","Period=FY","BEST_FPERIOD_OVERRIDE=FY","FILING_STATUS=MR","EQY_CONSOLIDATED=Y","SCALING_FORMAT=MLN","Sort=A","Dates=H","DateFormat=P","Fill=—","Direction=H","UseDPDF=Y")</f>
        <v>-19.100000000000001</v>
      </c>
      <c r="E12" s="13">
        <f>_xll.BDH("RCOM IN Equity","ARD_CHANGE_IN_INVENTORIES","FY 2011","FY 2011","Currency=INR","Period=FY","BEST_FPERIOD_OVERRIDE=FY","FILING_STATUS=MR","EQY_CONSOLIDATED=Y","SCALING_FORMAT=MLN","Sort=A","Dates=H","DateFormat=P","Fill=—","Direction=H","UseDPDF=Y")</f>
        <v>270</v>
      </c>
      <c r="F12" s="13">
        <f>_xll.BDH("RCOM IN Equity","ARD_CHANGE_IN_INVENTORIES","FY 2012","FY 2012","Currency=INR","Period=FY","BEST_FPERIOD_OVERRIDE=FY","FILING_STATUS=MR","EQY_CONSOLIDATED=Y","SCALING_FORMAT=MLN","Sort=A","Dates=H","DateFormat=P","Fill=—","Direction=H","UseDPDF=Y")</f>
        <v>-490</v>
      </c>
      <c r="G12" s="13">
        <f>_xll.BDH("RCOM IN Equity","ARD_CHANGE_IN_INVENTORIES","FY 2013","FY 2013","Currency=INR","Period=FY","BEST_FPERIOD_OVERRIDE=FY","FILING_STATUS=MR","EQY_CONSOLIDATED=Y","SCALING_FORMAT=MLN","Sort=A","Dates=H","DateFormat=P","Fill=—","Direction=H","UseDPDF=Y")</f>
        <v>700</v>
      </c>
      <c r="H12" s="13">
        <f>_xll.BDH("RCOM IN Equity","ARD_CHANGE_IN_INVENTORIES","FY 2014","FY 2014","Currency=INR","Period=FY","BEST_FPERIOD_OVERRIDE=FY","FILING_STATUS=MR","EQY_CONSOLIDATED=Y","SCALING_FORMAT=MLN","Sort=A","Dates=H","DateFormat=P","Fill=—","Direction=H","UseDPDF=Y")</f>
        <v>820</v>
      </c>
      <c r="I12" s="13">
        <f>_xll.BDH("RCOM IN Equity","ARD_CHANGE_IN_INVENTORIES","FY 2015","FY 2015","Currency=INR","Period=FY","BEST_FPERIOD_OVERRIDE=FY","FILING_STATUS=MR","EQY_CONSOLIDATED=Y","SCALING_FORMAT=MLN","Sort=A","Dates=H","DateFormat=P","Fill=—","Direction=H","UseDPDF=Y")</f>
        <v>140</v>
      </c>
      <c r="J12" s="13">
        <f>_xll.BDH("RCOM IN Equity","ARD_CHANGE_IN_INVENTORIES","FY 2016","FY 2016","Currency=INR","Period=FY","BEST_FPERIOD_OVERRIDE=FY","FILING_STATUS=MR","EQY_CONSOLIDATED=Y","SCALING_FORMAT=MLN","Sort=A","Dates=H","DateFormat=P","Fill=—","Direction=H","UseDPDF=Y")</f>
        <v>1930</v>
      </c>
      <c r="K12" s="13">
        <f>_xll.BDH("RCOM IN Equity","ARD_CHANGE_IN_INVENTORIES","FY 2017","FY 2017","Currency=INR","Period=FY","BEST_FPERIOD_OVERRIDE=FY","FILING_STATUS=MR","EQY_CONSOLIDATED=Y","SCALING_FORMAT=MLN","Sort=A","Dates=H","DateFormat=P","Fill=—","Direction=H","UseDPDF=Y")</f>
        <v>-270</v>
      </c>
      <c r="L12" s="13">
        <f>_xll.BDH("RCOM IN Equity","ARD_CHANGE_IN_INVENTORIES","FY 2018","FY 2018","Currency=INR","Period=FY","BEST_FPERIOD_OVERRIDE=FY","FILING_STATUS=MR","EQY_CONSOLIDATED=Y","SCALING_FORMAT=MLN","Sort=A","Dates=H","DateFormat=P","Fill=—","Direction=H","UseDPDF=Y")</f>
        <v>650</v>
      </c>
    </row>
    <row r="13" spans="1:12">
      <c r="A13" s="10" t="s">
        <v>1315</v>
      </c>
      <c r="B13" s="10" t="s">
        <v>1316</v>
      </c>
      <c r="C13" s="13">
        <f>_xll.BDH("RCOM IN Equity","ARD_CHANGE_IN_ACCOUNTS_PAYABLE","FY 2009","FY 2009","Currency=INR","Period=FY","BEST_FPERIOD_OVERRIDE=FY","FILING_STATUS=MR","EQY_CONSOLIDATED=Y","SCALING_FORMAT=MLN","Sort=A","Dates=H","DateFormat=P","Fill=—","Direction=H","UseDPDF=Y")</f>
        <v>-16458.7</v>
      </c>
      <c r="D13" s="13">
        <f>_xll.BDH("RCOM IN Equity","ARD_CHANGE_IN_ACCOUNTS_PAYABLE","FY 2010","FY 2010","Currency=INR","Period=FY","BEST_FPERIOD_OVERRIDE=FY","FILING_STATUS=MR","EQY_CONSOLIDATED=Y","SCALING_FORMAT=MLN","Sort=A","Dates=H","DateFormat=P","Fill=—","Direction=H","UseDPDF=Y")</f>
        <v>9299.7999999999993</v>
      </c>
      <c r="E13" s="13" t="str">
        <f>_xll.BDH("RCOM IN Equity","ARD_CHANGE_IN_ACCOUNTS_PAYABLE","FY 2011","FY 2011","Currency=INR","Period=FY","BEST_FPERIOD_OVERRIDE=FY","FILING_STATUS=MR","EQY_CONSOLIDATED=Y","SCALING_FORMAT=MLN","Sort=A","Dates=H","DateFormat=P","Fill=—","Direction=H","UseDPDF=Y")</f>
        <v>—</v>
      </c>
      <c r="F13" s="13" t="str">
        <f>_xll.BDH("RCOM IN Equity","ARD_CHANGE_IN_ACCOUNTS_PAYABLE","FY 2012","FY 2012","Currency=INR","Period=FY","BEST_FPERIOD_OVERRIDE=FY","FILING_STATUS=MR","EQY_CONSOLIDATED=Y","SCALING_FORMAT=MLN","Sort=A","Dates=H","DateFormat=P","Fill=—","Direction=H","UseDPDF=Y")</f>
        <v>—</v>
      </c>
      <c r="G13" s="13" t="str">
        <f>_xll.BDH("RCOM IN Equity","ARD_CHANGE_IN_ACCOUNTS_PAYABLE","FY 2013","FY 2013","Currency=INR","Period=FY","BEST_FPERIOD_OVERRIDE=FY","FILING_STATUS=MR","EQY_CONSOLIDATED=Y","SCALING_FORMAT=MLN","Sort=A","Dates=H","DateFormat=P","Fill=—","Direction=H","UseDPDF=Y")</f>
        <v>—</v>
      </c>
      <c r="H13" s="13" t="str">
        <f>_xll.BDH("RCOM IN Equity","ARD_CHANGE_IN_ACCOUNTS_PAYABLE","FY 2014","FY 2014","Currency=INR","Period=FY","BEST_FPERIOD_OVERRIDE=FY","FILING_STATUS=MR","EQY_CONSOLIDATED=Y","SCALING_FORMAT=MLN","Sort=A","Dates=H","DateFormat=P","Fill=—","Direction=H","UseDPDF=Y")</f>
        <v>—</v>
      </c>
      <c r="I13" s="13" t="str">
        <f>_xll.BDH("RCOM IN Equity","ARD_CHANGE_IN_ACCOUNTS_PAYABLE","FY 2015","FY 2015","Currency=INR","Period=FY","BEST_FPERIOD_OVERRIDE=FY","FILING_STATUS=MR","EQY_CONSOLIDATED=Y","SCALING_FORMAT=MLN","Sort=A","Dates=H","DateFormat=P","Fill=—","Direction=H","UseDPDF=Y")</f>
        <v>—</v>
      </c>
      <c r="J13" s="13" t="str">
        <f>_xll.BDH("RCOM IN Equity","ARD_CHANGE_IN_ACCOUNTS_PAYABLE","FY 2016","FY 2016","Currency=INR","Period=FY","BEST_FPERIOD_OVERRIDE=FY","FILING_STATUS=MR","EQY_CONSOLIDATED=Y","SCALING_FORMAT=MLN","Sort=A","Dates=H","DateFormat=P","Fill=—","Direction=H","UseDPDF=Y")</f>
        <v>—</v>
      </c>
      <c r="K13" s="13" t="str">
        <f>_xll.BDH("RCOM IN Equity","ARD_CHANGE_IN_ACCOUNTS_PAYABLE","FY 2017","FY 2017","Currency=INR","Period=FY","BEST_FPERIOD_OVERRIDE=FY","FILING_STATUS=MR","EQY_CONSOLIDATED=Y","SCALING_FORMAT=MLN","Sort=A","Dates=H","DateFormat=P","Fill=—","Direction=H","UseDPDF=Y")</f>
        <v>—</v>
      </c>
      <c r="L13" s="13" t="str">
        <f>_xll.BDH("RCOM IN Equity","ARD_CHANGE_IN_ACCOUNTS_PAYABLE","FY 2018","FY 2018","Currency=INR","Period=FY","BEST_FPERIOD_OVERRIDE=FY","FILING_STATUS=MR","EQY_CONSOLIDATED=Y","SCALING_FORMAT=MLN","Sort=A","Dates=H","DateFormat=P","Fill=—","Direction=H","UseDPDF=Y")</f>
        <v>—</v>
      </c>
    </row>
    <row r="14" spans="1:12">
      <c r="A14" s="10" t="s">
        <v>1317</v>
      </c>
      <c r="B14" s="10" t="s">
        <v>1318</v>
      </c>
      <c r="C14" s="13" t="str">
        <f>_xll.BDH("RCOM IN Equity","ARD_NET_CHG_IN_WORKING_CAPITAL","FY 2009","FY 2009","Currency=INR","Period=FY","BEST_FPERIOD_OVERRIDE=FY","FILING_STATUS=MR","EQY_CONSOLIDATED=Y","SCALING_FORMAT=MLN","Sort=A","Dates=H","DateFormat=P","Fill=—","Direction=H","UseDPDF=Y")</f>
        <v>—</v>
      </c>
      <c r="D14" s="13" t="str">
        <f>_xll.BDH("RCOM IN Equity","ARD_NET_CHG_IN_WORKING_CAPITAL","FY 2010","FY 2010","Currency=INR","Period=FY","BEST_FPERIOD_OVERRIDE=FY","FILING_STATUS=MR","EQY_CONSOLIDATED=Y","SCALING_FORMAT=MLN","Sort=A","Dates=H","DateFormat=P","Fill=—","Direction=H","UseDPDF=Y")</f>
        <v>—</v>
      </c>
      <c r="E14" s="13" t="str">
        <f>_xll.BDH("RCOM IN Equity","ARD_NET_CHG_IN_WORKING_CAPITAL","FY 2011","FY 2011","Currency=INR","Period=FY","BEST_FPERIOD_OVERRIDE=FY","FILING_STATUS=MR","EQY_CONSOLIDATED=Y","SCALING_FORMAT=MLN","Sort=A","Dates=H","DateFormat=P","Fill=—","Direction=H","UseDPDF=Y")</f>
        <v>—</v>
      </c>
      <c r="F14" s="13" t="str">
        <f>_xll.BDH("RCOM IN Equity","ARD_NET_CHG_IN_WORKING_CAPITAL","FY 2012","FY 2012","Currency=INR","Period=FY","BEST_FPERIOD_OVERRIDE=FY","FILING_STATUS=MR","EQY_CONSOLIDATED=Y","SCALING_FORMAT=MLN","Sort=A","Dates=H","DateFormat=P","Fill=—","Direction=H","UseDPDF=Y")</f>
        <v>—</v>
      </c>
      <c r="G14" s="13" t="str">
        <f>_xll.BDH("RCOM IN Equity","ARD_NET_CHG_IN_WORKING_CAPITAL","FY 2013","FY 2013","Currency=INR","Period=FY","BEST_FPERIOD_OVERRIDE=FY","FILING_STATUS=MR","EQY_CONSOLIDATED=Y","SCALING_FORMAT=MLN","Sort=A","Dates=H","DateFormat=P","Fill=—","Direction=H","UseDPDF=Y")</f>
        <v>—</v>
      </c>
      <c r="H14" s="13" t="str">
        <f>_xll.BDH("RCOM IN Equity","ARD_NET_CHG_IN_WORKING_CAPITAL","FY 2014","FY 2014","Currency=INR","Period=FY","BEST_FPERIOD_OVERRIDE=FY","FILING_STATUS=MR","EQY_CONSOLIDATED=Y","SCALING_FORMAT=MLN","Sort=A","Dates=H","DateFormat=P","Fill=—","Direction=H","UseDPDF=Y")</f>
        <v>—</v>
      </c>
      <c r="I14" s="13" t="str">
        <f>_xll.BDH("RCOM IN Equity","ARD_NET_CHG_IN_WORKING_CAPITAL","FY 2015","FY 2015","Currency=INR","Period=FY","BEST_FPERIOD_OVERRIDE=FY","FILING_STATUS=MR","EQY_CONSOLIDATED=Y","SCALING_FORMAT=MLN","Sort=A","Dates=H","DateFormat=P","Fill=—","Direction=H","UseDPDF=Y")</f>
        <v>—</v>
      </c>
      <c r="J14" s="13" t="str">
        <f>_xll.BDH("RCOM IN Equity","ARD_NET_CHG_IN_WORKING_CAPITAL","FY 2016","FY 2016","Currency=INR","Period=FY","BEST_FPERIOD_OVERRIDE=FY","FILING_STATUS=MR","EQY_CONSOLIDATED=Y","SCALING_FORMAT=MLN","Sort=A","Dates=H","DateFormat=P","Fill=—","Direction=H","UseDPDF=Y")</f>
        <v>—</v>
      </c>
      <c r="K14" s="13" t="str">
        <f>_xll.BDH("RCOM IN Equity","ARD_NET_CHG_IN_WORKING_CAPITAL","FY 2017","FY 2017","Currency=INR","Period=FY","BEST_FPERIOD_OVERRIDE=FY","FILING_STATUS=MR","EQY_CONSOLIDATED=Y","SCALING_FORMAT=MLN","Sort=A","Dates=H","DateFormat=P","Fill=—","Direction=H","UseDPDF=Y")</f>
        <v>—</v>
      </c>
      <c r="L14" s="13" t="str">
        <f>_xll.BDH("RCOM IN Equity","ARD_NET_CHG_IN_WORKING_CAPITAL","FY 2018","FY 2018","Currency=INR","Period=FY","BEST_FPERIOD_OVERRIDE=FY","FILING_STATUS=MR","EQY_CONSOLIDATED=Y","SCALING_FORMAT=MLN","Sort=A","Dates=H","DateFormat=P","Fill=—","Direction=H","UseDPDF=Y")</f>
        <v>—</v>
      </c>
    </row>
    <row r="15" spans="1:12">
      <c r="A15" s="10" t="s">
        <v>1319</v>
      </c>
      <c r="B15" s="10" t="s">
        <v>1320</v>
      </c>
      <c r="C15" s="13" t="str">
        <f>_xll.BDH("RCOM IN Equity","ARD_CASH_PAID_FOR_TAXES","FY 2009","FY 2009","Currency=INR","Period=FY","BEST_FPERIOD_OVERRIDE=FY","FILING_STATUS=MR","EQY_CONSOLIDATED=Y","SCALING_FORMAT=MLN","Sort=A","Dates=H","DateFormat=P","Fill=—","Direction=H","UseDPDF=Y")</f>
        <v>—</v>
      </c>
      <c r="D15" s="13" t="str">
        <f>_xll.BDH("RCOM IN Equity","ARD_CASH_PAID_FOR_TAXES","FY 2010","FY 2010","Currency=INR","Period=FY","BEST_FPERIOD_OVERRIDE=FY","FILING_STATUS=MR","EQY_CONSOLIDATED=Y","SCALING_FORMAT=MLN","Sort=A","Dates=H","DateFormat=P","Fill=—","Direction=H","UseDPDF=Y")</f>
        <v>—</v>
      </c>
      <c r="E15" s="13" t="str">
        <f>_xll.BDH("RCOM IN Equity","ARD_CASH_PAID_FOR_TAXES","FY 2011","FY 2011","Currency=INR","Period=FY","BEST_FPERIOD_OVERRIDE=FY","FILING_STATUS=MR","EQY_CONSOLIDATED=Y","SCALING_FORMAT=MLN","Sort=A","Dates=H","DateFormat=P","Fill=—","Direction=H","UseDPDF=Y")</f>
        <v>—</v>
      </c>
      <c r="F15" s="13">
        <f>_xll.BDH("RCOM IN Equity","ARD_CASH_PAID_FOR_TAXES","FY 2012","FY 2012","Currency=INR","Period=FY","BEST_FPERIOD_OVERRIDE=FY","FILING_STATUS=MR","EQY_CONSOLIDATED=Y","SCALING_FORMAT=MLN","Sort=A","Dates=H","DateFormat=P","Fill=—","Direction=H","UseDPDF=Y")</f>
        <v>-3890</v>
      </c>
      <c r="G15" s="13" t="str">
        <f>_xll.BDH("RCOM IN Equity","ARD_CASH_PAID_FOR_TAXES","FY 2013","FY 2013","Currency=INR","Period=FY","BEST_FPERIOD_OVERRIDE=FY","FILING_STATUS=MR","EQY_CONSOLIDATED=Y","SCALING_FORMAT=MLN","Sort=A","Dates=H","DateFormat=P","Fill=—","Direction=H","UseDPDF=Y")</f>
        <v>—</v>
      </c>
      <c r="H15" s="13" t="str">
        <f>_xll.BDH("RCOM IN Equity","ARD_CASH_PAID_FOR_TAXES","FY 2014","FY 2014","Currency=INR","Period=FY","BEST_FPERIOD_OVERRIDE=FY","FILING_STATUS=MR","EQY_CONSOLIDATED=Y","SCALING_FORMAT=MLN","Sort=A","Dates=H","DateFormat=P","Fill=—","Direction=H","UseDPDF=Y")</f>
        <v>—</v>
      </c>
      <c r="I15" s="13" t="str">
        <f>_xll.BDH("RCOM IN Equity","ARD_CASH_PAID_FOR_TAXES","FY 2015","FY 2015","Currency=INR","Period=FY","BEST_FPERIOD_OVERRIDE=FY","FILING_STATUS=MR","EQY_CONSOLIDATED=Y","SCALING_FORMAT=MLN","Sort=A","Dates=H","DateFormat=P","Fill=—","Direction=H","UseDPDF=Y")</f>
        <v>—</v>
      </c>
      <c r="J15" s="13" t="str">
        <f>_xll.BDH("RCOM IN Equity","ARD_CASH_PAID_FOR_TAXES","FY 2016","FY 2016","Currency=INR","Period=FY","BEST_FPERIOD_OVERRIDE=FY","FILING_STATUS=MR","EQY_CONSOLIDATED=Y","SCALING_FORMAT=MLN","Sort=A","Dates=H","DateFormat=P","Fill=—","Direction=H","UseDPDF=Y")</f>
        <v>—</v>
      </c>
      <c r="K15" s="13">
        <f>_xll.BDH("RCOM IN Equity","ARD_CASH_PAID_FOR_TAXES","FY 2017","FY 2017","Currency=INR","Period=FY","BEST_FPERIOD_OVERRIDE=FY","FILING_STATUS=MR","EQY_CONSOLIDATED=Y","SCALING_FORMAT=MLN","Sort=A","Dates=H","DateFormat=P","Fill=—","Direction=H","UseDPDF=Y")</f>
        <v>-2210</v>
      </c>
      <c r="L15" s="13">
        <f>_xll.BDH("RCOM IN Equity","ARD_CASH_PAID_FOR_TAXES","FY 2018","FY 2018","Currency=INR","Period=FY","BEST_FPERIOD_OVERRIDE=FY","FILING_STATUS=MR","EQY_CONSOLIDATED=Y","SCALING_FORMAT=MLN","Sort=A","Dates=H","DateFormat=P","Fill=—","Direction=H","UseDPDF=Y")</f>
        <v>-620</v>
      </c>
    </row>
    <row r="16" spans="1:12">
      <c r="A16" s="10" t="s">
        <v>1321</v>
      </c>
      <c r="B16" s="10" t="s">
        <v>1322</v>
      </c>
      <c r="C16" s="13">
        <f>_xll.BDH("RCOM IN Equity","ARD_TOT_CASH_FLOWS_FROM_OPS","FY 2009","FY 2009","Currency=INR","Period=FY","BEST_FPERIOD_OVERRIDE=FY","FILING_STATUS=MR","EQY_CONSOLIDATED=Y","SCALING_FORMAT=MLN","Sort=A","Dates=H","DateFormat=P","Fill=—","Direction=H","UseDPDF=Y")</f>
        <v>65075.3</v>
      </c>
      <c r="D16" s="13">
        <f>_xll.BDH("RCOM IN Equity","ARD_TOT_CASH_FLOWS_FROM_OPS","FY 2010","FY 2010","Currency=INR","Period=FY","BEST_FPERIOD_OVERRIDE=FY","FILING_STATUS=MR","EQY_CONSOLIDATED=Y","SCALING_FORMAT=MLN","Sort=A","Dates=H","DateFormat=P","Fill=—","Direction=H","UseDPDF=Y")</f>
        <v>96164.800000000003</v>
      </c>
      <c r="E16" s="13">
        <f>_xll.BDH("RCOM IN Equity","ARD_TOT_CASH_FLOWS_FROM_OPS","FY 2011","FY 2011","Currency=INR","Period=FY","BEST_FPERIOD_OVERRIDE=FY","FILING_STATUS=MR","EQY_CONSOLIDATED=Y","SCALING_FORMAT=MLN","Sort=A","Dates=H","DateFormat=P","Fill=—","Direction=H","UseDPDF=Y")</f>
        <v>24340</v>
      </c>
      <c r="F16" s="13">
        <f>_xll.BDH("RCOM IN Equity","ARD_TOT_CASH_FLOWS_FROM_OPS","FY 2012","FY 2012","Currency=INR","Period=FY","BEST_FPERIOD_OVERRIDE=FY","FILING_STATUS=MR","EQY_CONSOLIDATED=Y","SCALING_FORMAT=MLN","Sort=A","Dates=H","DateFormat=P","Fill=—","Direction=H","UseDPDF=Y")</f>
        <v>57510</v>
      </c>
      <c r="G16" s="13">
        <f>_xll.BDH("RCOM IN Equity","ARD_TOT_CASH_FLOWS_FROM_OPS","FY 2013","FY 2013","Currency=INR","Period=FY","BEST_FPERIOD_OVERRIDE=FY","FILING_STATUS=MR","EQY_CONSOLIDATED=Y","SCALING_FORMAT=MLN","Sort=A","Dates=H","DateFormat=P","Fill=—","Direction=H","UseDPDF=Y")</f>
        <v>38250</v>
      </c>
      <c r="H16" s="13">
        <f>_xll.BDH("RCOM IN Equity","ARD_TOT_CASH_FLOWS_FROM_OPS","FY 2014","FY 2014","Currency=INR","Period=FY","BEST_FPERIOD_OVERRIDE=FY","FILING_STATUS=MR","EQY_CONSOLIDATED=Y","SCALING_FORMAT=MLN","Sort=A","Dates=H","DateFormat=P","Fill=—","Direction=H","UseDPDF=Y")</f>
        <v>68390</v>
      </c>
      <c r="I16" s="13">
        <f>_xll.BDH("RCOM IN Equity","ARD_TOT_CASH_FLOWS_FROM_OPS","FY 2015","FY 2015","Currency=INR","Period=FY","BEST_FPERIOD_OVERRIDE=FY","FILING_STATUS=MR","EQY_CONSOLIDATED=Y","SCALING_FORMAT=MLN","Sort=A","Dates=H","DateFormat=P","Fill=—","Direction=H","UseDPDF=Y")</f>
        <v>31580</v>
      </c>
      <c r="J16" s="13">
        <f>_xll.BDH("RCOM IN Equity","ARD_TOT_CASH_FLOWS_FROM_OPS","FY 2016","FY 2016","Currency=INR","Period=FY","BEST_FPERIOD_OVERRIDE=FY","FILING_STATUS=MR","EQY_CONSOLIDATED=Y","SCALING_FORMAT=MLN","Sort=A","Dates=H","DateFormat=P","Fill=—","Direction=H","UseDPDF=Y")</f>
        <v>141060</v>
      </c>
      <c r="K16" s="13">
        <f>_xll.BDH("RCOM IN Equity","ARD_TOT_CASH_FLOWS_FROM_OPS","FY 2017","FY 2017","Currency=INR","Period=FY","BEST_FPERIOD_OVERRIDE=FY","FILING_STATUS=MR","EQY_CONSOLIDATED=Y","SCALING_FORMAT=MLN","Sort=A","Dates=H","DateFormat=P","Fill=—","Direction=H","UseDPDF=Y")</f>
        <v>-3880</v>
      </c>
      <c r="L16" s="13">
        <f>_xll.BDH("RCOM IN Equity","ARD_TOT_CASH_FLOWS_FROM_OPS","FY 2018","FY 2018","Currency=INR","Period=FY","BEST_FPERIOD_OVERRIDE=FY","FILING_STATUS=MR","EQY_CONSOLIDATED=Y","SCALING_FORMAT=MLN","Sort=A","Dates=H","DateFormat=P","Fill=—","Direction=H","UseDPDF=Y")</f>
        <v>9640</v>
      </c>
    </row>
    <row r="17" spans="1:12">
      <c r="A17" s="10" t="s">
        <v>1323</v>
      </c>
      <c r="B17" s="10" t="s">
        <v>1324</v>
      </c>
      <c r="C17" s="13" t="str">
        <f>_xll.BDH("RCOM IN Equity","ARD_WRITE_OFFS","FY 2009","FY 2009","Currency=INR","Period=FY","BEST_FPERIOD_OVERRIDE=FY","FILING_STATUS=MR","EQY_CONSOLIDATED=Y","SCALING_FORMAT=MLN","Sort=A","Dates=H","DateFormat=P","Fill=—","Direction=H","UseDPDF=Y")</f>
        <v>—</v>
      </c>
      <c r="D17" s="13" t="str">
        <f>_xll.BDH("RCOM IN Equity","ARD_WRITE_OFFS","FY 2010","FY 2010","Currency=INR","Period=FY","BEST_FPERIOD_OVERRIDE=FY","FILING_STATUS=MR","EQY_CONSOLIDATED=Y","SCALING_FORMAT=MLN","Sort=A","Dates=H","DateFormat=P","Fill=—","Direction=H","UseDPDF=Y")</f>
        <v>—</v>
      </c>
      <c r="E17" s="13" t="str">
        <f>_xll.BDH("RCOM IN Equity","ARD_WRITE_OFFS","FY 2011","FY 2011","Currency=INR","Period=FY","BEST_FPERIOD_OVERRIDE=FY","FILING_STATUS=MR","EQY_CONSOLIDATED=Y","SCALING_FORMAT=MLN","Sort=A","Dates=H","DateFormat=P","Fill=—","Direction=H","UseDPDF=Y")</f>
        <v>—</v>
      </c>
      <c r="F17" s="13" t="str">
        <f>_xll.BDH("RCOM IN Equity","ARD_WRITE_OFFS","FY 2012","FY 2012","Currency=INR","Period=FY","BEST_FPERIOD_OVERRIDE=FY","FILING_STATUS=MR","EQY_CONSOLIDATED=Y","SCALING_FORMAT=MLN","Sort=A","Dates=H","DateFormat=P","Fill=—","Direction=H","UseDPDF=Y")</f>
        <v>—</v>
      </c>
      <c r="G17" s="13" t="str">
        <f>_xll.BDH("RCOM IN Equity","ARD_WRITE_OFFS","FY 2013","FY 2013","Currency=INR","Period=FY","BEST_FPERIOD_OVERRIDE=FY","FILING_STATUS=MR","EQY_CONSOLIDATED=Y","SCALING_FORMAT=MLN","Sort=A","Dates=H","DateFormat=P","Fill=—","Direction=H","UseDPDF=Y")</f>
        <v>—</v>
      </c>
      <c r="H17" s="13" t="str">
        <f>_xll.BDH("RCOM IN Equity","ARD_WRITE_OFFS","FY 2014","FY 2014","Currency=INR","Period=FY","BEST_FPERIOD_OVERRIDE=FY","FILING_STATUS=MR","EQY_CONSOLIDATED=Y","SCALING_FORMAT=MLN","Sort=A","Dates=H","DateFormat=P","Fill=—","Direction=H","UseDPDF=Y")</f>
        <v>—</v>
      </c>
      <c r="I17" s="13" t="str">
        <f>_xll.BDH("RCOM IN Equity","ARD_WRITE_OFFS","FY 2015","FY 2015","Currency=INR","Period=FY","BEST_FPERIOD_OVERRIDE=FY","FILING_STATUS=MR","EQY_CONSOLIDATED=Y","SCALING_FORMAT=MLN","Sort=A","Dates=H","DateFormat=P","Fill=—","Direction=H","UseDPDF=Y")</f>
        <v>—</v>
      </c>
      <c r="J17" s="13" t="str">
        <f>_xll.BDH("RCOM IN Equity","ARD_WRITE_OFFS","FY 2016","FY 2016","Currency=INR","Period=FY","BEST_FPERIOD_OVERRIDE=FY","FILING_STATUS=MR","EQY_CONSOLIDATED=Y","SCALING_FORMAT=MLN","Sort=A","Dates=H","DateFormat=P","Fill=—","Direction=H","UseDPDF=Y")</f>
        <v>—</v>
      </c>
      <c r="K17" s="13">
        <f>_xll.BDH("RCOM IN Equity","ARD_WRITE_OFFS","FY 2017","FY 2017","Currency=INR","Period=FY","BEST_FPERIOD_OVERRIDE=FY","FILING_STATUS=MR","EQY_CONSOLIDATED=Y","SCALING_FORMAT=MLN","Sort=A","Dates=H","DateFormat=P","Fill=—","Direction=H","UseDPDF=Y")</f>
        <v>0</v>
      </c>
      <c r="L17" s="13">
        <f>_xll.BDH("RCOM IN Equity","ARD_WRITE_OFFS","FY 2018","FY 2018","Currency=INR","Period=FY","BEST_FPERIOD_OVERRIDE=FY","FILING_STATUS=MR","EQY_CONSOLIDATED=Y","SCALING_FORMAT=MLN","Sort=A","Dates=H","DateFormat=P","Fill=—","Direction=H","UseDPDF=Y")</f>
        <v>920</v>
      </c>
    </row>
    <row r="18" spans="1:12">
      <c r="A18" s="10" t="s">
        <v>1325</v>
      </c>
      <c r="B18" s="10" t="s">
        <v>1326</v>
      </c>
      <c r="C18" s="13">
        <f>_xll.BDH("RCOM IN Equity","ARD_GL_ON_SALE_OF_INV_MKT_SEC","FY 2009","FY 2009","Currency=INR","Period=FY","BEST_FPERIOD_OVERRIDE=FY","FILING_STATUS=MR","EQY_CONSOLIDATED=Y","SCALING_FORMAT=MLN","Sort=A","Dates=H","DateFormat=P","Fill=—","Direction=H","UseDPDF=Y")</f>
        <v>-3278.2</v>
      </c>
      <c r="D18" s="13">
        <f>_xll.BDH("RCOM IN Equity","ARD_GL_ON_SALE_OF_INV_MKT_SEC","FY 2010","FY 2010","Currency=INR","Period=FY","BEST_FPERIOD_OVERRIDE=FY","FILING_STATUS=MR","EQY_CONSOLIDATED=Y","SCALING_FORMAT=MLN","Sort=A","Dates=H","DateFormat=P","Fill=—","Direction=H","UseDPDF=Y")</f>
        <v>-2094.9</v>
      </c>
      <c r="E18" s="13">
        <f>_xll.BDH("RCOM IN Equity","ARD_GL_ON_SALE_OF_INV_MKT_SEC","FY 2011","FY 2011","Currency=INR","Period=FY","BEST_FPERIOD_OVERRIDE=FY","FILING_STATUS=MR","EQY_CONSOLIDATED=Y","SCALING_FORMAT=MLN","Sort=A","Dates=H","DateFormat=P","Fill=—","Direction=H","UseDPDF=Y")</f>
        <v>-570</v>
      </c>
      <c r="F18" s="13">
        <f>_xll.BDH("RCOM IN Equity","ARD_GL_ON_SALE_OF_INV_MKT_SEC","FY 2012","FY 2012","Currency=INR","Period=FY","BEST_FPERIOD_OVERRIDE=FY","FILING_STATUS=MR","EQY_CONSOLIDATED=Y","SCALING_FORMAT=MLN","Sort=A","Dates=H","DateFormat=P","Fill=—","Direction=H","UseDPDF=Y")</f>
        <v>-230</v>
      </c>
      <c r="G18" s="13">
        <f>_xll.BDH("RCOM IN Equity","ARD_GL_ON_SALE_OF_INV_MKT_SEC","FY 2013","FY 2013","Currency=INR","Period=FY","BEST_FPERIOD_OVERRIDE=FY","FILING_STATUS=MR","EQY_CONSOLIDATED=Y","SCALING_FORMAT=MLN","Sort=A","Dates=H","DateFormat=P","Fill=—","Direction=H","UseDPDF=Y")</f>
        <v>-350</v>
      </c>
      <c r="H18" s="13">
        <f>_xll.BDH("RCOM IN Equity","ARD_GL_ON_SALE_OF_INV_MKT_SEC","FY 2014","FY 2014","Currency=INR","Period=FY","BEST_FPERIOD_OVERRIDE=FY","FILING_STATUS=MR","EQY_CONSOLIDATED=Y","SCALING_FORMAT=MLN","Sort=A","Dates=H","DateFormat=P","Fill=—","Direction=H","UseDPDF=Y")</f>
        <v>-90</v>
      </c>
      <c r="I18" s="13">
        <f>_xll.BDH("RCOM IN Equity","ARD_GL_ON_SALE_OF_INV_MKT_SEC","FY 2015","FY 2015","Currency=INR","Period=FY","BEST_FPERIOD_OVERRIDE=FY","FILING_STATUS=MR","EQY_CONSOLIDATED=Y","SCALING_FORMAT=MLN","Sort=A","Dates=H","DateFormat=P","Fill=—","Direction=H","UseDPDF=Y")</f>
        <v>-300</v>
      </c>
      <c r="J18" s="13">
        <f>_xll.BDH("RCOM IN Equity","ARD_GL_ON_SALE_OF_INV_MKT_SEC","FY 2016","FY 2016","Currency=INR","Period=FY","BEST_FPERIOD_OVERRIDE=FY","FILING_STATUS=MR","EQY_CONSOLIDATED=Y","SCALING_FORMAT=MLN","Sort=A","Dates=H","DateFormat=P","Fill=—","Direction=H","UseDPDF=Y")</f>
        <v>-30</v>
      </c>
      <c r="K18" s="13" t="str">
        <f>_xll.BDH("RCOM IN Equity","ARD_GL_ON_SALE_OF_INV_MKT_SEC","FY 2017","FY 2017","Currency=INR","Period=FY","BEST_FPERIOD_OVERRIDE=FY","FILING_STATUS=MR","EQY_CONSOLIDATED=Y","SCALING_FORMAT=MLN","Sort=A","Dates=H","DateFormat=P","Fill=—","Direction=H","UseDPDF=Y")</f>
        <v>—</v>
      </c>
      <c r="L18" s="13" t="str">
        <f>_xll.BDH("RCOM IN Equity","ARD_GL_ON_SALE_OF_INV_MKT_SEC","FY 2018","FY 2018","Currency=INR","Period=FY","BEST_FPERIOD_OVERRIDE=FY","FILING_STATUS=MR","EQY_CONSOLIDATED=Y","SCALING_FORMAT=MLN","Sort=A","Dates=H","DateFormat=P","Fill=—","Direction=H","UseDPDF=Y")</f>
        <v>—</v>
      </c>
    </row>
    <row r="19" spans="1:12">
      <c r="A19" s="10" t="s">
        <v>1327</v>
      </c>
      <c r="B19" s="10" t="s">
        <v>1328</v>
      </c>
      <c r="C19" s="13">
        <f>_xll.BDH("RCOM IN Equity","ARD_FOREIGN_EXCHANGE_GAIN_LOSS","FY 2009","FY 2009","Currency=INR","Period=FY","BEST_FPERIOD_OVERRIDE=FY","FILING_STATUS=MR","EQY_CONSOLIDATED=Y","SCALING_FORMAT=MLN","Sort=A","Dates=H","DateFormat=P","Fill=—","Direction=H","UseDPDF=Y")</f>
        <v>-2797.2</v>
      </c>
      <c r="D19" s="13">
        <f>_xll.BDH("RCOM IN Equity","ARD_FOREIGN_EXCHANGE_GAIN_LOSS","FY 2010","FY 2010","Currency=INR","Period=FY","BEST_FPERIOD_OVERRIDE=FY","FILING_STATUS=MR","EQY_CONSOLIDATED=Y","SCALING_FORMAT=MLN","Sort=A","Dates=H","DateFormat=P","Fill=—","Direction=H","UseDPDF=Y")</f>
        <v>-32494.1</v>
      </c>
      <c r="E19" s="13">
        <f>_xll.BDH("RCOM IN Equity","ARD_FOREIGN_EXCHANGE_GAIN_LOSS","FY 2011","FY 2011","Currency=INR","Period=FY","BEST_FPERIOD_OVERRIDE=FY","FILING_STATUS=MR","EQY_CONSOLIDATED=Y","SCALING_FORMAT=MLN","Sort=A","Dates=H","DateFormat=P","Fill=—","Direction=H","UseDPDF=Y")</f>
        <v>-1630</v>
      </c>
      <c r="F19" s="13">
        <f>_xll.BDH("RCOM IN Equity","ARD_FOREIGN_EXCHANGE_GAIN_LOSS","FY 2012","FY 2012","Currency=INR","Period=FY","BEST_FPERIOD_OVERRIDE=FY","FILING_STATUS=MR","EQY_CONSOLIDATED=Y","SCALING_FORMAT=MLN","Sort=A","Dates=H","DateFormat=P","Fill=—","Direction=H","UseDPDF=Y")</f>
        <v>-1360</v>
      </c>
      <c r="G19" s="13">
        <f>_xll.BDH("RCOM IN Equity","ARD_FOREIGN_EXCHANGE_GAIN_LOSS","FY 2013","FY 2013","Currency=INR","Period=FY","BEST_FPERIOD_OVERRIDE=FY","FILING_STATUS=MR","EQY_CONSOLIDATED=Y","SCALING_FORMAT=MLN","Sort=A","Dates=H","DateFormat=P","Fill=—","Direction=H","UseDPDF=Y")</f>
        <v>-120</v>
      </c>
      <c r="H19" s="13">
        <f>_xll.BDH("RCOM IN Equity","ARD_FOREIGN_EXCHANGE_GAIN_LOSS","FY 2014","FY 2014","Currency=INR","Period=FY","BEST_FPERIOD_OVERRIDE=FY","FILING_STATUS=MR","EQY_CONSOLIDATED=Y","SCALING_FORMAT=MLN","Sort=A","Dates=H","DateFormat=P","Fill=—","Direction=H","UseDPDF=Y")</f>
        <v>-380</v>
      </c>
      <c r="I19" s="13">
        <f>_xll.BDH("RCOM IN Equity","ARD_FOREIGN_EXCHANGE_GAIN_LOSS","FY 2015","FY 2015","Currency=INR","Period=FY","BEST_FPERIOD_OVERRIDE=FY","FILING_STATUS=MR","EQY_CONSOLIDATED=Y","SCALING_FORMAT=MLN","Sort=A","Dates=H","DateFormat=P","Fill=—","Direction=H","UseDPDF=Y")</f>
        <v>-460</v>
      </c>
      <c r="J19" s="13">
        <f>_xll.BDH("RCOM IN Equity","ARD_FOREIGN_EXCHANGE_GAIN_LOSS","FY 2016","FY 2016","Currency=INR","Period=FY","BEST_FPERIOD_OVERRIDE=FY","FILING_STATUS=MR","EQY_CONSOLIDATED=Y","SCALING_FORMAT=MLN","Sort=A","Dates=H","DateFormat=P","Fill=—","Direction=H","UseDPDF=Y")</f>
        <v>-230</v>
      </c>
      <c r="K19" s="13">
        <f>_xll.BDH("RCOM IN Equity","ARD_FOREIGN_EXCHANGE_GAIN_LOSS","FY 2017","FY 2017","Currency=INR","Period=FY","BEST_FPERIOD_OVERRIDE=FY","FILING_STATUS=MR","EQY_CONSOLIDATED=Y","SCALING_FORMAT=MLN","Sort=A","Dates=H","DateFormat=P","Fill=—","Direction=H","UseDPDF=Y")</f>
        <v>70</v>
      </c>
      <c r="L19" s="13">
        <f>_xll.BDH("RCOM IN Equity","ARD_FOREIGN_EXCHANGE_GAIN_LOSS","FY 2018","FY 2018","Currency=INR","Period=FY","BEST_FPERIOD_OVERRIDE=FY","FILING_STATUS=MR","EQY_CONSOLIDATED=Y","SCALING_FORMAT=MLN","Sort=A","Dates=H","DateFormat=P","Fill=—","Direction=H","UseDPDF=Y")</f>
        <v>1160</v>
      </c>
    </row>
    <row r="20" spans="1:12">
      <c r="A20" s="10" t="s">
        <v>1329</v>
      </c>
      <c r="B20" s="10" t="s">
        <v>1330</v>
      </c>
      <c r="C20" s="13">
        <f>_xll.BDH("RCOM IN Equity","ARD_TOT_CF_FROM_OPS_BEF_WORK_CAP","FY 2009","FY 2009","Currency=INR","Period=FY","BEST_FPERIOD_OVERRIDE=FY","FILING_STATUS=MR","EQY_CONSOLIDATED=Y","SCALING_FORMAT=MLN","Sort=A","Dates=H","DateFormat=P","Fill=—","Direction=H","UseDPDF=Y")</f>
        <v>89255.8</v>
      </c>
      <c r="D20" s="13">
        <f>_xll.BDH("RCOM IN Equity","ARD_TOT_CF_FROM_OPS_BEF_WORK_CAP","FY 2010","FY 2010","Currency=INR","Period=FY","BEST_FPERIOD_OVERRIDE=FY","FILING_STATUS=MR","EQY_CONSOLIDATED=Y","SCALING_FORMAT=MLN","Sort=A","Dates=H","DateFormat=P","Fill=—","Direction=H","UseDPDF=Y")</f>
        <v>73687.399999999994</v>
      </c>
      <c r="E20" s="13">
        <f>_xll.BDH("RCOM IN Equity","ARD_TOT_CF_FROM_OPS_BEF_WORK_CAP","FY 2011","FY 2011","Currency=INR","Period=FY","BEST_FPERIOD_OVERRIDE=FY","FILING_STATUS=MR","EQY_CONSOLIDATED=Y","SCALING_FORMAT=MLN","Sort=A","Dates=H","DateFormat=P","Fill=—","Direction=H","UseDPDF=Y")</f>
        <v>85610</v>
      </c>
      <c r="F20" s="13">
        <f>_xll.BDH("RCOM IN Equity","ARD_TOT_CF_FROM_OPS_BEF_WORK_CAP","FY 2012","FY 2012","Currency=INR","Period=FY","BEST_FPERIOD_OVERRIDE=FY","FILING_STATUS=MR","EQY_CONSOLIDATED=Y","SCALING_FORMAT=MLN","Sort=A","Dates=H","DateFormat=P","Fill=—","Direction=H","UseDPDF=Y")</f>
        <v>63440</v>
      </c>
      <c r="G20" s="13">
        <f>_xll.BDH("RCOM IN Equity","ARD_TOT_CF_FROM_OPS_BEF_WORK_CAP","FY 2013","FY 2013","Currency=INR","Period=FY","BEST_FPERIOD_OVERRIDE=FY","FILING_STATUS=MR","EQY_CONSOLIDATED=Y","SCALING_FORMAT=MLN","Sort=A","Dates=H","DateFormat=P","Fill=—","Direction=H","UseDPDF=Y")</f>
        <v>64950</v>
      </c>
      <c r="H20" s="13">
        <f>_xll.BDH("RCOM IN Equity","ARD_TOT_CF_FROM_OPS_BEF_WORK_CAP","FY 2014","FY 2014","Currency=INR","Period=FY","BEST_FPERIOD_OVERRIDE=FY","FILING_STATUS=MR","EQY_CONSOLIDATED=Y","SCALING_FORMAT=MLN","Sort=A","Dates=H","DateFormat=P","Fill=—","Direction=H","UseDPDF=Y")</f>
        <v>70500</v>
      </c>
      <c r="I20" s="13">
        <f>_xll.BDH("RCOM IN Equity","ARD_TOT_CF_FROM_OPS_BEF_WORK_CAP","FY 2015","FY 2015","Currency=INR","Period=FY","BEST_FPERIOD_OVERRIDE=FY","FILING_STATUS=MR","EQY_CONSOLIDATED=Y","SCALING_FORMAT=MLN","Sort=A","Dates=H","DateFormat=P","Fill=—","Direction=H","UseDPDF=Y")</f>
        <v>74250</v>
      </c>
      <c r="J20" s="13">
        <f>_xll.BDH("RCOM IN Equity","ARD_TOT_CF_FROM_OPS_BEF_WORK_CAP","FY 2016","FY 2016","Currency=INR","Period=FY","BEST_FPERIOD_OVERRIDE=FY","FILING_STATUS=MR","EQY_CONSOLIDATED=Y","SCALING_FORMAT=MLN","Sort=A","Dates=H","DateFormat=P","Fill=—","Direction=H","UseDPDF=Y")</f>
        <v>73810</v>
      </c>
      <c r="K20" s="13">
        <f>_xll.BDH("RCOM IN Equity","ARD_TOT_CF_FROM_OPS_BEF_WORK_CAP","FY 2017","FY 2017","Currency=INR","Period=FY","BEST_FPERIOD_OVERRIDE=FY","FILING_STATUS=MR","EQY_CONSOLIDATED=Y","SCALING_FORMAT=MLN","Sort=A","Dates=H","DateFormat=P","Fill=—","Direction=H","UseDPDF=Y")</f>
        <v>53090</v>
      </c>
      <c r="L20" s="13">
        <f>_xll.BDH("RCOM IN Equity","ARD_TOT_CF_FROM_OPS_BEF_WORK_CAP","FY 2018","FY 2018","Currency=INR","Period=FY","BEST_FPERIOD_OVERRIDE=FY","FILING_STATUS=MR","EQY_CONSOLIDATED=Y","SCALING_FORMAT=MLN","Sort=A","Dates=H","DateFormat=P","Fill=—","Direction=H","UseDPDF=Y")</f>
        <v>-550</v>
      </c>
    </row>
    <row r="21" spans="1:12">
      <c r="A21" s="10" t="s">
        <v>1331</v>
      </c>
      <c r="B21" s="10" t="s">
        <v>1332</v>
      </c>
      <c r="C21" s="13" t="str">
        <f>_xll.BDH("RCOM IN Equity","ARD_CHANGE_OTHER_PROVISIONS","FY 2009","FY 2009","Currency=INR","Period=FY","BEST_FPERIOD_OVERRIDE=FY","FILING_STATUS=MR","EQY_CONSOLIDATED=Y","SCALING_FORMAT=MLN","Sort=A","Dates=H","DateFormat=P","Fill=—","Direction=H","UseDPDF=Y")</f>
        <v>—</v>
      </c>
      <c r="D21" s="13" t="str">
        <f>_xll.BDH("RCOM IN Equity","ARD_CHANGE_OTHER_PROVISIONS","FY 2010","FY 2010","Currency=INR","Period=FY","BEST_FPERIOD_OVERRIDE=FY","FILING_STATUS=MR","EQY_CONSOLIDATED=Y","SCALING_FORMAT=MLN","Sort=A","Dates=H","DateFormat=P","Fill=—","Direction=H","UseDPDF=Y")</f>
        <v>—</v>
      </c>
      <c r="E21" s="13" t="str">
        <f>_xll.BDH("RCOM IN Equity","ARD_CHANGE_OTHER_PROVISIONS","FY 2011","FY 2011","Currency=INR","Period=FY","BEST_FPERIOD_OVERRIDE=FY","FILING_STATUS=MR","EQY_CONSOLIDATED=Y","SCALING_FORMAT=MLN","Sort=A","Dates=H","DateFormat=P","Fill=—","Direction=H","UseDPDF=Y")</f>
        <v>—</v>
      </c>
      <c r="F21" s="13">
        <f>_xll.BDH("RCOM IN Equity","ARD_CHANGE_OTHER_PROVISIONS","FY 2012","FY 2012","Currency=INR","Period=FY","BEST_FPERIOD_OVERRIDE=FY","FILING_STATUS=MR","EQY_CONSOLIDATED=Y","SCALING_FORMAT=MLN","Sort=A","Dates=H","DateFormat=P","Fill=—","Direction=H","UseDPDF=Y")</f>
        <v>0</v>
      </c>
      <c r="G21" s="13">
        <f>_xll.BDH("RCOM IN Equity","ARD_CHANGE_OTHER_PROVISIONS","FY 2013","FY 2013","Currency=INR","Period=FY","BEST_FPERIOD_OVERRIDE=FY","FILING_STATUS=MR","EQY_CONSOLIDATED=Y","SCALING_FORMAT=MLN","Sort=A","Dates=H","DateFormat=P","Fill=—","Direction=H","UseDPDF=Y")</f>
        <v>-5500</v>
      </c>
      <c r="H21" s="13">
        <f>_xll.BDH("RCOM IN Equity","ARD_CHANGE_OTHER_PROVISIONS","FY 2014","FY 2014","Currency=INR","Period=FY","BEST_FPERIOD_OVERRIDE=FY","FILING_STATUS=MR","EQY_CONSOLIDATED=Y","SCALING_FORMAT=MLN","Sort=A","Dates=H","DateFormat=P","Fill=—","Direction=H","UseDPDF=Y")</f>
        <v>-4410</v>
      </c>
      <c r="I21" s="13" t="str">
        <f>_xll.BDH("RCOM IN Equity","ARD_CHANGE_OTHER_PROVISIONS","FY 2015","FY 2015","Currency=INR","Period=FY","BEST_FPERIOD_OVERRIDE=FY","FILING_STATUS=MR","EQY_CONSOLIDATED=Y","SCALING_FORMAT=MLN","Sort=A","Dates=H","DateFormat=P","Fill=—","Direction=H","UseDPDF=Y")</f>
        <v>—</v>
      </c>
      <c r="J21" s="13" t="str">
        <f>_xll.BDH("RCOM IN Equity","ARD_CHANGE_OTHER_PROVISIONS","FY 2016","FY 2016","Currency=INR","Period=FY","BEST_FPERIOD_OVERRIDE=FY","FILING_STATUS=MR","EQY_CONSOLIDATED=Y","SCALING_FORMAT=MLN","Sort=A","Dates=H","DateFormat=P","Fill=—","Direction=H","UseDPDF=Y")</f>
        <v>—</v>
      </c>
      <c r="K21" s="13" t="str">
        <f>_xll.BDH("RCOM IN Equity","ARD_CHANGE_OTHER_PROVISIONS","FY 2017","FY 2017","Currency=INR","Period=FY","BEST_FPERIOD_OVERRIDE=FY","FILING_STATUS=MR","EQY_CONSOLIDATED=Y","SCALING_FORMAT=MLN","Sort=A","Dates=H","DateFormat=P","Fill=—","Direction=H","UseDPDF=Y")</f>
        <v>—</v>
      </c>
      <c r="L21" s="13" t="str">
        <f>_xll.BDH("RCOM IN Equity","ARD_CHANGE_OTHER_PROVISIONS","FY 2018","FY 2018","Currency=INR","Period=FY","BEST_FPERIOD_OVERRIDE=FY","FILING_STATUS=MR","EQY_CONSOLIDATED=Y","SCALING_FORMAT=MLN","Sort=A","Dates=H","DateFormat=P","Fill=—","Direction=H","UseDPDF=Y")</f>
        <v>—</v>
      </c>
    </row>
    <row r="22" spans="1:12">
      <c r="A22" s="10" t="s">
        <v>1333</v>
      </c>
      <c r="B22" s="10" t="s">
        <v>1334</v>
      </c>
      <c r="C22" s="13">
        <f>_xll.BDH("RCOM IN Equity","ARD_GAIN_LOSS_SALES_FIXED_ASSETS","FY 2009","FY 2009","Currency=INR","Period=FY","BEST_FPERIOD_OVERRIDE=FY","FILING_STATUS=MR","EQY_CONSOLIDATED=Y","SCALING_FORMAT=MLN","Sort=A","Dates=H","DateFormat=P","Fill=—","Direction=H","UseDPDF=Y")</f>
        <v>-1.3</v>
      </c>
      <c r="D22" s="13">
        <f>_xll.BDH("RCOM IN Equity","ARD_GAIN_LOSS_SALES_FIXED_ASSETS","FY 2010","FY 2010","Currency=INR","Period=FY","BEST_FPERIOD_OVERRIDE=FY","FILING_STATUS=MR","EQY_CONSOLIDATED=Y","SCALING_FORMAT=MLN","Sort=A","Dates=H","DateFormat=P","Fill=—","Direction=H","UseDPDF=Y")</f>
        <v>14.9</v>
      </c>
      <c r="E22" s="13">
        <f>_xll.BDH("RCOM IN Equity","ARD_GAIN_LOSS_SALES_FIXED_ASSETS","FY 2011","FY 2011","Currency=INR","Period=FY","BEST_FPERIOD_OVERRIDE=FY","FILING_STATUS=MR","EQY_CONSOLIDATED=Y","SCALING_FORMAT=MLN","Sort=A","Dates=H","DateFormat=P","Fill=—","Direction=H","UseDPDF=Y")</f>
        <v>-3310</v>
      </c>
      <c r="F22" s="13">
        <f>_xll.BDH("RCOM IN Equity","ARD_GAIN_LOSS_SALES_FIXED_ASSETS","FY 2012","FY 2012","Currency=INR","Period=FY","BEST_FPERIOD_OVERRIDE=FY","FILING_STATUS=MR","EQY_CONSOLIDATED=Y","SCALING_FORMAT=MLN","Sort=A","Dates=H","DateFormat=P","Fill=—","Direction=H","UseDPDF=Y")</f>
        <v>-70</v>
      </c>
      <c r="G22" s="13">
        <f>_xll.BDH("RCOM IN Equity","ARD_GAIN_LOSS_SALES_FIXED_ASSETS","FY 2013","FY 2013","Currency=INR","Period=FY","BEST_FPERIOD_OVERRIDE=FY","FILING_STATUS=MR","EQY_CONSOLIDATED=Y","SCALING_FORMAT=MLN","Sort=A","Dates=H","DateFormat=P","Fill=—","Direction=H","UseDPDF=Y")</f>
        <v>280</v>
      </c>
      <c r="H22" s="13">
        <f>_xll.BDH("RCOM IN Equity","ARD_GAIN_LOSS_SALES_FIXED_ASSETS","FY 2014","FY 2014","Currency=INR","Period=FY","BEST_FPERIOD_OVERRIDE=FY","FILING_STATUS=MR","EQY_CONSOLIDATED=Y","SCALING_FORMAT=MLN","Sort=A","Dates=H","DateFormat=P","Fill=—","Direction=H","UseDPDF=Y")</f>
        <v>200</v>
      </c>
      <c r="I22" s="13">
        <f>_xll.BDH("RCOM IN Equity","ARD_GAIN_LOSS_SALES_FIXED_ASSETS","FY 2015","FY 2015","Currency=INR","Period=FY","BEST_FPERIOD_OVERRIDE=FY","FILING_STATUS=MR","EQY_CONSOLIDATED=Y","SCALING_FORMAT=MLN","Sort=A","Dates=H","DateFormat=P","Fill=—","Direction=H","UseDPDF=Y")</f>
        <v>-20</v>
      </c>
      <c r="J22" s="13" t="str">
        <f>_xll.BDH("RCOM IN Equity","ARD_GAIN_LOSS_SALES_FIXED_ASSETS","FY 2016","FY 2016","Currency=INR","Period=FY","BEST_FPERIOD_OVERRIDE=FY","FILING_STATUS=MR","EQY_CONSOLIDATED=Y","SCALING_FORMAT=MLN","Sort=A","Dates=H","DateFormat=P","Fill=—","Direction=H","UseDPDF=Y")</f>
        <v>—</v>
      </c>
      <c r="K22" s="13" t="str">
        <f>_xll.BDH("RCOM IN Equity","ARD_GAIN_LOSS_SALES_FIXED_ASSETS","FY 2017","FY 2017","Currency=INR","Period=FY","BEST_FPERIOD_OVERRIDE=FY","FILING_STATUS=MR","EQY_CONSOLIDATED=Y","SCALING_FORMAT=MLN","Sort=A","Dates=H","DateFormat=P","Fill=—","Direction=H","UseDPDF=Y")</f>
        <v>—</v>
      </c>
      <c r="L22" s="13" t="str">
        <f>_xll.BDH("RCOM IN Equity","ARD_GAIN_LOSS_SALES_FIXED_ASSETS","FY 2018","FY 2018","Currency=INR","Period=FY","BEST_FPERIOD_OVERRIDE=FY","FILING_STATUS=MR","EQY_CONSOLIDATED=Y","SCALING_FORMAT=MLN","Sort=A","Dates=H","DateFormat=P","Fill=—","Direction=H","UseDPDF=Y")</f>
        <v>—</v>
      </c>
    </row>
    <row r="23" spans="1:12">
      <c r="A23" s="10" t="s">
        <v>1335</v>
      </c>
      <c r="B23" s="10" t="s">
        <v>1336</v>
      </c>
      <c r="C23" s="13" t="str">
        <f>_xll.BDH("RCOM IN Equity","ARD_CHNG_TRADE_PAY_OTH_CUR_LIAB","FY 2009","FY 2009","Currency=INR","Period=FY","BEST_FPERIOD_OVERRIDE=FY","FILING_STATUS=MR","EQY_CONSOLIDATED=Y","SCALING_FORMAT=MLN","Sort=A","Dates=H","DateFormat=P","Fill=—","Direction=H","UseDPDF=Y")</f>
        <v>—</v>
      </c>
      <c r="D23" s="13" t="str">
        <f>_xll.BDH("RCOM IN Equity","ARD_CHNG_TRADE_PAY_OTH_CUR_LIAB","FY 2010","FY 2010","Currency=INR","Period=FY","BEST_FPERIOD_OVERRIDE=FY","FILING_STATUS=MR","EQY_CONSOLIDATED=Y","SCALING_FORMAT=MLN","Sort=A","Dates=H","DateFormat=P","Fill=—","Direction=H","UseDPDF=Y")</f>
        <v>—</v>
      </c>
      <c r="E23" s="13">
        <f>_xll.BDH("RCOM IN Equity","ARD_CHNG_TRADE_PAY_OTH_CUR_LIAB","FY 2011","FY 2011","Currency=INR","Period=FY","BEST_FPERIOD_OVERRIDE=FY","FILING_STATUS=MR","EQY_CONSOLIDATED=Y","SCALING_FORMAT=MLN","Sort=A","Dates=H","DateFormat=P","Fill=—","Direction=H","UseDPDF=Y")</f>
        <v>-50250</v>
      </c>
      <c r="F23" s="13">
        <f>_xll.BDH("RCOM IN Equity","ARD_CHNG_TRADE_PAY_OTH_CUR_LIAB","FY 2012","FY 2012","Currency=INR","Period=FY","BEST_FPERIOD_OVERRIDE=FY","FILING_STATUS=MR","EQY_CONSOLIDATED=Y","SCALING_FORMAT=MLN","Sort=A","Dates=H","DateFormat=P","Fill=—","Direction=H","UseDPDF=Y")</f>
        <v>17980</v>
      </c>
      <c r="G23" s="13">
        <f>_xll.BDH("RCOM IN Equity","ARD_CHNG_TRADE_PAY_OTH_CUR_LIAB","FY 2013","FY 2013","Currency=INR","Period=FY","BEST_FPERIOD_OVERRIDE=FY","FILING_STATUS=MR","EQY_CONSOLIDATED=Y","SCALING_FORMAT=MLN","Sort=A","Dates=H","DateFormat=P","Fill=—","Direction=H","UseDPDF=Y")</f>
        <v>-23910</v>
      </c>
      <c r="H23" s="13">
        <f>_xll.BDH("RCOM IN Equity","ARD_CHNG_TRADE_PAY_OTH_CUR_LIAB","FY 2014","FY 2014","Currency=INR","Period=FY","BEST_FPERIOD_OVERRIDE=FY","FILING_STATUS=MR","EQY_CONSOLIDATED=Y","SCALING_FORMAT=MLN","Sort=A","Dates=H","DateFormat=P","Fill=—","Direction=H","UseDPDF=Y")</f>
        <v>5590</v>
      </c>
      <c r="I23" s="13">
        <f>_xll.BDH("RCOM IN Equity","ARD_CHNG_TRADE_PAY_OTH_CUR_LIAB","FY 2015","FY 2015","Currency=INR","Period=FY","BEST_FPERIOD_OVERRIDE=FY","FILING_STATUS=MR","EQY_CONSOLIDATED=Y","SCALING_FORMAT=MLN","Sort=A","Dates=H","DateFormat=P","Fill=—","Direction=H","UseDPDF=Y")</f>
        <v>-4110</v>
      </c>
      <c r="J23" s="13">
        <f>_xll.BDH("RCOM IN Equity","ARD_CHNG_TRADE_PAY_OTH_CUR_LIAB","FY 2016","FY 2016","Currency=INR","Period=FY","BEST_FPERIOD_OVERRIDE=FY","FILING_STATUS=MR","EQY_CONSOLIDATED=Y","SCALING_FORMAT=MLN","Sort=A","Dates=H","DateFormat=P","Fill=—","Direction=H","UseDPDF=Y")</f>
        <v>27180</v>
      </c>
      <c r="K23" s="13">
        <f>_xll.BDH("RCOM IN Equity","ARD_CHNG_TRADE_PAY_OTH_CUR_LIAB","FY 2017","FY 2017","Currency=INR","Period=FY","BEST_FPERIOD_OVERRIDE=FY","FILING_STATUS=MR","EQY_CONSOLIDATED=Y","SCALING_FORMAT=MLN","Sort=A","Dates=H","DateFormat=P","Fill=—","Direction=H","UseDPDF=Y")</f>
        <v>-42800</v>
      </c>
      <c r="L23" s="13">
        <f>_xll.BDH("RCOM IN Equity","ARD_CHNG_TRADE_PAY_OTH_CUR_LIAB","FY 2018","FY 2018","Currency=INR","Period=FY","BEST_FPERIOD_OVERRIDE=FY","FILING_STATUS=MR","EQY_CONSOLIDATED=Y","SCALING_FORMAT=MLN","Sort=A","Dates=H","DateFormat=P","Fill=—","Direction=H","UseDPDF=Y")</f>
        <v>-15510</v>
      </c>
    </row>
    <row r="24" spans="1:12">
      <c r="A24" s="10" t="s">
        <v>1337</v>
      </c>
      <c r="B24" s="10" t="s">
        <v>1338</v>
      </c>
      <c r="C24" s="13" t="str">
        <f>_xll.BDH("RCOM IN Equity","ARD_DEPRECIATION_AMORT_IMPAIRMNT","FY 2009","FY 2009","Currency=INR","Period=FY","BEST_FPERIOD_OVERRIDE=FY","FILING_STATUS=MR","EQY_CONSOLIDATED=Y","SCALING_FORMAT=MLN","Sort=A","Dates=H","DateFormat=P","Fill=—","Direction=H","UseDPDF=Y")</f>
        <v>—</v>
      </c>
      <c r="D24" s="13" t="str">
        <f>_xll.BDH("RCOM IN Equity","ARD_DEPRECIATION_AMORT_IMPAIRMNT","FY 2010","FY 2010","Currency=INR","Period=FY","BEST_FPERIOD_OVERRIDE=FY","FILING_STATUS=MR","EQY_CONSOLIDATED=Y","SCALING_FORMAT=MLN","Sort=A","Dates=H","DateFormat=P","Fill=—","Direction=H","UseDPDF=Y")</f>
        <v>—</v>
      </c>
      <c r="E24" s="13" t="str">
        <f>_xll.BDH("RCOM IN Equity","ARD_DEPRECIATION_AMORT_IMPAIRMNT","FY 2011","FY 2011","Currency=INR","Period=FY","BEST_FPERIOD_OVERRIDE=FY","FILING_STATUS=MR","EQY_CONSOLIDATED=Y","SCALING_FORMAT=MLN","Sort=A","Dates=H","DateFormat=P","Fill=—","Direction=H","UseDPDF=Y")</f>
        <v>—</v>
      </c>
      <c r="F24" s="13" t="str">
        <f>_xll.BDH("RCOM IN Equity","ARD_DEPRECIATION_AMORT_IMPAIRMNT","FY 2012","FY 2012","Currency=INR","Period=FY","BEST_FPERIOD_OVERRIDE=FY","FILING_STATUS=MR","EQY_CONSOLIDATED=Y","SCALING_FORMAT=MLN","Sort=A","Dates=H","DateFormat=P","Fill=—","Direction=H","UseDPDF=Y")</f>
        <v>—</v>
      </c>
      <c r="G24" s="13" t="str">
        <f>_xll.BDH("RCOM IN Equity","ARD_DEPRECIATION_AMORT_IMPAIRMNT","FY 2013","FY 2013","Currency=INR","Period=FY","BEST_FPERIOD_OVERRIDE=FY","FILING_STATUS=MR","EQY_CONSOLIDATED=Y","SCALING_FORMAT=MLN","Sort=A","Dates=H","DateFormat=P","Fill=—","Direction=H","UseDPDF=Y")</f>
        <v>—</v>
      </c>
      <c r="H24" s="13" t="str">
        <f>_xll.BDH("RCOM IN Equity","ARD_DEPRECIATION_AMORT_IMPAIRMNT","FY 2014","FY 2014","Currency=INR","Period=FY","BEST_FPERIOD_OVERRIDE=FY","FILING_STATUS=MR","EQY_CONSOLIDATED=Y","SCALING_FORMAT=MLN","Sort=A","Dates=H","DateFormat=P","Fill=—","Direction=H","UseDPDF=Y")</f>
        <v>—</v>
      </c>
      <c r="I24" s="13" t="str">
        <f>_xll.BDH("RCOM IN Equity","ARD_DEPRECIATION_AMORT_IMPAIRMNT","FY 2015","FY 2015","Currency=INR","Period=FY","BEST_FPERIOD_OVERRIDE=FY","FILING_STATUS=MR","EQY_CONSOLIDATED=Y","SCALING_FORMAT=MLN","Sort=A","Dates=H","DateFormat=P","Fill=—","Direction=H","UseDPDF=Y")</f>
        <v>—</v>
      </c>
      <c r="J24" s="13">
        <f>_xll.BDH("RCOM IN Equity","ARD_DEPRECIATION_AMORT_IMPAIRMNT","FY 2016","FY 2016","Currency=INR","Period=FY","BEST_FPERIOD_OVERRIDE=FY","FILING_STATUS=MR","EQY_CONSOLIDATED=Y","SCALING_FORMAT=MLN","Sort=A","Dates=H","DateFormat=P","Fill=—","Direction=H","UseDPDF=Y")</f>
        <v>44840</v>
      </c>
      <c r="K24" s="13">
        <f>_xll.BDH("RCOM IN Equity","ARD_DEPRECIATION_AMORT_IMPAIRMNT","FY 2017","FY 2017","Currency=INR","Period=FY","BEST_FPERIOD_OVERRIDE=FY","FILING_STATUS=MR","EQY_CONSOLIDATED=Y","SCALING_FORMAT=MLN","Sort=A","Dates=H","DateFormat=P","Fill=—","Direction=H","UseDPDF=Y")</f>
        <v>42210</v>
      </c>
      <c r="L24" s="13">
        <f>_xll.BDH("RCOM IN Equity","ARD_DEPRECIATION_AMORT_IMPAIRMNT","FY 2018","FY 2018","Currency=INR","Period=FY","BEST_FPERIOD_OVERRIDE=FY","FILING_STATUS=MR","EQY_CONSOLIDATED=Y","SCALING_FORMAT=MLN","Sort=A","Dates=H","DateFormat=P","Fill=—","Direction=H","UseDPDF=Y")</f>
        <v>28670</v>
      </c>
    </row>
    <row r="25" spans="1:12">
      <c r="A25" s="10" t="s">
        <v>1339</v>
      </c>
      <c r="B25" s="10" t="s">
        <v>1340</v>
      </c>
      <c r="C25" s="13">
        <f>_xll.BDH("RCOM IN Equity","ARD_UNUSUAL_ITEMS","FY 2009","FY 2009","Currency=INR","Period=FY","BEST_FPERIOD_OVERRIDE=FY","FILING_STATUS=MR","EQY_CONSOLIDATED=Y","SCALING_FORMAT=MLN","Sort=A","Dates=H","DateFormat=P","Fill=—","Direction=H","UseDPDF=Y")</f>
        <v>74.7</v>
      </c>
      <c r="D25" s="13">
        <f>_xll.BDH("RCOM IN Equity","ARD_UNUSUAL_ITEMS","FY 2010","FY 2010","Currency=INR","Period=FY","BEST_FPERIOD_OVERRIDE=FY","FILING_STATUS=MR","EQY_CONSOLIDATED=Y","SCALING_FORMAT=MLN","Sort=A","Dates=H","DateFormat=P","Fill=—","Direction=H","UseDPDF=Y")</f>
        <v>124.7</v>
      </c>
      <c r="E25" s="13">
        <f>_xll.BDH("RCOM IN Equity","ARD_UNUSUAL_ITEMS","FY 2011","FY 2011","Currency=INR","Period=FY","BEST_FPERIOD_OVERRIDE=FY","FILING_STATUS=MR","EQY_CONSOLIDATED=Y","SCALING_FORMAT=MLN","Sort=A","Dates=H","DateFormat=P","Fill=—","Direction=H","UseDPDF=Y")</f>
        <v>-70</v>
      </c>
      <c r="F25" s="13" t="str">
        <f>_xll.BDH("RCOM IN Equity","ARD_UNUSUAL_ITEMS","FY 2012","FY 2012","Currency=INR","Period=FY","BEST_FPERIOD_OVERRIDE=FY","FILING_STATUS=MR","EQY_CONSOLIDATED=Y","SCALING_FORMAT=MLN","Sort=A","Dates=H","DateFormat=P","Fill=—","Direction=H","UseDPDF=Y")</f>
        <v>—</v>
      </c>
      <c r="G25" s="13" t="str">
        <f>_xll.BDH("RCOM IN Equity","ARD_UNUSUAL_ITEMS","FY 2013","FY 2013","Currency=INR","Period=FY","BEST_FPERIOD_OVERRIDE=FY","FILING_STATUS=MR","EQY_CONSOLIDATED=Y","SCALING_FORMAT=MLN","Sort=A","Dates=H","DateFormat=P","Fill=—","Direction=H","UseDPDF=Y")</f>
        <v>—</v>
      </c>
      <c r="H25" s="13" t="str">
        <f>_xll.BDH("RCOM IN Equity","ARD_UNUSUAL_ITEMS","FY 2014","FY 2014","Currency=INR","Period=FY","BEST_FPERIOD_OVERRIDE=FY","FILING_STATUS=MR","EQY_CONSOLIDATED=Y","SCALING_FORMAT=MLN","Sort=A","Dates=H","DateFormat=P","Fill=—","Direction=H","UseDPDF=Y")</f>
        <v>—</v>
      </c>
      <c r="I25" s="13" t="str">
        <f>_xll.BDH("RCOM IN Equity","ARD_UNUSUAL_ITEMS","FY 2015","FY 2015","Currency=INR","Period=FY","BEST_FPERIOD_OVERRIDE=FY","FILING_STATUS=MR","EQY_CONSOLIDATED=Y","SCALING_FORMAT=MLN","Sort=A","Dates=H","DateFormat=P","Fill=—","Direction=H","UseDPDF=Y")</f>
        <v>—</v>
      </c>
      <c r="J25" s="13" t="str">
        <f>_xll.BDH("RCOM IN Equity","ARD_UNUSUAL_ITEMS","FY 2016","FY 2016","Currency=INR","Period=FY","BEST_FPERIOD_OVERRIDE=FY","FILING_STATUS=MR","EQY_CONSOLIDATED=Y","SCALING_FORMAT=MLN","Sort=A","Dates=H","DateFormat=P","Fill=—","Direction=H","UseDPDF=Y")</f>
        <v>—</v>
      </c>
      <c r="K25" s="13" t="str">
        <f>_xll.BDH("RCOM IN Equity","ARD_UNUSUAL_ITEMS","FY 2017","FY 2017","Currency=INR","Period=FY","BEST_FPERIOD_OVERRIDE=FY","FILING_STATUS=MR","EQY_CONSOLIDATED=Y","SCALING_FORMAT=MLN","Sort=A","Dates=H","DateFormat=P","Fill=—","Direction=H","UseDPDF=Y")</f>
        <v>—</v>
      </c>
      <c r="L25" s="13" t="str">
        <f>_xll.BDH("RCOM IN Equity","ARD_UNUSUAL_ITEMS","FY 2018","FY 2018","Currency=INR","Period=FY","BEST_FPERIOD_OVERRIDE=FY","FILING_STATUS=MR","EQY_CONSOLIDATED=Y","SCALING_FORMAT=MLN","Sort=A","Dates=H","DateFormat=P","Fill=—","Direction=H","UseDPDF=Y")</f>
        <v>—</v>
      </c>
    </row>
    <row r="26" spans="1:12">
      <c r="A26" s="10" t="s">
        <v>1341</v>
      </c>
      <c r="B26" s="10" t="s">
        <v>1342</v>
      </c>
      <c r="C26" s="13" t="str">
        <f>_xll.BDH("RCOM IN Equity","ARD_PROVISION_FOR_LT_INVESTMENTS","FY 2009","FY 2009","Currency=INR","Period=FY","BEST_FPERIOD_OVERRIDE=FY","FILING_STATUS=MR","EQY_CONSOLIDATED=Y","SCALING_FORMAT=MLN","Sort=A","Dates=H","DateFormat=P","Fill=—","Direction=H","UseDPDF=Y")</f>
        <v>—</v>
      </c>
      <c r="D26" s="13" t="str">
        <f>_xll.BDH("RCOM IN Equity","ARD_PROVISION_FOR_LT_INVESTMENTS","FY 2010","FY 2010","Currency=INR","Period=FY","BEST_FPERIOD_OVERRIDE=FY","FILING_STATUS=MR","EQY_CONSOLIDATED=Y","SCALING_FORMAT=MLN","Sort=A","Dates=H","DateFormat=P","Fill=—","Direction=H","UseDPDF=Y")</f>
        <v>—</v>
      </c>
      <c r="E26" s="13" t="str">
        <f>_xll.BDH("RCOM IN Equity","ARD_PROVISION_FOR_LT_INVESTMENTS","FY 2011","FY 2011","Currency=INR","Period=FY","BEST_FPERIOD_OVERRIDE=FY","FILING_STATUS=MR","EQY_CONSOLIDATED=Y","SCALING_FORMAT=MLN","Sort=A","Dates=H","DateFormat=P","Fill=—","Direction=H","UseDPDF=Y")</f>
        <v>—</v>
      </c>
      <c r="F26" s="13" t="str">
        <f>_xll.BDH("RCOM IN Equity","ARD_PROVISION_FOR_LT_INVESTMENTS","FY 2012","FY 2012","Currency=INR","Period=FY","BEST_FPERIOD_OVERRIDE=FY","FILING_STATUS=MR","EQY_CONSOLIDATED=Y","SCALING_FORMAT=MLN","Sort=A","Dates=H","DateFormat=P","Fill=—","Direction=H","UseDPDF=Y")</f>
        <v>—</v>
      </c>
      <c r="G26" s="13" t="str">
        <f>_xll.BDH("RCOM IN Equity","ARD_PROVISION_FOR_LT_INVESTMENTS","FY 2013","FY 2013","Currency=INR","Period=FY","BEST_FPERIOD_OVERRIDE=FY","FILING_STATUS=MR","EQY_CONSOLIDATED=Y","SCALING_FORMAT=MLN","Sort=A","Dates=H","DateFormat=P","Fill=—","Direction=H","UseDPDF=Y")</f>
        <v>—</v>
      </c>
      <c r="H26" s="13" t="str">
        <f>_xll.BDH("RCOM IN Equity","ARD_PROVISION_FOR_LT_INVESTMENTS","FY 2014","FY 2014","Currency=INR","Period=FY","BEST_FPERIOD_OVERRIDE=FY","FILING_STATUS=MR","EQY_CONSOLIDATED=Y","SCALING_FORMAT=MLN","Sort=A","Dates=H","DateFormat=P","Fill=—","Direction=H","UseDPDF=Y")</f>
        <v>—</v>
      </c>
      <c r="I26" s="13" t="str">
        <f>_xll.BDH("RCOM IN Equity","ARD_PROVISION_FOR_LT_INVESTMENTS","FY 2015","FY 2015","Currency=INR","Period=FY","BEST_FPERIOD_OVERRIDE=FY","FILING_STATUS=MR","EQY_CONSOLIDATED=Y","SCALING_FORMAT=MLN","Sort=A","Dates=H","DateFormat=P","Fill=—","Direction=H","UseDPDF=Y")</f>
        <v>—</v>
      </c>
      <c r="J26" s="13" t="str">
        <f>_xll.BDH("RCOM IN Equity","ARD_PROVISION_FOR_LT_INVESTMENTS","FY 2016","FY 2016","Currency=INR","Period=FY","BEST_FPERIOD_OVERRIDE=FY","FILING_STATUS=MR","EQY_CONSOLIDATED=Y","SCALING_FORMAT=MLN","Sort=A","Dates=H","DateFormat=P","Fill=—","Direction=H","UseDPDF=Y")</f>
        <v>—</v>
      </c>
      <c r="K26" s="13">
        <f>_xll.BDH("RCOM IN Equity","ARD_PROVISION_FOR_LT_INVESTMENTS","FY 2017","FY 2017","Currency=INR","Period=FY","BEST_FPERIOD_OVERRIDE=FY","FILING_STATUS=MR","EQY_CONSOLIDATED=Y","SCALING_FORMAT=MLN","Sort=A","Dates=H","DateFormat=P","Fill=—","Direction=H","UseDPDF=Y")</f>
        <v>0</v>
      </c>
      <c r="L26" s="13">
        <f>_xll.BDH("RCOM IN Equity","ARD_PROVISION_FOR_LT_INVESTMENTS","FY 2018","FY 2018","Currency=INR","Period=FY","BEST_FPERIOD_OVERRIDE=FY","FILING_STATUS=MR","EQY_CONSOLIDATED=Y","SCALING_FORMAT=MLN","Sort=A","Dates=H","DateFormat=P","Fill=—","Direction=H","UseDPDF=Y")</f>
        <v>212550</v>
      </c>
    </row>
    <row r="27" spans="1:12">
      <c r="A27" s="10" t="s">
        <v>495</v>
      </c>
      <c r="B27" s="10" t="s">
        <v>1343</v>
      </c>
      <c r="C27" s="13" t="str">
        <f>_xll.BDH("RCOM IN Equity","ARD_INTEREST_EXPENSE","FY 2009","FY 2009","Currency=INR","Period=FY","BEST_FPERIOD_OVERRIDE=FY","FILING_STATUS=MR","EQY_CONSOLIDATED=Y","SCALING_FORMAT=MLN","Sort=A","Dates=H","DateFormat=P","Fill=—","Direction=H","UseDPDF=Y")</f>
        <v>—</v>
      </c>
      <c r="D27" s="13">
        <f>_xll.BDH("RCOM IN Equity","ARD_INTEREST_EXPENSE","FY 2010","FY 2010","Currency=INR","Period=FY","BEST_FPERIOD_OVERRIDE=FY","FILING_STATUS=MR","EQY_CONSOLIDATED=Y","SCALING_FORMAT=MLN","Sort=A","Dates=H","DateFormat=P","Fill=—","Direction=H","UseDPDF=Y")</f>
        <v>13422.1</v>
      </c>
      <c r="E27" s="13">
        <f>_xll.BDH("RCOM IN Equity","ARD_INTEREST_EXPENSE","FY 2011","FY 2011","Currency=INR","Period=FY","BEST_FPERIOD_OVERRIDE=FY","FILING_STATUS=MR","EQY_CONSOLIDATED=Y","SCALING_FORMAT=MLN","Sort=A","Dates=H","DateFormat=P","Fill=—","Direction=H","UseDPDF=Y")</f>
        <v>9020</v>
      </c>
      <c r="F27" s="13" t="str">
        <f>_xll.BDH("RCOM IN Equity","ARD_INTEREST_EXPENSE","FY 2012","FY 2012","Currency=INR","Period=FY","BEST_FPERIOD_OVERRIDE=FY","FILING_STATUS=MR","EQY_CONSOLIDATED=Y","SCALING_FORMAT=MLN","Sort=A","Dates=H","DateFormat=P","Fill=—","Direction=H","UseDPDF=Y")</f>
        <v>—</v>
      </c>
      <c r="G27" s="13" t="str">
        <f>_xll.BDH("RCOM IN Equity","ARD_INTEREST_EXPENSE","FY 2013","FY 2013","Currency=INR","Period=FY","BEST_FPERIOD_OVERRIDE=FY","FILING_STATUS=MR","EQY_CONSOLIDATED=Y","SCALING_FORMAT=MLN","Sort=A","Dates=H","DateFormat=P","Fill=—","Direction=H","UseDPDF=Y")</f>
        <v>—</v>
      </c>
      <c r="H27" s="13" t="str">
        <f>_xll.BDH("RCOM IN Equity","ARD_INTEREST_EXPENSE","FY 2014","FY 2014","Currency=INR","Period=FY","BEST_FPERIOD_OVERRIDE=FY","FILING_STATUS=MR","EQY_CONSOLIDATED=Y","SCALING_FORMAT=MLN","Sort=A","Dates=H","DateFormat=P","Fill=—","Direction=H","UseDPDF=Y")</f>
        <v>—</v>
      </c>
      <c r="I27" s="13" t="str">
        <f>_xll.BDH("RCOM IN Equity","ARD_INTEREST_EXPENSE","FY 2015","FY 2015","Currency=INR","Period=FY","BEST_FPERIOD_OVERRIDE=FY","FILING_STATUS=MR","EQY_CONSOLIDATED=Y","SCALING_FORMAT=MLN","Sort=A","Dates=H","DateFormat=P","Fill=—","Direction=H","UseDPDF=Y")</f>
        <v>—</v>
      </c>
      <c r="J27" s="13" t="str">
        <f>_xll.BDH("RCOM IN Equity","ARD_INTEREST_EXPENSE","FY 2016","FY 2016","Currency=INR","Period=FY","BEST_FPERIOD_OVERRIDE=FY","FILING_STATUS=MR","EQY_CONSOLIDATED=Y","SCALING_FORMAT=MLN","Sort=A","Dates=H","DateFormat=P","Fill=—","Direction=H","UseDPDF=Y")</f>
        <v>—</v>
      </c>
      <c r="K27" s="13" t="str">
        <f>_xll.BDH("RCOM IN Equity","ARD_INTEREST_EXPENSE","FY 2017","FY 2017","Currency=INR","Period=FY","BEST_FPERIOD_OVERRIDE=FY","FILING_STATUS=MR","EQY_CONSOLIDATED=Y","SCALING_FORMAT=MLN","Sort=A","Dates=H","DateFormat=P","Fill=—","Direction=H","UseDPDF=Y")</f>
        <v>—</v>
      </c>
      <c r="L27" s="13" t="str">
        <f>_xll.BDH("RCOM IN Equity","ARD_INTEREST_EXPENSE","FY 2018","FY 2018","Currency=INR","Period=FY","BEST_FPERIOD_OVERRIDE=FY","FILING_STATUS=MR","EQY_CONSOLIDATED=Y","SCALING_FORMAT=MLN","Sort=A","Dates=H","DateFormat=P","Fill=—","Direction=H","UseDPDF=Y")</f>
        <v>—</v>
      </c>
    </row>
    <row r="28" spans="1:12">
      <c r="A28" s="10" t="s">
        <v>1344</v>
      </c>
      <c r="B28" s="10" t="s">
        <v>1345</v>
      </c>
      <c r="C28" s="13" t="str">
        <f>_xll.BDH("RCOM IN Equity","ARD_INTEREST_INCOME_CF","FY 2009","FY 2009","Currency=INR","Period=FY","BEST_FPERIOD_OVERRIDE=FY","FILING_STATUS=MR","EQY_CONSOLIDATED=Y","SCALING_FORMAT=MLN","Sort=A","Dates=H","DateFormat=P","Fill=—","Direction=H","UseDPDF=Y")</f>
        <v>—</v>
      </c>
      <c r="D28" s="13" t="str">
        <f>_xll.BDH("RCOM IN Equity","ARD_INTEREST_INCOME_CF","FY 2010","FY 2010","Currency=INR","Period=FY","BEST_FPERIOD_OVERRIDE=FY","FILING_STATUS=MR","EQY_CONSOLIDATED=Y","SCALING_FORMAT=MLN","Sort=A","Dates=H","DateFormat=P","Fill=—","Direction=H","UseDPDF=Y")</f>
        <v>—</v>
      </c>
      <c r="E28" s="13" t="str">
        <f>_xll.BDH("RCOM IN Equity","ARD_INTEREST_INCOME_CF","FY 2011","FY 2011","Currency=INR","Period=FY","BEST_FPERIOD_OVERRIDE=FY","FILING_STATUS=MR","EQY_CONSOLIDATED=Y","SCALING_FORMAT=MLN","Sort=A","Dates=H","DateFormat=P","Fill=—","Direction=H","UseDPDF=Y")</f>
        <v>—</v>
      </c>
      <c r="F28" s="13">
        <f>_xll.BDH("RCOM IN Equity","ARD_INTEREST_INCOME_CF","FY 2012","FY 2012","Currency=INR","Period=FY","BEST_FPERIOD_OVERRIDE=FY","FILING_STATUS=MR","EQY_CONSOLIDATED=Y","SCALING_FORMAT=MLN","Sort=A","Dates=H","DateFormat=P","Fill=—","Direction=H","UseDPDF=Y")</f>
        <v>-400</v>
      </c>
      <c r="G28" s="13">
        <f>_xll.BDH("RCOM IN Equity","ARD_INTEREST_INCOME_CF","FY 2013","FY 2013","Currency=INR","Period=FY","BEST_FPERIOD_OVERRIDE=FY","FILING_STATUS=MR","EQY_CONSOLIDATED=Y","SCALING_FORMAT=MLN","Sort=A","Dates=H","DateFormat=P","Fill=—","Direction=H","UseDPDF=Y")</f>
        <v>-110</v>
      </c>
      <c r="H28" s="13">
        <f>_xll.BDH("RCOM IN Equity","ARD_INTEREST_INCOME_CF","FY 2014","FY 2014","Currency=INR","Period=FY","BEST_FPERIOD_OVERRIDE=FY","FILING_STATUS=MR","EQY_CONSOLIDATED=Y","SCALING_FORMAT=MLN","Sort=A","Dates=H","DateFormat=P","Fill=—","Direction=H","UseDPDF=Y")</f>
        <v>-470</v>
      </c>
      <c r="I28" s="13">
        <f>_xll.BDH("RCOM IN Equity","ARD_INTEREST_INCOME_CF","FY 2015","FY 2015","Currency=INR","Period=FY","BEST_FPERIOD_OVERRIDE=FY","FILING_STATUS=MR","EQY_CONSOLIDATED=Y","SCALING_FORMAT=MLN","Sort=A","Dates=H","DateFormat=P","Fill=—","Direction=H","UseDPDF=Y")</f>
        <v>-470</v>
      </c>
      <c r="J28" s="13">
        <f>_xll.BDH("RCOM IN Equity","ARD_INTEREST_INCOME_CF","FY 2016","FY 2016","Currency=INR","Period=FY","BEST_FPERIOD_OVERRIDE=FY","FILING_STATUS=MR","EQY_CONSOLIDATED=Y","SCALING_FORMAT=MLN","Sort=A","Dates=H","DateFormat=P","Fill=—","Direction=H","UseDPDF=Y")</f>
        <v>-1060</v>
      </c>
      <c r="K28" s="13">
        <f>_xll.BDH("RCOM IN Equity","ARD_INTEREST_INCOME_CF","FY 2017","FY 2017","Currency=INR","Period=FY","BEST_FPERIOD_OVERRIDE=FY","FILING_STATUS=MR","EQY_CONSOLIDATED=Y","SCALING_FORMAT=MLN","Sort=A","Dates=H","DateFormat=P","Fill=—","Direction=H","UseDPDF=Y")</f>
        <v>-1480</v>
      </c>
      <c r="L28" s="13">
        <f>_xll.BDH("RCOM IN Equity","ARD_INTEREST_INCOME_CF","FY 2018","FY 2018","Currency=INR","Period=FY","BEST_FPERIOD_OVERRIDE=FY","FILING_STATUS=MR","EQY_CONSOLIDATED=Y","SCALING_FORMAT=MLN","Sort=A","Dates=H","DateFormat=P","Fill=—","Direction=H","UseDPDF=Y")</f>
        <v>-910</v>
      </c>
    </row>
    <row r="29" spans="1:12">
      <c r="A29" s="10" t="s">
        <v>1346</v>
      </c>
      <c r="B29" s="10" t="s">
        <v>1347</v>
      </c>
      <c r="C29" s="13" t="str">
        <f>_xll.BDH("RCOM IN Equity","ARD_DIV_INCOME","FY 2009","FY 2009","Currency=INR","Period=FY","BEST_FPERIOD_OVERRIDE=FY","FILING_STATUS=MR","EQY_CONSOLIDATED=Y","SCALING_FORMAT=MLN","Sort=A","Dates=H","DateFormat=P","Fill=—","Direction=H","UseDPDF=Y")</f>
        <v>—</v>
      </c>
      <c r="D29" s="13">
        <f>_xll.BDH("RCOM IN Equity","ARD_DIV_INCOME","FY 2010","FY 2010","Currency=INR","Period=FY","BEST_FPERIOD_OVERRIDE=FY","FILING_STATUS=MR","EQY_CONSOLIDATED=Y","SCALING_FORMAT=MLN","Sort=A","Dates=H","DateFormat=P","Fill=—","Direction=H","UseDPDF=Y")</f>
        <v>-0.6</v>
      </c>
      <c r="E29" s="13">
        <f>_xll.BDH("RCOM IN Equity","ARD_DIV_INCOME","FY 2011","FY 2011","Currency=INR","Period=FY","BEST_FPERIOD_OVERRIDE=FY","FILING_STATUS=MR","EQY_CONSOLIDATED=Y","SCALING_FORMAT=MLN","Sort=A","Dates=H","DateFormat=P","Fill=—","Direction=H","UseDPDF=Y")</f>
        <v>0</v>
      </c>
      <c r="F29" s="13" t="str">
        <f>_xll.BDH("RCOM IN Equity","ARD_DIV_INCOME","FY 2012","FY 2012","Currency=INR","Period=FY","BEST_FPERIOD_OVERRIDE=FY","FILING_STATUS=MR","EQY_CONSOLIDATED=Y","SCALING_FORMAT=MLN","Sort=A","Dates=H","DateFormat=P","Fill=—","Direction=H","UseDPDF=Y")</f>
        <v>—</v>
      </c>
      <c r="G29" s="13" t="str">
        <f>_xll.BDH("RCOM IN Equity","ARD_DIV_INCOME","FY 2013","FY 2013","Currency=INR","Period=FY","BEST_FPERIOD_OVERRIDE=FY","FILING_STATUS=MR","EQY_CONSOLIDATED=Y","SCALING_FORMAT=MLN","Sort=A","Dates=H","DateFormat=P","Fill=—","Direction=H","UseDPDF=Y")</f>
        <v>—</v>
      </c>
      <c r="H29" s="13" t="str">
        <f>_xll.BDH("RCOM IN Equity","ARD_DIV_INCOME","FY 2014","FY 2014","Currency=INR","Period=FY","BEST_FPERIOD_OVERRIDE=FY","FILING_STATUS=MR","EQY_CONSOLIDATED=Y","SCALING_FORMAT=MLN","Sort=A","Dates=H","DateFormat=P","Fill=—","Direction=H","UseDPDF=Y")</f>
        <v>—</v>
      </c>
      <c r="I29" s="13" t="str">
        <f>_xll.BDH("RCOM IN Equity","ARD_DIV_INCOME","FY 2015","FY 2015","Currency=INR","Period=FY","BEST_FPERIOD_OVERRIDE=FY","FILING_STATUS=MR","EQY_CONSOLIDATED=Y","SCALING_FORMAT=MLN","Sort=A","Dates=H","DateFormat=P","Fill=—","Direction=H","UseDPDF=Y")</f>
        <v>—</v>
      </c>
      <c r="J29" s="13" t="str">
        <f>_xll.BDH("RCOM IN Equity","ARD_DIV_INCOME","FY 2016","FY 2016","Currency=INR","Period=FY","BEST_FPERIOD_OVERRIDE=FY","FILING_STATUS=MR","EQY_CONSOLIDATED=Y","SCALING_FORMAT=MLN","Sort=A","Dates=H","DateFormat=P","Fill=—","Direction=H","UseDPDF=Y")</f>
        <v>—</v>
      </c>
      <c r="K29" s="13" t="str">
        <f>_xll.BDH("RCOM IN Equity","ARD_DIV_INCOME","FY 2017","FY 2017","Currency=INR","Period=FY","BEST_FPERIOD_OVERRIDE=FY","FILING_STATUS=MR","EQY_CONSOLIDATED=Y","SCALING_FORMAT=MLN","Sort=A","Dates=H","DateFormat=P","Fill=—","Direction=H","UseDPDF=Y")</f>
        <v>—</v>
      </c>
      <c r="L29" s="13" t="str">
        <f>_xll.BDH("RCOM IN Equity","ARD_DIV_INCOME","FY 2018","FY 2018","Currency=INR","Period=FY","BEST_FPERIOD_OVERRIDE=FY","FILING_STATUS=MR","EQY_CONSOLIDATED=Y","SCALING_FORMAT=MLN","Sort=A","Dates=H","DateFormat=P","Fill=—","Direction=H","UseDPDF=Y")</f>
        <v>—</v>
      </c>
    </row>
    <row r="30" spans="1:12">
      <c r="A30" s="10" t="s">
        <v>1348</v>
      </c>
      <c r="B30" s="10" t="s">
        <v>1349</v>
      </c>
      <c r="C30" s="13" t="str">
        <f>_xll.BDH("RCOM IN Equity","ARD_GAIN_LOSS_DISPOSAL_SUBSIDS","FY 2009","FY 2009","Currency=INR","Period=FY","BEST_FPERIOD_OVERRIDE=FY","FILING_STATUS=MR","EQY_CONSOLIDATED=Y","SCALING_FORMAT=MLN","Sort=A","Dates=H","DateFormat=P","Fill=—","Direction=H","UseDPDF=Y")</f>
        <v>—</v>
      </c>
      <c r="D30" s="13" t="str">
        <f>_xll.BDH("RCOM IN Equity","ARD_GAIN_LOSS_DISPOSAL_SUBSIDS","FY 2010","FY 2010","Currency=INR","Period=FY","BEST_FPERIOD_OVERRIDE=FY","FILING_STATUS=MR","EQY_CONSOLIDATED=Y","SCALING_FORMAT=MLN","Sort=A","Dates=H","DateFormat=P","Fill=—","Direction=H","UseDPDF=Y")</f>
        <v>—</v>
      </c>
      <c r="E30" s="13" t="str">
        <f>_xll.BDH("RCOM IN Equity","ARD_GAIN_LOSS_DISPOSAL_SUBSIDS","FY 2011","FY 2011","Currency=INR","Period=FY","BEST_FPERIOD_OVERRIDE=FY","FILING_STATUS=MR","EQY_CONSOLIDATED=Y","SCALING_FORMAT=MLN","Sort=A","Dates=H","DateFormat=P","Fill=—","Direction=H","UseDPDF=Y")</f>
        <v>—</v>
      </c>
      <c r="F30" s="13" t="str">
        <f>_xll.BDH("RCOM IN Equity","ARD_GAIN_LOSS_DISPOSAL_SUBSIDS","FY 2012","FY 2012","Currency=INR","Period=FY","BEST_FPERIOD_OVERRIDE=FY","FILING_STATUS=MR","EQY_CONSOLIDATED=Y","SCALING_FORMAT=MLN","Sort=A","Dates=H","DateFormat=P","Fill=—","Direction=H","UseDPDF=Y")</f>
        <v>—</v>
      </c>
      <c r="G30" s="13" t="str">
        <f>_xll.BDH("RCOM IN Equity","ARD_GAIN_LOSS_DISPOSAL_SUBSIDS","FY 2013","FY 2013","Currency=INR","Period=FY","BEST_FPERIOD_OVERRIDE=FY","FILING_STATUS=MR","EQY_CONSOLIDATED=Y","SCALING_FORMAT=MLN","Sort=A","Dates=H","DateFormat=P","Fill=—","Direction=H","UseDPDF=Y")</f>
        <v>—</v>
      </c>
      <c r="H30" s="13" t="str">
        <f>_xll.BDH("RCOM IN Equity","ARD_GAIN_LOSS_DISPOSAL_SUBSIDS","FY 2014","FY 2014","Currency=INR","Period=FY","BEST_FPERIOD_OVERRIDE=FY","FILING_STATUS=MR","EQY_CONSOLIDATED=Y","SCALING_FORMAT=MLN","Sort=A","Dates=H","DateFormat=P","Fill=—","Direction=H","UseDPDF=Y")</f>
        <v>—</v>
      </c>
      <c r="I30" s="13" t="str">
        <f>_xll.BDH("RCOM IN Equity","ARD_GAIN_LOSS_DISPOSAL_SUBSIDS","FY 2015","FY 2015","Currency=INR","Period=FY","BEST_FPERIOD_OVERRIDE=FY","FILING_STATUS=MR","EQY_CONSOLIDATED=Y","SCALING_FORMAT=MLN","Sort=A","Dates=H","DateFormat=P","Fill=—","Direction=H","UseDPDF=Y")</f>
        <v>—</v>
      </c>
      <c r="J30" s="13">
        <f>_xll.BDH("RCOM IN Equity","ARD_GAIN_LOSS_DISPOSAL_SUBSIDS","FY 2016","FY 2016","Currency=INR","Period=FY","BEST_FPERIOD_OVERRIDE=FY","FILING_STATUS=MR","EQY_CONSOLIDATED=Y","SCALING_FORMAT=MLN","Sort=A","Dates=H","DateFormat=P","Fill=—","Direction=H","UseDPDF=Y")</f>
        <v>-20</v>
      </c>
      <c r="K30" s="13">
        <f>_xll.BDH("RCOM IN Equity","ARD_GAIN_LOSS_DISPOSAL_SUBSIDS","FY 2017","FY 2017","Currency=INR","Period=FY","BEST_FPERIOD_OVERRIDE=FY","FILING_STATUS=MR","EQY_CONSOLIDATED=Y","SCALING_FORMAT=MLN","Sort=A","Dates=H","DateFormat=P","Fill=—","Direction=H","UseDPDF=Y")</f>
        <v>-30</v>
      </c>
      <c r="L30" s="13">
        <f>_xll.BDH("RCOM IN Equity","ARD_GAIN_LOSS_DISPOSAL_SUBSIDS","FY 2018","FY 2018","Currency=INR","Period=FY","BEST_FPERIOD_OVERRIDE=FY","FILING_STATUS=MR","EQY_CONSOLIDATED=Y","SCALING_FORMAT=MLN","Sort=A","Dates=H","DateFormat=P","Fill=—","Direction=H","UseDPDF=Y")</f>
        <v>-50</v>
      </c>
    </row>
    <row r="31" spans="1:12">
      <c r="A31" s="10" t="s">
        <v>1350</v>
      </c>
      <c r="B31" s="10" t="s">
        <v>1351</v>
      </c>
      <c r="C31" s="13">
        <f>_xll.BDH("RCOM IN Equity","ARD_INCR_DECR_IN_TRADE_OTHER_REC","FY 2009","FY 2009","Currency=INR","Period=FY","BEST_FPERIOD_OVERRIDE=FY","FILING_STATUS=MR","EQY_CONSOLIDATED=Y","SCALING_FORMAT=MLN","Sort=A","Dates=H","DateFormat=P","Fill=—","Direction=H","UseDPDF=Y")</f>
        <v>-2457.5</v>
      </c>
      <c r="D31" s="13">
        <f>_xll.BDH("RCOM IN Equity","ARD_INCR_DECR_IN_TRADE_OTHER_REC","FY 2010","FY 2010","Currency=INR","Period=FY","BEST_FPERIOD_OVERRIDE=FY","FILING_STATUS=MR","EQY_CONSOLIDATED=Y","SCALING_FORMAT=MLN","Sort=A","Dates=H","DateFormat=P","Fill=—","Direction=H","UseDPDF=Y")</f>
        <v>16318.4</v>
      </c>
      <c r="E31" s="13">
        <f>_xll.BDH("RCOM IN Equity","ARD_INCR_DECR_IN_TRADE_OTHER_REC","FY 2011","FY 2011","Currency=INR","Period=FY","BEST_FPERIOD_OVERRIDE=FY","FILING_STATUS=MR","EQY_CONSOLIDATED=Y","SCALING_FORMAT=MLN","Sort=A","Dates=H","DateFormat=P","Fill=—","Direction=H","UseDPDF=Y")</f>
        <v>-10490</v>
      </c>
      <c r="F31" s="13">
        <f>_xll.BDH("RCOM IN Equity","ARD_INCR_DECR_IN_TRADE_OTHER_REC","FY 2012","FY 2012","Currency=INR","Period=FY","BEST_FPERIOD_OVERRIDE=FY","FILING_STATUS=MR","EQY_CONSOLIDATED=Y","SCALING_FORMAT=MLN","Sort=A","Dates=H","DateFormat=P","Fill=—","Direction=H","UseDPDF=Y")</f>
        <v>-24230</v>
      </c>
      <c r="G31" s="13">
        <f>_xll.BDH("RCOM IN Equity","ARD_INCR_DECR_IN_TRADE_OTHER_REC","FY 2013","FY 2013","Currency=INR","Period=FY","BEST_FPERIOD_OVERRIDE=FY","FILING_STATUS=MR","EQY_CONSOLIDATED=Y","SCALING_FORMAT=MLN","Sort=A","Dates=H","DateFormat=P","Fill=—","Direction=H","UseDPDF=Y")</f>
        <v>-5530</v>
      </c>
      <c r="H31" s="13">
        <f>_xll.BDH("RCOM IN Equity","ARD_INCR_DECR_IN_TRADE_OTHER_REC","FY 2014","FY 2014","Currency=INR","Period=FY","BEST_FPERIOD_OVERRIDE=FY","FILING_STATUS=MR","EQY_CONSOLIDATED=Y","SCALING_FORMAT=MLN","Sort=A","Dates=H","DateFormat=P","Fill=—","Direction=H","UseDPDF=Y")</f>
        <v>-5810</v>
      </c>
      <c r="I31" s="13">
        <f>_xll.BDH("RCOM IN Equity","ARD_INCR_DECR_IN_TRADE_OTHER_REC","FY 2015","FY 2015","Currency=INR","Period=FY","BEST_FPERIOD_OVERRIDE=FY","FILING_STATUS=MR","EQY_CONSOLIDATED=Y","SCALING_FORMAT=MLN","Sort=A","Dates=H","DateFormat=P","Fill=—","Direction=H","UseDPDF=Y")</f>
        <v>-34340</v>
      </c>
      <c r="J31" s="13">
        <f>_xll.BDH("RCOM IN Equity","ARD_INCR_DECR_IN_TRADE_OTHER_REC","FY 2016","FY 2016","Currency=INR","Period=FY","BEST_FPERIOD_OVERRIDE=FY","FILING_STATUS=MR","EQY_CONSOLIDATED=Y","SCALING_FORMAT=MLN","Sort=A","Dates=H","DateFormat=P","Fill=—","Direction=H","UseDPDF=Y")</f>
        <v>40120</v>
      </c>
      <c r="K31" s="13">
        <f>_xll.BDH("RCOM IN Equity","ARD_INCR_DECR_IN_TRADE_OTHER_REC","FY 2017","FY 2017","Currency=INR","Period=FY","BEST_FPERIOD_OVERRIDE=FY","FILING_STATUS=MR","EQY_CONSOLIDATED=Y","SCALING_FORMAT=MLN","Sort=A","Dates=H","DateFormat=P","Fill=—","Direction=H","UseDPDF=Y")</f>
        <v>-18640</v>
      </c>
      <c r="L31" s="13">
        <f>_xll.BDH("RCOM IN Equity","ARD_INCR_DECR_IN_TRADE_OTHER_REC","FY 2018","FY 2018","Currency=INR","Period=FY","BEST_FPERIOD_OVERRIDE=FY","FILING_STATUS=MR","EQY_CONSOLIDATED=Y","SCALING_FORMAT=MLN","Sort=A","Dates=H","DateFormat=P","Fill=—","Direction=H","UseDPDF=Y")</f>
        <v>21780</v>
      </c>
    </row>
    <row r="32" spans="1:12">
      <c r="A32" s="10" t="s">
        <v>1352</v>
      </c>
      <c r="B32" s="10" t="s">
        <v>1353</v>
      </c>
      <c r="C32" s="13">
        <f>_xll.BDH("RCOM IN Equity","ARD_PROF_BEFORE_TAX_MINORITY_INT","FY 2009","FY 2009","Currency=INR","Period=FY","BEST_FPERIOD_OVERRIDE=FY","FILING_STATUS=MR","EQY_CONSOLIDATED=Y","SCALING_FORMAT=MLN","Sort=A","Dates=H","DateFormat=P","Fill=—","Direction=H","UseDPDF=Y")</f>
        <v>61967.199999999997</v>
      </c>
      <c r="D32" s="13">
        <f>_xll.BDH("RCOM IN Equity","ARD_PROF_BEFORE_TAX_MINORITY_INT","FY 2010","FY 2010","Currency=INR","Period=FY","BEST_FPERIOD_OVERRIDE=FY","FILING_STATUS=MR","EQY_CONSOLIDATED=Y","SCALING_FORMAT=MLN","Sort=A","Dates=H","DateFormat=P","Fill=—","Direction=H","UseDPDF=Y")</f>
        <v>52228.3</v>
      </c>
      <c r="E32" s="13">
        <f>_xll.BDH("RCOM IN Equity","ARD_PROF_BEFORE_TAX_MINORITY_INT","FY 2011","FY 2011","Currency=INR","Period=FY","BEST_FPERIOD_OVERRIDE=FY","FILING_STATUS=MR","EQY_CONSOLIDATED=Y","SCALING_FORMAT=MLN","Sort=A","Dates=H","DateFormat=P","Fill=—","Direction=H","UseDPDF=Y")</f>
        <v>15170</v>
      </c>
      <c r="F32" s="13">
        <f>_xll.BDH("RCOM IN Equity","ARD_PROF_BEFORE_TAX_MINORITY_INT","FY 2012","FY 2012","Currency=INR","Period=FY","BEST_FPERIOD_OVERRIDE=FY","FILING_STATUS=MR","EQY_CONSOLIDATED=Y","SCALING_FORMAT=MLN","Sort=A","Dates=H","DateFormat=P","Fill=—","Direction=H","UseDPDF=Y")</f>
        <v>8820</v>
      </c>
      <c r="G32" s="13">
        <f>_xll.BDH("RCOM IN Equity","ARD_PROF_BEFORE_TAX_MINORITY_INT","FY 2013","FY 2013","Currency=INR","Period=FY","BEST_FPERIOD_OVERRIDE=FY","FILING_STATUS=MR","EQY_CONSOLIDATED=Y","SCALING_FORMAT=MLN","Sort=A","Dates=H","DateFormat=P","Fill=—","Direction=H","UseDPDF=Y")</f>
        <v>8150</v>
      </c>
      <c r="H32" s="13">
        <f>_xll.BDH("RCOM IN Equity","ARD_PROF_BEFORE_TAX_MINORITY_INT","FY 2014","FY 2014","Currency=INR","Period=FY","BEST_FPERIOD_OVERRIDE=FY","FILING_STATUS=MR","EQY_CONSOLIDATED=Y","SCALING_FORMAT=MLN","Sort=A","Dates=H","DateFormat=P","Fill=—","Direction=H","UseDPDF=Y")</f>
        <v>1160</v>
      </c>
      <c r="I32" s="13">
        <f>_xll.BDH("RCOM IN Equity","ARD_PROF_BEFORE_TAX_MINORITY_INT","FY 2015","FY 2015","Currency=INR","Period=FY","BEST_FPERIOD_OVERRIDE=FY","FILING_STATUS=MR","EQY_CONSOLIDATED=Y","SCALING_FORMAT=MLN","Sort=A","Dates=H","DateFormat=P","Fill=—","Direction=H","UseDPDF=Y")</f>
        <v>9460</v>
      </c>
      <c r="J32" s="13">
        <f>_xll.BDH("RCOM IN Equity","ARD_PROF_BEFORE_TAX_MINORITY_INT","FY 2016","FY 2016","Currency=INR","Period=FY","BEST_FPERIOD_OVERRIDE=FY","FILING_STATUS=MR","EQY_CONSOLIDATED=Y","SCALING_FORMAT=MLN","Sort=A","Dates=H","DateFormat=P","Fill=—","Direction=H","UseDPDF=Y")</f>
        <v>2320</v>
      </c>
      <c r="K32" s="13">
        <f>_xll.BDH("RCOM IN Equity","ARD_PROF_BEFORE_TAX_MINORITY_INT","FY 2017","FY 2017","Currency=INR","Period=FY","BEST_FPERIOD_OVERRIDE=FY","FILING_STATUS=MR","EQY_CONSOLIDATED=Y","SCALING_FORMAT=MLN","Sort=A","Dates=H","DateFormat=P","Fill=—","Direction=H","UseDPDF=Y")</f>
        <v>1550</v>
      </c>
      <c r="L32" s="13">
        <f>_xll.BDH("RCOM IN Equity","ARD_PROF_BEFORE_TAX_MINORITY_INT","FY 2018","FY 2018","Currency=INR","Period=FY","BEST_FPERIOD_OVERRIDE=FY","FILING_STATUS=MR","EQY_CONSOLIDATED=Y","SCALING_FORMAT=MLN","Sort=A","Dates=H","DateFormat=P","Fill=—","Direction=H","UseDPDF=Y")</f>
        <v>-30</v>
      </c>
    </row>
    <row r="33" spans="1:12">
      <c r="A33" s="10" t="s">
        <v>1354</v>
      </c>
      <c r="B33" s="10" t="s">
        <v>1355</v>
      </c>
      <c r="C33" s="13">
        <f>_xll.BDH("RCOM IN Equity","ARD_TAX_PAID","FY 2009","FY 2009","Currency=INR","Period=FY","BEST_FPERIOD_OVERRIDE=FY","FILING_STATUS=MR","EQY_CONSOLIDATED=Y","SCALING_FORMAT=MLN","Sort=A","Dates=H","DateFormat=P","Fill=—","Direction=H","UseDPDF=Y")</f>
        <v>-3925.7</v>
      </c>
      <c r="D33" s="13">
        <f>_xll.BDH("RCOM IN Equity","ARD_TAX_PAID","FY 2010","FY 2010","Currency=INR","Period=FY","BEST_FPERIOD_OVERRIDE=FY","FILING_STATUS=MR","EQY_CONSOLIDATED=Y","SCALING_FORMAT=MLN","Sort=A","Dates=H","DateFormat=P","Fill=—","Direction=H","UseDPDF=Y")</f>
        <v>-5169.6000000000004</v>
      </c>
      <c r="E33" s="13">
        <f>_xll.BDH("RCOM IN Equity","ARD_TAX_PAID","FY 2011","FY 2011","Currency=INR","Period=FY","BEST_FPERIOD_OVERRIDE=FY","FILING_STATUS=MR","EQY_CONSOLIDATED=Y","SCALING_FORMAT=MLN","Sort=A","Dates=H","DateFormat=P","Fill=—","Direction=H","UseDPDF=Y")</f>
        <v>-5990</v>
      </c>
      <c r="F33" s="13">
        <f>_xll.BDH("RCOM IN Equity","ARD_TAX_PAID","FY 2012","FY 2012","Currency=INR","Period=FY","BEST_FPERIOD_OVERRIDE=FY","FILING_STATUS=MR","EQY_CONSOLIDATED=Y","SCALING_FORMAT=MLN","Sort=A","Dates=H","DateFormat=P","Fill=—","Direction=H","UseDPDF=Y")</f>
        <v>-3890</v>
      </c>
      <c r="G33" s="13">
        <f>_xll.BDH("RCOM IN Equity","ARD_TAX_PAID","FY 2013","FY 2013","Currency=INR","Period=FY","BEST_FPERIOD_OVERRIDE=FY","FILING_STATUS=MR","EQY_CONSOLIDATED=Y","SCALING_FORMAT=MLN","Sort=A","Dates=H","DateFormat=P","Fill=—","Direction=H","UseDPDF=Y")</f>
        <v>-2730</v>
      </c>
      <c r="H33" s="13">
        <f>_xll.BDH("RCOM IN Equity","ARD_TAX_PAID","FY 2014","FY 2014","Currency=INR","Period=FY","BEST_FPERIOD_OVERRIDE=FY","FILING_STATUS=MR","EQY_CONSOLIDATED=Y","SCALING_FORMAT=MLN","Sort=A","Dates=H","DateFormat=P","Fill=—","Direction=H","UseDPDF=Y")</f>
        <v>-5210</v>
      </c>
      <c r="I33" s="13">
        <f>_xll.BDH("RCOM IN Equity","ARD_TAX_PAID","FY 2015","FY 2015","Currency=INR","Period=FY","BEST_FPERIOD_OVERRIDE=FY","FILING_STATUS=MR","EQY_CONSOLIDATED=Y","SCALING_FORMAT=MLN","Sort=A","Dates=H","DateFormat=P","Fill=—","Direction=H","UseDPDF=Y")</f>
        <v>-5650</v>
      </c>
      <c r="J33" s="13">
        <f>_xll.BDH("RCOM IN Equity","ARD_TAX_PAID","FY 2016","FY 2016","Currency=INR","Period=FY","BEST_FPERIOD_OVERRIDE=FY","FILING_STATUS=MR","EQY_CONSOLIDATED=Y","SCALING_FORMAT=MLN","Sort=A","Dates=H","DateFormat=P","Fill=—","Direction=H","UseDPDF=Y")</f>
        <v>-3520</v>
      </c>
      <c r="K33" s="13" t="str">
        <f>_xll.BDH("RCOM IN Equity","ARD_TAX_PAID","FY 2017","FY 2017","Currency=INR","Period=FY","BEST_FPERIOD_OVERRIDE=FY","FILING_STATUS=MR","EQY_CONSOLIDATED=Y","SCALING_FORMAT=MLN","Sort=A","Dates=H","DateFormat=P","Fill=—","Direction=H","UseDPDF=Y")</f>
        <v>—</v>
      </c>
      <c r="L33" s="13" t="str">
        <f>_xll.BDH("RCOM IN Equity","ARD_TAX_PAID","FY 2018","FY 2018","Currency=INR","Period=FY","BEST_FPERIOD_OVERRIDE=FY","FILING_STATUS=MR","EQY_CONSOLIDATED=Y","SCALING_FORMAT=MLN","Sort=A","Dates=H","DateFormat=P","Fill=—","Direction=H","UseDPDF=Y")</f>
        <v>—</v>
      </c>
    </row>
    <row r="34" spans="1:12">
      <c r="A34" s="10" t="s">
        <v>1356</v>
      </c>
      <c r="B34" s="10" t="s">
        <v>1357</v>
      </c>
      <c r="C34" s="13" t="str">
        <f>_xll.BDH("RCOM IN Equity","ARD_TAX_REFUND","FY 2009","FY 2009","Currency=INR","Period=FY","BEST_FPERIOD_OVERRIDE=FY","FILING_STATUS=MR","EQY_CONSOLIDATED=Y","SCALING_FORMAT=MLN","Sort=A","Dates=H","DateFormat=P","Fill=—","Direction=H","UseDPDF=Y")</f>
        <v>—</v>
      </c>
      <c r="D34" s="13">
        <f>_xll.BDH("RCOM IN Equity","ARD_TAX_REFUND","FY 2010","FY 2010","Currency=INR","Period=FY","BEST_FPERIOD_OVERRIDE=FY","FILING_STATUS=MR","EQY_CONSOLIDATED=Y","SCALING_FORMAT=MLN","Sort=A","Dates=H","DateFormat=P","Fill=—","Direction=H","UseDPDF=Y")</f>
        <v>2047.9</v>
      </c>
      <c r="E34" s="13">
        <f>_xll.BDH("RCOM IN Equity","ARD_TAX_REFUND","FY 2011","FY 2011","Currency=INR","Period=FY","BEST_FPERIOD_OVERRIDE=FY","FILING_STATUS=MR","EQY_CONSOLIDATED=Y","SCALING_FORMAT=MLN","Sort=A","Dates=H","DateFormat=P","Fill=—","Direction=H","UseDPDF=Y")</f>
        <v>5190</v>
      </c>
      <c r="F34" s="13">
        <f>_xll.BDH("RCOM IN Equity","ARD_TAX_REFUND","FY 2012","FY 2012","Currency=INR","Period=FY","BEST_FPERIOD_OVERRIDE=FY","FILING_STATUS=MR","EQY_CONSOLIDATED=Y","SCALING_FORMAT=MLN","Sort=A","Dates=H","DateFormat=P","Fill=—","Direction=H","UseDPDF=Y")</f>
        <v>4700</v>
      </c>
      <c r="G34" s="13">
        <f>_xll.BDH("RCOM IN Equity","ARD_TAX_REFUND","FY 2013","FY 2013","Currency=INR","Period=FY","BEST_FPERIOD_OVERRIDE=FY","FILING_STATUS=MR","EQY_CONSOLIDATED=Y","SCALING_FORMAT=MLN","Sort=A","Dates=H","DateFormat=P","Fill=—","Direction=H","UseDPDF=Y")</f>
        <v>4770</v>
      </c>
      <c r="H34" s="13">
        <f>_xll.BDH("RCOM IN Equity","ARD_TAX_REFUND","FY 2014","FY 2014","Currency=INR","Period=FY","BEST_FPERIOD_OVERRIDE=FY","FILING_STATUS=MR","EQY_CONSOLIDATED=Y","SCALING_FORMAT=MLN","Sort=A","Dates=H","DateFormat=P","Fill=—","Direction=H","UseDPDF=Y")</f>
        <v>2500</v>
      </c>
      <c r="I34" s="13">
        <f>_xll.BDH("RCOM IN Equity","ARD_TAX_REFUND","FY 2015","FY 2015","Currency=INR","Period=FY","BEST_FPERIOD_OVERRIDE=FY","FILING_STATUS=MR","EQY_CONSOLIDATED=Y","SCALING_FORMAT=MLN","Sort=A","Dates=H","DateFormat=P","Fill=—","Direction=H","UseDPDF=Y")</f>
        <v>1290</v>
      </c>
      <c r="J34" s="13">
        <f>_xll.BDH("RCOM IN Equity","ARD_TAX_REFUND","FY 2016","FY 2016","Currency=INR","Period=FY","BEST_FPERIOD_OVERRIDE=FY","FILING_STATUS=MR","EQY_CONSOLIDATED=Y","SCALING_FORMAT=MLN","Sort=A","Dates=H","DateFormat=P","Fill=—","Direction=H","UseDPDF=Y")</f>
        <v>1540</v>
      </c>
      <c r="K34" s="13">
        <f>_xll.BDH("RCOM IN Equity","ARD_TAX_REFUND","FY 2017","FY 2017","Currency=INR","Period=FY","BEST_FPERIOD_OVERRIDE=FY","FILING_STATUS=MR","EQY_CONSOLIDATED=Y","SCALING_FORMAT=MLN","Sort=A","Dates=H","DateFormat=P","Fill=—","Direction=H","UseDPDF=Y")</f>
        <v>6950</v>
      </c>
      <c r="L34" s="13">
        <f>_xll.BDH("RCOM IN Equity","ARD_TAX_REFUND","FY 2018","FY 2018","Currency=INR","Period=FY","BEST_FPERIOD_OVERRIDE=FY","FILING_STATUS=MR","EQY_CONSOLIDATED=Y","SCALING_FORMAT=MLN","Sort=A","Dates=H","DateFormat=P","Fill=—","Direction=H","UseDPDF=Y")</f>
        <v>3890</v>
      </c>
    </row>
    <row r="35" spans="1:12">
      <c r="A35" s="10" t="s">
        <v>1358</v>
      </c>
      <c r="B35" s="10" t="s">
        <v>1359</v>
      </c>
      <c r="C35" s="13">
        <f>_xll.BDH("RCOM IN Equity","ARD_NET_CASH_FROM_OPERATING_ACT","FY 2009","FY 2009","Currency=INR","Period=FY","BEST_FPERIOD_OVERRIDE=FY","FILING_STATUS=MR","EQY_CONSOLIDATED=Y","SCALING_FORMAT=MLN","Sort=A","Dates=H","DateFormat=P","Fill=—","Direction=H","UseDPDF=Y")</f>
        <v>69001</v>
      </c>
      <c r="D35" s="13">
        <f>_xll.BDH("RCOM IN Equity","ARD_NET_CASH_FROM_OPERATING_ACT","FY 2010","FY 2010","Currency=INR","Period=FY","BEST_FPERIOD_OVERRIDE=FY","FILING_STATUS=MR","EQY_CONSOLIDATED=Y","SCALING_FORMAT=MLN","Sort=A","Dates=H","DateFormat=P","Fill=—","Direction=H","UseDPDF=Y")</f>
        <v>99286.5</v>
      </c>
      <c r="E35" s="13">
        <f>_xll.BDH("RCOM IN Equity","ARD_NET_CASH_FROM_OPERATING_ACT","FY 2011","FY 2011","Currency=INR","Period=FY","BEST_FPERIOD_OVERRIDE=FY","FILING_STATUS=MR","EQY_CONSOLIDATED=Y","SCALING_FORMAT=MLN","Sort=A","Dates=H","DateFormat=P","Fill=—","Direction=H","UseDPDF=Y")</f>
        <v>25140</v>
      </c>
      <c r="F35" s="13">
        <f>_xll.BDH("RCOM IN Equity","ARD_NET_CASH_FROM_OPERATING_ACT","FY 2012","FY 2012","Currency=INR","Period=FY","BEST_FPERIOD_OVERRIDE=FY","FILING_STATUS=MR","EQY_CONSOLIDATED=Y","SCALING_FORMAT=MLN","Sort=A","Dates=H","DateFormat=P","Fill=—","Direction=H","UseDPDF=Y")</f>
        <v>56700</v>
      </c>
      <c r="G35" s="13">
        <f>_xll.BDH("RCOM IN Equity","ARD_NET_CASH_FROM_OPERATING_ACT","FY 2013","FY 2013","Currency=INR","Period=FY","BEST_FPERIOD_OVERRIDE=FY","FILING_STATUS=MR","EQY_CONSOLIDATED=Y","SCALING_FORMAT=MLN","Sort=A","Dates=H","DateFormat=P","Fill=—","Direction=H","UseDPDF=Y")</f>
        <v>36210</v>
      </c>
      <c r="H35" s="13">
        <f>_xll.BDH("RCOM IN Equity","ARD_NET_CASH_FROM_OPERATING_ACT","FY 2014","FY 2014","Currency=INR","Period=FY","BEST_FPERIOD_OVERRIDE=FY","FILING_STATUS=MR","EQY_CONSOLIDATED=Y","SCALING_FORMAT=MLN","Sort=A","Dates=H","DateFormat=P","Fill=—","Direction=H","UseDPDF=Y")</f>
        <v>71100</v>
      </c>
      <c r="I35" s="13">
        <f>_xll.BDH("RCOM IN Equity","ARD_NET_CASH_FROM_OPERATING_ACT","FY 2015","FY 2015","Currency=INR","Period=FY","BEST_FPERIOD_OVERRIDE=FY","FILING_STATUS=MR","EQY_CONSOLIDATED=Y","SCALING_FORMAT=MLN","Sort=A","Dates=H","DateFormat=P","Fill=—","Direction=H","UseDPDF=Y")</f>
        <v>35940</v>
      </c>
      <c r="J35" s="13">
        <f>_xll.BDH("RCOM IN Equity","ARD_NET_CASH_FROM_OPERATING_ACT","FY 2016","FY 2016","Currency=INR","Period=FY","BEST_FPERIOD_OVERRIDE=FY","FILING_STATUS=MR","EQY_CONSOLIDATED=Y","SCALING_FORMAT=MLN","Sort=A","Dates=H","DateFormat=P","Fill=—","Direction=H","UseDPDF=Y")</f>
        <v>143040</v>
      </c>
      <c r="K35" s="13">
        <f>_xll.BDH("RCOM IN Equity","ARD_NET_CASH_FROM_OPERATING_ACT","FY 2017","FY 2017","Currency=INR","Period=FY","BEST_FPERIOD_OVERRIDE=FY","FILING_STATUS=MR","EQY_CONSOLIDATED=Y","SCALING_FORMAT=MLN","Sort=A","Dates=H","DateFormat=P","Fill=—","Direction=H","UseDPDF=Y")</f>
        <v>-8620</v>
      </c>
      <c r="L35" s="13">
        <f>_xll.BDH("RCOM IN Equity","ARD_NET_CASH_FROM_OPERATING_ACT","FY 2018","FY 2018","Currency=INR","Period=FY","BEST_FPERIOD_OVERRIDE=FY","FILING_STATUS=MR","EQY_CONSOLIDATED=Y","SCALING_FORMAT=MLN","Sort=A","Dates=H","DateFormat=P","Fill=—","Direction=H","UseDPDF=Y")</f>
        <v>6370</v>
      </c>
    </row>
    <row r="36" spans="1:12">
      <c r="A36" s="10" t="s">
        <v>1360</v>
      </c>
      <c r="B36" s="10" t="s">
        <v>1361</v>
      </c>
      <c r="C36" s="13" t="str">
        <f>_xll.BDH("RCOM IN Equity","ARD_PROV_DOUBTFUL_DEBT_WRITEBACK","FY 2009","FY 2009","Currency=INR","Period=FY","BEST_FPERIOD_OVERRIDE=FY","FILING_STATUS=MR","EQY_CONSOLIDATED=Y","SCALING_FORMAT=MLN","Sort=A","Dates=H","DateFormat=P","Fill=—","Direction=H","UseDPDF=Y")</f>
        <v>—</v>
      </c>
      <c r="D36" s="13" t="str">
        <f>_xll.BDH("RCOM IN Equity","ARD_PROV_DOUBTFUL_DEBT_WRITEBACK","FY 2010","FY 2010","Currency=INR","Period=FY","BEST_FPERIOD_OVERRIDE=FY","FILING_STATUS=MR","EQY_CONSOLIDATED=Y","SCALING_FORMAT=MLN","Sort=A","Dates=H","DateFormat=P","Fill=—","Direction=H","UseDPDF=Y")</f>
        <v>—</v>
      </c>
      <c r="E36" s="13" t="str">
        <f>_xll.BDH("RCOM IN Equity","ARD_PROV_DOUBTFUL_DEBT_WRITEBACK","FY 2011","FY 2011","Currency=INR","Period=FY","BEST_FPERIOD_OVERRIDE=FY","FILING_STATUS=MR","EQY_CONSOLIDATED=Y","SCALING_FORMAT=MLN","Sort=A","Dates=H","DateFormat=P","Fill=—","Direction=H","UseDPDF=Y")</f>
        <v>—</v>
      </c>
      <c r="F36" s="13">
        <f>_xll.BDH("RCOM IN Equity","ARD_PROV_DOUBTFUL_DEBT_WRITEBACK","FY 2012","FY 2012","Currency=INR","Period=FY","BEST_FPERIOD_OVERRIDE=FY","FILING_STATUS=MR","EQY_CONSOLIDATED=Y","SCALING_FORMAT=MLN","Sort=A","Dates=H","DateFormat=P","Fill=—","Direction=H","UseDPDF=Y")</f>
        <v>0</v>
      </c>
      <c r="G36" s="13">
        <f>_xll.BDH("RCOM IN Equity","ARD_PROV_DOUBTFUL_DEBT_WRITEBACK","FY 2013","FY 2013","Currency=INR","Period=FY","BEST_FPERIOD_OVERRIDE=FY","FILING_STATUS=MR","EQY_CONSOLIDATED=Y","SCALING_FORMAT=MLN","Sort=A","Dates=H","DateFormat=P","Fill=—","Direction=H","UseDPDF=Y")</f>
        <v>-1920</v>
      </c>
      <c r="H36" s="13">
        <f>_xll.BDH("RCOM IN Equity","ARD_PROV_DOUBTFUL_DEBT_WRITEBACK","FY 2014","FY 2014","Currency=INR","Period=FY","BEST_FPERIOD_OVERRIDE=FY","FILING_STATUS=MR","EQY_CONSOLIDATED=Y","SCALING_FORMAT=MLN","Sort=A","Dates=H","DateFormat=P","Fill=—","Direction=H","UseDPDF=Y")</f>
        <v>-4500</v>
      </c>
      <c r="I36" s="13">
        <f>_xll.BDH("RCOM IN Equity","ARD_PROV_DOUBTFUL_DEBT_WRITEBACK","FY 2015","FY 2015","Currency=INR","Period=FY","BEST_FPERIOD_OVERRIDE=FY","FILING_STATUS=MR","EQY_CONSOLIDATED=Y","SCALING_FORMAT=MLN","Sort=A","Dates=H","DateFormat=P","Fill=—","Direction=H","UseDPDF=Y")</f>
        <v>-840</v>
      </c>
      <c r="J36" s="13" t="str">
        <f>_xll.BDH("RCOM IN Equity","ARD_PROV_DOUBTFUL_DEBT_WRITEBACK","FY 2016","FY 2016","Currency=INR","Period=FY","BEST_FPERIOD_OVERRIDE=FY","FILING_STATUS=MR","EQY_CONSOLIDATED=Y","SCALING_FORMAT=MLN","Sort=A","Dates=H","DateFormat=P","Fill=—","Direction=H","UseDPDF=Y")</f>
        <v>—</v>
      </c>
      <c r="K36" s="13">
        <f>_xll.BDH("RCOM IN Equity","ARD_PROV_DOUBTFUL_DEBT_WRITEBACK","FY 2017","FY 2017","Currency=INR","Period=FY","BEST_FPERIOD_OVERRIDE=FY","FILING_STATUS=MR","EQY_CONSOLIDATED=Y","SCALING_FORMAT=MLN","Sort=A","Dates=H","DateFormat=P","Fill=—","Direction=H","UseDPDF=Y")</f>
        <v>-30</v>
      </c>
      <c r="L36" s="13">
        <f>_xll.BDH("RCOM IN Equity","ARD_PROV_DOUBTFUL_DEBT_WRITEBACK","FY 2018","FY 2018","Currency=INR","Period=FY","BEST_FPERIOD_OVERRIDE=FY","FILING_STATUS=MR","EQY_CONSOLIDATED=Y","SCALING_FORMAT=MLN","Sort=A","Dates=H","DateFormat=P","Fill=—","Direction=H","UseDPDF=Y")</f>
        <v>-3470</v>
      </c>
    </row>
    <row r="37" spans="1:12">
      <c r="A37" s="10" t="s">
        <v>1362</v>
      </c>
      <c r="B37" s="10" t="s">
        <v>1363</v>
      </c>
      <c r="C37" s="13">
        <f>_xll.BDH("RCOM IN Equity","ARD_FINANCE_COSTS","FY 2009","FY 2009","Currency=INR","Period=FY","BEST_FPERIOD_OVERRIDE=FY","FILING_STATUS=MR","EQY_CONSOLIDATED=Y","SCALING_FORMAT=MLN","Sort=A","Dates=H","DateFormat=P","Fill=—","Direction=H","UseDPDF=Y")</f>
        <v>12585.2</v>
      </c>
      <c r="D37" s="13">
        <f>_xll.BDH("RCOM IN Equity","ARD_FINANCE_COSTS","FY 2010","FY 2010","Currency=INR","Period=FY","BEST_FPERIOD_OVERRIDE=FY","FILING_STATUS=MR","EQY_CONSOLIDATED=Y","SCALING_FORMAT=MLN","Sort=A","Dates=H","DateFormat=P","Fill=—","Direction=H","UseDPDF=Y")</f>
        <v>2096.5</v>
      </c>
      <c r="E37" s="13">
        <f>_xll.BDH("RCOM IN Equity","ARD_FINANCE_COSTS","FY 2011","FY 2011","Currency=INR","Period=FY","BEST_FPERIOD_OVERRIDE=FY","FILING_STATUS=MR","EQY_CONSOLIDATED=Y","SCALING_FORMAT=MLN","Sort=A","Dates=H","DateFormat=P","Fill=—","Direction=H","UseDPDF=Y")</f>
        <v>1140</v>
      </c>
      <c r="F37" s="13">
        <f>_xll.BDH("RCOM IN Equity","ARD_FINANCE_COSTS","FY 2012","FY 2012","Currency=INR","Period=FY","BEST_FPERIOD_OVERRIDE=FY","FILING_STATUS=MR","EQY_CONSOLIDATED=Y","SCALING_FORMAT=MLN","Sort=A","Dates=H","DateFormat=P","Fill=—","Direction=H","UseDPDF=Y")</f>
        <v>16300</v>
      </c>
      <c r="G37" s="13">
        <f>_xll.BDH("RCOM IN Equity","ARD_FINANCE_COSTS","FY 2013","FY 2013","Currency=INR","Period=FY","BEST_FPERIOD_OVERRIDE=FY","FILING_STATUS=MR","EQY_CONSOLIDATED=Y","SCALING_FORMAT=MLN","Sort=A","Dates=H","DateFormat=P","Fill=—","Direction=H","UseDPDF=Y")</f>
        <v>24990</v>
      </c>
      <c r="H37" s="13">
        <f>_xll.BDH("RCOM IN Equity","ARD_FINANCE_COSTS","FY 2014","FY 2014","Currency=INR","Period=FY","BEST_FPERIOD_OVERRIDE=FY","FILING_STATUS=MR","EQY_CONSOLIDATED=Y","SCALING_FORMAT=MLN","Sort=A","Dates=H","DateFormat=P","Fill=—","Direction=H","UseDPDF=Y")</f>
        <v>30190</v>
      </c>
      <c r="I37" s="13">
        <f>_xll.BDH("RCOM IN Equity","ARD_FINANCE_COSTS","FY 2015","FY 2015","Currency=INR","Period=FY","BEST_FPERIOD_OVERRIDE=FY","FILING_STATUS=MR","EQY_CONSOLIDATED=Y","SCALING_FORMAT=MLN","Sort=A","Dates=H","DateFormat=P","Fill=—","Direction=H","UseDPDF=Y")</f>
        <v>27550</v>
      </c>
      <c r="J37" s="13">
        <f>_xll.BDH("RCOM IN Equity","ARD_FINANCE_COSTS","FY 2016","FY 2016","Currency=INR","Period=FY","BEST_FPERIOD_OVERRIDE=FY","FILING_STATUS=MR","EQY_CONSOLIDATED=Y","SCALING_FORMAT=MLN","Sort=A","Dates=H","DateFormat=P","Fill=—","Direction=H","UseDPDF=Y")</f>
        <v>29240</v>
      </c>
      <c r="K37" s="13">
        <f>_xll.BDH("RCOM IN Equity","ARD_FINANCE_COSTS","FY 2017","FY 2017","Currency=INR","Period=FY","BEST_FPERIOD_OVERRIDE=FY","FILING_STATUS=MR","EQY_CONSOLIDATED=Y","SCALING_FORMAT=MLN","Sort=A","Dates=H","DateFormat=P","Fill=—","Direction=H","UseDPDF=Y")</f>
        <v>35610</v>
      </c>
      <c r="L37" s="13">
        <f>_xll.BDH("RCOM IN Equity","ARD_FINANCE_COSTS","FY 2018","FY 2018","Currency=INR","Period=FY","BEST_FPERIOD_OVERRIDE=FY","FILING_STATUS=MR","EQY_CONSOLIDATED=Y","SCALING_FORMAT=MLN","Sort=A","Dates=H","DateFormat=P","Fill=—","Direction=H","UseDPDF=Y")</f>
        <v>13390</v>
      </c>
    </row>
    <row r="38" spans="1:12">
      <c r="A38" s="10" t="s">
        <v>1364</v>
      </c>
      <c r="B38" s="10" t="s">
        <v>1365</v>
      </c>
      <c r="C38" s="13" t="str">
        <f>_xll.BDH("RCOM IN Equity","ARD_GL_SALE_PROP_PLANT_EQUIP","FY 2009","FY 2009","Currency=INR","Period=FY","BEST_FPERIOD_OVERRIDE=FY","FILING_STATUS=MR","EQY_CONSOLIDATED=Y","SCALING_FORMAT=MLN","Sort=A","Dates=H","DateFormat=P","Fill=—","Direction=H","UseDPDF=Y")</f>
        <v>—</v>
      </c>
      <c r="D38" s="13" t="str">
        <f>_xll.BDH("RCOM IN Equity","ARD_GL_SALE_PROP_PLANT_EQUIP","FY 2010","FY 2010","Currency=INR","Period=FY","BEST_FPERIOD_OVERRIDE=FY","FILING_STATUS=MR","EQY_CONSOLIDATED=Y","SCALING_FORMAT=MLN","Sort=A","Dates=H","DateFormat=P","Fill=—","Direction=H","UseDPDF=Y")</f>
        <v>—</v>
      </c>
      <c r="E38" s="13" t="str">
        <f>_xll.BDH("RCOM IN Equity","ARD_GL_SALE_PROP_PLANT_EQUIP","FY 2011","FY 2011","Currency=INR","Period=FY","BEST_FPERIOD_OVERRIDE=FY","FILING_STATUS=MR","EQY_CONSOLIDATED=Y","SCALING_FORMAT=MLN","Sort=A","Dates=H","DateFormat=P","Fill=—","Direction=H","UseDPDF=Y")</f>
        <v>—</v>
      </c>
      <c r="F38" s="13" t="str">
        <f>_xll.BDH("RCOM IN Equity","ARD_GL_SALE_PROP_PLANT_EQUIP","FY 2012","FY 2012","Currency=INR","Period=FY","BEST_FPERIOD_OVERRIDE=FY","FILING_STATUS=MR","EQY_CONSOLIDATED=Y","SCALING_FORMAT=MLN","Sort=A","Dates=H","DateFormat=P","Fill=—","Direction=H","UseDPDF=Y")</f>
        <v>—</v>
      </c>
      <c r="G38" s="13" t="str">
        <f>_xll.BDH("RCOM IN Equity","ARD_GL_SALE_PROP_PLANT_EQUIP","FY 2013","FY 2013","Currency=INR","Period=FY","BEST_FPERIOD_OVERRIDE=FY","FILING_STATUS=MR","EQY_CONSOLIDATED=Y","SCALING_FORMAT=MLN","Sort=A","Dates=H","DateFormat=P","Fill=—","Direction=H","UseDPDF=Y")</f>
        <v>—</v>
      </c>
      <c r="H38" s="13" t="str">
        <f>_xll.BDH("RCOM IN Equity","ARD_GL_SALE_PROP_PLANT_EQUIP","FY 2014","FY 2014","Currency=INR","Period=FY","BEST_FPERIOD_OVERRIDE=FY","FILING_STATUS=MR","EQY_CONSOLIDATED=Y","SCALING_FORMAT=MLN","Sort=A","Dates=H","DateFormat=P","Fill=—","Direction=H","UseDPDF=Y")</f>
        <v>—</v>
      </c>
      <c r="I38" s="13" t="str">
        <f>_xll.BDH("RCOM IN Equity","ARD_GL_SALE_PROP_PLANT_EQUIP","FY 2015","FY 2015","Currency=INR","Period=FY","BEST_FPERIOD_OVERRIDE=FY","FILING_STATUS=MR","EQY_CONSOLIDATED=Y","SCALING_FORMAT=MLN","Sort=A","Dates=H","DateFormat=P","Fill=—","Direction=H","UseDPDF=Y")</f>
        <v>—</v>
      </c>
      <c r="J38" s="13">
        <f>_xll.BDH("RCOM IN Equity","ARD_GL_SALE_PROP_PLANT_EQUIP","FY 2016","FY 2016","Currency=INR","Period=FY","BEST_FPERIOD_OVERRIDE=FY","FILING_STATUS=MR","EQY_CONSOLIDATED=Y","SCALING_FORMAT=MLN","Sort=A","Dates=H","DateFormat=P","Fill=—","Direction=H","UseDPDF=Y")</f>
        <v>-2130</v>
      </c>
      <c r="K38" s="13">
        <f>_xll.BDH("RCOM IN Equity","ARD_GL_SALE_PROP_PLANT_EQUIP","FY 2017","FY 2017","Currency=INR","Period=FY","BEST_FPERIOD_OVERRIDE=FY","FILING_STATUS=MR","EQY_CONSOLIDATED=Y","SCALING_FORMAT=MLN","Sort=A","Dates=H","DateFormat=P","Fill=—","Direction=H","UseDPDF=Y")</f>
        <v>-820</v>
      </c>
      <c r="L38" s="13">
        <f>_xll.BDH("RCOM IN Equity","ARD_GL_SALE_PROP_PLANT_EQUIP","FY 2018","FY 2018","Currency=INR","Period=FY","BEST_FPERIOD_OVERRIDE=FY","FILING_STATUS=MR","EQY_CONSOLIDATED=Y","SCALING_FORMAT=MLN","Sort=A","Dates=H","DateFormat=P","Fill=—","Direction=H","UseDPDF=Y")</f>
        <v>1340</v>
      </c>
    </row>
    <row r="39" spans="1:12">
      <c r="A39" s="10" t="s">
        <v>1366</v>
      </c>
      <c r="B39" s="10" t="s">
        <v>1367</v>
      </c>
      <c r="C39" s="13">
        <f>_xll.BDH("RCOM IN Equity","ARD_NET_INVESTMENT_INCOME_CF","FY 2009","FY 2009","Currency=INR","Period=FY","BEST_FPERIOD_OVERRIDE=FY","FILING_STATUS=MR","EQY_CONSOLIDATED=Y","SCALING_FORMAT=MLN","Sort=A","Dates=H","DateFormat=P","Fill=—","Direction=H","UseDPDF=Y")</f>
        <v>-163</v>
      </c>
      <c r="D39" s="13" t="str">
        <f>_xll.BDH("RCOM IN Equity","ARD_NET_INVESTMENT_INCOME_CF","FY 2010","FY 2010","Currency=INR","Period=FY","BEST_FPERIOD_OVERRIDE=FY","FILING_STATUS=MR","EQY_CONSOLIDATED=Y","SCALING_FORMAT=MLN","Sort=A","Dates=H","DateFormat=P","Fill=—","Direction=H","UseDPDF=Y")</f>
        <v>—</v>
      </c>
      <c r="E39" s="13" t="str">
        <f>_xll.BDH("RCOM IN Equity","ARD_NET_INVESTMENT_INCOME_CF","FY 2011","FY 2011","Currency=INR","Period=FY","BEST_FPERIOD_OVERRIDE=FY","FILING_STATUS=MR","EQY_CONSOLIDATED=Y","SCALING_FORMAT=MLN","Sort=A","Dates=H","DateFormat=P","Fill=—","Direction=H","UseDPDF=Y")</f>
        <v>—</v>
      </c>
      <c r="F39" s="13" t="str">
        <f>_xll.BDH("RCOM IN Equity","ARD_NET_INVESTMENT_INCOME_CF","FY 2012","FY 2012","Currency=INR","Period=FY","BEST_FPERIOD_OVERRIDE=FY","FILING_STATUS=MR","EQY_CONSOLIDATED=Y","SCALING_FORMAT=MLN","Sort=A","Dates=H","DateFormat=P","Fill=—","Direction=H","UseDPDF=Y")</f>
        <v>—</v>
      </c>
      <c r="G39" s="13" t="str">
        <f>_xll.BDH("RCOM IN Equity","ARD_NET_INVESTMENT_INCOME_CF","FY 2013","FY 2013","Currency=INR","Period=FY","BEST_FPERIOD_OVERRIDE=FY","FILING_STATUS=MR","EQY_CONSOLIDATED=Y","SCALING_FORMAT=MLN","Sort=A","Dates=H","DateFormat=P","Fill=—","Direction=H","UseDPDF=Y")</f>
        <v>—</v>
      </c>
      <c r="H39" s="13" t="str">
        <f>_xll.BDH("RCOM IN Equity","ARD_NET_INVESTMENT_INCOME_CF","FY 2014","FY 2014","Currency=INR","Period=FY","BEST_FPERIOD_OVERRIDE=FY","FILING_STATUS=MR","EQY_CONSOLIDATED=Y","SCALING_FORMAT=MLN","Sort=A","Dates=H","DateFormat=P","Fill=—","Direction=H","UseDPDF=Y")</f>
        <v>—</v>
      </c>
      <c r="I39" s="13" t="str">
        <f>_xll.BDH("RCOM IN Equity","ARD_NET_INVESTMENT_INCOME_CF","FY 2015","FY 2015","Currency=INR","Period=FY","BEST_FPERIOD_OVERRIDE=FY","FILING_STATUS=MR","EQY_CONSOLIDATED=Y","SCALING_FORMAT=MLN","Sort=A","Dates=H","DateFormat=P","Fill=—","Direction=H","UseDPDF=Y")</f>
        <v>—</v>
      </c>
      <c r="J39" s="13" t="str">
        <f>_xll.BDH("RCOM IN Equity","ARD_NET_INVESTMENT_INCOME_CF","FY 2016","FY 2016","Currency=INR","Period=FY","BEST_FPERIOD_OVERRIDE=FY","FILING_STATUS=MR","EQY_CONSOLIDATED=Y","SCALING_FORMAT=MLN","Sort=A","Dates=H","DateFormat=P","Fill=—","Direction=H","UseDPDF=Y")</f>
        <v>—</v>
      </c>
      <c r="K39" s="13" t="str">
        <f>_xll.BDH("RCOM IN Equity","ARD_NET_INVESTMENT_INCOME_CF","FY 2017","FY 2017","Currency=INR","Period=FY","BEST_FPERIOD_OVERRIDE=FY","FILING_STATUS=MR","EQY_CONSOLIDATED=Y","SCALING_FORMAT=MLN","Sort=A","Dates=H","DateFormat=P","Fill=—","Direction=H","UseDPDF=Y")</f>
        <v>—</v>
      </c>
      <c r="L39" s="13" t="str">
        <f>_xll.BDH("RCOM IN Equity","ARD_NET_INVESTMENT_INCOME_CF","FY 2018","FY 2018","Currency=INR","Period=FY","BEST_FPERIOD_OVERRIDE=FY","FILING_STATUS=MR","EQY_CONSOLIDATED=Y","SCALING_FORMAT=MLN","Sort=A","Dates=H","DateFormat=P","Fill=—","Direction=H","UseDPDF=Y")</f>
        <v>—</v>
      </c>
    </row>
    <row r="40" spans="1:12">
      <c r="A40" s="10" t="s">
        <v>1368</v>
      </c>
      <c r="B40" s="10" t="s">
        <v>1369</v>
      </c>
      <c r="C40" s="13" t="str">
        <f>_xll.BDH("RCOM IN Equity","ARD_INVESTMENTS_WRITTEN_OFF","FY 2009","FY 2009","Currency=INR","Period=FY","BEST_FPERIOD_OVERRIDE=FY","FILING_STATUS=MR","EQY_CONSOLIDATED=Y","SCALING_FORMAT=MLN","Sort=A","Dates=H","DateFormat=P","Fill=—","Direction=H","UseDPDF=Y")</f>
        <v>—</v>
      </c>
      <c r="D40" s="13" t="str">
        <f>_xll.BDH("RCOM IN Equity","ARD_INVESTMENTS_WRITTEN_OFF","FY 2010","FY 2010","Currency=INR","Period=FY","BEST_FPERIOD_OVERRIDE=FY","FILING_STATUS=MR","EQY_CONSOLIDATED=Y","SCALING_FORMAT=MLN","Sort=A","Dates=H","DateFormat=P","Fill=—","Direction=H","UseDPDF=Y")</f>
        <v>—</v>
      </c>
      <c r="E40" s="13" t="str">
        <f>_xll.BDH("RCOM IN Equity","ARD_INVESTMENTS_WRITTEN_OFF","FY 2011","FY 2011","Currency=INR","Period=FY","BEST_FPERIOD_OVERRIDE=FY","FILING_STATUS=MR","EQY_CONSOLIDATED=Y","SCALING_FORMAT=MLN","Sort=A","Dates=H","DateFormat=P","Fill=—","Direction=H","UseDPDF=Y")</f>
        <v>—</v>
      </c>
      <c r="F40" s="13" t="str">
        <f>_xll.BDH("RCOM IN Equity","ARD_INVESTMENTS_WRITTEN_OFF","FY 2012","FY 2012","Currency=INR","Period=FY","BEST_FPERIOD_OVERRIDE=FY","FILING_STATUS=MR","EQY_CONSOLIDATED=Y","SCALING_FORMAT=MLN","Sort=A","Dates=H","DateFormat=P","Fill=—","Direction=H","UseDPDF=Y")</f>
        <v>—</v>
      </c>
      <c r="G40" s="13" t="str">
        <f>_xll.BDH("RCOM IN Equity","ARD_INVESTMENTS_WRITTEN_OFF","FY 2013","FY 2013","Currency=INR","Period=FY","BEST_FPERIOD_OVERRIDE=FY","FILING_STATUS=MR","EQY_CONSOLIDATED=Y","SCALING_FORMAT=MLN","Sort=A","Dates=H","DateFormat=P","Fill=—","Direction=H","UseDPDF=Y")</f>
        <v>—</v>
      </c>
      <c r="H40" s="13" t="str">
        <f>_xll.BDH("RCOM IN Equity","ARD_INVESTMENTS_WRITTEN_OFF","FY 2014","FY 2014","Currency=INR","Period=FY","BEST_FPERIOD_OVERRIDE=FY","FILING_STATUS=MR","EQY_CONSOLIDATED=Y","SCALING_FORMAT=MLN","Sort=A","Dates=H","DateFormat=P","Fill=—","Direction=H","UseDPDF=Y")</f>
        <v>—</v>
      </c>
      <c r="I40" s="13" t="str">
        <f>_xll.BDH("RCOM IN Equity","ARD_INVESTMENTS_WRITTEN_OFF","FY 2015","FY 2015","Currency=INR","Period=FY","BEST_FPERIOD_OVERRIDE=FY","FILING_STATUS=MR","EQY_CONSOLIDATED=Y","SCALING_FORMAT=MLN","Sort=A","Dates=H","DateFormat=P","Fill=—","Direction=H","UseDPDF=Y")</f>
        <v>—</v>
      </c>
      <c r="J40" s="13" t="str">
        <f>_xll.BDH("RCOM IN Equity","ARD_INVESTMENTS_WRITTEN_OFF","FY 2016","FY 2016","Currency=INR","Period=FY","BEST_FPERIOD_OVERRIDE=FY","FILING_STATUS=MR","EQY_CONSOLIDATED=Y","SCALING_FORMAT=MLN","Sort=A","Dates=H","DateFormat=P","Fill=—","Direction=H","UseDPDF=Y")</f>
        <v>—</v>
      </c>
      <c r="K40" s="13" t="str">
        <f>_xll.BDH("RCOM IN Equity","ARD_INVESTMENTS_WRITTEN_OFF","FY 2017","FY 2017","Currency=INR","Period=FY","BEST_FPERIOD_OVERRIDE=FY","FILING_STATUS=MR","EQY_CONSOLIDATED=Y","SCALING_FORMAT=MLN","Sort=A","Dates=H","DateFormat=P","Fill=—","Direction=H","UseDPDF=Y")</f>
        <v>—</v>
      </c>
      <c r="L40" s="13" t="str">
        <f>_xll.BDH("RCOM IN Equity","ARD_INVESTMENTS_WRITTEN_OFF","FY 2018","FY 2018","Currency=INR","Period=FY","BEST_FPERIOD_OVERRIDE=FY","FILING_STATUS=MR","EQY_CONSOLIDATED=Y","SCALING_FORMAT=MLN","Sort=A","Dates=H","DateFormat=P","Fill=—","Direction=H","UseDPDF=Y")</f>
        <v>—</v>
      </c>
    </row>
    <row r="41" spans="1:12">
      <c r="A41" s="10" t="s">
        <v>1370</v>
      </c>
      <c r="B41" s="10" t="s">
        <v>1371</v>
      </c>
      <c r="C41" s="13">
        <f>_xll.BDH("RCOM IN Equity","ARD_FINANCE_INCOME_RECEIVED","FY 2009","FY 2009","Currency=INR","Period=FY","BEST_FPERIOD_OVERRIDE=FY","FILING_STATUS=MR","EQY_CONSOLIDATED=Y","SCALING_FORMAT=MLN","Sort=A","Dates=H","DateFormat=P","Fill=—","Direction=H","UseDPDF=Y")</f>
        <v>-15780.6</v>
      </c>
      <c r="D41" s="13">
        <f>_xll.BDH("RCOM IN Equity","ARD_FINANCE_INCOME_RECEIVED","FY 2010","FY 2010","Currency=INR","Period=FY","BEST_FPERIOD_OVERRIDE=FY","FILING_STATUS=MR","EQY_CONSOLIDATED=Y","SCALING_FORMAT=MLN","Sort=A","Dates=H","DateFormat=P","Fill=—","Direction=H","UseDPDF=Y")</f>
        <v>-717.7</v>
      </c>
      <c r="E41" s="13">
        <f>_xll.BDH("RCOM IN Equity","ARD_FINANCE_INCOME_RECEIVED","FY 2011","FY 2011","Currency=INR","Period=FY","BEST_FPERIOD_OVERRIDE=FY","FILING_STATUS=MR","EQY_CONSOLIDATED=Y","SCALING_FORMAT=MLN","Sort=A","Dates=H","DateFormat=P","Fill=—","Direction=H","UseDPDF=Y")</f>
        <v>-110</v>
      </c>
      <c r="F41" s="13" t="str">
        <f>_xll.BDH("RCOM IN Equity","ARD_FINANCE_INCOME_RECEIVED","FY 2012","FY 2012","Currency=INR","Period=FY","BEST_FPERIOD_OVERRIDE=FY","FILING_STATUS=MR","EQY_CONSOLIDATED=Y","SCALING_FORMAT=MLN","Sort=A","Dates=H","DateFormat=P","Fill=—","Direction=H","UseDPDF=Y")</f>
        <v>—</v>
      </c>
      <c r="G41" s="13" t="str">
        <f>_xll.BDH("RCOM IN Equity","ARD_FINANCE_INCOME_RECEIVED","FY 2013","FY 2013","Currency=INR","Period=FY","BEST_FPERIOD_OVERRIDE=FY","FILING_STATUS=MR","EQY_CONSOLIDATED=Y","SCALING_FORMAT=MLN","Sort=A","Dates=H","DateFormat=P","Fill=—","Direction=H","UseDPDF=Y")</f>
        <v>—</v>
      </c>
      <c r="H41" s="13" t="str">
        <f>_xll.BDH("RCOM IN Equity","ARD_FINANCE_INCOME_RECEIVED","FY 2014","FY 2014","Currency=INR","Period=FY","BEST_FPERIOD_OVERRIDE=FY","FILING_STATUS=MR","EQY_CONSOLIDATED=Y","SCALING_FORMAT=MLN","Sort=A","Dates=H","DateFormat=P","Fill=—","Direction=H","UseDPDF=Y")</f>
        <v>—</v>
      </c>
      <c r="I41" s="13" t="str">
        <f>_xll.BDH("RCOM IN Equity","ARD_FINANCE_INCOME_RECEIVED","FY 2015","FY 2015","Currency=INR","Period=FY","BEST_FPERIOD_OVERRIDE=FY","FILING_STATUS=MR","EQY_CONSOLIDATED=Y","SCALING_FORMAT=MLN","Sort=A","Dates=H","DateFormat=P","Fill=—","Direction=H","UseDPDF=Y")</f>
        <v>—</v>
      </c>
      <c r="J41" s="13" t="str">
        <f>_xll.BDH("RCOM IN Equity","ARD_FINANCE_INCOME_RECEIVED","FY 2016","FY 2016","Currency=INR","Period=FY","BEST_FPERIOD_OVERRIDE=FY","FILING_STATUS=MR","EQY_CONSOLIDATED=Y","SCALING_FORMAT=MLN","Sort=A","Dates=H","DateFormat=P","Fill=—","Direction=H","UseDPDF=Y")</f>
        <v>—</v>
      </c>
      <c r="K41" s="13" t="str">
        <f>_xll.BDH("RCOM IN Equity","ARD_FINANCE_INCOME_RECEIVED","FY 2017","FY 2017","Currency=INR","Period=FY","BEST_FPERIOD_OVERRIDE=FY","FILING_STATUS=MR","EQY_CONSOLIDATED=Y","SCALING_FORMAT=MLN","Sort=A","Dates=H","DateFormat=P","Fill=—","Direction=H","UseDPDF=Y")</f>
        <v>—</v>
      </c>
      <c r="L41" s="13" t="str">
        <f>_xll.BDH("RCOM IN Equity","ARD_FINANCE_INCOME_RECEIVED","FY 2018","FY 2018","Currency=INR","Period=FY","BEST_FPERIOD_OVERRIDE=FY","FILING_STATUS=MR","EQY_CONSOLIDATED=Y","SCALING_FORMAT=MLN","Sort=A","Dates=H","DateFormat=P","Fill=—","Direction=H","UseDPDF=Y")</f>
        <v>—</v>
      </c>
    </row>
    <row r="42" spans="1:12">
      <c r="A42" s="10" t="s">
        <v>1372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</row>
    <row r="43" spans="1:12">
      <c r="A43" s="10" t="s">
        <v>1373</v>
      </c>
      <c r="B43" s="10" t="s">
        <v>1374</v>
      </c>
      <c r="C43" s="13">
        <f>_xll.BDH("RCOM IN Equity","ARD_DISPOSAL_OF_FIXED_ASSETS","FY 2009","FY 2009","Currency=INR","Period=FY","BEST_FPERIOD_OVERRIDE=FY","FILING_STATUS=MR","EQY_CONSOLIDATED=Y","SCALING_FORMAT=MLN","Sort=A","Dates=H","DateFormat=P","Fill=—","Direction=H","UseDPDF=Y")</f>
        <v>158.19999999999999</v>
      </c>
      <c r="D43" s="13">
        <f>_xll.BDH("RCOM IN Equity","ARD_DISPOSAL_OF_FIXED_ASSETS","FY 2010","FY 2010","Currency=INR","Period=FY","BEST_FPERIOD_OVERRIDE=FY","FILING_STATUS=MR","EQY_CONSOLIDATED=Y","SCALING_FORMAT=MLN","Sort=A","Dates=H","DateFormat=P","Fill=—","Direction=H","UseDPDF=Y")</f>
        <v>1.3</v>
      </c>
      <c r="E43" s="13">
        <f>_xll.BDH("RCOM IN Equity","ARD_DISPOSAL_OF_FIXED_ASSETS","FY 2011","FY 2011","Currency=INR","Period=FY","BEST_FPERIOD_OVERRIDE=FY","FILING_STATUS=MR","EQY_CONSOLIDATED=Y","SCALING_FORMAT=MLN","Sort=A","Dates=H","DateFormat=P","Fill=—","Direction=H","UseDPDF=Y")</f>
        <v>2060</v>
      </c>
      <c r="F43" s="13">
        <f>_xll.BDH("RCOM IN Equity","ARD_DISPOSAL_OF_FIXED_ASSETS","FY 2012","FY 2012","Currency=INR","Period=FY","BEST_FPERIOD_OVERRIDE=FY","FILING_STATUS=MR","EQY_CONSOLIDATED=Y","SCALING_FORMAT=MLN","Sort=A","Dates=H","DateFormat=P","Fill=—","Direction=H","UseDPDF=Y")</f>
        <v>2160</v>
      </c>
      <c r="G43" s="13">
        <f>_xll.BDH("RCOM IN Equity","ARD_DISPOSAL_OF_FIXED_ASSETS","FY 2013","FY 2013","Currency=INR","Period=FY","BEST_FPERIOD_OVERRIDE=FY","FILING_STATUS=MR","EQY_CONSOLIDATED=Y","SCALING_FORMAT=MLN","Sort=A","Dates=H","DateFormat=P","Fill=—","Direction=H","UseDPDF=Y")</f>
        <v>0</v>
      </c>
      <c r="H43" s="13" t="str">
        <f>_xll.BDH("RCOM IN Equity","ARD_DISPOSAL_OF_FIXED_ASSETS","FY 2014","FY 2014","Currency=INR","Period=FY","BEST_FPERIOD_OVERRIDE=FY","FILING_STATUS=MR","EQY_CONSOLIDATED=Y","SCALING_FORMAT=MLN","Sort=A","Dates=H","DateFormat=P","Fill=—","Direction=H","UseDPDF=Y")</f>
        <v>—</v>
      </c>
      <c r="I43" s="13">
        <f>_xll.BDH("RCOM IN Equity","ARD_DISPOSAL_OF_FIXED_ASSETS","FY 2015","FY 2015","Currency=INR","Period=FY","BEST_FPERIOD_OVERRIDE=FY","FILING_STATUS=MR","EQY_CONSOLIDATED=Y","SCALING_FORMAT=MLN","Sort=A","Dates=H","DateFormat=P","Fill=—","Direction=H","UseDPDF=Y")</f>
        <v>0</v>
      </c>
      <c r="J43" s="13" t="str">
        <f>_xll.BDH("RCOM IN Equity","ARD_DISPOSAL_OF_FIXED_ASSETS","FY 2016","FY 2016","Currency=INR","Period=FY","BEST_FPERIOD_OVERRIDE=FY","FILING_STATUS=MR","EQY_CONSOLIDATED=Y","SCALING_FORMAT=MLN","Sort=A","Dates=H","DateFormat=P","Fill=—","Direction=H","UseDPDF=Y")</f>
        <v>—</v>
      </c>
      <c r="K43" s="13" t="str">
        <f>_xll.BDH("RCOM IN Equity","ARD_DISPOSAL_OF_FIXED_ASSETS","FY 2017","FY 2017","Currency=INR","Period=FY","BEST_FPERIOD_OVERRIDE=FY","FILING_STATUS=MR","EQY_CONSOLIDATED=Y","SCALING_FORMAT=MLN","Sort=A","Dates=H","DateFormat=P","Fill=—","Direction=H","UseDPDF=Y")</f>
        <v>—</v>
      </c>
      <c r="L43" s="13" t="str">
        <f>_xll.BDH("RCOM IN Equity","ARD_DISPOSAL_OF_FIXED_ASSETS","FY 2018","FY 2018","Currency=INR","Period=FY","BEST_FPERIOD_OVERRIDE=FY","FILING_STATUS=MR","EQY_CONSOLIDATED=Y","SCALING_FORMAT=MLN","Sort=A","Dates=H","DateFormat=P","Fill=—","Direction=H","UseDPDF=Y")</f>
        <v>—</v>
      </c>
    </row>
    <row r="44" spans="1:12">
      <c r="A44" s="10" t="s">
        <v>53</v>
      </c>
      <c r="B44" s="10" t="s">
        <v>1375</v>
      </c>
      <c r="C44" s="13">
        <f>_xll.BDH("RCOM IN Equity","ARD_CAPITAL_EXPENDITURES","FY 2009","FY 2009","Currency=INR","Period=FY","BEST_FPERIOD_OVERRIDE=FY","FILING_STATUS=MR","EQY_CONSOLIDATED=Y","SCALING_FORMAT=MLN","Sort=A","Dates=H","DateFormat=P","Fill=—","Direction=H","UseDPDF=Y")</f>
        <v>-122583.8</v>
      </c>
      <c r="D44" s="13">
        <f>_xll.BDH("RCOM IN Equity","ARD_CAPITAL_EXPENDITURES","FY 2010","FY 2010","Currency=INR","Period=FY","BEST_FPERIOD_OVERRIDE=FY","FILING_STATUS=MR","EQY_CONSOLIDATED=Y","SCALING_FORMAT=MLN","Sort=A","Dates=H","DateFormat=P","Fill=—","Direction=H","UseDPDF=Y")</f>
        <v>-74960.3</v>
      </c>
      <c r="E44" s="13">
        <f>_xll.BDH("RCOM IN Equity","ARD_CAPITAL_EXPENDITURES","FY 2011","FY 2011","Currency=INR","Period=FY","BEST_FPERIOD_OVERRIDE=FY","FILING_STATUS=MR","EQY_CONSOLIDATED=Y","SCALING_FORMAT=MLN","Sort=A","Dates=H","DateFormat=P","Fill=—","Direction=H","UseDPDF=Y")</f>
        <v>-103270</v>
      </c>
      <c r="F44" s="13">
        <f>_xll.BDH("RCOM IN Equity","ARD_CAPITAL_EXPENDITURES","FY 2012","FY 2012","Currency=INR","Period=FY","BEST_FPERIOD_OVERRIDE=FY","FILING_STATUS=MR","EQY_CONSOLIDATED=Y","SCALING_FORMAT=MLN","Sort=A","Dates=H","DateFormat=P","Fill=—","Direction=H","UseDPDF=Y")</f>
        <v>-48500</v>
      </c>
      <c r="G44" s="13">
        <f>_xll.BDH("RCOM IN Equity","ARD_CAPITAL_EXPENDITURES","FY 2013","FY 2013","Currency=INR","Period=FY","BEST_FPERIOD_OVERRIDE=FY","FILING_STATUS=MR","EQY_CONSOLIDATED=Y","SCALING_FORMAT=MLN","Sort=A","Dates=H","DateFormat=P","Fill=—","Direction=H","UseDPDF=Y")</f>
        <v>-21140</v>
      </c>
      <c r="H44" s="13">
        <f>_xll.BDH("RCOM IN Equity","ARD_CAPITAL_EXPENDITURES","FY 2014","FY 2014","Currency=INR","Period=FY","BEST_FPERIOD_OVERRIDE=FY","FILING_STATUS=MR","EQY_CONSOLIDATED=Y","SCALING_FORMAT=MLN","Sort=A","Dates=H","DateFormat=P","Fill=—","Direction=H","UseDPDF=Y")</f>
        <v>-21650</v>
      </c>
      <c r="I44" s="13">
        <f>_xll.BDH("RCOM IN Equity","ARD_CAPITAL_EXPENDITURES","FY 2015","FY 2015","Currency=INR","Period=FY","BEST_FPERIOD_OVERRIDE=FY","FILING_STATUS=MR","EQY_CONSOLIDATED=Y","SCALING_FORMAT=MLN","Sort=A","Dates=H","DateFormat=P","Fill=—","Direction=H","UseDPDF=Y")</f>
        <v>-24960</v>
      </c>
      <c r="J44" s="13">
        <f>_xll.BDH("RCOM IN Equity","ARD_CAPITAL_EXPENDITURES","FY 2016","FY 2016","Currency=INR","Period=FY","BEST_FPERIOD_OVERRIDE=FY","FILING_STATUS=MR","EQY_CONSOLIDATED=Y","SCALING_FORMAT=MLN","Sort=A","Dates=H","DateFormat=P","Fill=—","Direction=H","UseDPDF=Y")</f>
        <v>-153300</v>
      </c>
      <c r="K44" s="13">
        <f>_xll.BDH("RCOM IN Equity","ARD_CAPITAL_EXPENDITURES","FY 2017","FY 2017","Currency=INR","Period=FY","BEST_FPERIOD_OVERRIDE=FY","FILING_STATUS=MR","EQY_CONSOLIDATED=Y","SCALING_FORMAT=MLN","Sort=A","Dates=H","DateFormat=P","Fill=—","Direction=H","UseDPDF=Y")</f>
        <v>-39200</v>
      </c>
      <c r="L44" s="13">
        <f>_xll.BDH("RCOM IN Equity","ARD_CAPITAL_EXPENDITURES","FY 2018","FY 2018","Currency=INR","Period=FY","BEST_FPERIOD_OVERRIDE=FY","FILING_STATUS=MR","EQY_CONSOLIDATED=Y","SCALING_FORMAT=MLN","Sort=A","Dates=H","DateFormat=P","Fill=—","Direction=H","UseDPDF=Y")</f>
        <v>-5910</v>
      </c>
    </row>
    <row r="45" spans="1:12">
      <c r="A45" s="10" t="s">
        <v>1376</v>
      </c>
      <c r="B45" s="10" t="s">
        <v>1377</v>
      </c>
      <c r="C45" s="13">
        <f>_xll.BDH("RCOM IN Equity","ARD_PROCEEDS_FROM_INVESTMENTS","FY 2009","FY 2009","Currency=INR","Period=FY","BEST_FPERIOD_OVERRIDE=FY","FILING_STATUS=MR","EQY_CONSOLIDATED=Y","SCALING_FORMAT=MLN","Sort=A","Dates=H","DateFormat=P","Fill=—","Direction=H","UseDPDF=Y")</f>
        <v>1125973.3</v>
      </c>
      <c r="D45" s="13">
        <f>_xll.BDH("RCOM IN Equity","ARD_PROCEEDS_FROM_INVESTMENTS","FY 2010","FY 2010","Currency=INR","Period=FY","BEST_FPERIOD_OVERRIDE=FY","FILING_STATUS=MR","EQY_CONSOLIDATED=Y","SCALING_FORMAT=MLN","Sort=A","Dates=H","DateFormat=P","Fill=—","Direction=H","UseDPDF=Y")</f>
        <v>1036590</v>
      </c>
      <c r="E45" s="13">
        <f>_xll.BDH("RCOM IN Equity","ARD_PROCEEDS_FROM_INVESTMENTS","FY 2011","FY 2011","Currency=INR","Period=FY","BEST_FPERIOD_OVERRIDE=FY","FILING_STATUS=MR","EQY_CONSOLIDATED=Y","SCALING_FORMAT=MLN","Sort=A","Dates=H","DateFormat=P","Fill=—","Direction=H","UseDPDF=Y")</f>
        <v>520960</v>
      </c>
      <c r="F45" s="13">
        <f>_xll.BDH("RCOM IN Equity","ARD_PROCEEDS_FROM_INVESTMENTS","FY 2012","FY 2012","Currency=INR","Period=FY","BEST_FPERIOD_OVERRIDE=FY","FILING_STATUS=MR","EQY_CONSOLIDATED=Y","SCALING_FORMAT=MLN","Sort=A","Dates=H","DateFormat=P","Fill=—","Direction=H","UseDPDF=Y")</f>
        <v>269640</v>
      </c>
      <c r="G45" s="13">
        <f>_xll.BDH("RCOM IN Equity","ARD_PROCEEDS_FROM_INVESTMENTS","FY 2013","FY 2013","Currency=INR","Period=FY","BEST_FPERIOD_OVERRIDE=FY","FILING_STATUS=MR","EQY_CONSOLIDATED=Y","SCALING_FORMAT=MLN","Sort=A","Dates=H","DateFormat=P","Fill=—","Direction=H","UseDPDF=Y")</f>
        <v>129110</v>
      </c>
      <c r="H45" s="13">
        <f>_xll.BDH("RCOM IN Equity","ARD_PROCEEDS_FROM_INVESTMENTS","FY 2014","FY 2014","Currency=INR","Period=FY","BEST_FPERIOD_OVERRIDE=FY","FILING_STATUS=MR","EQY_CONSOLIDATED=Y","SCALING_FORMAT=MLN","Sort=A","Dates=H","DateFormat=P","Fill=—","Direction=H","UseDPDF=Y")</f>
        <v>116040</v>
      </c>
      <c r="I45" s="13">
        <f>_xll.BDH("RCOM IN Equity","ARD_PROCEEDS_FROM_INVESTMENTS","FY 2015","FY 2015","Currency=INR","Period=FY","BEST_FPERIOD_OVERRIDE=FY","FILING_STATUS=MR","EQY_CONSOLIDATED=Y","SCALING_FORMAT=MLN","Sort=A","Dates=H","DateFormat=P","Fill=—","Direction=H","UseDPDF=Y")</f>
        <v>384450</v>
      </c>
      <c r="J45" s="13">
        <f>_xll.BDH("RCOM IN Equity","ARD_PROCEEDS_FROM_INVESTMENTS","FY 2016","FY 2016","Currency=INR","Period=FY","BEST_FPERIOD_OVERRIDE=FY","FILING_STATUS=MR","EQY_CONSOLIDATED=Y","SCALING_FORMAT=MLN","Sort=A","Dates=H","DateFormat=P","Fill=—","Direction=H","UseDPDF=Y")</f>
        <v>33200</v>
      </c>
      <c r="K45" s="13">
        <f>_xll.BDH("RCOM IN Equity","ARD_PROCEEDS_FROM_INVESTMENTS","FY 2017","FY 2017","Currency=INR","Period=FY","BEST_FPERIOD_OVERRIDE=FY","FILING_STATUS=MR","EQY_CONSOLIDATED=Y","SCALING_FORMAT=MLN","Sort=A","Dates=H","DateFormat=P","Fill=—","Direction=H","UseDPDF=Y")</f>
        <v>3370</v>
      </c>
      <c r="L45" s="13">
        <f>_xll.BDH("RCOM IN Equity","ARD_PROCEEDS_FROM_INVESTMENTS","FY 2018","FY 2018","Currency=INR","Period=FY","BEST_FPERIOD_OVERRIDE=FY","FILING_STATUS=MR","EQY_CONSOLIDATED=Y","SCALING_FORMAT=MLN","Sort=A","Dates=H","DateFormat=P","Fill=—","Direction=H","UseDPDF=Y")</f>
        <v>2110</v>
      </c>
    </row>
    <row r="46" spans="1:12">
      <c r="A46" s="10" t="s">
        <v>1378</v>
      </c>
      <c r="B46" s="10" t="s">
        <v>1379</v>
      </c>
      <c r="C46" s="13">
        <f>_xll.BDH("RCOM IN Equity","ARD_PURCHASES_OF_INVESTMENTS","FY 2009","FY 2009","Currency=INR","Period=FY","BEST_FPERIOD_OVERRIDE=FY","FILING_STATUS=MR","EQY_CONSOLIDATED=Y","SCALING_FORMAT=MLN","Sort=A","Dates=H","DateFormat=P","Fill=—","Direction=H","UseDPDF=Y")</f>
        <v>-1110406.1000000001</v>
      </c>
      <c r="D46" s="13">
        <f>_xll.BDH("RCOM IN Equity","ARD_PURCHASES_OF_INVESTMENTS","FY 2010","FY 2010","Currency=INR","Period=FY","BEST_FPERIOD_OVERRIDE=FY","FILING_STATUS=MR","EQY_CONSOLIDATED=Y","SCALING_FORMAT=MLN","Sort=A","Dates=H","DateFormat=P","Fill=—","Direction=H","UseDPDF=Y")</f>
        <v>-981706.3</v>
      </c>
      <c r="E46" s="13">
        <f>_xll.BDH("RCOM IN Equity","ARD_PURCHASES_OF_INVESTMENTS","FY 2011","FY 2011","Currency=INR","Period=FY","BEST_FPERIOD_OVERRIDE=FY","FILING_STATUS=MR","EQY_CONSOLIDATED=Y","SCALING_FORMAT=MLN","Sort=A","Dates=H","DateFormat=P","Fill=—","Direction=H","UseDPDF=Y")</f>
        <v>-484490</v>
      </c>
      <c r="F46" s="13">
        <f>_xll.BDH("RCOM IN Equity","ARD_PURCHASES_OF_INVESTMENTS","FY 2012","FY 2012","Currency=INR","Period=FY","BEST_FPERIOD_OVERRIDE=FY","FILING_STATUS=MR","EQY_CONSOLIDATED=Y","SCALING_FORMAT=MLN","Sort=A","Dates=H","DateFormat=P","Fill=—","Direction=H","UseDPDF=Y")</f>
        <v>-269410</v>
      </c>
      <c r="G46" s="13">
        <f>_xll.BDH("RCOM IN Equity","ARD_PURCHASES_OF_INVESTMENTS","FY 2013","FY 2013","Currency=INR","Period=FY","BEST_FPERIOD_OVERRIDE=FY","FILING_STATUS=MR","EQY_CONSOLIDATED=Y","SCALING_FORMAT=MLN","Sort=A","Dates=H","DateFormat=P","Fill=—","Direction=H","UseDPDF=Y")</f>
        <v>-128760</v>
      </c>
      <c r="H46" s="13">
        <f>_xll.BDH("RCOM IN Equity","ARD_PURCHASES_OF_INVESTMENTS","FY 2014","FY 2014","Currency=INR","Period=FY","BEST_FPERIOD_OVERRIDE=FY","FILING_STATUS=MR","EQY_CONSOLIDATED=Y","SCALING_FORMAT=MLN","Sort=A","Dates=H","DateFormat=P","Fill=—","Direction=H","UseDPDF=Y")</f>
        <v>-115880</v>
      </c>
      <c r="I46" s="13">
        <f>_xll.BDH("RCOM IN Equity","ARD_PURCHASES_OF_INVESTMENTS","FY 2015","FY 2015","Currency=INR","Period=FY","BEST_FPERIOD_OVERRIDE=FY","FILING_STATUS=MR","EQY_CONSOLIDATED=Y","SCALING_FORMAT=MLN","Sort=A","Dates=H","DateFormat=P","Fill=—","Direction=H","UseDPDF=Y")</f>
        <v>-390530</v>
      </c>
      <c r="J46" s="13">
        <f>_xll.BDH("RCOM IN Equity","ARD_PURCHASES_OF_INVESTMENTS","FY 2016","FY 2016","Currency=INR","Period=FY","BEST_FPERIOD_OVERRIDE=FY","FILING_STATUS=MR","EQY_CONSOLIDATED=Y","SCALING_FORMAT=MLN","Sort=A","Dates=H","DateFormat=P","Fill=—","Direction=H","UseDPDF=Y")</f>
        <v>-26800</v>
      </c>
      <c r="K46" s="13" t="str">
        <f>_xll.BDH("RCOM IN Equity","ARD_PURCHASES_OF_INVESTMENTS","FY 2017","FY 2017","Currency=INR","Period=FY","BEST_FPERIOD_OVERRIDE=FY","FILING_STATUS=MR","EQY_CONSOLIDATED=Y","SCALING_FORMAT=MLN","Sort=A","Dates=H","DateFormat=P","Fill=—","Direction=H","UseDPDF=Y")</f>
        <v>—</v>
      </c>
      <c r="L46" s="13" t="str">
        <f>_xll.BDH("RCOM IN Equity","ARD_PURCHASES_OF_INVESTMENTS","FY 2018","FY 2018","Currency=INR","Period=FY","BEST_FPERIOD_OVERRIDE=FY","FILING_STATUS=MR","EQY_CONSOLIDATED=Y","SCALING_FORMAT=MLN","Sort=A","Dates=H","DateFormat=P","Fill=—","Direction=H","UseDPDF=Y")</f>
        <v>—</v>
      </c>
    </row>
    <row r="47" spans="1:12">
      <c r="A47" s="10" t="s">
        <v>1380</v>
      </c>
      <c r="B47" s="10" t="s">
        <v>1381</v>
      </c>
      <c r="C47" s="13">
        <f>_xll.BDH("RCOM IN Equity","ARD_OTHER_INVESTING_ACTIVITIES","FY 2009","FY 2009","Currency=INR","Period=FY","BEST_FPERIOD_OVERRIDE=FY","FILING_STATUS=MR","EQY_CONSOLIDATED=Y","SCALING_FORMAT=MLN","Sort=A","Dates=H","DateFormat=P","Fill=—","Direction=H","UseDPDF=Y")</f>
        <v>6779</v>
      </c>
      <c r="D47" s="13">
        <f>_xll.BDH("RCOM IN Equity","ARD_OTHER_INVESTING_ACTIVITIES","FY 2010","FY 2010","Currency=INR","Period=FY","BEST_FPERIOD_OVERRIDE=FY","FILING_STATUS=MR","EQY_CONSOLIDATED=Y","SCALING_FORMAT=MLN","Sort=A","Dates=H","DateFormat=P","Fill=—","Direction=H","UseDPDF=Y")</f>
        <v>1474.8</v>
      </c>
      <c r="E47" s="13">
        <f>_xll.BDH("RCOM IN Equity","ARD_OTHER_INVESTING_ACTIVITIES","FY 2011","FY 2011","Currency=INR","Period=FY","BEST_FPERIOD_OVERRIDE=FY","FILING_STATUS=MR","EQY_CONSOLIDATED=Y","SCALING_FORMAT=MLN","Sort=A","Dates=H","DateFormat=P","Fill=—","Direction=H","UseDPDF=Y")</f>
        <v>160</v>
      </c>
      <c r="F47" s="13" t="str">
        <f>_xll.BDH("RCOM IN Equity","ARD_OTHER_INVESTING_ACTIVITIES","FY 2012","FY 2012","Currency=INR","Period=FY","BEST_FPERIOD_OVERRIDE=FY","FILING_STATUS=MR","EQY_CONSOLIDATED=Y","SCALING_FORMAT=MLN","Sort=A","Dates=H","DateFormat=P","Fill=—","Direction=H","UseDPDF=Y")</f>
        <v>—</v>
      </c>
      <c r="G47" s="13" t="str">
        <f>_xll.BDH("RCOM IN Equity","ARD_OTHER_INVESTING_ACTIVITIES","FY 2013","FY 2013","Currency=INR","Period=FY","BEST_FPERIOD_OVERRIDE=FY","FILING_STATUS=MR","EQY_CONSOLIDATED=Y","SCALING_FORMAT=MLN","Sort=A","Dates=H","DateFormat=P","Fill=—","Direction=H","UseDPDF=Y")</f>
        <v>—</v>
      </c>
      <c r="H47" s="13" t="str">
        <f>_xll.BDH("RCOM IN Equity","ARD_OTHER_INVESTING_ACTIVITIES","FY 2014","FY 2014","Currency=INR","Period=FY","BEST_FPERIOD_OVERRIDE=FY","FILING_STATUS=MR","EQY_CONSOLIDATED=Y","SCALING_FORMAT=MLN","Sort=A","Dates=H","DateFormat=P","Fill=—","Direction=H","UseDPDF=Y")</f>
        <v>—</v>
      </c>
      <c r="I47" s="13">
        <f>_xll.BDH("RCOM IN Equity","ARD_OTHER_INVESTING_ACTIVITIES","FY 2015","FY 2015","Currency=INR","Period=FY","BEST_FPERIOD_OVERRIDE=FY","FILING_STATUS=MR","EQY_CONSOLIDATED=Y","SCALING_FORMAT=MLN","Sort=A","Dates=H","DateFormat=P","Fill=—","Direction=H","UseDPDF=Y")</f>
        <v>-520</v>
      </c>
      <c r="J47" s="13">
        <f>_xll.BDH("RCOM IN Equity","ARD_OTHER_INVESTING_ACTIVITIES","FY 2016","FY 2016","Currency=INR","Period=FY","BEST_FPERIOD_OVERRIDE=FY","FILING_STATUS=MR","EQY_CONSOLIDATED=Y","SCALING_FORMAT=MLN","Sort=A","Dates=H","DateFormat=P","Fill=—","Direction=H","UseDPDF=Y")</f>
        <v>-6220</v>
      </c>
      <c r="K47" s="13" t="str">
        <f>_xll.BDH("RCOM IN Equity","ARD_OTHER_INVESTING_ACTIVITIES","FY 2017","FY 2017","Currency=INR","Period=FY","BEST_FPERIOD_OVERRIDE=FY","FILING_STATUS=MR","EQY_CONSOLIDATED=Y","SCALING_FORMAT=MLN","Sort=A","Dates=H","DateFormat=P","Fill=—","Direction=H","UseDPDF=Y")</f>
        <v>—</v>
      </c>
      <c r="L47" s="13" t="str">
        <f>_xll.BDH("RCOM IN Equity","ARD_OTHER_INVESTING_ACTIVITIES","FY 2018","FY 2018","Currency=INR","Period=FY","BEST_FPERIOD_OVERRIDE=FY","FILING_STATUS=MR","EQY_CONSOLIDATED=Y","SCALING_FORMAT=MLN","Sort=A","Dates=H","DateFormat=P","Fill=—","Direction=H","UseDPDF=Y")</f>
        <v>—</v>
      </c>
    </row>
    <row r="48" spans="1:12">
      <c r="A48" s="10" t="s">
        <v>1382</v>
      </c>
      <c r="B48" s="10" t="s">
        <v>1383</v>
      </c>
      <c r="C48" s="13" t="str">
        <f>_xll.BDH("RCOM IN Equity","ARD_SALE_OF_ASSETS","FY 2009","FY 2009","Currency=INR","Period=FY","BEST_FPERIOD_OVERRIDE=FY","FILING_STATUS=MR","EQY_CONSOLIDATED=Y","SCALING_FORMAT=MLN","Sort=A","Dates=H","DateFormat=P","Fill=—","Direction=H","UseDPDF=Y")</f>
        <v>—</v>
      </c>
      <c r="D48" s="13" t="str">
        <f>_xll.BDH("RCOM IN Equity","ARD_SALE_OF_ASSETS","FY 2010","FY 2010","Currency=INR","Period=FY","BEST_FPERIOD_OVERRIDE=FY","FILING_STATUS=MR","EQY_CONSOLIDATED=Y","SCALING_FORMAT=MLN","Sort=A","Dates=H","DateFormat=P","Fill=—","Direction=H","UseDPDF=Y")</f>
        <v>—</v>
      </c>
      <c r="E48" s="13" t="str">
        <f>_xll.BDH("RCOM IN Equity","ARD_SALE_OF_ASSETS","FY 2011","FY 2011","Currency=INR","Period=FY","BEST_FPERIOD_OVERRIDE=FY","FILING_STATUS=MR","EQY_CONSOLIDATED=Y","SCALING_FORMAT=MLN","Sort=A","Dates=H","DateFormat=P","Fill=—","Direction=H","UseDPDF=Y")</f>
        <v>—</v>
      </c>
      <c r="F48" s="13" t="str">
        <f>_xll.BDH("RCOM IN Equity","ARD_SALE_OF_ASSETS","FY 2012","FY 2012","Currency=INR","Period=FY","BEST_FPERIOD_OVERRIDE=FY","FILING_STATUS=MR","EQY_CONSOLIDATED=Y","SCALING_FORMAT=MLN","Sort=A","Dates=H","DateFormat=P","Fill=—","Direction=H","UseDPDF=Y")</f>
        <v>—</v>
      </c>
      <c r="G48" s="13" t="str">
        <f>_xll.BDH("RCOM IN Equity","ARD_SALE_OF_ASSETS","FY 2013","FY 2013","Currency=INR","Period=FY","BEST_FPERIOD_OVERRIDE=FY","FILING_STATUS=MR","EQY_CONSOLIDATED=Y","SCALING_FORMAT=MLN","Sort=A","Dates=H","DateFormat=P","Fill=—","Direction=H","UseDPDF=Y")</f>
        <v>—</v>
      </c>
      <c r="H48" s="13" t="str">
        <f>_xll.BDH("RCOM IN Equity","ARD_SALE_OF_ASSETS","FY 2014","FY 2014","Currency=INR","Period=FY","BEST_FPERIOD_OVERRIDE=FY","FILING_STATUS=MR","EQY_CONSOLIDATED=Y","SCALING_FORMAT=MLN","Sort=A","Dates=H","DateFormat=P","Fill=—","Direction=H","UseDPDF=Y")</f>
        <v>—</v>
      </c>
      <c r="I48" s="13" t="str">
        <f>_xll.BDH("RCOM IN Equity","ARD_SALE_OF_ASSETS","FY 2015","FY 2015","Currency=INR","Period=FY","BEST_FPERIOD_OVERRIDE=FY","FILING_STATUS=MR","EQY_CONSOLIDATED=Y","SCALING_FORMAT=MLN","Sort=A","Dates=H","DateFormat=P","Fill=—","Direction=H","UseDPDF=Y")</f>
        <v>—</v>
      </c>
      <c r="J48" s="13">
        <f>_xll.BDH("RCOM IN Equity","ARD_SALE_OF_ASSETS","FY 2016","FY 2016","Currency=INR","Period=FY","BEST_FPERIOD_OVERRIDE=FY","FILING_STATUS=MR","EQY_CONSOLIDATED=Y","SCALING_FORMAT=MLN","Sort=A","Dates=H","DateFormat=P","Fill=—","Direction=H","UseDPDF=Y")</f>
        <v>2470</v>
      </c>
      <c r="K48" s="13">
        <f>_xll.BDH("RCOM IN Equity","ARD_SALE_OF_ASSETS","FY 2017","FY 2017","Currency=INR","Period=FY","BEST_FPERIOD_OVERRIDE=FY","FILING_STATUS=MR","EQY_CONSOLIDATED=Y","SCALING_FORMAT=MLN","Sort=A","Dates=H","DateFormat=P","Fill=—","Direction=H","UseDPDF=Y")</f>
        <v>42460</v>
      </c>
      <c r="L48" s="13">
        <f>_xll.BDH("RCOM IN Equity","ARD_SALE_OF_ASSETS","FY 2018","FY 2018","Currency=INR","Period=FY","BEST_FPERIOD_OVERRIDE=FY","FILING_STATUS=MR","EQY_CONSOLIDATED=Y","SCALING_FORMAT=MLN","Sort=A","Dates=H","DateFormat=P","Fill=—","Direction=H","UseDPDF=Y")</f>
        <v>200</v>
      </c>
    </row>
    <row r="49" spans="1:12">
      <c r="A49" s="10" t="s">
        <v>1384</v>
      </c>
      <c r="B49" s="10" t="s">
        <v>1385</v>
      </c>
      <c r="C49" s="13" t="str">
        <f>_xll.BDH("RCOM IN Equity","ARD_INT_REC_FROM_INVESTING_ACT","FY 2009","FY 2009","Currency=INR","Period=FY","BEST_FPERIOD_OVERRIDE=FY","FILING_STATUS=MR","EQY_CONSOLIDATED=Y","SCALING_FORMAT=MLN","Sort=A","Dates=H","DateFormat=P","Fill=—","Direction=H","UseDPDF=Y")</f>
        <v>—</v>
      </c>
      <c r="D49" s="13" t="str">
        <f>_xll.BDH("RCOM IN Equity","ARD_INT_REC_FROM_INVESTING_ACT","FY 2010","FY 2010","Currency=INR","Period=FY","BEST_FPERIOD_OVERRIDE=FY","FILING_STATUS=MR","EQY_CONSOLIDATED=Y","SCALING_FORMAT=MLN","Sort=A","Dates=H","DateFormat=P","Fill=—","Direction=H","UseDPDF=Y")</f>
        <v>—</v>
      </c>
      <c r="E49" s="13" t="str">
        <f>_xll.BDH("RCOM IN Equity","ARD_INT_REC_FROM_INVESTING_ACT","FY 2011","FY 2011","Currency=INR","Period=FY","BEST_FPERIOD_OVERRIDE=FY","FILING_STATUS=MR","EQY_CONSOLIDATED=Y","SCALING_FORMAT=MLN","Sort=A","Dates=H","DateFormat=P","Fill=—","Direction=H","UseDPDF=Y")</f>
        <v>—</v>
      </c>
      <c r="F49" s="13">
        <f>_xll.BDH("RCOM IN Equity","ARD_INT_REC_FROM_INVESTING_ACT","FY 2012","FY 2012","Currency=INR","Period=FY","BEST_FPERIOD_OVERRIDE=FY","FILING_STATUS=MR","EQY_CONSOLIDATED=Y","SCALING_FORMAT=MLN","Sort=A","Dates=H","DateFormat=P","Fill=—","Direction=H","UseDPDF=Y")</f>
        <v>400</v>
      </c>
      <c r="G49" s="13">
        <f>_xll.BDH("RCOM IN Equity","ARD_INT_REC_FROM_INVESTING_ACT","FY 2013","FY 2013","Currency=INR","Period=FY","BEST_FPERIOD_OVERRIDE=FY","FILING_STATUS=MR","EQY_CONSOLIDATED=Y","SCALING_FORMAT=MLN","Sort=A","Dates=H","DateFormat=P","Fill=—","Direction=H","UseDPDF=Y")</f>
        <v>100</v>
      </c>
      <c r="H49" s="13">
        <f>_xll.BDH("RCOM IN Equity","ARD_INT_REC_FROM_INVESTING_ACT","FY 2014","FY 2014","Currency=INR","Period=FY","BEST_FPERIOD_OVERRIDE=FY","FILING_STATUS=MR","EQY_CONSOLIDATED=Y","SCALING_FORMAT=MLN","Sort=A","Dates=H","DateFormat=P","Fill=—","Direction=H","UseDPDF=Y")</f>
        <v>490</v>
      </c>
      <c r="I49" s="13">
        <f>_xll.BDH("RCOM IN Equity","ARD_INT_REC_FROM_INVESTING_ACT","FY 2015","FY 2015","Currency=INR","Period=FY","BEST_FPERIOD_OVERRIDE=FY","FILING_STATUS=MR","EQY_CONSOLIDATED=Y","SCALING_FORMAT=MLN","Sort=A","Dates=H","DateFormat=P","Fill=—","Direction=H","UseDPDF=Y")</f>
        <v>300</v>
      </c>
      <c r="J49" s="13">
        <f>_xll.BDH("RCOM IN Equity","ARD_INT_REC_FROM_INVESTING_ACT","FY 2016","FY 2016","Currency=INR","Period=FY","BEST_FPERIOD_OVERRIDE=FY","FILING_STATUS=MR","EQY_CONSOLIDATED=Y","SCALING_FORMAT=MLN","Sort=A","Dates=H","DateFormat=P","Fill=—","Direction=H","UseDPDF=Y")</f>
        <v>1150</v>
      </c>
      <c r="K49" s="13">
        <f>_xll.BDH("RCOM IN Equity","ARD_INT_REC_FROM_INVESTING_ACT","FY 2017","FY 2017","Currency=INR","Period=FY","BEST_FPERIOD_OVERRIDE=FY","FILING_STATUS=MR","EQY_CONSOLIDATED=Y","SCALING_FORMAT=MLN","Sort=A","Dates=H","DateFormat=P","Fill=—","Direction=H","UseDPDF=Y")</f>
        <v>1490</v>
      </c>
      <c r="L49" s="13">
        <f>_xll.BDH("RCOM IN Equity","ARD_INT_REC_FROM_INVESTING_ACT","FY 2018","FY 2018","Currency=INR","Period=FY","BEST_FPERIOD_OVERRIDE=FY","FILING_STATUS=MR","EQY_CONSOLIDATED=Y","SCALING_FORMAT=MLN","Sort=A","Dates=H","DateFormat=P","Fill=—","Direction=H","UseDPDF=Y")</f>
        <v>920</v>
      </c>
    </row>
    <row r="50" spans="1:12">
      <c r="A50" s="10" t="s">
        <v>1344</v>
      </c>
      <c r="B50" s="10" t="s">
        <v>1386</v>
      </c>
      <c r="C50" s="13" t="str">
        <f>_xll.BDH("RCOM IN Equity","ARDR_INTEREST_INCOME_CF","FY 2009","FY 2009","Currency=INR","Period=FY","BEST_FPERIOD_OVERRIDE=FY","FILING_STATUS=MR","EQY_CONSOLIDATED=Y","SCALING_FORMAT=MLN","Sort=A","Dates=H","DateFormat=P","Fill=—","Direction=H","UseDPDF=Y")</f>
        <v>—</v>
      </c>
      <c r="D50" s="13" t="str">
        <f>_xll.BDH("RCOM IN Equity","ARDR_INTEREST_INCOME_CF","FY 2010","FY 2010","Currency=INR","Period=FY","BEST_FPERIOD_OVERRIDE=FY","FILING_STATUS=MR","EQY_CONSOLIDATED=Y","SCALING_FORMAT=MLN","Sort=A","Dates=H","DateFormat=P","Fill=—","Direction=H","UseDPDF=Y")</f>
        <v>—</v>
      </c>
      <c r="E50" s="13" t="str">
        <f>_xll.BDH("RCOM IN Equity","ARDR_INTEREST_INCOME_CF","FY 2011","FY 2011","Currency=INR","Period=FY","BEST_FPERIOD_OVERRIDE=FY","FILING_STATUS=MR","EQY_CONSOLIDATED=Y","SCALING_FORMAT=MLN","Sort=A","Dates=H","DateFormat=P","Fill=—","Direction=H","UseDPDF=Y")</f>
        <v>—</v>
      </c>
      <c r="F50" s="13">
        <f>_xll.BDH("RCOM IN Equity","ARDR_INTEREST_INCOME_CF","FY 2012","FY 2012","Currency=INR","Period=FY","BEST_FPERIOD_OVERRIDE=FY","FILING_STATUS=MR","EQY_CONSOLIDATED=Y","SCALING_FORMAT=MLN","Sort=A","Dates=H","DateFormat=P","Fill=—","Direction=H","UseDPDF=Y")</f>
        <v>400</v>
      </c>
      <c r="G50" s="13" t="str">
        <f>_xll.BDH("RCOM IN Equity","ARDR_INTEREST_INCOME_CF","FY 2013","FY 2013","Currency=INR","Period=FY","BEST_FPERIOD_OVERRIDE=FY","FILING_STATUS=MR","EQY_CONSOLIDATED=Y","SCALING_FORMAT=MLN","Sort=A","Dates=H","DateFormat=P","Fill=—","Direction=H","UseDPDF=Y")</f>
        <v>—</v>
      </c>
      <c r="H50" s="13" t="str">
        <f>_xll.BDH("RCOM IN Equity","ARDR_INTEREST_INCOME_CF","FY 2014","FY 2014","Currency=INR","Period=FY","BEST_FPERIOD_OVERRIDE=FY","FILING_STATUS=MR","EQY_CONSOLIDATED=Y","SCALING_FORMAT=MLN","Sort=A","Dates=H","DateFormat=P","Fill=—","Direction=H","UseDPDF=Y")</f>
        <v>—</v>
      </c>
      <c r="I50" s="13" t="str">
        <f>_xll.BDH("RCOM IN Equity","ARDR_INTEREST_INCOME_CF","FY 2015","FY 2015","Currency=INR","Period=FY","BEST_FPERIOD_OVERRIDE=FY","FILING_STATUS=MR","EQY_CONSOLIDATED=Y","SCALING_FORMAT=MLN","Sort=A","Dates=H","DateFormat=P","Fill=—","Direction=H","UseDPDF=Y")</f>
        <v>—</v>
      </c>
      <c r="J50" s="13" t="str">
        <f>_xll.BDH("RCOM IN Equity","ARDR_INTEREST_INCOME_CF","FY 2016","FY 2016","Currency=INR","Period=FY","BEST_FPERIOD_OVERRIDE=FY","FILING_STATUS=MR","EQY_CONSOLIDATED=Y","SCALING_FORMAT=MLN","Sort=A","Dates=H","DateFormat=P","Fill=—","Direction=H","UseDPDF=Y")</f>
        <v>—</v>
      </c>
      <c r="K50" s="13" t="str">
        <f>_xll.BDH("RCOM IN Equity","ARDR_INTEREST_INCOME_CF","FY 2017","FY 2017","Currency=INR","Period=FY","BEST_FPERIOD_OVERRIDE=FY","FILING_STATUS=MR","EQY_CONSOLIDATED=Y","SCALING_FORMAT=MLN","Sort=A","Dates=H","DateFormat=P","Fill=—","Direction=H","UseDPDF=Y")</f>
        <v>—</v>
      </c>
      <c r="L50" s="13" t="str">
        <f>_xll.BDH("RCOM IN Equity","ARDR_INTEREST_INCOME_CF","FY 2018","FY 2018","Currency=INR","Period=FY","BEST_FPERIOD_OVERRIDE=FY","FILING_STATUS=MR","EQY_CONSOLIDATED=Y","SCALING_FORMAT=MLN","Sort=A","Dates=H","DateFormat=P","Fill=—","Direction=H","UseDPDF=Y")</f>
        <v>—</v>
      </c>
    </row>
    <row r="51" spans="1:12">
      <c r="A51" s="6" t="s">
        <v>1387</v>
      </c>
      <c r="B51" s="6" t="s">
        <v>1388</v>
      </c>
      <c r="C51" s="19">
        <f>_xll.BDH("RCOM IN Equity","ARD_TOT_CASHFLOWS_FROM_INVESTING","FY 2009","FY 2009","Currency=INR","Period=FY","BEST_FPERIOD_OVERRIDE=FY","FILING_STATUS=MR","EQY_CONSOLIDATED=Y","SCALING_FORMAT=MLN","Sort=A","Dates=H","DateFormat=P","Fill=—","Direction=H","UseDPDF=Y")</f>
        <v>-100079.4</v>
      </c>
      <c r="D51" s="19">
        <f>_xll.BDH("RCOM IN Equity","ARD_TOT_CASHFLOWS_FROM_INVESTING","FY 2010","FY 2010","Currency=INR","Period=FY","BEST_FPERIOD_OVERRIDE=FY","FILING_STATUS=MR","EQY_CONSOLIDATED=Y","SCALING_FORMAT=MLN","Sort=A","Dates=H","DateFormat=P","Fill=—","Direction=H","UseDPDF=Y")</f>
        <v>-18600.5</v>
      </c>
      <c r="E51" s="19">
        <f>_xll.BDH("RCOM IN Equity","ARD_TOT_CASHFLOWS_FROM_INVESTING","FY 2011","FY 2011","Currency=INR","Period=FY","BEST_FPERIOD_OVERRIDE=FY","FILING_STATUS=MR","EQY_CONSOLIDATED=Y","SCALING_FORMAT=MLN","Sort=A","Dates=H","DateFormat=P","Fill=—","Direction=H","UseDPDF=Y")</f>
        <v>-64580</v>
      </c>
      <c r="F51" s="19">
        <f>_xll.BDH("RCOM IN Equity","ARD_TOT_CASHFLOWS_FROM_INVESTING","FY 2012","FY 2012","Currency=INR","Period=FY","BEST_FPERIOD_OVERRIDE=FY","FILING_STATUS=MR","EQY_CONSOLIDATED=Y","SCALING_FORMAT=MLN","Sort=A","Dates=H","DateFormat=P","Fill=—","Direction=H","UseDPDF=Y")</f>
        <v>-45710</v>
      </c>
      <c r="G51" s="19">
        <f>_xll.BDH("RCOM IN Equity","ARD_TOT_CASHFLOWS_FROM_INVESTING","FY 2013","FY 2013","Currency=INR","Period=FY","BEST_FPERIOD_OVERRIDE=FY","FILING_STATUS=MR","EQY_CONSOLIDATED=Y","SCALING_FORMAT=MLN","Sort=A","Dates=H","DateFormat=P","Fill=—","Direction=H","UseDPDF=Y")</f>
        <v>-20690</v>
      </c>
      <c r="H51" s="19">
        <f>_xll.BDH("RCOM IN Equity","ARD_TOT_CASHFLOWS_FROM_INVESTING","FY 2014","FY 2014","Currency=INR","Period=FY","BEST_FPERIOD_OVERRIDE=FY","FILING_STATUS=MR","EQY_CONSOLIDATED=Y","SCALING_FORMAT=MLN","Sort=A","Dates=H","DateFormat=P","Fill=—","Direction=H","UseDPDF=Y")</f>
        <v>-21000</v>
      </c>
      <c r="I51" s="19">
        <f>_xll.BDH("RCOM IN Equity","ARD_TOT_CASHFLOWS_FROM_INVESTING","FY 2015","FY 2015","Currency=INR","Period=FY","BEST_FPERIOD_OVERRIDE=FY","FILING_STATUS=MR","EQY_CONSOLIDATED=Y","SCALING_FORMAT=MLN","Sort=A","Dates=H","DateFormat=P","Fill=—","Direction=H","UseDPDF=Y")</f>
        <v>-31260</v>
      </c>
      <c r="J51" s="19">
        <f>_xll.BDH("RCOM IN Equity","ARD_TOT_CASHFLOWS_FROM_INVESTING","FY 2016","FY 2016","Currency=INR","Period=FY","BEST_FPERIOD_OVERRIDE=FY","FILING_STATUS=MR","EQY_CONSOLIDATED=Y","SCALING_FORMAT=MLN","Sort=A","Dates=H","DateFormat=P","Fill=—","Direction=H","UseDPDF=Y")</f>
        <v>-149500</v>
      </c>
      <c r="K51" s="19">
        <f>_xll.BDH("RCOM IN Equity","ARD_TOT_CASHFLOWS_FROM_INVESTING","FY 2017","FY 2017","Currency=INR","Period=FY","BEST_FPERIOD_OVERRIDE=FY","FILING_STATUS=MR","EQY_CONSOLIDATED=Y","SCALING_FORMAT=MLN","Sort=A","Dates=H","DateFormat=P","Fill=—","Direction=H","UseDPDF=Y")</f>
        <v>8120</v>
      </c>
      <c r="L51" s="19">
        <f>_xll.BDH("RCOM IN Equity","ARD_TOT_CASHFLOWS_FROM_INVESTING","FY 2018","FY 2018","Currency=INR","Period=FY","BEST_FPERIOD_OVERRIDE=FY","FILING_STATUS=MR","EQY_CONSOLIDATED=Y","SCALING_FORMAT=MLN","Sort=A","Dates=H","DateFormat=P","Fill=—","Direction=H","UseDPDF=Y")</f>
        <v>-2680</v>
      </c>
    </row>
    <row r="52" spans="1:12">
      <c r="A52" s="10" t="s">
        <v>1389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 spans="1:12">
      <c r="A53" s="10" t="s">
        <v>1390</v>
      </c>
      <c r="B53" s="10" t="s">
        <v>1391</v>
      </c>
      <c r="C53" s="13" t="str">
        <f>_xll.BDH("RCOM IN Equity","ARD_DIVIDEND_PD","FY 2009","FY 2009","Currency=INR","Period=FY","BEST_FPERIOD_OVERRIDE=FY","FILING_STATUS=MR","EQY_CONSOLIDATED=Y","SCALING_FORMAT=MLN","Sort=A","Dates=H","DateFormat=P","Fill=—","Direction=H","UseDPDF=Y")</f>
        <v>—</v>
      </c>
      <c r="D53" s="13" t="str">
        <f>_xll.BDH("RCOM IN Equity","ARD_DIVIDEND_PD","FY 2010","FY 2010","Currency=INR","Period=FY","BEST_FPERIOD_OVERRIDE=FY","FILING_STATUS=MR","EQY_CONSOLIDATED=Y","SCALING_FORMAT=MLN","Sort=A","Dates=H","DateFormat=P","Fill=—","Direction=H","UseDPDF=Y")</f>
        <v>—</v>
      </c>
      <c r="E53" s="13" t="str">
        <f>_xll.BDH("RCOM IN Equity","ARD_DIVIDEND_PD","FY 2011","FY 2011","Currency=INR","Period=FY","BEST_FPERIOD_OVERRIDE=FY","FILING_STATUS=MR","EQY_CONSOLIDATED=Y","SCALING_FORMAT=MLN","Sort=A","Dates=H","DateFormat=P","Fill=—","Direction=H","UseDPDF=Y")</f>
        <v>—</v>
      </c>
      <c r="F53" s="13" t="str">
        <f>_xll.BDH("RCOM IN Equity","ARD_DIVIDEND_PD","FY 2012","FY 2012","Currency=INR","Period=FY","BEST_FPERIOD_OVERRIDE=FY","FILING_STATUS=MR","EQY_CONSOLIDATED=Y","SCALING_FORMAT=MLN","Sort=A","Dates=H","DateFormat=P","Fill=—","Direction=H","UseDPDF=Y")</f>
        <v>—</v>
      </c>
      <c r="G53" s="13" t="str">
        <f>_xll.BDH("RCOM IN Equity","ARD_DIVIDEND_PD","FY 2013","FY 2013","Currency=INR","Period=FY","BEST_FPERIOD_OVERRIDE=FY","FILING_STATUS=MR","EQY_CONSOLIDATED=Y","SCALING_FORMAT=MLN","Sort=A","Dates=H","DateFormat=P","Fill=—","Direction=H","UseDPDF=Y")</f>
        <v>—</v>
      </c>
      <c r="H53" s="13" t="str">
        <f>_xll.BDH("RCOM IN Equity","ARD_DIVIDEND_PD","FY 2014","FY 2014","Currency=INR","Period=FY","BEST_FPERIOD_OVERRIDE=FY","FILING_STATUS=MR","EQY_CONSOLIDATED=Y","SCALING_FORMAT=MLN","Sort=A","Dates=H","DateFormat=P","Fill=—","Direction=H","UseDPDF=Y")</f>
        <v>—</v>
      </c>
      <c r="I53" s="13">
        <f>_xll.BDH("RCOM IN Equity","ARD_DIVIDEND_PD","FY 2015","FY 2015","Currency=INR","Period=FY","BEST_FPERIOD_OVERRIDE=FY","FILING_STATUS=MR","EQY_CONSOLIDATED=Y","SCALING_FORMAT=MLN","Sort=A","Dates=H","DateFormat=P","Fill=—","Direction=H","UseDPDF=Y")</f>
        <v>-10</v>
      </c>
      <c r="J53" s="13">
        <f>_xll.BDH("RCOM IN Equity","ARD_DIVIDEND_PD","FY 2016","FY 2016","Currency=INR","Period=FY","BEST_FPERIOD_OVERRIDE=FY","FILING_STATUS=MR","EQY_CONSOLIDATED=Y","SCALING_FORMAT=MLN","Sort=A","Dates=H","DateFormat=P","Fill=—","Direction=H","UseDPDF=Y")</f>
        <v>-20</v>
      </c>
      <c r="K53" s="13">
        <f>_xll.BDH("RCOM IN Equity","ARD_DIVIDEND_PD","FY 2017","FY 2017","Currency=INR","Period=FY","BEST_FPERIOD_OVERRIDE=FY","FILING_STATUS=MR","EQY_CONSOLIDATED=Y","SCALING_FORMAT=MLN","Sort=A","Dates=H","DateFormat=P","Fill=—","Direction=H","UseDPDF=Y")</f>
        <v>-20</v>
      </c>
      <c r="L53" s="13">
        <f>_xll.BDH("RCOM IN Equity","ARD_DIVIDEND_PD","FY 2018","FY 2018","Currency=INR","Period=FY","BEST_FPERIOD_OVERRIDE=FY","FILING_STATUS=MR","EQY_CONSOLIDATED=Y","SCALING_FORMAT=MLN","Sort=A","Dates=H","DateFormat=P","Fill=—","Direction=H","UseDPDF=Y")</f>
        <v>0</v>
      </c>
    </row>
    <row r="54" spans="1:12">
      <c r="A54" s="10" t="s">
        <v>1392</v>
      </c>
      <c r="B54" s="10" t="s">
        <v>1393</v>
      </c>
      <c r="C54" s="13">
        <f>_xll.BDH("RCOM IN Equity","ARD_INCR_DECR_ST_BORROW_NET","FY 2009","FY 2009","Currency=INR","Period=FY","BEST_FPERIOD_OVERRIDE=FY","FILING_STATUS=MR","EQY_CONSOLIDATED=Y","SCALING_FORMAT=MLN","Sort=A","Dates=H","DateFormat=P","Fill=—","Direction=H","UseDPDF=Y")</f>
        <v>-14207.7</v>
      </c>
      <c r="D54" s="13">
        <f>_xll.BDH("RCOM IN Equity","ARD_INCR_DECR_ST_BORROW_NET","FY 2010","FY 2010","Currency=INR","Period=FY","BEST_FPERIOD_OVERRIDE=FY","FILING_STATUS=MR","EQY_CONSOLIDATED=Y","SCALING_FORMAT=MLN","Sort=A","Dates=H","DateFormat=P","Fill=—","Direction=H","UseDPDF=Y")</f>
        <v>-32632.400000000001</v>
      </c>
      <c r="E54" s="13">
        <f>_xll.BDH("RCOM IN Equity","ARD_INCR_DECR_ST_BORROW_NET","FY 2011","FY 2011","Currency=INR","Period=FY","BEST_FPERIOD_OVERRIDE=FY","FILING_STATUS=MR","EQY_CONSOLIDATED=Y","SCALING_FORMAT=MLN","Sort=A","Dates=H","DateFormat=P","Fill=—","Direction=H","UseDPDF=Y")</f>
        <v>26840</v>
      </c>
      <c r="F54" s="13">
        <f>_xll.BDH("RCOM IN Equity","ARD_INCR_DECR_ST_BORROW_NET","FY 2012","FY 2012","Currency=INR","Period=FY","BEST_FPERIOD_OVERRIDE=FY","FILING_STATUS=MR","EQY_CONSOLIDATED=Y","SCALING_FORMAT=MLN","Sort=A","Dates=H","DateFormat=P","Fill=—","Direction=H","UseDPDF=Y")</f>
        <v>-52110</v>
      </c>
      <c r="G54" s="13">
        <f>_xll.BDH("RCOM IN Equity","ARD_INCR_DECR_ST_BORROW_NET","FY 2013","FY 2013","Currency=INR","Period=FY","BEST_FPERIOD_OVERRIDE=FY","FILING_STATUS=MR","EQY_CONSOLIDATED=Y","SCALING_FORMAT=MLN","Sort=A","Dates=H","DateFormat=P","Fill=—","Direction=H","UseDPDF=Y")</f>
        <v>32680</v>
      </c>
      <c r="H54" s="13">
        <f>_xll.BDH("RCOM IN Equity","ARD_INCR_DECR_ST_BORROW_NET","FY 2014","FY 2014","Currency=INR","Period=FY","BEST_FPERIOD_OVERRIDE=FY","FILING_STATUS=MR","EQY_CONSOLIDATED=Y","SCALING_FORMAT=MLN","Sort=A","Dates=H","DateFormat=P","Fill=—","Direction=H","UseDPDF=Y")</f>
        <v>1320</v>
      </c>
      <c r="I54" s="13">
        <f>_xll.BDH("RCOM IN Equity","ARD_INCR_DECR_ST_BORROW_NET","FY 2015","FY 2015","Currency=INR","Period=FY","BEST_FPERIOD_OVERRIDE=FY","FILING_STATUS=MR","EQY_CONSOLIDATED=Y","SCALING_FORMAT=MLN","Sort=A","Dates=H","DateFormat=P","Fill=—","Direction=H","UseDPDF=Y")</f>
        <v>-35150</v>
      </c>
      <c r="J54" s="13">
        <f>_xll.BDH("RCOM IN Equity","ARD_INCR_DECR_ST_BORROW_NET","FY 2016","FY 2016","Currency=INR","Period=FY","BEST_FPERIOD_OVERRIDE=FY","FILING_STATUS=MR","EQY_CONSOLIDATED=Y","SCALING_FORMAT=MLN","Sort=A","Dates=H","DateFormat=P","Fill=—","Direction=H","UseDPDF=Y")</f>
        <v>28010</v>
      </c>
      <c r="K54" s="13">
        <f>_xll.BDH("RCOM IN Equity","ARD_INCR_DECR_ST_BORROW_NET","FY 2017","FY 2017","Currency=INR","Period=FY","BEST_FPERIOD_OVERRIDE=FY","FILING_STATUS=MR","EQY_CONSOLIDATED=Y","SCALING_FORMAT=MLN","Sort=A","Dates=H","DateFormat=P","Fill=—","Direction=H","UseDPDF=Y")</f>
        <v>51580</v>
      </c>
      <c r="L54" s="13">
        <f>_xll.BDH("RCOM IN Equity","ARD_INCR_DECR_ST_BORROW_NET","FY 2018","FY 2018","Currency=INR","Period=FY","BEST_FPERIOD_OVERRIDE=FY","FILING_STATUS=MR","EQY_CONSOLIDATED=Y","SCALING_FORMAT=MLN","Sort=A","Dates=H","DateFormat=P","Fill=—","Direction=H","UseDPDF=Y")</f>
        <v>12600</v>
      </c>
    </row>
    <row r="55" spans="1:12">
      <c r="A55" s="10" t="s">
        <v>1394</v>
      </c>
      <c r="B55" s="10" t="s">
        <v>1395</v>
      </c>
      <c r="C55" s="13">
        <f>_xll.BDH("RCOM IN Equity","ARD_INCR_IN_LT_BORROW","FY 2009","FY 2009","Currency=INR","Period=FY","BEST_FPERIOD_OVERRIDE=FY","FILING_STATUS=MR","EQY_CONSOLIDATED=Y","SCALING_FORMAT=MLN","Sort=A","Dates=H","DateFormat=P","Fill=—","Direction=H","UseDPDF=Y")</f>
        <v>103548</v>
      </c>
      <c r="D55" s="13">
        <f>_xll.BDH("RCOM IN Equity","ARD_INCR_IN_LT_BORROW","FY 2010","FY 2010","Currency=INR","Period=FY","BEST_FPERIOD_OVERRIDE=FY","FILING_STATUS=MR","EQY_CONSOLIDATED=Y","SCALING_FORMAT=MLN","Sort=A","Dates=H","DateFormat=P","Fill=—","Direction=H","UseDPDF=Y")</f>
        <v>26680.7</v>
      </c>
      <c r="E55" s="13">
        <f>_xll.BDH("RCOM IN Equity","ARD_INCR_IN_LT_BORROW","FY 2011","FY 2011","Currency=INR","Period=FY","BEST_FPERIOD_OVERRIDE=FY","FILING_STATUS=MR","EQY_CONSOLIDATED=Y","SCALING_FORMAT=MLN","Sort=A","Dates=H","DateFormat=P","Fill=—","Direction=H","UseDPDF=Y")</f>
        <v>90900</v>
      </c>
      <c r="F55" s="13">
        <f>_xll.BDH("RCOM IN Equity","ARD_INCR_IN_LT_BORROW","FY 2012","FY 2012","Currency=INR","Period=FY","BEST_FPERIOD_OVERRIDE=FY","FILING_STATUS=MR","EQY_CONSOLIDATED=Y","SCALING_FORMAT=MLN","Sort=A","Dates=H","DateFormat=P","Fill=—","Direction=H","UseDPDF=Y")</f>
        <v>107560</v>
      </c>
      <c r="G55" s="13">
        <f>_xll.BDH("RCOM IN Equity","ARD_INCR_IN_LT_BORROW","FY 2013","FY 2013","Currency=INR","Period=FY","BEST_FPERIOD_OVERRIDE=FY","FILING_STATUS=MR","EQY_CONSOLIDATED=Y","SCALING_FORMAT=MLN","Sort=A","Dates=H","DateFormat=P","Fill=—","Direction=H","UseDPDF=Y")</f>
        <v>14760</v>
      </c>
      <c r="H55" s="13">
        <f>_xll.BDH("RCOM IN Equity","ARD_INCR_IN_LT_BORROW","FY 2014","FY 2014","Currency=INR","Period=FY","BEST_FPERIOD_OVERRIDE=FY","FILING_STATUS=MR","EQY_CONSOLIDATED=Y","SCALING_FORMAT=MLN","Sort=A","Dates=H","DateFormat=P","Fill=—","Direction=H","UseDPDF=Y")</f>
        <v>24990</v>
      </c>
      <c r="I55" s="13">
        <f>_xll.BDH("RCOM IN Equity","ARD_INCR_IN_LT_BORROW","FY 2015","FY 2015","Currency=INR","Period=FY","BEST_FPERIOD_OVERRIDE=FY","FILING_STATUS=MR","EQY_CONSOLIDATED=Y","SCALING_FORMAT=MLN","Sort=A","Dates=H","DateFormat=P","Fill=—","Direction=H","UseDPDF=Y")</f>
        <v>64420</v>
      </c>
      <c r="J55" s="13">
        <f>_xll.BDH("RCOM IN Equity","ARD_INCR_IN_LT_BORROW","FY 2016","FY 2016","Currency=INR","Period=FY","BEST_FPERIOD_OVERRIDE=FY","FILING_STATUS=MR","EQY_CONSOLIDATED=Y","SCALING_FORMAT=MLN","Sort=A","Dates=H","DateFormat=P","Fill=—","Direction=H","UseDPDF=Y")</f>
        <v>58510</v>
      </c>
      <c r="K55" s="13">
        <f>_xll.BDH("RCOM IN Equity","ARD_INCR_IN_LT_BORROW","FY 2017","FY 2017","Currency=INR","Period=FY","BEST_FPERIOD_OVERRIDE=FY","FILING_STATUS=MR","EQY_CONSOLIDATED=Y","SCALING_FORMAT=MLN","Sort=A","Dates=H","DateFormat=P","Fill=—","Direction=H","UseDPDF=Y")</f>
        <v>43670</v>
      </c>
      <c r="L55" s="13">
        <f>_xll.BDH("RCOM IN Equity","ARD_INCR_IN_LT_BORROW","FY 2018","FY 2018","Currency=INR","Period=FY","BEST_FPERIOD_OVERRIDE=FY","FILING_STATUS=MR","EQY_CONSOLIDATED=Y","SCALING_FORMAT=MLN","Sort=A","Dates=H","DateFormat=P","Fill=—","Direction=H","UseDPDF=Y")</f>
        <v>30520</v>
      </c>
    </row>
    <row r="56" spans="1:12">
      <c r="A56" s="10" t="s">
        <v>1396</v>
      </c>
      <c r="B56" s="10" t="s">
        <v>1397</v>
      </c>
      <c r="C56" s="13">
        <f>_xll.BDH("RCOM IN Equity","ARD_DECR_IN_LT_BORROW","FY 2009","FY 2009","Currency=INR","Period=FY","BEST_FPERIOD_OVERRIDE=FY","FILING_STATUS=MR","EQY_CONSOLIDATED=Y","SCALING_FORMAT=MLN","Sort=A","Dates=H","DateFormat=P","Fill=—","Direction=H","UseDPDF=Y")</f>
        <v>-14256.2</v>
      </c>
      <c r="D56" s="13">
        <f>_xll.BDH("RCOM IN Equity","ARD_DECR_IN_LT_BORROW","FY 2010","FY 2010","Currency=INR","Period=FY","BEST_FPERIOD_OVERRIDE=FY","FILING_STATUS=MR","EQY_CONSOLIDATED=Y","SCALING_FORMAT=MLN","Sort=A","Dates=H","DateFormat=P","Fill=—","Direction=H","UseDPDF=Y")</f>
        <v>-63946.6</v>
      </c>
      <c r="E56" s="13">
        <f>_xll.BDH("RCOM IN Equity","ARD_DECR_IN_LT_BORROW","FY 2011","FY 2011","Currency=INR","Period=FY","BEST_FPERIOD_OVERRIDE=FY","FILING_STATUS=MR","EQY_CONSOLIDATED=Y","SCALING_FORMAT=MLN","Sort=A","Dates=H","DateFormat=P","Fill=—","Direction=H","UseDPDF=Y")</f>
        <v>-21390</v>
      </c>
      <c r="F56" s="13">
        <f>_xll.BDH("RCOM IN Equity","ARD_DECR_IN_LT_BORROW","FY 2012","FY 2012","Currency=INR","Period=FY","BEST_FPERIOD_OVERRIDE=FY","FILING_STATUS=MR","EQY_CONSOLIDATED=Y","SCALING_FORMAT=MLN","Sort=A","Dates=H","DateFormat=P","Fill=—","Direction=H","UseDPDF=Y")</f>
        <v>-88610</v>
      </c>
      <c r="G56" s="13">
        <f>_xll.BDH("RCOM IN Equity","ARD_DECR_IN_LT_BORROW","FY 2013","FY 2013","Currency=INR","Period=FY","BEST_FPERIOD_OVERRIDE=FY","FILING_STATUS=MR","EQY_CONSOLIDATED=Y","SCALING_FORMAT=MLN","Sort=A","Dates=H","DateFormat=P","Fill=—","Direction=H","UseDPDF=Y")</f>
        <v>-25290</v>
      </c>
      <c r="H56" s="13">
        <f>_xll.BDH("RCOM IN Equity","ARD_DECR_IN_LT_BORROW","FY 2014","FY 2014","Currency=INR","Period=FY","BEST_FPERIOD_OVERRIDE=FY","FILING_STATUS=MR","EQY_CONSOLIDATED=Y","SCALING_FORMAT=MLN","Sort=A","Dates=H","DateFormat=P","Fill=—","Direction=H","UseDPDF=Y")</f>
        <v>-39950</v>
      </c>
      <c r="I56" s="13">
        <f>_xll.BDH("RCOM IN Equity","ARD_DECR_IN_LT_BORROW","FY 2015","FY 2015","Currency=INR","Period=FY","BEST_FPERIOD_OVERRIDE=FY","FILING_STATUS=MR","EQY_CONSOLIDATED=Y","SCALING_FORMAT=MLN","Sort=A","Dates=H","DateFormat=P","Fill=—","Direction=H","UseDPDF=Y")</f>
        <v>-53640</v>
      </c>
      <c r="J56" s="13">
        <f>_xll.BDH("RCOM IN Equity","ARD_DECR_IN_LT_BORROW","FY 2016","FY 2016","Currency=INR","Period=FY","BEST_FPERIOD_OVERRIDE=FY","FILING_STATUS=MR","EQY_CONSOLIDATED=Y","SCALING_FORMAT=MLN","Sort=A","Dates=H","DateFormat=P","Fill=—","Direction=H","UseDPDF=Y")</f>
        <v>-49170</v>
      </c>
      <c r="K56" s="13">
        <f>_xll.BDH("RCOM IN Equity","ARD_DECR_IN_LT_BORROW","FY 2017","FY 2017","Currency=INR","Period=FY","BEST_FPERIOD_OVERRIDE=FY","FILING_STATUS=MR","EQY_CONSOLIDATED=Y","SCALING_FORMAT=MLN","Sort=A","Dates=H","DateFormat=P","Fill=—","Direction=H","UseDPDF=Y")</f>
        <v>-62110</v>
      </c>
      <c r="L56" s="13">
        <f>_xll.BDH("RCOM IN Equity","ARD_DECR_IN_LT_BORROW","FY 2018","FY 2018","Currency=INR","Period=FY","BEST_FPERIOD_OVERRIDE=FY","FILING_STATUS=MR","EQY_CONSOLIDATED=Y","SCALING_FORMAT=MLN","Sort=A","Dates=H","DateFormat=P","Fill=—","Direction=H","UseDPDF=Y")</f>
        <v>-36810</v>
      </c>
    </row>
    <row r="57" spans="1:12">
      <c r="A57" s="10" t="s">
        <v>1398</v>
      </c>
      <c r="B57" s="10" t="s">
        <v>1399</v>
      </c>
      <c r="C57" s="13" t="str">
        <f>_xll.BDH("RCOM IN Equity","ARD_ISSUANCE_OF_COMMON_STOCK","FY 2009","FY 2009","Currency=INR","Period=FY","BEST_FPERIOD_OVERRIDE=FY","FILING_STATUS=MR","EQY_CONSOLIDATED=Y","SCALING_FORMAT=MLN","Sort=A","Dates=H","DateFormat=P","Fill=—","Direction=H","UseDPDF=Y")</f>
        <v>—</v>
      </c>
      <c r="D57" s="13" t="str">
        <f>_xll.BDH("RCOM IN Equity","ARD_ISSUANCE_OF_COMMON_STOCK","FY 2010","FY 2010","Currency=INR","Period=FY","BEST_FPERIOD_OVERRIDE=FY","FILING_STATUS=MR","EQY_CONSOLIDATED=Y","SCALING_FORMAT=MLN","Sort=A","Dates=H","DateFormat=P","Fill=—","Direction=H","UseDPDF=Y")</f>
        <v>—</v>
      </c>
      <c r="E57" s="13" t="str">
        <f>_xll.BDH("RCOM IN Equity","ARD_ISSUANCE_OF_COMMON_STOCK","FY 2011","FY 2011","Currency=INR","Period=FY","BEST_FPERIOD_OVERRIDE=FY","FILING_STATUS=MR","EQY_CONSOLIDATED=Y","SCALING_FORMAT=MLN","Sort=A","Dates=H","DateFormat=P","Fill=—","Direction=H","UseDPDF=Y")</f>
        <v>—</v>
      </c>
      <c r="F57" s="13" t="str">
        <f>_xll.BDH("RCOM IN Equity","ARD_ISSUANCE_OF_COMMON_STOCK","FY 2012","FY 2012","Currency=INR","Period=FY","BEST_FPERIOD_OVERRIDE=FY","FILING_STATUS=MR","EQY_CONSOLIDATED=Y","SCALING_FORMAT=MLN","Sort=A","Dates=H","DateFormat=P","Fill=—","Direction=H","UseDPDF=Y")</f>
        <v>—</v>
      </c>
      <c r="G57" s="13" t="str">
        <f>_xll.BDH("RCOM IN Equity","ARD_ISSUANCE_OF_COMMON_STOCK","FY 2013","FY 2013","Currency=INR","Period=FY","BEST_FPERIOD_OVERRIDE=FY","FILING_STATUS=MR","EQY_CONSOLIDATED=Y","SCALING_FORMAT=MLN","Sort=A","Dates=H","DateFormat=P","Fill=—","Direction=H","UseDPDF=Y")</f>
        <v>—</v>
      </c>
      <c r="H57" s="13">
        <f>_xll.BDH("RCOM IN Equity","ARD_ISSUANCE_OF_COMMON_STOCK","FY 2014","FY 2014","Currency=INR","Period=FY","BEST_FPERIOD_OVERRIDE=FY","FILING_STATUS=MR","EQY_CONSOLIDATED=Y","SCALING_FORMAT=MLN","Sort=A","Dates=H","DateFormat=P","Fill=—","Direction=H","UseDPDF=Y")</f>
        <v>0</v>
      </c>
      <c r="I57" s="13">
        <f>_xll.BDH("RCOM IN Equity","ARD_ISSUANCE_OF_COMMON_STOCK","FY 2015","FY 2015","Currency=INR","Period=FY","BEST_FPERIOD_OVERRIDE=FY","FILING_STATUS=MR","EQY_CONSOLIDATED=Y","SCALING_FORMAT=MLN","Sort=A","Dates=H","DateFormat=P","Fill=—","Direction=H","UseDPDF=Y")</f>
        <v>60710</v>
      </c>
      <c r="J57" s="13" t="str">
        <f>_xll.BDH("RCOM IN Equity","ARD_ISSUANCE_OF_COMMON_STOCK","FY 2016","FY 2016","Currency=INR","Period=FY","BEST_FPERIOD_OVERRIDE=FY","FILING_STATUS=MR","EQY_CONSOLIDATED=Y","SCALING_FORMAT=MLN","Sort=A","Dates=H","DateFormat=P","Fill=—","Direction=H","UseDPDF=Y")</f>
        <v>—</v>
      </c>
      <c r="K57" s="13" t="str">
        <f>_xll.BDH("RCOM IN Equity","ARD_ISSUANCE_OF_COMMON_STOCK","FY 2017","FY 2017","Currency=INR","Period=FY","BEST_FPERIOD_OVERRIDE=FY","FILING_STATUS=MR","EQY_CONSOLIDATED=Y","SCALING_FORMAT=MLN","Sort=A","Dates=H","DateFormat=P","Fill=—","Direction=H","UseDPDF=Y")</f>
        <v>—</v>
      </c>
      <c r="L57" s="13" t="str">
        <f>_xll.BDH("RCOM IN Equity","ARD_ISSUANCE_OF_COMMON_STOCK","FY 2018","FY 2018","Currency=INR","Period=FY","BEST_FPERIOD_OVERRIDE=FY","FILING_STATUS=MR","EQY_CONSOLIDATED=Y","SCALING_FORMAT=MLN","Sort=A","Dates=H","DateFormat=P","Fill=—","Direction=H","UseDPDF=Y")</f>
        <v>—</v>
      </c>
    </row>
    <row r="58" spans="1:12">
      <c r="A58" s="10" t="s">
        <v>1400</v>
      </c>
      <c r="B58" s="10" t="s">
        <v>1401</v>
      </c>
      <c r="C58" s="13">
        <f>_xll.BDH("RCOM IN Equity","ARD_EFF_OF_EXCH_RATES_ON_CASH","FY 2009","FY 2009","Currency=INR","Period=FY","BEST_FPERIOD_OVERRIDE=FY","FILING_STATUS=MR","EQY_CONSOLIDATED=Y","SCALING_FORMAT=MLN","Sort=A","Dates=H","DateFormat=P","Fill=—","Direction=H","UseDPDF=Y")</f>
        <v>-201.1</v>
      </c>
      <c r="D58" s="13">
        <f>_xll.BDH("RCOM IN Equity","ARD_EFF_OF_EXCH_RATES_ON_CASH","FY 2010","FY 2010","Currency=INR","Period=FY","BEST_FPERIOD_OVERRIDE=FY","FILING_STATUS=MR","EQY_CONSOLIDATED=Y","SCALING_FORMAT=MLN","Sort=A","Dates=H","DateFormat=P","Fill=—","Direction=H","UseDPDF=Y")</f>
        <v>9.4</v>
      </c>
      <c r="E58" s="13">
        <f>_xll.BDH("RCOM IN Equity","ARD_EFF_OF_EXCH_RATES_ON_CASH","FY 2011","FY 2011","Currency=INR","Period=FY","BEST_FPERIOD_OVERRIDE=FY","FILING_STATUS=MR","EQY_CONSOLIDATED=Y","SCALING_FORMAT=MLN","Sort=A","Dates=H","DateFormat=P","Fill=—","Direction=H","UseDPDF=Y")</f>
        <v>0</v>
      </c>
      <c r="F58" s="13">
        <f>_xll.BDH("RCOM IN Equity","ARD_EFF_OF_EXCH_RATES_ON_CASH","FY 2012","FY 2012","Currency=INR","Period=FY","BEST_FPERIOD_OVERRIDE=FY","FILING_STATUS=MR","EQY_CONSOLIDATED=Y","SCALING_FORMAT=MLN","Sort=A","Dates=H","DateFormat=P","Fill=—","Direction=H","UseDPDF=Y")</f>
        <v>10</v>
      </c>
      <c r="G58" s="13">
        <f>_xll.BDH("RCOM IN Equity","ARD_EFF_OF_EXCH_RATES_ON_CASH","FY 2013","FY 2013","Currency=INR","Period=FY","BEST_FPERIOD_OVERRIDE=FY","FILING_STATUS=MR","EQY_CONSOLIDATED=Y","SCALING_FORMAT=MLN","Sort=A","Dates=H","DateFormat=P","Fill=—","Direction=H","UseDPDF=Y")</f>
        <v>10</v>
      </c>
      <c r="H58" s="13">
        <f>_xll.BDH("RCOM IN Equity","ARD_EFF_OF_EXCH_RATES_ON_CASH","FY 2014","FY 2014","Currency=INR","Period=FY","BEST_FPERIOD_OVERRIDE=FY","FILING_STATUS=MR","EQY_CONSOLIDATED=Y","SCALING_FORMAT=MLN","Sort=A","Dates=H","DateFormat=P","Fill=—","Direction=H","UseDPDF=Y")</f>
        <v>10</v>
      </c>
      <c r="I58" s="13" t="str">
        <f>_xll.BDH("RCOM IN Equity","ARD_EFF_OF_EXCH_RATES_ON_CASH","FY 2015","FY 2015","Currency=INR","Period=FY","BEST_FPERIOD_OVERRIDE=FY","FILING_STATUS=MR","EQY_CONSOLIDATED=Y","SCALING_FORMAT=MLN","Sort=A","Dates=H","DateFormat=P","Fill=—","Direction=H","UseDPDF=Y")</f>
        <v>—</v>
      </c>
      <c r="J58" s="13">
        <f>_xll.BDH("RCOM IN Equity","ARD_EFF_OF_EXCH_RATES_ON_CASH","FY 2016","FY 2016","Currency=INR","Period=FY","BEST_FPERIOD_OVERRIDE=FY","FILING_STATUS=MR","EQY_CONSOLIDATED=Y","SCALING_FORMAT=MLN","Sort=A","Dates=H","DateFormat=P","Fill=—","Direction=H","UseDPDF=Y")</f>
        <v>0</v>
      </c>
      <c r="K58" s="13">
        <f>_xll.BDH("RCOM IN Equity","ARD_EFF_OF_EXCH_RATES_ON_CASH","FY 2017","FY 2017","Currency=INR","Period=FY","BEST_FPERIOD_OVERRIDE=FY","FILING_STATUS=MR","EQY_CONSOLIDATED=Y","SCALING_FORMAT=MLN","Sort=A","Dates=H","DateFormat=P","Fill=—","Direction=H","UseDPDF=Y")</f>
        <v>0</v>
      </c>
      <c r="L58" s="13">
        <f>_xll.BDH("RCOM IN Equity","ARD_EFF_OF_EXCH_RATES_ON_CASH","FY 2018","FY 2018","Currency=INR","Period=FY","BEST_FPERIOD_OVERRIDE=FY","FILING_STATUS=MR","EQY_CONSOLIDATED=Y","SCALING_FORMAT=MLN","Sort=A","Dates=H","DateFormat=P","Fill=—","Direction=H","UseDPDF=Y")</f>
        <v>0</v>
      </c>
    </row>
    <row r="59" spans="1:12">
      <c r="A59" s="10" t="s">
        <v>1402</v>
      </c>
      <c r="B59" s="10" t="s">
        <v>1403</v>
      </c>
      <c r="C59" s="13" t="str">
        <f>_xll.BDH("RCOM IN Equity","ARD_DEBT_FIN_ISSUANCE_COSTS","FY 2009","FY 2009","Currency=INR","Period=FY","BEST_FPERIOD_OVERRIDE=FY","FILING_STATUS=MR","EQY_CONSOLIDATED=Y","SCALING_FORMAT=MLN","Sort=A","Dates=H","DateFormat=P","Fill=—","Direction=H","UseDPDF=Y")</f>
        <v>—</v>
      </c>
      <c r="D59" s="13" t="str">
        <f>_xll.BDH("RCOM IN Equity","ARD_DEBT_FIN_ISSUANCE_COSTS","FY 2010","FY 2010","Currency=INR","Period=FY","BEST_FPERIOD_OVERRIDE=FY","FILING_STATUS=MR","EQY_CONSOLIDATED=Y","SCALING_FORMAT=MLN","Sort=A","Dates=H","DateFormat=P","Fill=—","Direction=H","UseDPDF=Y")</f>
        <v>—</v>
      </c>
      <c r="E59" s="13" t="str">
        <f>_xll.BDH("RCOM IN Equity","ARD_DEBT_FIN_ISSUANCE_COSTS","FY 2011","FY 2011","Currency=INR","Period=FY","BEST_FPERIOD_OVERRIDE=FY","FILING_STATUS=MR","EQY_CONSOLIDATED=Y","SCALING_FORMAT=MLN","Sort=A","Dates=H","DateFormat=P","Fill=—","Direction=H","UseDPDF=Y")</f>
        <v>—</v>
      </c>
      <c r="F59" s="13">
        <f>_xll.BDH("RCOM IN Equity","ARD_DEBT_FIN_ISSUANCE_COSTS","FY 2012","FY 2012","Currency=INR","Period=FY","BEST_FPERIOD_OVERRIDE=FY","FILING_STATUS=MR","EQY_CONSOLIDATED=Y","SCALING_FORMAT=MLN","Sort=A","Dates=H","DateFormat=P","Fill=—","Direction=H","UseDPDF=Y")</f>
        <v>-1770</v>
      </c>
      <c r="G59" s="13">
        <f>_xll.BDH("RCOM IN Equity","ARD_DEBT_FIN_ISSUANCE_COSTS","FY 2013","FY 2013","Currency=INR","Period=FY","BEST_FPERIOD_OVERRIDE=FY","FILING_STATUS=MR","EQY_CONSOLIDATED=Y","SCALING_FORMAT=MLN","Sort=A","Dates=H","DateFormat=P","Fill=—","Direction=H","UseDPDF=Y")</f>
        <v>0</v>
      </c>
      <c r="H59" s="13" t="str">
        <f>_xll.BDH("RCOM IN Equity","ARD_DEBT_FIN_ISSUANCE_COSTS","FY 2014","FY 2014","Currency=INR","Period=FY","BEST_FPERIOD_OVERRIDE=FY","FILING_STATUS=MR","EQY_CONSOLIDATED=Y","SCALING_FORMAT=MLN","Sort=A","Dates=H","DateFormat=P","Fill=—","Direction=H","UseDPDF=Y")</f>
        <v>—</v>
      </c>
      <c r="I59" s="13" t="str">
        <f>_xll.BDH("RCOM IN Equity","ARD_DEBT_FIN_ISSUANCE_COSTS","FY 2015","FY 2015","Currency=INR","Period=FY","BEST_FPERIOD_OVERRIDE=FY","FILING_STATUS=MR","EQY_CONSOLIDATED=Y","SCALING_FORMAT=MLN","Sort=A","Dates=H","DateFormat=P","Fill=—","Direction=H","UseDPDF=Y")</f>
        <v>—</v>
      </c>
      <c r="J59" s="13" t="str">
        <f>_xll.BDH("RCOM IN Equity","ARD_DEBT_FIN_ISSUANCE_COSTS","FY 2016","FY 2016","Currency=INR","Period=FY","BEST_FPERIOD_OVERRIDE=FY","FILING_STATUS=MR","EQY_CONSOLIDATED=Y","SCALING_FORMAT=MLN","Sort=A","Dates=H","DateFormat=P","Fill=—","Direction=H","UseDPDF=Y")</f>
        <v>—</v>
      </c>
      <c r="K59" s="13" t="str">
        <f>_xll.BDH("RCOM IN Equity","ARD_DEBT_FIN_ISSUANCE_COSTS","FY 2017","FY 2017","Currency=INR","Period=FY","BEST_FPERIOD_OVERRIDE=FY","FILING_STATUS=MR","EQY_CONSOLIDATED=Y","SCALING_FORMAT=MLN","Sort=A","Dates=H","DateFormat=P","Fill=—","Direction=H","UseDPDF=Y")</f>
        <v>—</v>
      </c>
      <c r="L59" s="13" t="str">
        <f>_xll.BDH("RCOM IN Equity","ARD_DEBT_FIN_ISSUANCE_COSTS","FY 2018","FY 2018","Currency=INR","Period=FY","BEST_FPERIOD_OVERRIDE=FY","FILING_STATUS=MR","EQY_CONSOLIDATED=Y","SCALING_FORMAT=MLN","Sort=A","Dates=H","DateFormat=P","Fill=—","Direction=H","UseDPDF=Y")</f>
        <v>—</v>
      </c>
    </row>
    <row r="60" spans="1:12">
      <c r="A60" s="10" t="s">
        <v>1404</v>
      </c>
      <c r="B60" s="10" t="s">
        <v>1405</v>
      </c>
      <c r="C60" s="13">
        <f>_xll.BDH("RCOM IN Equity","ARD_OTHER_FINANCING_ACTIVITIES","FY 2009","FY 2009","Currency=INR","Period=FY","BEST_FPERIOD_OVERRIDE=FY","FILING_STATUS=MR","EQY_CONSOLIDATED=Y","SCALING_FORMAT=MLN","Sort=A","Dates=H","DateFormat=P","Fill=—","Direction=H","UseDPDF=Y")</f>
        <v>-17086.5</v>
      </c>
      <c r="D60" s="13" t="str">
        <f>_xll.BDH("RCOM IN Equity","ARD_OTHER_FINANCING_ACTIVITIES","FY 2010","FY 2010","Currency=INR","Period=FY","BEST_FPERIOD_OVERRIDE=FY","FILING_STATUS=MR","EQY_CONSOLIDATED=Y","SCALING_FORMAT=MLN","Sort=A","Dates=H","DateFormat=P","Fill=—","Direction=H","UseDPDF=Y")</f>
        <v>—</v>
      </c>
      <c r="E60" s="13">
        <f>_xll.BDH("RCOM IN Equity","ARD_OTHER_FINANCING_ACTIVITIES","FY 2011","FY 2011","Currency=INR","Period=FY","BEST_FPERIOD_OVERRIDE=FY","FILING_STATUS=MR","EQY_CONSOLIDATED=Y","SCALING_FORMAT=MLN","Sort=A","Dates=H","DateFormat=P","Fill=—","Direction=H","UseDPDF=Y")</f>
        <v>0</v>
      </c>
      <c r="F60" s="13">
        <f>_xll.BDH("RCOM IN Equity","ARD_OTHER_FINANCING_ACTIVITIES","FY 2012","FY 2012","Currency=INR","Period=FY","BEST_FPERIOD_OVERRIDE=FY","FILING_STATUS=MR","EQY_CONSOLIDATED=Y","SCALING_FORMAT=MLN","Sort=A","Dates=H","DateFormat=P","Fill=—","Direction=H","UseDPDF=Y")</f>
        <v>-1670</v>
      </c>
      <c r="G60" s="13">
        <f>_xll.BDH("RCOM IN Equity","ARD_OTHER_FINANCING_ACTIVITIES","FY 2013","FY 2013","Currency=INR","Period=FY","BEST_FPERIOD_OVERRIDE=FY","FILING_STATUS=MR","EQY_CONSOLIDATED=Y","SCALING_FORMAT=MLN","Sort=A","Dates=H","DateFormat=P","Fill=—","Direction=H","UseDPDF=Y")</f>
        <v>-12660</v>
      </c>
      <c r="H60" s="13">
        <f>_xll.BDH("RCOM IN Equity","ARD_OTHER_FINANCING_ACTIVITIES","FY 2014","FY 2014","Currency=INR","Period=FY","BEST_FPERIOD_OVERRIDE=FY","FILING_STATUS=MR","EQY_CONSOLIDATED=Y","SCALING_FORMAT=MLN","Sort=A","Dates=H","DateFormat=P","Fill=—","Direction=H","UseDPDF=Y")</f>
        <v>-5240</v>
      </c>
      <c r="I60" s="13">
        <f>_xll.BDH("RCOM IN Equity","ARD_OTHER_FINANCING_ACTIVITIES","FY 2015","FY 2015","Currency=INR","Period=FY","BEST_FPERIOD_OVERRIDE=FY","FILING_STATUS=MR","EQY_CONSOLIDATED=Y","SCALING_FORMAT=MLN","Sort=A","Dates=H","DateFormat=P","Fill=—","Direction=H","UseDPDF=Y")</f>
        <v>-1110</v>
      </c>
      <c r="J60" s="13">
        <f>_xll.BDH("RCOM IN Equity","ARD_OTHER_FINANCING_ACTIVITIES","FY 2016","FY 2016","Currency=INR","Period=FY","BEST_FPERIOD_OVERRIDE=FY","FILING_STATUS=MR","EQY_CONSOLIDATED=Y","SCALING_FORMAT=MLN","Sort=A","Dates=H","DateFormat=P","Fill=—","Direction=H","UseDPDF=Y")</f>
        <v>-32970</v>
      </c>
      <c r="K60" s="13">
        <f>_xll.BDH("RCOM IN Equity","ARD_OTHER_FINANCING_ACTIVITIES","FY 2017","FY 2017","Currency=INR","Period=FY","BEST_FPERIOD_OVERRIDE=FY","FILING_STATUS=MR","EQY_CONSOLIDATED=Y","SCALING_FORMAT=MLN","Sort=A","Dates=H","DateFormat=P","Fill=—","Direction=H","UseDPDF=Y")</f>
        <v>-1640</v>
      </c>
      <c r="L60" s="13">
        <f>_xll.BDH("RCOM IN Equity","ARD_OTHER_FINANCING_ACTIVITIES","FY 2018","FY 2018","Currency=INR","Period=FY","BEST_FPERIOD_OVERRIDE=FY","FILING_STATUS=MR","EQY_CONSOLIDATED=Y","SCALING_FORMAT=MLN","Sort=A","Dates=H","DateFormat=P","Fill=—","Direction=H","UseDPDF=Y")</f>
        <v>-720</v>
      </c>
    </row>
    <row r="61" spans="1:12">
      <c r="A61" s="10" t="s">
        <v>1406</v>
      </c>
      <c r="B61" s="10" t="s">
        <v>1407</v>
      </c>
      <c r="C61" s="13" t="str">
        <f>_xll.BDH("RCOM IN Equity","ARD_CASH_PAID_FOR_INTEREST","FY 2009","FY 2009","Currency=INR","Period=FY","BEST_FPERIOD_OVERRIDE=FY","FILING_STATUS=MR","EQY_CONSOLIDATED=Y","SCALING_FORMAT=MLN","Sort=A","Dates=H","DateFormat=P","Fill=—","Direction=H","UseDPDF=Y")</f>
        <v>—</v>
      </c>
      <c r="D61" s="13" t="str">
        <f>_xll.BDH("RCOM IN Equity","ARD_CASH_PAID_FOR_INTEREST","FY 2010","FY 2010","Currency=INR","Period=FY","BEST_FPERIOD_OVERRIDE=FY","FILING_STATUS=MR","EQY_CONSOLIDATED=Y","SCALING_FORMAT=MLN","Sort=A","Dates=H","DateFormat=P","Fill=—","Direction=H","UseDPDF=Y")</f>
        <v>—</v>
      </c>
      <c r="E61" s="13" t="str">
        <f>_xll.BDH("RCOM IN Equity","ARD_CASH_PAID_FOR_INTEREST","FY 2011","FY 2011","Currency=INR","Period=FY","BEST_FPERIOD_OVERRIDE=FY","FILING_STATUS=MR","EQY_CONSOLIDATED=Y","SCALING_FORMAT=MLN","Sort=A","Dates=H","DateFormat=P","Fill=—","Direction=H","UseDPDF=Y")</f>
        <v>—</v>
      </c>
      <c r="F61" s="13">
        <f>_xll.BDH("RCOM IN Equity","ARD_CASH_PAID_FOR_INTEREST","FY 2012","FY 2012","Currency=INR","Period=FY","BEST_FPERIOD_OVERRIDE=FY","FILING_STATUS=MR","EQY_CONSOLIDATED=Y","SCALING_FORMAT=MLN","Sort=A","Dates=H","DateFormat=P","Fill=—","Direction=H","UseDPDF=Y")</f>
        <v>-17180</v>
      </c>
      <c r="G61" s="13" t="str">
        <f>_xll.BDH("RCOM IN Equity","ARD_CASH_PAID_FOR_INTEREST","FY 2013","FY 2013","Currency=INR","Period=FY","BEST_FPERIOD_OVERRIDE=FY","FILING_STATUS=MR","EQY_CONSOLIDATED=Y","SCALING_FORMAT=MLN","Sort=A","Dates=H","DateFormat=P","Fill=—","Direction=H","UseDPDF=Y")</f>
        <v>—</v>
      </c>
      <c r="H61" s="13" t="str">
        <f>_xll.BDH("RCOM IN Equity","ARD_CASH_PAID_FOR_INTEREST","FY 2014","FY 2014","Currency=INR","Period=FY","BEST_FPERIOD_OVERRIDE=FY","FILING_STATUS=MR","EQY_CONSOLIDATED=Y","SCALING_FORMAT=MLN","Sort=A","Dates=H","DateFormat=P","Fill=—","Direction=H","UseDPDF=Y")</f>
        <v>—</v>
      </c>
      <c r="I61" s="13" t="str">
        <f>_xll.BDH("RCOM IN Equity","ARD_CASH_PAID_FOR_INTEREST","FY 2015","FY 2015","Currency=INR","Period=FY","BEST_FPERIOD_OVERRIDE=FY","FILING_STATUS=MR","EQY_CONSOLIDATED=Y","SCALING_FORMAT=MLN","Sort=A","Dates=H","DateFormat=P","Fill=—","Direction=H","UseDPDF=Y")</f>
        <v>—</v>
      </c>
      <c r="J61" s="13" t="str">
        <f>_xll.BDH("RCOM IN Equity","ARD_CASH_PAID_FOR_INTEREST","FY 2016","FY 2016","Currency=INR","Period=FY","BEST_FPERIOD_OVERRIDE=FY","FILING_STATUS=MR","EQY_CONSOLIDATED=Y","SCALING_FORMAT=MLN","Sort=A","Dates=H","DateFormat=P","Fill=—","Direction=H","UseDPDF=Y")</f>
        <v>—</v>
      </c>
      <c r="K61" s="13" t="str">
        <f>_xll.BDH("RCOM IN Equity","ARD_CASH_PAID_FOR_INTEREST","FY 2017","FY 2017","Currency=INR","Period=FY","BEST_FPERIOD_OVERRIDE=FY","FILING_STATUS=MR","EQY_CONSOLIDATED=Y","SCALING_FORMAT=MLN","Sort=A","Dates=H","DateFormat=P","Fill=—","Direction=H","UseDPDF=Y")</f>
        <v>—</v>
      </c>
      <c r="L61" s="13" t="str">
        <f>_xll.BDH("RCOM IN Equity","ARD_CASH_PAID_FOR_INTEREST","FY 2018","FY 2018","Currency=INR","Period=FY","BEST_FPERIOD_OVERRIDE=FY","FILING_STATUS=MR","EQY_CONSOLIDATED=Y","SCALING_FORMAT=MLN","Sort=A","Dates=H","DateFormat=P","Fill=—","Direction=H","UseDPDF=Y")</f>
        <v>—</v>
      </c>
    </row>
    <row r="62" spans="1:12">
      <c r="A62" s="10" t="s">
        <v>1408</v>
      </c>
      <c r="B62" s="10" t="s">
        <v>1409</v>
      </c>
      <c r="C62" s="13">
        <f>_xll.BDH("RCOM IN Equity","ARD_NET_CHANGE_IN_CASH","FY 2009","FY 2009","Currency=INR","Period=FY","BEST_FPERIOD_OVERRIDE=FY","FILING_STATUS=MR","EQY_CONSOLIDATED=Y","SCALING_FORMAT=MLN","Sort=A","Dates=H","DateFormat=P","Fill=—","Direction=H","UseDPDF=Y")</f>
        <v>7426.8</v>
      </c>
      <c r="D62" s="13">
        <f>_xll.BDH("RCOM IN Equity","ARD_NET_CHANGE_IN_CASH","FY 2010","FY 2010","Currency=INR","Period=FY","BEST_FPERIOD_OVERRIDE=FY","FILING_STATUS=MR","EQY_CONSOLIDATED=Y","SCALING_FORMAT=MLN","Sort=A","Dates=H","DateFormat=P","Fill=—","Direction=H","UseDPDF=Y")</f>
        <v>-8653</v>
      </c>
      <c r="E62" s="13">
        <f>_xll.BDH("RCOM IN Equity","ARD_NET_CHANGE_IN_CASH","FY 2011","FY 2011","Currency=INR","Period=FY","BEST_FPERIOD_OVERRIDE=FY","FILING_STATUS=MR","EQY_CONSOLIDATED=Y","SCALING_FORMAT=MLN","Sort=A","Dates=H","DateFormat=P","Fill=—","Direction=H","UseDPDF=Y")</f>
        <v>40470</v>
      </c>
      <c r="F62" s="13">
        <f>_xll.BDH("RCOM IN Equity","ARD_NET_CHANGE_IN_CASH","FY 2012","FY 2012","Currency=INR","Period=FY","BEST_FPERIOD_OVERRIDE=FY","FILING_STATUS=MR","EQY_CONSOLIDATED=Y","SCALING_FORMAT=MLN","Sort=A","Dates=H","DateFormat=P","Fill=—","Direction=H","UseDPDF=Y")</f>
        <v>-43170</v>
      </c>
      <c r="G62" s="13">
        <f>_xll.BDH("RCOM IN Equity","ARD_NET_CHANGE_IN_CASH","FY 2013","FY 2013","Currency=INR","Period=FY","BEST_FPERIOD_OVERRIDE=FY","FILING_STATUS=MR","EQY_CONSOLIDATED=Y","SCALING_FORMAT=MLN","Sort=A","Dates=H","DateFormat=P","Fill=—","Direction=H","UseDPDF=Y")</f>
        <v>1800</v>
      </c>
      <c r="H62" s="13">
        <f>_xll.BDH("RCOM IN Equity","ARD_NET_CHANGE_IN_CASH","FY 2014","FY 2014","Currency=INR","Period=FY","BEST_FPERIOD_OVERRIDE=FY","FILING_STATUS=MR","EQY_CONSOLIDATED=Y","SCALING_FORMAT=MLN","Sort=A","Dates=H","DateFormat=P","Fill=—","Direction=H","UseDPDF=Y")</f>
        <v>-2280</v>
      </c>
      <c r="I62" s="13">
        <f>_xll.BDH("RCOM IN Equity","ARD_NET_CHANGE_IN_CASH","FY 2015","FY 2015","Currency=INR","Period=FY","BEST_FPERIOD_OVERRIDE=FY","FILING_STATUS=MR","EQY_CONSOLIDATED=Y","SCALING_FORMAT=MLN","Sort=A","Dates=H","DateFormat=P","Fill=—","Direction=H","UseDPDF=Y")</f>
        <v>8520</v>
      </c>
      <c r="J62" s="13">
        <f>_xll.BDH("RCOM IN Equity","ARD_NET_CHANGE_IN_CASH","FY 2016","FY 2016","Currency=INR","Period=FY","BEST_FPERIOD_OVERRIDE=FY","FILING_STATUS=MR","EQY_CONSOLIDATED=Y","SCALING_FORMAT=MLN","Sort=A","Dates=H","DateFormat=P","Fill=—","Direction=H","UseDPDF=Y")</f>
        <v>-4080</v>
      </c>
      <c r="K62" s="13">
        <f>_xll.BDH("RCOM IN Equity","ARD_NET_CHANGE_IN_CASH","FY 2017","FY 2017","Currency=INR","Period=FY","BEST_FPERIOD_OVERRIDE=FY","FILING_STATUS=MR","EQY_CONSOLIDATED=Y","SCALING_FORMAT=MLN","Sort=A","Dates=H","DateFormat=P","Fill=—","Direction=H","UseDPDF=Y")</f>
        <v>2510</v>
      </c>
      <c r="L62" s="13">
        <f>_xll.BDH("RCOM IN Equity","ARD_NET_CHANGE_IN_CASH","FY 2018","FY 2018","Currency=INR","Period=FY","BEST_FPERIOD_OVERRIDE=FY","FILING_STATUS=MR","EQY_CONSOLIDATED=Y","SCALING_FORMAT=MLN","Sort=A","Dates=H","DateFormat=P","Fill=—","Direction=H","UseDPDF=Y")</f>
        <v>-2080</v>
      </c>
    </row>
    <row r="63" spans="1:12">
      <c r="A63" s="10" t="s">
        <v>1410</v>
      </c>
      <c r="B63" s="10" t="s">
        <v>1411</v>
      </c>
      <c r="C63" s="13">
        <f>_xll.BDH("RCOM IN Equity","ARD_CASH_CASH_EQUIV_END_OF_PER","FY 2009","FY 2009","Currency=INR","Period=FY","BEST_FPERIOD_OVERRIDE=FY","FILING_STATUS=MR","EQY_CONSOLIDATED=Y","SCALING_FORMAT=MLN","Sort=A","Dates=H","DateFormat=P","Fill=—","Direction=H","UseDPDF=Y")</f>
        <v>16829</v>
      </c>
      <c r="D63" s="13">
        <f>_xll.BDH("RCOM IN Equity","ARD_CASH_CASH_EQUIV_END_OF_PER","FY 2010","FY 2010","Currency=INR","Period=FY","BEST_FPERIOD_OVERRIDE=FY","FILING_STATUS=MR","EQY_CONSOLIDATED=Y","SCALING_FORMAT=MLN","Sort=A","Dates=H","DateFormat=P","Fill=—","Direction=H","UseDPDF=Y")</f>
        <v>8185.4</v>
      </c>
      <c r="E63" s="13">
        <f>_xll.BDH("RCOM IN Equity","ARD_CASH_CASH_EQUIV_END_OF_PER","FY 2011","FY 2011","Currency=INR","Period=FY","BEST_FPERIOD_OVERRIDE=FY","FILING_STATUS=MR","EQY_CONSOLIDATED=Y","SCALING_FORMAT=MLN","Sort=A","Dates=H","DateFormat=P","Fill=—","Direction=H","UseDPDF=Y")</f>
        <v>48660</v>
      </c>
      <c r="F63" s="13">
        <f>_xll.BDH("RCOM IN Equity","ARD_CASH_CASH_EQUIV_END_OF_PER","FY 2012","FY 2012","Currency=INR","Period=FY","BEST_FPERIOD_OVERRIDE=FY","FILING_STATUS=MR","EQY_CONSOLIDATED=Y","SCALING_FORMAT=MLN","Sort=A","Dates=H","DateFormat=P","Fill=—","Direction=H","UseDPDF=Y")</f>
        <v>5500</v>
      </c>
      <c r="G63" s="13">
        <f>_xll.BDH("RCOM IN Equity","ARD_CASH_CASH_EQUIV_END_OF_PER","FY 2013","FY 2013","Currency=INR","Period=FY","BEST_FPERIOD_OVERRIDE=FY","FILING_STATUS=MR","EQY_CONSOLIDATED=Y","SCALING_FORMAT=MLN","Sort=A","Dates=H","DateFormat=P","Fill=—","Direction=H","UseDPDF=Y")</f>
        <v>7310</v>
      </c>
      <c r="H63" s="13">
        <f>_xll.BDH("RCOM IN Equity","ARD_CASH_CASH_EQUIV_END_OF_PER","FY 2014","FY 2014","Currency=INR","Period=FY","BEST_FPERIOD_OVERRIDE=FY","FILING_STATUS=MR","EQY_CONSOLIDATED=Y","SCALING_FORMAT=MLN","Sort=A","Dates=H","DateFormat=P","Fill=—","Direction=H","UseDPDF=Y")</f>
        <v>5040</v>
      </c>
      <c r="I63" s="13">
        <f>_xll.BDH("RCOM IN Equity","ARD_CASH_CASH_EQUIV_END_OF_PER","FY 2015","FY 2015","Currency=INR","Period=FY","BEST_FPERIOD_OVERRIDE=FY","FILING_STATUS=MR","EQY_CONSOLIDATED=Y","SCALING_FORMAT=MLN","Sort=A","Dates=H","DateFormat=P","Fill=—","Direction=H","UseDPDF=Y")</f>
        <v>13560</v>
      </c>
      <c r="J63" s="13">
        <f>_xll.BDH("RCOM IN Equity","ARD_CASH_CASH_EQUIV_END_OF_PER","FY 2016","FY 2016","Currency=INR","Period=FY","BEST_FPERIOD_OVERRIDE=FY","FILING_STATUS=MR","EQY_CONSOLIDATED=Y","SCALING_FORMAT=MLN","Sort=A","Dates=H","DateFormat=P","Fill=—","Direction=H","UseDPDF=Y")</f>
        <v>5640</v>
      </c>
      <c r="K63" s="13">
        <f>_xll.BDH("RCOM IN Equity","ARD_CASH_CASH_EQUIV_END_OF_PER","FY 2017","FY 2017","Currency=INR","Period=FY","BEST_FPERIOD_OVERRIDE=FY","FILING_STATUS=MR","EQY_CONSOLIDATED=Y","SCALING_FORMAT=MLN","Sort=A","Dates=H","DateFormat=P","Fill=—","Direction=H","UseDPDF=Y")</f>
        <v>8150</v>
      </c>
      <c r="L63" s="13">
        <f>_xll.BDH("RCOM IN Equity","ARD_CASH_CASH_EQUIV_END_OF_PER","FY 2018","FY 2018","Currency=INR","Period=FY","BEST_FPERIOD_OVERRIDE=FY","FILING_STATUS=MR","EQY_CONSOLIDATED=Y","SCALING_FORMAT=MLN","Sort=A","Dates=H","DateFormat=P","Fill=—","Direction=H","UseDPDF=Y")</f>
        <v>6070</v>
      </c>
    </row>
    <row r="64" spans="1:12">
      <c r="A64" s="10" t="s">
        <v>1412</v>
      </c>
      <c r="B64" s="10" t="s">
        <v>1413</v>
      </c>
      <c r="C64" s="13">
        <f>_xll.BDH("RCOM IN Equity","ARD_CASH_CASH_EQUIV_BEG_OF_PER","FY 2009","FY 2009","Currency=INR","Period=FY","BEST_FPERIOD_OVERRIDE=FY","FILING_STATUS=MR","EQY_CONSOLIDATED=Y","SCALING_FORMAT=MLN","Sort=A","Dates=H","DateFormat=P","Fill=—","Direction=H","UseDPDF=Y")</f>
        <v>9603.2999999999993</v>
      </c>
      <c r="D64" s="13">
        <f>_xll.BDH("RCOM IN Equity","ARD_CASH_CASH_EQUIV_BEG_OF_PER","FY 2010","FY 2010","Currency=INR","Period=FY","BEST_FPERIOD_OVERRIDE=FY","FILING_STATUS=MR","EQY_CONSOLIDATED=Y","SCALING_FORMAT=MLN","Sort=A","Dates=H","DateFormat=P","Fill=—","Direction=H","UseDPDF=Y")</f>
        <v>16829</v>
      </c>
      <c r="E64" s="13">
        <f>_xll.BDH("RCOM IN Equity","ARD_CASH_CASH_EQUIV_BEG_OF_PER","FY 2011","FY 2011","Currency=INR","Period=FY","BEST_FPERIOD_OVERRIDE=FY","FILING_STATUS=MR","EQY_CONSOLIDATED=Y","SCALING_FORMAT=MLN","Sort=A","Dates=H","DateFormat=P","Fill=—","Direction=H","UseDPDF=Y")</f>
        <v>8190</v>
      </c>
      <c r="F64" s="13">
        <f>_xll.BDH("RCOM IN Equity","ARD_CASH_CASH_EQUIV_BEG_OF_PER","FY 2012","FY 2012","Currency=INR","Period=FY","BEST_FPERIOD_OVERRIDE=FY","FILING_STATUS=MR","EQY_CONSOLIDATED=Y","SCALING_FORMAT=MLN","Sort=A","Dates=H","DateFormat=P","Fill=—","Direction=H","UseDPDF=Y")</f>
        <v>48660</v>
      </c>
      <c r="G64" s="13">
        <f>_xll.BDH("RCOM IN Equity","ARD_CASH_CASH_EQUIV_BEG_OF_PER","FY 2013","FY 2013","Currency=INR","Period=FY","BEST_FPERIOD_OVERRIDE=FY","FILING_STATUS=MR","EQY_CONSOLIDATED=Y","SCALING_FORMAT=MLN","Sort=A","Dates=H","DateFormat=P","Fill=—","Direction=H","UseDPDF=Y")</f>
        <v>5500</v>
      </c>
      <c r="H64" s="13">
        <f>_xll.BDH("RCOM IN Equity","ARD_CASH_CASH_EQUIV_BEG_OF_PER","FY 2014","FY 2014","Currency=INR","Period=FY","BEST_FPERIOD_OVERRIDE=FY","FILING_STATUS=MR","EQY_CONSOLIDATED=Y","SCALING_FORMAT=MLN","Sort=A","Dates=H","DateFormat=P","Fill=—","Direction=H","UseDPDF=Y")</f>
        <v>7310</v>
      </c>
      <c r="I64" s="13">
        <f>_xll.BDH("RCOM IN Equity","ARD_CASH_CASH_EQUIV_BEG_OF_PER","FY 2015","FY 2015","Currency=INR","Period=FY","BEST_FPERIOD_OVERRIDE=FY","FILING_STATUS=MR","EQY_CONSOLIDATED=Y","SCALING_FORMAT=MLN","Sort=A","Dates=H","DateFormat=P","Fill=—","Direction=H","UseDPDF=Y")</f>
        <v>5040</v>
      </c>
      <c r="J64" s="13">
        <f>_xll.BDH("RCOM IN Equity","ARD_CASH_CASH_EQUIV_BEG_OF_PER","FY 2016","FY 2016","Currency=INR","Period=FY","BEST_FPERIOD_OVERRIDE=FY","FILING_STATUS=MR","EQY_CONSOLIDATED=Y","SCALING_FORMAT=MLN","Sort=A","Dates=H","DateFormat=P","Fill=—","Direction=H","UseDPDF=Y")</f>
        <v>9720</v>
      </c>
      <c r="K64" s="13">
        <f>_xll.BDH("RCOM IN Equity","ARD_CASH_CASH_EQUIV_BEG_OF_PER","FY 2017","FY 2017","Currency=INR","Period=FY","BEST_FPERIOD_OVERRIDE=FY","FILING_STATUS=MR","EQY_CONSOLIDATED=Y","SCALING_FORMAT=MLN","Sort=A","Dates=H","DateFormat=P","Fill=—","Direction=H","UseDPDF=Y")</f>
        <v>5640</v>
      </c>
      <c r="L64" s="13">
        <f>_xll.BDH("RCOM IN Equity","ARD_CASH_CASH_EQUIV_BEG_OF_PER","FY 2018","FY 2018","Currency=INR","Period=FY","BEST_FPERIOD_OVERRIDE=FY","FILING_STATUS=MR","EQY_CONSOLIDATED=Y","SCALING_FORMAT=MLN","Sort=A","Dates=H","DateFormat=P","Fill=—","Direction=H","UseDPDF=Y")</f>
        <v>8150</v>
      </c>
    </row>
    <row r="65" spans="1:12">
      <c r="A65" s="10" t="s">
        <v>1414</v>
      </c>
      <c r="B65" s="10" t="s">
        <v>1415</v>
      </c>
      <c r="C65" s="13">
        <f>_xll.BDH("RCOM IN Equity","ARD_DVD_PAID_INCLUDING_DIV_TAX","FY 2009","FY 2009","Currency=INR","Period=FY","BEST_FPERIOD_OVERRIDE=FY","FILING_STATUS=MR","EQY_CONSOLIDATED=Y","SCALING_FORMAT=MLN","Sort=A","Dates=H","DateFormat=P","Fill=—","Direction=H","UseDPDF=Y")</f>
        <v>-1792.3</v>
      </c>
      <c r="D65" s="13">
        <f>_xll.BDH("RCOM IN Equity","ARD_DVD_PAID_INCLUDING_DIV_TAX","FY 2010","FY 2010","Currency=INR","Period=FY","BEST_FPERIOD_OVERRIDE=FY","FILING_STATUS=MR","EQY_CONSOLIDATED=Y","SCALING_FORMAT=MLN","Sort=A","Dates=H","DateFormat=P","Fill=—","Direction=H","UseDPDF=Y")</f>
        <v>-1910.6</v>
      </c>
      <c r="E65" s="13">
        <f>_xll.BDH("RCOM IN Equity","ARD_DVD_PAID_INCLUDING_DIV_TAX","FY 2011","FY 2011","Currency=INR","Period=FY","BEST_FPERIOD_OVERRIDE=FY","FILING_STATUS=MR","EQY_CONSOLIDATED=Y","SCALING_FORMAT=MLN","Sort=A","Dates=H","DateFormat=P","Fill=—","Direction=H","UseDPDF=Y")</f>
        <v>-2020</v>
      </c>
      <c r="F65" s="13">
        <f>_xll.BDH("RCOM IN Equity","ARD_DVD_PAID_INCLUDING_DIV_TAX","FY 2012","FY 2012","Currency=INR","Period=FY","BEST_FPERIOD_OVERRIDE=FY","FILING_STATUS=MR","EQY_CONSOLIDATED=Y","SCALING_FORMAT=MLN","Sort=A","Dates=H","DateFormat=P","Fill=—","Direction=H","UseDPDF=Y")</f>
        <v>-1190</v>
      </c>
      <c r="G65" s="13">
        <f>_xll.BDH("RCOM IN Equity","ARD_DVD_PAID_INCLUDING_DIV_TAX","FY 2013","FY 2013","Currency=INR","Period=FY","BEST_FPERIOD_OVERRIDE=FY","FILING_STATUS=MR","EQY_CONSOLIDATED=Y","SCALING_FORMAT=MLN","Sort=A","Dates=H","DateFormat=P","Fill=—","Direction=H","UseDPDF=Y")</f>
        <v>-600</v>
      </c>
      <c r="H65" s="13">
        <f>_xll.BDH("RCOM IN Equity","ARD_DVD_PAID_INCLUDING_DIV_TAX","FY 2014","FY 2014","Currency=INR","Period=FY","BEST_FPERIOD_OVERRIDE=FY","FILING_STATUS=MR","EQY_CONSOLIDATED=Y","SCALING_FORMAT=MLN","Sort=A","Dates=H","DateFormat=P","Fill=—","Direction=H","UseDPDF=Y")</f>
        <v>-610</v>
      </c>
      <c r="I65" s="13" t="str">
        <f>_xll.BDH("RCOM IN Equity","ARD_DVD_PAID_INCLUDING_DIV_TAX","FY 2015","FY 2015","Currency=INR","Period=FY","BEST_FPERIOD_OVERRIDE=FY","FILING_STATUS=MR","EQY_CONSOLIDATED=Y","SCALING_FORMAT=MLN","Sort=A","Dates=H","DateFormat=P","Fill=—","Direction=H","UseDPDF=Y")</f>
        <v>—</v>
      </c>
      <c r="J65" s="13" t="str">
        <f>_xll.BDH("RCOM IN Equity","ARD_DVD_PAID_INCLUDING_DIV_TAX","FY 2016","FY 2016","Currency=INR","Period=FY","BEST_FPERIOD_OVERRIDE=FY","FILING_STATUS=MR","EQY_CONSOLIDATED=Y","SCALING_FORMAT=MLN","Sort=A","Dates=H","DateFormat=P","Fill=—","Direction=H","UseDPDF=Y")</f>
        <v>—</v>
      </c>
      <c r="K65" s="13" t="str">
        <f>_xll.BDH("RCOM IN Equity","ARD_DVD_PAID_INCLUDING_DIV_TAX","FY 2017","FY 2017","Currency=INR","Period=FY","BEST_FPERIOD_OVERRIDE=FY","FILING_STATUS=MR","EQY_CONSOLIDATED=Y","SCALING_FORMAT=MLN","Sort=A","Dates=H","DateFormat=P","Fill=—","Direction=H","UseDPDF=Y")</f>
        <v>—</v>
      </c>
      <c r="L65" s="13" t="str">
        <f>_xll.BDH("RCOM IN Equity","ARD_DVD_PAID_INCLUDING_DIV_TAX","FY 2018","FY 2018","Currency=INR","Period=FY","BEST_FPERIOD_OVERRIDE=FY","FILING_STATUS=MR","EQY_CONSOLIDATED=Y","SCALING_FORMAT=MLN","Sort=A","Dates=H","DateFormat=P","Fill=—","Direction=H","UseDPDF=Y")</f>
        <v>—</v>
      </c>
    </row>
    <row r="66" spans="1:12">
      <c r="A66" s="10" t="s">
        <v>1416</v>
      </c>
      <c r="B66" s="10" t="s">
        <v>1417</v>
      </c>
      <c r="C66" s="13">
        <f>_xll.BDH("RCOM IN Equity","ARD_INT_PAID_FINANCING_ACTS","FY 2009","FY 2009","Currency=INR","Period=FY","BEST_FPERIOD_OVERRIDE=FY","FILING_STATUS=MR","EQY_CONSOLIDATED=Y","SCALING_FORMAT=MLN","Sort=A","Dates=H","DateFormat=P","Fill=—","Direction=H","UseDPDF=Y")</f>
        <v>-13774.4</v>
      </c>
      <c r="D66" s="13">
        <f>_xll.BDH("RCOM IN Equity","ARD_INT_PAID_FINANCING_ACTS","FY 2010","FY 2010","Currency=INR","Period=FY","BEST_FPERIOD_OVERRIDE=FY","FILING_STATUS=MR","EQY_CONSOLIDATED=Y","SCALING_FORMAT=MLN","Sort=A","Dates=H","DateFormat=P","Fill=—","Direction=H","UseDPDF=Y")</f>
        <v>-14408.4</v>
      </c>
      <c r="E66" s="13">
        <f>_xll.BDH("RCOM IN Equity","ARD_INT_PAID_FINANCING_ACTS","FY 2011","FY 2011","Currency=INR","Period=FY","BEST_FPERIOD_OVERRIDE=FY","FILING_STATUS=MR","EQY_CONSOLIDATED=Y","SCALING_FORMAT=MLN","Sort=A","Dates=H","DateFormat=P","Fill=—","Direction=H","UseDPDF=Y")</f>
        <v>-13620</v>
      </c>
      <c r="F66" s="13">
        <f>_xll.BDH("RCOM IN Equity","ARD_INT_PAID_FINANCING_ACTS","FY 2012","FY 2012","Currency=INR","Period=FY","BEST_FPERIOD_OVERRIDE=FY","FILING_STATUS=MR","EQY_CONSOLIDATED=Y","SCALING_FORMAT=MLN","Sort=A","Dates=H","DateFormat=P","Fill=—","Direction=H","UseDPDF=Y")</f>
        <v>-17180</v>
      </c>
      <c r="G66" s="13">
        <f>_xll.BDH("RCOM IN Equity","ARD_INT_PAID_FINANCING_ACTS","FY 2013","FY 2013","Currency=INR","Period=FY","BEST_FPERIOD_OVERRIDE=FY","FILING_STATUS=MR","EQY_CONSOLIDATED=Y","SCALING_FORMAT=MLN","Sort=A","Dates=H","DateFormat=P","Fill=—","Direction=H","UseDPDF=Y")</f>
        <v>-24650</v>
      </c>
      <c r="H66" s="13">
        <f>_xll.BDH("RCOM IN Equity","ARD_INT_PAID_FINANCING_ACTS","FY 2014","FY 2014","Currency=INR","Period=FY","BEST_FPERIOD_OVERRIDE=FY","FILING_STATUS=MR","EQY_CONSOLIDATED=Y","SCALING_FORMAT=MLN","Sort=A","Dates=H","DateFormat=P","Fill=—","Direction=H","UseDPDF=Y")</f>
        <v>-30180</v>
      </c>
      <c r="I66" s="13" t="str">
        <f>_xll.BDH("RCOM IN Equity","ARD_INT_PAID_FINANCING_ACTS","FY 2015","FY 2015","Currency=INR","Period=FY","BEST_FPERIOD_OVERRIDE=FY","FILING_STATUS=MR","EQY_CONSOLIDATED=Y","SCALING_FORMAT=MLN","Sort=A","Dates=H","DateFormat=P","Fill=—","Direction=H","UseDPDF=Y")</f>
        <v>—</v>
      </c>
      <c r="J66" s="13" t="str">
        <f>_xll.BDH("RCOM IN Equity","ARD_INT_PAID_FINANCING_ACTS","FY 2016","FY 2016","Currency=INR","Period=FY","BEST_FPERIOD_OVERRIDE=FY","FILING_STATUS=MR","EQY_CONSOLIDATED=Y","SCALING_FORMAT=MLN","Sort=A","Dates=H","DateFormat=P","Fill=—","Direction=H","UseDPDF=Y")</f>
        <v>—</v>
      </c>
      <c r="K66" s="13" t="str">
        <f>_xll.BDH("RCOM IN Equity","ARD_INT_PAID_FINANCING_ACTS","FY 2017","FY 2017","Currency=INR","Period=FY","BEST_FPERIOD_OVERRIDE=FY","FILING_STATUS=MR","EQY_CONSOLIDATED=Y","SCALING_FORMAT=MLN","Sort=A","Dates=H","DateFormat=P","Fill=—","Direction=H","UseDPDF=Y")</f>
        <v>—</v>
      </c>
      <c r="L66" s="13" t="str">
        <f>_xll.BDH("RCOM IN Equity","ARD_INT_PAID_FINANCING_ACTS","FY 2018","FY 2018","Currency=INR","Period=FY","BEST_FPERIOD_OVERRIDE=FY","FILING_STATUS=MR","EQY_CONSOLIDATED=Y","SCALING_FORMAT=MLN","Sort=A","Dates=H","DateFormat=P","Fill=—","Direction=H","UseDPDF=Y")</f>
        <v>—</v>
      </c>
    </row>
    <row r="67" spans="1:12">
      <c r="A67" s="6" t="s">
        <v>1418</v>
      </c>
      <c r="B67" s="6" t="s">
        <v>1419</v>
      </c>
      <c r="C67" s="19">
        <f>_xll.BDH("RCOM IN Equity","ARD_TOT_CASHFLOWS_FROM_FINANCING","FY 2009","FY 2009","Currency=INR","Period=FY","BEST_FPERIOD_OVERRIDE=FY","FILING_STATUS=MR","EQY_CONSOLIDATED=Y","SCALING_FORMAT=MLN","Sort=A","Dates=H","DateFormat=P","Fill=—","Direction=H","UseDPDF=Y")</f>
        <v>42430.9</v>
      </c>
      <c r="D67" s="19">
        <f>_xll.BDH("RCOM IN Equity","ARD_TOT_CASHFLOWS_FROM_FINANCING","FY 2010","FY 2010","Currency=INR","Period=FY","BEST_FPERIOD_OVERRIDE=FY","FILING_STATUS=MR","EQY_CONSOLIDATED=Y","SCALING_FORMAT=MLN","Sort=A","Dates=H","DateFormat=P","Fill=—","Direction=H","UseDPDF=Y")</f>
        <v>-86217.3</v>
      </c>
      <c r="E67" s="19">
        <f>_xll.BDH("RCOM IN Equity","ARD_TOT_CASHFLOWS_FROM_FINANCING","FY 2011","FY 2011","Currency=INR","Period=FY","BEST_FPERIOD_OVERRIDE=FY","FILING_STATUS=MR","EQY_CONSOLIDATED=Y","SCALING_FORMAT=MLN","Sort=A","Dates=H","DateFormat=P","Fill=—","Direction=H","UseDPDF=Y")</f>
        <v>80710</v>
      </c>
      <c r="F67" s="19">
        <f>_xll.BDH("RCOM IN Equity","ARD_TOT_CASHFLOWS_FROM_FINANCING","FY 2012","FY 2012","Currency=INR","Period=FY","BEST_FPERIOD_OVERRIDE=FY","FILING_STATUS=MR","EQY_CONSOLIDATED=Y","SCALING_FORMAT=MLN","Sort=A","Dates=H","DateFormat=P","Fill=—","Direction=H","UseDPDF=Y")</f>
        <v>-54970</v>
      </c>
      <c r="G67" s="19">
        <f>_xll.BDH("RCOM IN Equity","ARD_TOT_CASHFLOWS_FROM_FINANCING","FY 2013","FY 2013","Currency=INR","Period=FY","BEST_FPERIOD_OVERRIDE=FY","FILING_STATUS=MR","EQY_CONSOLIDATED=Y","SCALING_FORMAT=MLN","Sort=A","Dates=H","DateFormat=P","Fill=—","Direction=H","UseDPDF=Y")</f>
        <v>-15760</v>
      </c>
      <c r="H67" s="19">
        <f>_xll.BDH("RCOM IN Equity","ARD_TOT_CASHFLOWS_FROM_FINANCING","FY 2014","FY 2014","Currency=INR","Period=FY","BEST_FPERIOD_OVERRIDE=FY","FILING_STATUS=MR","EQY_CONSOLIDATED=Y","SCALING_FORMAT=MLN","Sort=A","Dates=H","DateFormat=P","Fill=—","Direction=H","UseDPDF=Y")</f>
        <v>-49670</v>
      </c>
      <c r="I67" s="19">
        <f>_xll.BDH("RCOM IN Equity","ARD_TOT_CASHFLOWS_FROM_FINANCING","FY 2015","FY 2015","Currency=INR","Period=FY","BEST_FPERIOD_OVERRIDE=FY","FILING_STATUS=MR","EQY_CONSOLIDATED=Y","SCALING_FORMAT=MLN","Sort=A","Dates=H","DateFormat=P","Fill=—","Direction=H","UseDPDF=Y")</f>
        <v>8200</v>
      </c>
      <c r="J67" s="19">
        <f>_xll.BDH("RCOM IN Equity","ARD_TOT_CASHFLOWS_FROM_FINANCING","FY 2016","FY 2016","Currency=INR","Period=FY","BEST_FPERIOD_OVERRIDE=FY","FILING_STATUS=MR","EQY_CONSOLIDATED=Y","SCALING_FORMAT=MLN","Sort=A","Dates=H","DateFormat=P","Fill=—","Direction=H","UseDPDF=Y")</f>
        <v>4360</v>
      </c>
      <c r="K67" s="19">
        <f>_xll.BDH("RCOM IN Equity","ARD_TOT_CASHFLOWS_FROM_FINANCING","FY 2017","FY 2017","Currency=INR","Period=FY","BEST_FPERIOD_OVERRIDE=FY","FILING_STATUS=MR","EQY_CONSOLIDATED=Y","SCALING_FORMAT=MLN","Sort=A","Dates=H","DateFormat=P","Fill=—","Direction=H","UseDPDF=Y")</f>
        <v>-1730</v>
      </c>
      <c r="L67" s="19">
        <f>_xll.BDH("RCOM IN Equity","ARD_TOT_CASHFLOWS_FROM_FINANCING","FY 2018","FY 2018","Currency=INR","Period=FY","BEST_FPERIOD_OVERRIDE=FY","FILING_STATUS=MR","EQY_CONSOLIDATED=Y","SCALING_FORMAT=MLN","Sort=A","Dates=H","DateFormat=P","Fill=—","Direction=H","UseDPDF=Y")</f>
        <v>-9040</v>
      </c>
    </row>
    <row r="68" spans="1:12">
      <c r="A68" s="7" t="s">
        <v>57</v>
      </c>
      <c r="B68" s="7"/>
      <c r="C68" s="7" t="s">
        <v>3</v>
      </c>
      <c r="D68" s="7"/>
      <c r="E68" s="7"/>
      <c r="F68" s="7"/>
      <c r="G68" s="7"/>
      <c r="H68" s="7"/>
      <c r="I68" s="7"/>
      <c r="J68" s="7"/>
      <c r="K68" s="7"/>
      <c r="L6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5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58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10" t="s">
        <v>62</v>
      </c>
      <c r="B6" s="10" t="s">
        <v>38</v>
      </c>
      <c r="C6" s="13">
        <f>_xll.BDH("RCOM IN Equity","SALES_REV_TURN","FY 2009","FY 2009","Currency=INR","Period=FY","BEST_FPERIOD_OVERRIDE=FY","FILING_STATUS=MR","EQY_CONSOLIDATED=Y","SCALING_FORMAT=MLN","FA_ADJUSTED=GAAP","Sort=A","Dates=H","DateFormat=P","Fill=—","Direction=H","UseDPDF=Y")</f>
        <v>207429.1</v>
      </c>
      <c r="D6" s="13">
        <f>_xll.BDH("RCOM IN Equity","SALES_REV_TURN","FY 2010","FY 2010","Currency=INR","Period=FY","BEST_FPERIOD_OVERRIDE=FY","FILING_STATUS=MR","EQY_CONSOLIDATED=Y","SCALING_FORMAT=MLN","FA_ADJUSTED=GAAP","Sort=A","Dates=H","DateFormat=P","Fill=—","Direction=H","UseDPDF=Y")</f>
        <v>206850.5</v>
      </c>
      <c r="E6" s="13">
        <f>_xll.BDH("RCOM IN Equity","SALES_REV_TURN","FY 2011","FY 2011","Currency=INR","Period=FY","BEST_FPERIOD_OVERRIDE=FY","FILING_STATUS=MR","EQY_CONSOLIDATED=Y","SCALING_FORMAT=MLN","FA_ADJUSTED=GAAP","Sort=A","Dates=H","DateFormat=P","Fill=—","Direction=H","UseDPDF=Y")</f>
        <v>220890</v>
      </c>
      <c r="F6" s="13">
        <f>_xll.BDH("RCOM IN Equity","SALES_REV_TURN","FY 2012","FY 2012","Currency=INR","Period=FY","BEST_FPERIOD_OVERRIDE=FY","FILING_STATUS=MR","EQY_CONSOLIDATED=Y","SCALING_FORMAT=MLN","FA_ADJUSTED=GAAP","Sort=A","Dates=H","DateFormat=P","Fill=—","Direction=H","UseDPDF=Y")</f>
        <v>187160</v>
      </c>
      <c r="G6" s="13">
        <f>_xll.BDH("RCOM IN Equity","SALES_REV_TURN","FY 2013","FY 2013","Currency=INR","Period=FY","BEST_FPERIOD_OVERRIDE=FY","FILING_STATUS=MR","EQY_CONSOLIDATED=Y","SCALING_FORMAT=MLN","FA_ADJUSTED=GAAP","Sort=A","Dates=H","DateFormat=P","Fill=—","Direction=H","UseDPDF=Y")</f>
        <v>192940</v>
      </c>
      <c r="H6" s="13">
        <f>_xll.BDH("RCOM IN Equity","SALES_REV_TURN","FY 2014","FY 2014","Currency=INR","Period=FY","BEST_FPERIOD_OVERRIDE=FY","FILING_STATUS=MR","EQY_CONSOLIDATED=Y","SCALING_FORMAT=MLN","FA_ADJUSTED=GAAP","Sort=A","Dates=H","DateFormat=P","Fill=—","Direction=H","UseDPDF=Y")</f>
        <v>209400</v>
      </c>
      <c r="I6" s="13">
        <f>_xll.BDH("RCOM IN Equity","SALES_REV_TURN","FY 2015","FY 2015","Currency=INR","Period=FY","BEST_FPERIOD_OVERRIDE=FY","FILING_STATUS=MR","EQY_CONSOLIDATED=Y","SCALING_FORMAT=MLN","FA_ADJUSTED=GAAP","Sort=A","Dates=H","DateFormat=P","Fill=—","Direction=H","UseDPDF=Y")</f>
        <v>214230</v>
      </c>
      <c r="J6" s="13">
        <f>_xll.BDH("RCOM IN Equity","SALES_REV_TURN","FY 2016","FY 2016","Currency=INR","Period=FY","BEST_FPERIOD_OVERRIDE=FY","FILING_STATUS=MR","EQY_CONSOLIDATED=Y","SCALING_FORMAT=MLN","FA_ADJUSTED=GAAP","Sort=A","Dates=H","DateFormat=P","Fill=—","Direction=H","UseDPDF=Y")</f>
        <v>217430</v>
      </c>
      <c r="K6" s="13">
        <f>_xll.BDH("RCOM IN Equity","SALES_REV_TURN","FY 2017","FY 2017","Currency=INR","Period=FY","BEST_FPERIOD_OVERRIDE=FY","FILING_STATUS=MR","EQY_CONSOLIDATED=Y","SCALING_FORMAT=MLN","FA_ADJUSTED=GAAP","Sort=A","Dates=H","DateFormat=P","Fill=—","Direction=H","UseDPDF=Y")</f>
        <v>65540</v>
      </c>
      <c r="L6" s="13">
        <f>_xll.BDH("RCOM IN Equity","SALES_REV_TURN","FY 2018","FY 2018","Currency=INR","Period=FY","BEST_FPERIOD_OVERRIDE=FY","FILING_STATUS=MR","EQY_CONSOLIDATED=Y","SCALING_FORMAT=MLN","FA_ADJUSTED=GAAP","Sort=A","Dates=H","DateFormat=P","Fill=—","Direction=H","UseDPDF=Y")</f>
        <v>45930</v>
      </c>
    </row>
    <row r="7" spans="1:12">
      <c r="A7" s="10" t="s">
        <v>63</v>
      </c>
      <c r="B7" s="10" t="s">
        <v>64</v>
      </c>
      <c r="C7" s="13">
        <f>_xll.BDH("RCOM IN Equity","IS_OPER_INC","FY 2009","FY 2009","Currency=INR","Period=FY","BEST_FPERIOD_OVERRIDE=FY","FILING_STATUS=MR","EQY_CONSOLIDATED=Y","SCALING_FORMAT=MLN","FA_ADJUSTED=GAAP","Sort=A","Dates=H","DateFormat=P","Fill=—","Direction=H","UseDPDF=Y")</f>
        <v>51229.8</v>
      </c>
      <c r="D7" s="13">
        <f>_xll.BDH("RCOM IN Equity","IS_OPER_INC","FY 2010","FY 2010","Currency=INR","Period=FY","BEST_FPERIOD_OVERRIDE=FY","FILING_STATUS=MR","EQY_CONSOLIDATED=Y","SCALING_FORMAT=MLN","FA_ADJUSTED=GAAP","Sort=A","Dates=H","DateFormat=P","Fill=—","Direction=H","UseDPDF=Y")</f>
        <v>32425.3</v>
      </c>
      <c r="E7" s="13">
        <f>_xll.BDH("RCOM IN Equity","IS_OPER_INC","FY 2011","FY 2011","Currency=INR","Period=FY","BEST_FPERIOD_OVERRIDE=FY","FILING_STATUS=MR","EQY_CONSOLIDATED=Y","SCALING_FORMAT=MLN","FA_ADJUSTED=GAAP","Sort=A","Dates=H","DateFormat=P","Fill=—","Direction=H","UseDPDF=Y")</f>
        <v>18720</v>
      </c>
      <c r="F7" s="13">
        <f>_xll.BDH("RCOM IN Equity","IS_OPER_INC","FY 2012","FY 2012","Currency=INR","Period=FY","BEST_FPERIOD_OVERRIDE=FY","FILING_STATUS=MR","EQY_CONSOLIDATED=Y","SCALING_FORMAT=MLN","FA_ADJUSTED=GAAP","Sort=A","Dates=H","DateFormat=P","Fill=—","Direction=H","UseDPDF=Y")</f>
        <v>18170</v>
      </c>
      <c r="G7" s="13">
        <f>_xll.BDH("RCOM IN Equity","IS_OPER_INC","FY 2013","FY 2013","Currency=INR","Period=FY","BEST_FPERIOD_OVERRIDE=FY","FILING_STATUS=MR","EQY_CONSOLIDATED=Y","SCALING_FORMAT=MLN","FA_ADJUSTED=GAAP","Sort=A","Dates=H","DateFormat=P","Fill=—","Direction=H","UseDPDF=Y")</f>
        <v>20960</v>
      </c>
      <c r="H7" s="13">
        <f>_xll.BDH("RCOM IN Equity","IS_OPER_INC","FY 2014","FY 2014","Currency=INR","Period=FY","BEST_FPERIOD_OVERRIDE=FY","FILING_STATUS=MR","EQY_CONSOLIDATED=Y","SCALING_FORMAT=MLN","FA_ADJUSTED=GAAP","Sort=A","Dates=H","DateFormat=P","Fill=—","Direction=H","UseDPDF=Y")</f>
        <v>21710</v>
      </c>
      <c r="I7" s="13">
        <f>_xll.BDH("RCOM IN Equity","IS_OPER_INC","FY 2015","FY 2015","Currency=INR","Period=FY","BEST_FPERIOD_OVERRIDE=FY","FILING_STATUS=MR","EQY_CONSOLIDATED=Y","SCALING_FORMAT=MLN","FA_ADJUSTED=GAAP","Sort=A","Dates=H","DateFormat=P","Fill=—","Direction=H","UseDPDF=Y")</f>
        <v>33890</v>
      </c>
      <c r="J7" s="13">
        <f>_xll.BDH("RCOM IN Equity","IS_OPER_INC","FY 2016","FY 2016","Currency=INR","Period=FY","BEST_FPERIOD_OVERRIDE=FY","FILING_STATUS=MR","EQY_CONSOLIDATED=Y","SCALING_FORMAT=MLN","FA_ADJUSTED=GAAP","Sort=A","Dates=H","DateFormat=P","Fill=—","Direction=H","UseDPDF=Y")</f>
        <v>27760</v>
      </c>
      <c r="K7" s="13">
        <f>_xll.BDH("RCOM IN Equity","IS_OPER_INC","FY 2017","FY 2017","Currency=INR","Period=FY","BEST_FPERIOD_OVERRIDE=FY","FILING_STATUS=MR","EQY_CONSOLIDATED=Y","SCALING_FORMAT=MLN","FA_ADJUSTED=GAAP","Sort=A","Dates=H","DateFormat=P","Fill=—","Direction=H","UseDPDF=Y")</f>
        <v>4400</v>
      </c>
      <c r="L7" s="13">
        <f>_xll.BDH("RCOM IN Equity","IS_OPER_INC","FY 2018","FY 2018","Currency=INR","Period=FY","BEST_FPERIOD_OVERRIDE=FY","FILING_STATUS=MR","EQY_CONSOLIDATED=Y","SCALING_FORMAT=MLN","FA_ADJUSTED=GAAP","Sort=A","Dates=H","DateFormat=P","Fill=—","Direction=H","UseDPDF=Y")</f>
        <v>2430</v>
      </c>
    </row>
    <row r="8" spans="1:12">
      <c r="A8" s="10" t="s">
        <v>65</v>
      </c>
      <c r="B8" s="10" t="s">
        <v>48</v>
      </c>
      <c r="C8" s="13">
        <f>_xll.BDH("RCOM IN Equity","EARN_FOR_COMMON","FY 2009","FY 2009","Currency=INR","Period=FY","BEST_FPERIOD_OVERRIDE=FY","FILING_STATUS=MR","EQY_CONSOLIDATED=Y","SCALING_FORMAT=MLN","FA_ADJUSTED=GAAP","Sort=A","Dates=H","DateFormat=P","Fill=—","Direction=H","UseDPDF=Y")</f>
        <v>60449.3</v>
      </c>
      <c r="D8" s="13">
        <f>_xll.BDH("RCOM IN Equity","EARN_FOR_COMMON","FY 2010","FY 2010","Currency=INR","Period=FY","BEST_FPERIOD_OVERRIDE=FY","FILING_STATUS=MR","EQY_CONSOLIDATED=Y","SCALING_FORMAT=MLN","FA_ADJUSTED=GAAP","Sort=A","Dates=H","DateFormat=P","Fill=—","Direction=H","UseDPDF=Y")</f>
        <v>46550</v>
      </c>
      <c r="E8" s="13">
        <f>_xll.BDH("RCOM IN Equity","EARN_FOR_COMMON","FY 2011","FY 2011","Currency=INR","Period=FY","BEST_FPERIOD_OVERRIDE=FY","FILING_STATUS=MR","EQY_CONSOLIDATED=Y","SCALING_FORMAT=MLN","FA_ADJUSTED=GAAP","Sort=A","Dates=H","DateFormat=P","Fill=—","Direction=H","UseDPDF=Y")</f>
        <v>13450</v>
      </c>
      <c r="F8" s="13">
        <f>_xll.BDH("RCOM IN Equity","EARN_FOR_COMMON","FY 2012","FY 2012","Currency=INR","Period=FY","BEST_FPERIOD_OVERRIDE=FY","FILING_STATUS=MR","EQY_CONSOLIDATED=Y","SCALING_FORMAT=MLN","FA_ADJUSTED=GAAP","Sort=A","Dates=H","DateFormat=P","Fill=—","Direction=H","UseDPDF=Y")</f>
        <v>9280</v>
      </c>
      <c r="G8" s="13">
        <f>_xll.BDH("RCOM IN Equity","EARN_FOR_COMMON","FY 2013","FY 2013","Currency=INR","Period=FY","BEST_FPERIOD_OVERRIDE=FY","FILING_STATUS=MR","EQY_CONSOLIDATED=Y","SCALING_FORMAT=MLN","FA_ADJUSTED=GAAP","Sort=A","Dates=H","DateFormat=P","Fill=—","Direction=H","UseDPDF=Y")</f>
        <v>6720</v>
      </c>
      <c r="H8" s="13">
        <f>_xll.BDH("RCOM IN Equity","EARN_FOR_COMMON","FY 2014","FY 2014","Currency=INR","Period=FY","BEST_FPERIOD_OVERRIDE=FY","FILING_STATUS=MR","EQY_CONSOLIDATED=Y","SCALING_FORMAT=MLN","FA_ADJUSTED=GAAP","Sort=A","Dates=H","DateFormat=P","Fill=—","Direction=H","UseDPDF=Y")</f>
        <v>10470</v>
      </c>
      <c r="I8" s="13">
        <f>_xll.BDH("RCOM IN Equity","EARN_FOR_COMMON","FY 2015","FY 2015","Currency=INR","Period=FY","BEST_FPERIOD_OVERRIDE=FY","FILING_STATUS=MR","EQY_CONSOLIDATED=Y","SCALING_FORMAT=MLN","FA_ADJUSTED=GAAP","Sort=A","Dates=H","DateFormat=P","Fill=—","Direction=H","UseDPDF=Y")</f>
        <v>7140</v>
      </c>
      <c r="J8" s="13">
        <f>_xll.BDH("RCOM IN Equity","EARN_FOR_COMMON","FY 2016","FY 2016","Currency=INR","Period=FY","BEST_FPERIOD_OVERRIDE=FY","FILING_STATUS=MR","EQY_CONSOLIDATED=Y","SCALING_FORMAT=MLN","FA_ADJUSTED=GAAP","Sort=A","Dates=H","DateFormat=P","Fill=—","Direction=H","UseDPDF=Y")</f>
        <v>6390</v>
      </c>
      <c r="K8" s="13">
        <f>_xll.BDH("RCOM IN Equity","EARN_FOR_COMMON","FY 2017","FY 2017","Currency=INR","Period=FY","BEST_FPERIOD_OVERRIDE=FY","FILING_STATUS=MR","EQY_CONSOLIDATED=Y","SCALING_FORMAT=MLN","FA_ADJUSTED=GAAP","Sort=A","Dates=H","DateFormat=P","Fill=—","Direction=H","UseDPDF=Y")</f>
        <v>-14030</v>
      </c>
      <c r="L8" s="13">
        <f>_xll.BDH("RCOM IN Equity","EARN_FOR_COMMON","FY 2018","FY 2018","Currency=INR","Period=FY","BEST_FPERIOD_OVERRIDE=FY","FILING_STATUS=MR","EQY_CONSOLIDATED=Y","SCALING_FORMAT=MLN","FA_ADJUSTED=GAAP","Sort=A","Dates=H","DateFormat=P","Fill=—","Direction=H","UseDPDF=Y")</f>
        <v>-238390</v>
      </c>
    </row>
    <row r="9" spans="1:12">
      <c r="A9" s="10" t="s">
        <v>66</v>
      </c>
      <c r="B9" s="10" t="s">
        <v>67</v>
      </c>
      <c r="C9" s="14">
        <f>_xll.BDH("RCOM IN Equity","IS_EPS","FY 2009","FY 2009","Currency=INR","Period=FY","BEST_FPERIOD_OVERRIDE=FY","FILING_STATUS=MR","EQY_CONSOLIDATED=Y","FA_ADJUSTED=GAAP","Sort=A","Dates=H","DateFormat=P","Fill=—","Direction=H","UseDPDF=Y")</f>
        <v>29.287099999999999</v>
      </c>
      <c r="D9" s="14">
        <f>_xll.BDH("RCOM IN Equity","IS_EPS","FY 2010","FY 2010","Currency=INR","Period=FY","BEST_FPERIOD_OVERRIDE=FY","FILING_STATUS=MR","EQY_CONSOLIDATED=Y","FA_ADJUSTED=GAAP","Sort=A","Dates=H","DateFormat=P","Fill=—","Direction=H","UseDPDF=Y")</f>
        <v>22.553000000000001</v>
      </c>
      <c r="E9" s="14">
        <f>_xll.BDH("RCOM IN Equity","IS_EPS","FY 2011","FY 2011","Currency=INR","Period=FY","BEST_FPERIOD_OVERRIDE=FY","FILING_STATUS=MR","EQY_CONSOLIDATED=Y","FA_ADJUSTED=GAAP","Sort=A","Dates=H","DateFormat=P","Fill=—","Direction=H","UseDPDF=Y")</f>
        <v>6.5164</v>
      </c>
      <c r="F9" s="14">
        <f>_xll.BDH("RCOM IN Equity","IS_EPS","FY 2012","FY 2012","Currency=INR","Period=FY","BEST_FPERIOD_OVERRIDE=FY","FILING_STATUS=MR","EQY_CONSOLIDATED=Y","FA_ADJUSTED=GAAP","Sort=A","Dates=H","DateFormat=P","Fill=—","Direction=H","UseDPDF=Y")</f>
        <v>4.5</v>
      </c>
      <c r="G9" s="14">
        <f>_xll.BDH("RCOM IN Equity","IS_EPS","FY 2013","FY 2013","Currency=INR","Period=FY","BEST_FPERIOD_OVERRIDE=FY","FILING_STATUS=MR","EQY_CONSOLIDATED=Y","FA_ADJUSTED=GAAP","Sort=A","Dates=H","DateFormat=P","Fill=—","Direction=H","UseDPDF=Y")</f>
        <v>3.26</v>
      </c>
      <c r="H9" s="14">
        <f>_xll.BDH("RCOM IN Equity","IS_EPS","FY 2014","FY 2014","Currency=INR","Period=FY","BEST_FPERIOD_OVERRIDE=FY","FILING_STATUS=MR","EQY_CONSOLIDATED=Y","FA_ADJUSTED=GAAP","Sort=A","Dates=H","DateFormat=P","Fill=—","Direction=H","UseDPDF=Y")</f>
        <v>5.07</v>
      </c>
      <c r="I9" s="14">
        <f>_xll.BDH("RCOM IN Equity","IS_EPS","FY 2015","FY 2015","Currency=INR","Period=FY","BEST_FPERIOD_OVERRIDE=FY","FILING_STATUS=MR","EQY_CONSOLIDATED=Y","FA_ADJUSTED=GAAP","Sort=A","Dates=H","DateFormat=P","Fill=—","Direction=H","UseDPDF=Y")</f>
        <v>3.05</v>
      </c>
      <c r="J9" s="14">
        <f>_xll.BDH("RCOM IN Equity","IS_EPS","FY 2016","FY 2016","Currency=INR","Period=FY","BEST_FPERIOD_OVERRIDE=FY","FILING_STATUS=MR","EQY_CONSOLIDATED=Y","FA_ADJUSTED=GAAP","Sort=A","Dates=H","DateFormat=P","Fill=—","Direction=H","UseDPDF=Y")</f>
        <v>2.59</v>
      </c>
      <c r="K9" s="14">
        <f>_xll.BDH("RCOM IN Equity","IS_EPS","FY 2017","FY 2017","Currency=INR","Period=FY","BEST_FPERIOD_OVERRIDE=FY","FILING_STATUS=MR","EQY_CONSOLIDATED=Y","FA_ADJUSTED=GAAP","Sort=A","Dates=H","DateFormat=P","Fill=—","Direction=H","UseDPDF=Y")</f>
        <v>-5.6855000000000002</v>
      </c>
      <c r="L9" s="14">
        <f>_xll.BDH("RCOM IN Equity","IS_EPS","FY 2018","FY 2018","Currency=INR","Period=FY","BEST_FPERIOD_OVERRIDE=FY","FILING_STATUS=MR","EQY_CONSOLIDATED=Y","FA_ADJUSTED=GAAP","Sort=A","Dates=H","DateFormat=P","Fill=—","Direction=H","UseDPDF=Y")</f>
        <v>-92.296599999999998</v>
      </c>
    </row>
    <row r="10" spans="1:12">
      <c r="A10" s="10" t="s">
        <v>68</v>
      </c>
      <c r="B10" s="10" t="s">
        <v>69</v>
      </c>
      <c r="C10" s="14">
        <f>_xll.BDH("RCOM IN Equity","IS_DILUTED_EPS","FY 2009","FY 2009","Currency=INR","Period=FY","BEST_FPERIOD_OVERRIDE=FY","FILING_STATUS=MR","EQY_CONSOLIDATED=Y","FA_ADJUSTED=GAAP","Sort=A","Dates=H","DateFormat=P","Fill=—","Direction=H","UseDPDF=Y")</f>
        <v>28.0488</v>
      </c>
      <c r="D10" s="14">
        <f>_xll.BDH("RCOM IN Equity","IS_DILUTED_EPS","FY 2010","FY 2010","Currency=INR","Period=FY","BEST_FPERIOD_OVERRIDE=FY","FILING_STATUS=MR","EQY_CONSOLIDATED=Y","FA_ADJUSTED=GAAP","Sort=A","Dates=H","DateFormat=P","Fill=—","Direction=H","UseDPDF=Y")</f>
        <v>21.619299999999999</v>
      </c>
      <c r="E10" s="14">
        <f>_xll.BDH("RCOM IN Equity","IS_DILUTED_EPS","FY 2011","FY 2011","Currency=INR","Period=FY","BEST_FPERIOD_OVERRIDE=FY","FILING_STATUS=MR","EQY_CONSOLIDATED=Y","FA_ADJUSTED=GAAP","Sort=A","Dates=H","DateFormat=P","Fill=—","Direction=H","UseDPDF=Y")</f>
        <v>6.2465999999999999</v>
      </c>
      <c r="F10" s="14">
        <f>_xll.BDH("RCOM IN Equity","IS_DILUTED_EPS","FY 2012","FY 2012","Currency=INR","Period=FY","BEST_FPERIOD_OVERRIDE=FY","FILING_STATUS=MR","EQY_CONSOLIDATED=Y","FA_ADJUSTED=GAAP","Sort=A","Dates=H","DateFormat=P","Fill=—","Direction=H","UseDPDF=Y")</f>
        <v>4.41</v>
      </c>
      <c r="G10" s="14">
        <f>_xll.BDH("RCOM IN Equity","IS_DILUTED_EPS","FY 2013","FY 2013","Currency=INR","Period=FY","BEST_FPERIOD_OVERRIDE=FY","FILING_STATUS=MR","EQY_CONSOLIDATED=Y","FA_ADJUSTED=GAAP","Sort=A","Dates=H","DateFormat=P","Fill=—","Direction=H","UseDPDF=Y")</f>
        <v>3.26</v>
      </c>
      <c r="H10" s="14">
        <f>_xll.BDH("RCOM IN Equity","IS_DILUTED_EPS","FY 2014","FY 2014","Currency=INR","Period=FY","BEST_FPERIOD_OVERRIDE=FY","FILING_STATUS=MR","EQY_CONSOLIDATED=Y","FA_ADJUSTED=GAAP","Sort=A","Dates=H","DateFormat=P","Fill=—","Direction=H","UseDPDF=Y")</f>
        <v>5.07</v>
      </c>
      <c r="I10" s="14">
        <f>_xll.BDH("RCOM IN Equity","IS_DILUTED_EPS","FY 2015","FY 2015","Currency=INR","Period=FY","BEST_FPERIOD_OVERRIDE=FY","FILING_STATUS=MR","EQY_CONSOLIDATED=Y","FA_ADJUSTED=GAAP","Sort=A","Dates=H","DateFormat=P","Fill=—","Direction=H","UseDPDF=Y")</f>
        <v>3.05</v>
      </c>
      <c r="J10" s="14">
        <f>_xll.BDH("RCOM IN Equity","IS_DILUTED_EPS","FY 2016","FY 2016","Currency=INR","Period=FY","BEST_FPERIOD_OVERRIDE=FY","FILING_STATUS=MR","EQY_CONSOLIDATED=Y","FA_ADJUSTED=GAAP","Sort=A","Dates=H","DateFormat=P","Fill=—","Direction=H","UseDPDF=Y")</f>
        <v>2.59</v>
      </c>
      <c r="K10" s="14">
        <f>_xll.BDH("RCOM IN Equity","IS_DILUTED_EPS","FY 2017","FY 2017","Currency=INR","Period=FY","BEST_FPERIOD_OVERRIDE=FY","FILING_STATUS=MR","EQY_CONSOLIDATED=Y","FA_ADJUSTED=GAAP","Sort=A","Dates=H","DateFormat=P","Fill=—","Direction=H","UseDPDF=Y")</f>
        <v>-5.6855000000000002</v>
      </c>
      <c r="L10" s="14">
        <f>_xll.BDH("RCOM IN Equity","IS_DILUTED_EPS","FY 2018","FY 2018","Currency=INR","Period=FY","BEST_FPERIOD_OVERRIDE=FY","FILING_STATUS=MR","EQY_CONSOLIDATED=Y","FA_ADJUSTED=GAAP","Sort=A","Dates=H","DateFormat=P","Fill=—","Direction=H","UseDPDF=Y")</f>
        <v>-92.296599999999998</v>
      </c>
    </row>
    <row r="11" spans="1:12">
      <c r="A11" s="10" t="s">
        <v>70</v>
      </c>
      <c r="B11" s="10" t="s">
        <v>71</v>
      </c>
      <c r="C11" s="13">
        <f>_xll.BDH("RCOM IN Equity","IS_AVG_NUM_SH_FOR_EPS","FY 2009","FY 2009","Currency=INR","Period=FY","BEST_FPERIOD_OVERRIDE=FY","FILING_STATUS=MR","EQY_CONSOLIDATED=Y","Sort=A","Dates=H","DateFormat=P","Fill=—","Direction=H","UseDPDF=Y")</f>
        <v>2064.0268999999998</v>
      </c>
      <c r="D11" s="13">
        <f>_xll.BDH("RCOM IN Equity","IS_AVG_NUM_SH_FOR_EPS","FY 2010","FY 2010","Currency=INR","Period=FY","BEST_FPERIOD_OVERRIDE=FY","FILING_STATUS=MR","EQY_CONSOLIDATED=Y","Sort=A","Dates=H","DateFormat=P","Fill=—","Direction=H","UseDPDF=Y")</f>
        <v>2064.0268999999998</v>
      </c>
      <c r="E11" s="13">
        <f>_xll.BDH("RCOM IN Equity","IS_AVG_NUM_SH_FOR_EPS","FY 2011","FY 2011","Currency=INR","Period=FY","BEST_FPERIOD_OVERRIDE=FY","FILING_STATUS=MR","EQY_CONSOLIDATED=Y","Sort=A","Dates=H","DateFormat=P","Fill=—","Direction=H","UseDPDF=Y")</f>
        <v>2064.0268999999998</v>
      </c>
      <c r="F11" s="13">
        <f>_xll.BDH("RCOM IN Equity","IS_AVG_NUM_SH_FOR_EPS","FY 2012","FY 2012","Currency=INR","Period=FY","BEST_FPERIOD_OVERRIDE=FY","FILING_STATUS=MR","EQY_CONSOLIDATED=Y","Sort=A","Dates=H","DateFormat=P","Fill=—","Direction=H","UseDPDF=Y")</f>
        <v>2064.0268999999998</v>
      </c>
      <c r="G11" s="13">
        <f>_xll.BDH("RCOM IN Equity","IS_AVG_NUM_SH_FOR_EPS","FY 2013","FY 2013","Currency=INR","Period=FY","BEST_FPERIOD_OVERRIDE=FY","FILING_STATUS=MR","EQY_CONSOLIDATED=Y","Sort=A","Dates=H","DateFormat=P","Fill=—","Direction=H","UseDPDF=Y")</f>
        <v>2064.0268999999998</v>
      </c>
      <c r="H11" s="13">
        <f>_xll.BDH("RCOM IN Equity","IS_AVG_NUM_SH_FOR_EPS","FY 2014","FY 2014","Currency=INR","Period=FY","BEST_FPERIOD_OVERRIDE=FY","FILING_STATUS=MR","EQY_CONSOLIDATED=Y","Sort=A","Dates=H","DateFormat=P","Fill=—","Direction=H","UseDPDF=Y")</f>
        <v>2064.0268999999998</v>
      </c>
      <c r="I11" s="13">
        <f>_xll.BDH("RCOM IN Equity","IS_AVG_NUM_SH_FOR_EPS","FY 2015","FY 2015","Currency=INR","Period=FY","BEST_FPERIOD_OVERRIDE=FY","FILING_STATUS=MR","EQY_CONSOLIDATED=Y","Sort=A","Dates=H","DateFormat=P","Fill=—","Direction=H","UseDPDF=Y")</f>
        <v>2333.9049</v>
      </c>
      <c r="J11" s="13">
        <f>_xll.BDH("RCOM IN Equity","IS_AVG_NUM_SH_FOR_EPS","FY 2016","FY 2016","Currency=INR","Period=FY","BEST_FPERIOD_OVERRIDE=FY","FILING_STATUS=MR","EQY_CONSOLIDATED=Y","Sort=A","Dates=H","DateFormat=P","Fill=—","Direction=H","UseDPDF=Y")</f>
        <v>2467.7006999999999</v>
      </c>
      <c r="K11" s="13">
        <f>_xll.BDH("RCOM IN Equity","IS_AVG_NUM_SH_FOR_EPS","FY 2017","FY 2017","Currency=INR","Period=FY","BEST_FPERIOD_OVERRIDE=FY","FILING_STATUS=MR","EQY_CONSOLIDATED=Y","Sort=A","Dates=H","DateFormat=P","Fill=—","Direction=H","UseDPDF=Y")</f>
        <v>2467.7006999999999</v>
      </c>
      <c r="L11" s="13">
        <f>_xll.BDH("RCOM IN Equity","IS_AVG_NUM_SH_FOR_EPS","FY 2018","FY 2018","Currency=INR","Period=FY","BEST_FPERIOD_OVERRIDE=FY","FILING_STATUS=MR","EQY_CONSOLIDATED=Y","Sort=A","Dates=H","DateFormat=P","Fill=—","Direction=H","UseDPDF=Y")</f>
        <v>2582.8681000000001</v>
      </c>
    </row>
    <row r="12" spans="1:12">
      <c r="A12" s="10" t="s">
        <v>72</v>
      </c>
      <c r="B12" s="10" t="s">
        <v>73</v>
      </c>
      <c r="C12" s="13">
        <f>_xll.BDH("RCOM IN Equity","IS_SH_FOR_DILUTED_EPS","FY 2009","FY 2009","Currency=INR","Period=FY","BEST_FPERIOD_OVERRIDE=FY","FILING_STATUS=MR","EQY_CONSOLIDATED=Y","Sort=A","Dates=H","DateFormat=P","Fill=—","Direction=H","UseDPDF=Y")</f>
        <v>2155.1471000000001</v>
      </c>
      <c r="D12" s="13">
        <f>_xll.BDH("RCOM IN Equity","IS_SH_FOR_DILUTED_EPS","FY 2010","FY 2010","Currency=INR","Period=FY","BEST_FPERIOD_OVERRIDE=FY","FILING_STATUS=MR","EQY_CONSOLIDATED=Y","Sort=A","Dates=H","DateFormat=P","Fill=—","Direction=H","UseDPDF=Y")</f>
        <v>2153.1658000000002</v>
      </c>
      <c r="E12" s="13">
        <f>_xll.BDH("RCOM IN Equity","IS_SH_FOR_DILUTED_EPS","FY 2011","FY 2011","Currency=INR","Period=FY","BEST_FPERIOD_OVERRIDE=FY","FILING_STATUS=MR","EQY_CONSOLIDATED=Y","Sort=A","Dates=H","DateFormat=P","Fill=—","Direction=H","UseDPDF=Y")</f>
        <v>2153.1658000000002</v>
      </c>
      <c r="F12" s="13">
        <f>_xll.BDH("RCOM IN Equity","IS_SH_FOR_DILUTED_EPS","FY 2012","FY 2012","Currency=INR","Period=FY","BEST_FPERIOD_OVERRIDE=FY","FILING_STATUS=MR","EQY_CONSOLIDATED=Y","Sort=A","Dates=H","DateFormat=P","Fill=—","Direction=H","UseDPDF=Y")</f>
        <v>2104.0468999999998</v>
      </c>
      <c r="G12" s="13">
        <f>_xll.BDH("RCOM IN Equity","IS_SH_FOR_DILUTED_EPS","FY 2013","FY 2013","Currency=INR","Period=FY","BEST_FPERIOD_OVERRIDE=FY","FILING_STATUS=MR","EQY_CONSOLIDATED=Y","Sort=A","Dates=H","DateFormat=P","Fill=—","Direction=H","UseDPDF=Y")</f>
        <v>2064.0268999999998</v>
      </c>
      <c r="H12" s="13">
        <f>_xll.BDH("RCOM IN Equity","IS_SH_FOR_DILUTED_EPS","FY 2014","FY 2014","Currency=INR","Period=FY","BEST_FPERIOD_OVERRIDE=FY","FILING_STATUS=MR","EQY_CONSOLIDATED=Y","Sort=A","Dates=H","DateFormat=P","Fill=—","Direction=H","UseDPDF=Y")</f>
        <v>2064.0268999999998</v>
      </c>
      <c r="I12" s="13">
        <f>_xll.BDH("RCOM IN Equity","IS_SH_FOR_DILUTED_EPS","FY 2015","FY 2015","Currency=INR","Period=FY","BEST_FPERIOD_OVERRIDE=FY","FILING_STATUS=MR","EQY_CONSOLIDATED=Y","Sort=A","Dates=H","DateFormat=P","Fill=—","Direction=H","UseDPDF=Y")</f>
        <v>2333.9049</v>
      </c>
      <c r="J12" s="13">
        <f>_xll.BDH("RCOM IN Equity","IS_SH_FOR_DILUTED_EPS","FY 2016","FY 2016","Currency=INR","Period=FY","BEST_FPERIOD_OVERRIDE=FY","FILING_STATUS=MR","EQY_CONSOLIDATED=Y","Sort=A","Dates=H","DateFormat=P","Fill=—","Direction=H","UseDPDF=Y")</f>
        <v>2467.7006999999999</v>
      </c>
      <c r="K12" s="13">
        <f>_xll.BDH("RCOM IN Equity","IS_SH_FOR_DILUTED_EPS","FY 2017","FY 2017","Currency=INR","Period=FY","BEST_FPERIOD_OVERRIDE=FY","FILING_STATUS=MR","EQY_CONSOLIDATED=Y","Sort=A","Dates=H","DateFormat=P","Fill=—","Direction=H","UseDPDF=Y")</f>
        <v>2467.7006999999999</v>
      </c>
      <c r="L12" s="13">
        <f>_xll.BDH("RCOM IN Equity","IS_SH_FOR_DILUTED_EPS","FY 2018","FY 2018","Currency=INR","Period=FY","BEST_FPERIOD_OVERRIDE=FY","FILING_STATUS=MR","EQY_CONSOLIDATED=Y","Sort=A","Dates=H","DateFormat=P","Fill=—","Direction=H","UseDPDF=Y")</f>
        <v>2582.8681000000001</v>
      </c>
    </row>
    <row r="13" spans="1:12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>
      <c r="A14" s="10" t="s">
        <v>74</v>
      </c>
      <c r="B14" s="10" t="s">
        <v>30</v>
      </c>
      <c r="C14" s="13">
        <f>_xll.BDH("RCOM IN Equity","CASH_AND_MARKETABLE_SECURITIES","FY 2009","FY 2009","Currency=INR","Period=FY","BEST_FPERIOD_OVERRIDE=FY","FILING_STATUS=MR","EQY_CONSOLIDATED=Y","SCALING_FORMAT=MLN","Sort=A","Dates=H","DateFormat=P","Fill=—","Direction=H","UseDPDF=Y")</f>
        <v>109671.3</v>
      </c>
      <c r="D14" s="13">
        <f>_xll.BDH("RCOM IN Equity","CASH_AND_MARKETABLE_SECURITIES","FY 2010","FY 2010","Currency=INR","Period=FY","BEST_FPERIOD_OVERRIDE=FY","FILING_STATUS=MR","EQY_CONSOLIDATED=Y","SCALING_FORMAT=MLN","Sort=A","Dates=H","DateFormat=P","Fill=—","Direction=H","UseDPDF=Y")</f>
        <v>48584.800000000003</v>
      </c>
      <c r="E14" s="13">
        <f>_xll.BDH("RCOM IN Equity","CASH_AND_MARKETABLE_SECURITIES","FY 2011","FY 2011","Currency=INR","Period=FY","BEST_FPERIOD_OVERRIDE=FY","FILING_STATUS=MR","EQY_CONSOLIDATED=Y","SCALING_FORMAT=MLN","Sort=A","Dates=H","DateFormat=P","Fill=—","Direction=H","UseDPDF=Y")</f>
        <v>53180</v>
      </c>
      <c r="F14" s="13">
        <f>_xll.BDH("RCOM IN Equity","CASH_AND_MARKETABLE_SECURITIES","FY 2012","FY 2012","Currency=INR","Period=FY","BEST_FPERIOD_OVERRIDE=FY","FILING_STATUS=MR","EQY_CONSOLIDATED=Y","SCALING_FORMAT=MLN","Sort=A","Dates=H","DateFormat=P","Fill=—","Direction=H","UseDPDF=Y")</f>
        <v>10690</v>
      </c>
      <c r="G14" s="13">
        <f>_xll.BDH("RCOM IN Equity","CASH_AND_MARKETABLE_SECURITIES","FY 2013","FY 2013","Currency=INR","Period=FY","BEST_FPERIOD_OVERRIDE=FY","FILING_STATUS=MR","EQY_CONSOLIDATED=Y","SCALING_FORMAT=MLN","Sort=A","Dates=H","DateFormat=P","Fill=—","Direction=H","UseDPDF=Y")</f>
        <v>12820</v>
      </c>
      <c r="H14" s="13">
        <f>_xll.BDH("RCOM IN Equity","CASH_AND_MARKETABLE_SECURITIES","FY 2014","FY 2014","Currency=INR","Period=FY","BEST_FPERIOD_OVERRIDE=FY","FILING_STATUS=MR","EQY_CONSOLIDATED=Y","SCALING_FORMAT=MLN","Sort=A","Dates=H","DateFormat=P","Fill=—","Direction=H","UseDPDF=Y")</f>
        <v>11090</v>
      </c>
      <c r="I14" s="13">
        <f>_xll.BDH("RCOM IN Equity","CASH_AND_MARKETABLE_SECURITIES","FY 2015","FY 2015","Currency=INR","Period=FY","BEST_FPERIOD_OVERRIDE=FY","FILING_STATUS=MR","EQY_CONSOLIDATED=Y","SCALING_FORMAT=MLN","Sort=A","Dates=H","DateFormat=P","Fill=—","Direction=H","UseDPDF=Y")</f>
        <v>26780</v>
      </c>
      <c r="J14" s="13">
        <f>_xll.BDH("RCOM IN Equity","CASH_AND_MARKETABLE_SECURITIES","FY 2016","FY 2016","Currency=INR","Period=FY","BEST_FPERIOD_OVERRIDE=FY","FILING_STATUS=MR","EQY_CONSOLIDATED=Y","SCALING_FORMAT=MLN","Sort=A","Dates=H","DateFormat=P","Fill=—","Direction=H","UseDPDF=Y")</f>
        <v>15170</v>
      </c>
      <c r="K14" s="13">
        <f>_xll.BDH("RCOM IN Equity","CASH_AND_MARKETABLE_SECURITIES","FY 2017","FY 2017","Currency=INR","Period=FY","BEST_FPERIOD_OVERRIDE=FY","FILING_STATUS=MR","EQY_CONSOLIDATED=Y","SCALING_FORMAT=MLN","Sort=A","Dates=H","DateFormat=P","Fill=—","Direction=H","UseDPDF=Y")</f>
        <v>13140</v>
      </c>
      <c r="L14" s="13">
        <f>_xll.BDH("RCOM IN Equity","CASH_AND_MARKETABLE_SECURITIES","FY 2018","FY 2018","Currency=INR","Period=FY","BEST_FPERIOD_OVERRIDE=FY","FILING_STATUS=MR","EQY_CONSOLIDATED=Y","SCALING_FORMAT=MLN","Sort=A","Dates=H","DateFormat=P","Fill=—","Direction=H","UseDPDF=Y")</f>
        <v>7360</v>
      </c>
    </row>
    <row r="15" spans="1:12">
      <c r="A15" s="10" t="s">
        <v>75</v>
      </c>
      <c r="B15" s="10" t="s">
        <v>76</v>
      </c>
      <c r="C15" s="13">
        <f>_xll.BDH("RCOM IN Equity","BS_CUR_ASSET_REPORT","FY 2009","FY 2009","Currency=INR","Period=FY","BEST_FPERIOD_OVERRIDE=FY","FILING_STATUS=MR","EQY_CONSOLIDATED=Y","SCALING_FORMAT=MLN","Sort=A","Dates=H","DateFormat=P","Fill=—","Direction=H","UseDPDF=Y")</f>
        <v>239987</v>
      </c>
      <c r="D15" s="13">
        <f>_xll.BDH("RCOM IN Equity","BS_CUR_ASSET_REPORT","FY 2010","FY 2010","Currency=INR","Period=FY","BEST_FPERIOD_OVERRIDE=FY","FILING_STATUS=MR","EQY_CONSOLIDATED=Y","SCALING_FORMAT=MLN","Sort=A","Dates=H","DateFormat=P","Fill=—","Direction=H","UseDPDF=Y")</f>
        <v>161972.29999999999</v>
      </c>
      <c r="E15" s="13">
        <f>_xll.BDH("RCOM IN Equity","BS_CUR_ASSET_REPORT","FY 2011","FY 2011","Currency=INR","Period=FY","BEST_FPERIOD_OVERRIDE=FY","FILING_STATUS=MR","EQY_CONSOLIDATED=Y","SCALING_FORMAT=MLN","Sort=A","Dates=H","DateFormat=P","Fill=—","Direction=H","UseDPDF=Y")</f>
        <v>164480</v>
      </c>
      <c r="F15" s="13">
        <f>_xll.BDH("RCOM IN Equity","BS_CUR_ASSET_REPORT","FY 2012","FY 2012","Currency=INR","Period=FY","BEST_FPERIOD_OVERRIDE=FY","FILING_STATUS=MR","EQY_CONSOLIDATED=Y","SCALING_FORMAT=MLN","Sort=A","Dates=H","DateFormat=P","Fill=—","Direction=H","UseDPDF=Y")</f>
        <v>125450</v>
      </c>
      <c r="G15" s="13">
        <f>_xll.BDH("RCOM IN Equity","BS_CUR_ASSET_REPORT","FY 2013","FY 2013","Currency=INR","Period=FY","BEST_FPERIOD_OVERRIDE=FY","FILING_STATUS=MR","EQY_CONSOLIDATED=Y","SCALING_FORMAT=MLN","Sort=A","Dates=H","DateFormat=P","Fill=—","Direction=H","UseDPDF=Y")</f>
        <v>122610</v>
      </c>
      <c r="H15" s="13">
        <f>_xll.BDH("RCOM IN Equity","BS_CUR_ASSET_REPORT","FY 2014","FY 2014","Currency=INR","Period=FY","BEST_FPERIOD_OVERRIDE=FY","FILING_STATUS=MR","EQY_CONSOLIDATED=Y","SCALING_FORMAT=MLN","Sort=A","Dates=H","DateFormat=P","Fill=—","Direction=H","UseDPDF=Y")</f>
        <v>133770</v>
      </c>
      <c r="I15" s="13">
        <f>_xll.BDH("RCOM IN Equity","BS_CUR_ASSET_REPORT","FY 2015","FY 2015","Currency=INR","Period=FY","BEST_FPERIOD_OVERRIDE=FY","FILING_STATUS=MR","EQY_CONSOLIDATED=Y","SCALING_FORMAT=MLN","Sort=A","Dates=H","DateFormat=P","Fill=—","Direction=H","UseDPDF=Y")</f>
        <v>187900</v>
      </c>
      <c r="J15" s="13">
        <f>_xll.BDH("RCOM IN Equity","BS_CUR_ASSET_REPORT","FY 2016","FY 2016","Currency=INR","Period=FY","BEST_FPERIOD_OVERRIDE=FY","FILING_STATUS=MR","EQY_CONSOLIDATED=Y","SCALING_FORMAT=MLN","Sort=A","Dates=H","DateFormat=P","Fill=—","Direction=H","UseDPDF=Y")</f>
        <v>117610</v>
      </c>
      <c r="K15" s="13">
        <f>_xll.BDH("RCOM IN Equity","BS_CUR_ASSET_REPORT","FY 2017","FY 2017","Currency=INR","Period=FY","BEST_FPERIOD_OVERRIDE=FY","FILING_STATUS=MR","EQY_CONSOLIDATED=Y","SCALING_FORMAT=MLN","Sort=A","Dates=H","DateFormat=P","Fill=—","Direction=H","UseDPDF=Y")</f>
        <v>130070</v>
      </c>
      <c r="L15" s="13">
        <f>_xll.BDH("RCOM IN Equity","BS_CUR_ASSET_REPORT","FY 2018","FY 2018","Currency=INR","Period=FY","BEST_FPERIOD_OVERRIDE=FY","FILING_STATUS=MR","EQY_CONSOLIDATED=Y","SCALING_FORMAT=MLN","Sort=A","Dates=H","DateFormat=P","Fill=—","Direction=H","UseDPDF=Y")</f>
        <v>454590</v>
      </c>
    </row>
    <row r="16" spans="1:12">
      <c r="A16" s="10" t="s">
        <v>77</v>
      </c>
      <c r="B16" s="10" t="s">
        <v>78</v>
      </c>
      <c r="C16" s="13">
        <f>_xll.BDH("RCOM IN Equity","BS_TOT_ASSET","FY 2009","FY 2009","Currency=INR","Period=FY","BEST_FPERIOD_OVERRIDE=FY","FILING_STATUS=MR","EQY_CONSOLIDATED=Y","SCALING_FORMAT=MLN","Sort=A","Dates=H","DateFormat=P","Fill=—","Direction=H","UseDPDF=Y")</f>
        <v>1022069.9</v>
      </c>
      <c r="D16" s="13">
        <f>_xll.BDH("RCOM IN Equity","BS_TOT_ASSET","FY 2010","FY 2010","Currency=INR","Period=FY","BEST_FPERIOD_OVERRIDE=FY","FILING_STATUS=MR","EQY_CONSOLIDATED=Y","SCALING_FORMAT=MLN","Sort=A","Dates=H","DateFormat=P","Fill=—","Direction=H","UseDPDF=Y")</f>
        <v>925686.3</v>
      </c>
      <c r="E16" s="13">
        <f>_xll.BDH("RCOM IN Equity","BS_TOT_ASSET","FY 2011","FY 2011","Currency=INR","Period=FY","BEST_FPERIOD_OVERRIDE=FY","FILING_STATUS=MR","EQY_CONSOLIDATED=Y","SCALING_FORMAT=MLN","Sort=A","Dates=H","DateFormat=P","Fill=—","Direction=H","UseDPDF=Y")</f>
        <v>947230</v>
      </c>
      <c r="F16" s="13">
        <f>_xll.BDH("RCOM IN Equity","BS_TOT_ASSET","FY 2012","FY 2012","Currency=INR","Period=FY","BEST_FPERIOD_OVERRIDE=FY","FILING_STATUS=MR","EQY_CONSOLIDATED=Y","SCALING_FORMAT=MLN","Sort=A","Dates=H","DateFormat=P","Fill=—","Direction=H","UseDPDF=Y")</f>
        <v>922650</v>
      </c>
      <c r="G16" s="13">
        <f>_xll.BDH("RCOM IN Equity","BS_TOT_ASSET","FY 2013","FY 2013","Currency=INR","Period=FY","BEST_FPERIOD_OVERRIDE=FY","FILING_STATUS=MR","EQY_CONSOLIDATED=Y","SCALING_FORMAT=MLN","Sort=A","Dates=H","DateFormat=P","Fill=—","Direction=H","UseDPDF=Y")</f>
        <v>901820</v>
      </c>
      <c r="H16" s="13">
        <f>_xll.BDH("RCOM IN Equity","BS_TOT_ASSET","FY 2014","FY 2014","Currency=INR","Period=FY","BEST_FPERIOD_OVERRIDE=FY","FILING_STATUS=MR","EQY_CONSOLIDATED=Y","SCALING_FORMAT=MLN","Sort=A","Dates=H","DateFormat=P","Fill=—","Direction=H","UseDPDF=Y")</f>
        <v>907390</v>
      </c>
      <c r="I16" s="13">
        <f>_xll.BDH("RCOM IN Equity","BS_TOT_ASSET","FY 2015","FY 2015","Currency=INR","Period=FY","BEST_FPERIOD_OVERRIDE=FY","FILING_STATUS=MR","EQY_CONSOLIDATED=Y","SCALING_FORMAT=MLN","Sort=A","Dates=H","DateFormat=P","Fill=—","Direction=H","UseDPDF=Y")</f>
        <v>930220</v>
      </c>
      <c r="J16" s="13">
        <f>_xll.BDH("RCOM IN Equity","BS_TOT_ASSET","FY 2016","FY 2016","Currency=INR","Period=FY","BEST_FPERIOD_OVERRIDE=FY","FILING_STATUS=MR","EQY_CONSOLIDATED=Y","SCALING_FORMAT=MLN","Sort=A","Dates=H","DateFormat=P","Fill=—","Direction=H","UseDPDF=Y")</f>
        <v>1034540</v>
      </c>
      <c r="K16" s="13">
        <f>_xll.BDH("RCOM IN Equity","BS_TOT_ASSET","FY 2017","FY 2017","Currency=INR","Period=FY","BEST_FPERIOD_OVERRIDE=FY","FILING_STATUS=MR","EQY_CONSOLIDATED=Y","SCALING_FORMAT=MLN","Sort=A","Dates=H","DateFormat=P","Fill=—","Direction=H","UseDPDF=Y")</f>
        <v>997310</v>
      </c>
      <c r="L16" s="13">
        <f>_xll.BDH("RCOM IN Equity","BS_TOT_ASSET","FY 2018","FY 2018","Currency=INR","Period=FY","BEST_FPERIOD_OVERRIDE=FY","FILING_STATUS=MR","EQY_CONSOLIDATED=Y","SCALING_FORMAT=MLN","Sort=A","Dates=H","DateFormat=P","Fill=—","Direction=H","UseDPDF=Y")</f>
        <v>745780</v>
      </c>
    </row>
    <row r="17" spans="1:12">
      <c r="A17" s="10" t="s">
        <v>79</v>
      </c>
      <c r="B17" s="10" t="s">
        <v>80</v>
      </c>
      <c r="C17" s="13">
        <f>_xll.BDH("RCOM IN Equity","BS_CUR_LIAB","FY 2009","FY 2009","Currency=INR","Period=FY","BEST_FPERIOD_OVERRIDE=FY","FILING_STATUS=MR","EQY_CONSOLIDATED=Y","SCALING_FORMAT=MLN","Sort=A","Dates=H","DateFormat=P","Fill=—","Direction=H","UseDPDF=Y")</f>
        <v>319530.2</v>
      </c>
      <c r="D17" s="13">
        <f>_xll.BDH("RCOM IN Equity","BS_CUR_LIAB","FY 2010","FY 2010","Currency=INR","Period=FY","BEST_FPERIOD_OVERRIDE=FY","FILING_STATUS=MR","EQY_CONSOLIDATED=Y","SCALING_FORMAT=MLN","Sort=A","Dates=H","DateFormat=P","Fill=—","Direction=H","UseDPDF=Y")</f>
        <v>291987.3</v>
      </c>
      <c r="E17" s="13">
        <f>_xll.BDH("RCOM IN Equity","BS_CUR_LIAB","FY 2011","FY 2011","Currency=INR","Period=FY","BEST_FPERIOD_OVERRIDE=FY","FILING_STATUS=MR","EQY_CONSOLIDATED=Y","SCALING_FORMAT=MLN","Sort=A","Dates=H","DateFormat=P","Fill=—","Direction=H","UseDPDF=Y")</f>
        <v>323020</v>
      </c>
      <c r="F17" s="13">
        <f>_xll.BDH("RCOM IN Equity","BS_CUR_LIAB","FY 2012","FY 2012","Currency=INR","Period=FY","BEST_FPERIOD_OVERRIDE=FY","FILING_STATUS=MR","EQY_CONSOLIDATED=Y","SCALING_FORMAT=MLN","Sort=A","Dates=H","DateFormat=P","Fill=—","Direction=H","UseDPDF=Y")</f>
        <v>224040</v>
      </c>
      <c r="G17" s="13">
        <f>_xll.BDH("RCOM IN Equity","BS_CUR_LIAB","FY 2013","FY 2013","Currency=INR","Period=FY","BEST_FPERIOD_OVERRIDE=FY","FILING_STATUS=MR","EQY_CONSOLIDATED=Y","SCALING_FORMAT=MLN","Sort=A","Dates=H","DateFormat=P","Fill=—","Direction=H","UseDPDF=Y")</f>
        <v>234390</v>
      </c>
      <c r="H17" s="13">
        <f>_xll.BDH("RCOM IN Equity","BS_CUR_LIAB","FY 2014","FY 2014","Currency=INR","Period=FY","BEST_FPERIOD_OVERRIDE=FY","FILING_STATUS=MR","EQY_CONSOLIDATED=Y","SCALING_FORMAT=MLN","Sort=A","Dates=H","DateFormat=P","Fill=—","Direction=H","UseDPDF=Y")</f>
        <v>255380</v>
      </c>
      <c r="I17" s="13">
        <f>_xll.BDH("RCOM IN Equity","BS_CUR_LIAB","FY 2015","FY 2015","Currency=INR","Period=FY","BEST_FPERIOD_OVERRIDE=FY","FILING_STATUS=MR","EQY_CONSOLIDATED=Y","SCALING_FORMAT=MLN","Sort=A","Dates=H","DateFormat=P","Fill=—","Direction=H","UseDPDF=Y")</f>
        <v>209230</v>
      </c>
      <c r="J17" s="13">
        <f>_xll.BDH("RCOM IN Equity","BS_CUR_LIAB","FY 2016","FY 2016","Currency=INR","Period=FY","BEST_FPERIOD_OVERRIDE=FY","FILING_STATUS=MR","EQY_CONSOLIDATED=Y","SCALING_FORMAT=MLN","Sort=A","Dates=H","DateFormat=P","Fill=—","Direction=H","UseDPDF=Y")</f>
        <v>276760</v>
      </c>
      <c r="K17" s="13">
        <f>_xll.BDH("RCOM IN Equity","BS_CUR_LIAB","FY 2017","FY 2017","Currency=INR","Period=FY","BEST_FPERIOD_OVERRIDE=FY","FILING_STATUS=MR","EQY_CONSOLIDATED=Y","SCALING_FORMAT=MLN","Sort=A","Dates=H","DateFormat=P","Fill=—","Direction=H","UseDPDF=Y")</f>
        <v>360340</v>
      </c>
      <c r="L17" s="13">
        <f>_xll.BDH("RCOM IN Equity","BS_CUR_LIAB","FY 2018","FY 2018","Currency=INR","Period=FY","BEST_FPERIOD_OVERRIDE=FY","FILING_STATUS=MR","EQY_CONSOLIDATED=Y","SCALING_FORMAT=MLN","Sort=A","Dates=H","DateFormat=P","Fill=—","Direction=H","UseDPDF=Y")</f>
        <v>524780</v>
      </c>
    </row>
    <row r="18" spans="1:12">
      <c r="A18" s="10" t="s">
        <v>81</v>
      </c>
      <c r="B18" s="10" t="s">
        <v>82</v>
      </c>
      <c r="C18" s="13">
        <f>_xll.BDH("RCOM IN Equity","BS_TOT_LIAB2","FY 2009","FY 2009","Currency=INR","Period=FY","BEST_FPERIOD_OVERRIDE=FY","FILING_STATUS=MR","EQY_CONSOLIDATED=Y","SCALING_FORMAT=MLN","Sort=A","Dates=H","DateFormat=P","Fill=—","Direction=H","UseDPDF=Y")</f>
        <v>592717.5</v>
      </c>
      <c r="D18" s="13">
        <f>_xll.BDH("RCOM IN Equity","BS_TOT_LIAB2","FY 2010","FY 2010","Currency=INR","Period=FY","BEST_FPERIOD_OVERRIDE=FY","FILING_STATUS=MR","EQY_CONSOLIDATED=Y","SCALING_FORMAT=MLN","Sort=A","Dates=H","DateFormat=P","Fill=—","Direction=H","UseDPDF=Y")</f>
        <v>485496</v>
      </c>
      <c r="E18" s="13">
        <f>_xll.BDH("RCOM IN Equity","BS_TOT_LIAB2","FY 2011","FY 2011","Currency=INR","Period=FY","BEST_FPERIOD_OVERRIDE=FY","FILING_STATUS=MR","EQY_CONSOLIDATED=Y","SCALING_FORMAT=MLN","Sort=A","Dates=H","DateFormat=P","Fill=—","Direction=H","UseDPDF=Y")</f>
        <v>534000</v>
      </c>
      <c r="F18" s="13">
        <f>_xll.BDH("RCOM IN Equity","BS_TOT_LIAB2","FY 2012","FY 2012","Currency=INR","Period=FY","BEST_FPERIOD_OVERRIDE=FY","FILING_STATUS=MR","EQY_CONSOLIDATED=Y","SCALING_FORMAT=MLN","Sort=A","Dates=H","DateFormat=P","Fill=—","Direction=H","UseDPDF=Y")</f>
        <v>551090</v>
      </c>
      <c r="G18" s="13">
        <f>_xll.BDH("RCOM IN Equity","BS_TOT_LIAB2","FY 2013","FY 2013","Currency=INR","Period=FY","BEST_FPERIOD_OVERRIDE=FY","FILING_STATUS=MR","EQY_CONSOLIDATED=Y","SCALING_FORMAT=MLN","Sort=A","Dates=H","DateFormat=P","Fill=—","Direction=H","UseDPDF=Y")</f>
        <v>556070</v>
      </c>
      <c r="H18" s="13">
        <f>_xll.BDH("RCOM IN Equity","BS_TOT_LIAB2","FY 2014","FY 2014","Currency=INR","Period=FY","BEST_FPERIOD_OVERRIDE=FY","FILING_STATUS=MR","EQY_CONSOLIDATED=Y","SCALING_FORMAT=MLN","Sort=A","Dates=H","DateFormat=P","Fill=—","Direction=H","UseDPDF=Y")</f>
        <v>572000</v>
      </c>
      <c r="I18" s="13">
        <f>_xll.BDH("RCOM IN Equity","BS_TOT_LIAB2","FY 2015","FY 2015","Currency=INR","Period=FY","BEST_FPERIOD_OVERRIDE=FY","FILING_STATUS=MR","EQY_CONSOLIDATED=Y","SCALING_FORMAT=MLN","Sort=A","Dates=H","DateFormat=P","Fill=—","Direction=H","UseDPDF=Y")</f>
        <v>528360</v>
      </c>
      <c r="J18" s="13">
        <f>_xll.BDH("RCOM IN Equity","BS_TOT_LIAB2","FY 2016","FY 2016","Currency=INR","Period=FY","BEST_FPERIOD_OVERRIDE=FY","FILING_STATUS=MR","EQY_CONSOLIDATED=Y","SCALING_FORMAT=MLN","Sort=A","Dates=H","DateFormat=P","Fill=—","Direction=H","UseDPDF=Y")</f>
        <v>715890</v>
      </c>
      <c r="K18" s="13">
        <f>_xll.BDH("RCOM IN Equity","BS_TOT_LIAB2","FY 2017","FY 2017","Currency=INR","Period=FY","BEST_FPERIOD_OVERRIDE=FY","FILING_STATUS=MR","EQY_CONSOLIDATED=Y","SCALING_FORMAT=MLN","Sort=A","Dates=H","DateFormat=P","Fill=—","Direction=H","UseDPDF=Y")</f>
        <v>707620</v>
      </c>
      <c r="L18" s="13">
        <f>_xll.BDH("RCOM IN Equity","BS_TOT_LIAB2","FY 2018","FY 2018","Currency=INR","Period=FY","BEST_FPERIOD_OVERRIDE=FY","FILING_STATUS=MR","EQY_CONSOLIDATED=Y","SCALING_FORMAT=MLN","Sort=A","Dates=H","DateFormat=P","Fill=—","Direction=H","UseDPDF=Y")</f>
        <v>714630</v>
      </c>
    </row>
    <row r="19" spans="1:12">
      <c r="A19" s="10" t="s">
        <v>83</v>
      </c>
      <c r="B19" s="10" t="s">
        <v>84</v>
      </c>
      <c r="C19" s="13">
        <f>_xll.BDH("RCOM IN Equity","TOTAL_EQUITY","FY 2009","FY 2009","Currency=INR","Period=FY","BEST_FPERIOD_OVERRIDE=FY","FILING_STATUS=MR","EQY_CONSOLIDATED=Y","SCALING_FORMAT=MLN","Sort=A","Dates=H","DateFormat=P","Fill=—","Direction=H","UseDPDF=Y")</f>
        <v>429352.4</v>
      </c>
      <c r="D19" s="13">
        <f>_xll.BDH("RCOM IN Equity","TOTAL_EQUITY","FY 2010","FY 2010","Currency=INR","Period=FY","BEST_FPERIOD_OVERRIDE=FY","FILING_STATUS=MR","EQY_CONSOLIDATED=Y","SCALING_FORMAT=MLN","Sort=A","Dates=H","DateFormat=P","Fill=—","Direction=H","UseDPDF=Y")</f>
        <v>440190.3</v>
      </c>
      <c r="E19" s="13">
        <f>_xll.BDH("RCOM IN Equity","TOTAL_EQUITY","FY 2011","FY 2011","Currency=INR","Period=FY","BEST_FPERIOD_OVERRIDE=FY","FILING_STATUS=MR","EQY_CONSOLIDATED=Y","SCALING_FORMAT=MLN","Sort=A","Dates=H","DateFormat=P","Fill=—","Direction=H","UseDPDF=Y")</f>
        <v>413230</v>
      </c>
      <c r="F19" s="13">
        <f>_xll.BDH("RCOM IN Equity","TOTAL_EQUITY","FY 2012","FY 2012","Currency=INR","Period=FY","BEST_FPERIOD_OVERRIDE=FY","FILING_STATUS=MR","EQY_CONSOLIDATED=Y","SCALING_FORMAT=MLN","Sort=A","Dates=H","DateFormat=P","Fill=—","Direction=H","UseDPDF=Y")</f>
        <v>371560</v>
      </c>
      <c r="G19" s="13">
        <f>_xll.BDH("RCOM IN Equity","TOTAL_EQUITY","FY 2013","FY 2013","Currency=INR","Period=FY","BEST_FPERIOD_OVERRIDE=FY","FILING_STATUS=MR","EQY_CONSOLIDATED=Y","SCALING_FORMAT=MLN","Sort=A","Dates=H","DateFormat=P","Fill=—","Direction=H","UseDPDF=Y")</f>
        <v>345750</v>
      </c>
      <c r="H19" s="13">
        <f>_xll.BDH("RCOM IN Equity","TOTAL_EQUITY","FY 2014","FY 2014","Currency=INR","Period=FY","BEST_FPERIOD_OVERRIDE=FY","FILING_STATUS=MR","EQY_CONSOLIDATED=Y","SCALING_FORMAT=MLN","Sort=A","Dates=H","DateFormat=P","Fill=—","Direction=H","UseDPDF=Y")</f>
        <v>335390</v>
      </c>
      <c r="I19" s="13">
        <f>_xll.BDH("RCOM IN Equity","TOTAL_EQUITY","FY 2015","FY 2015","Currency=INR","Period=FY","BEST_FPERIOD_OVERRIDE=FY","FILING_STATUS=MR","EQY_CONSOLIDATED=Y","SCALING_FORMAT=MLN","Sort=A","Dates=H","DateFormat=P","Fill=—","Direction=H","UseDPDF=Y")</f>
        <v>384480</v>
      </c>
      <c r="J19" s="13">
        <f>_xll.BDH("RCOM IN Equity","TOTAL_EQUITY","FY 2016","FY 2016","Currency=INR","Period=FY","BEST_FPERIOD_OVERRIDE=FY","FILING_STATUS=MR","EQY_CONSOLIDATED=Y","SCALING_FORMAT=MLN","Sort=A","Dates=H","DateFormat=P","Fill=—","Direction=H","UseDPDF=Y")</f>
        <v>318650</v>
      </c>
      <c r="K19" s="13">
        <f>_xll.BDH("RCOM IN Equity","TOTAL_EQUITY","FY 2017","FY 2017","Currency=INR","Period=FY","BEST_FPERIOD_OVERRIDE=FY","FILING_STATUS=MR","EQY_CONSOLIDATED=Y","SCALING_FORMAT=MLN","Sort=A","Dates=H","DateFormat=P","Fill=—","Direction=H","UseDPDF=Y")</f>
        <v>289690</v>
      </c>
      <c r="L19" s="13">
        <f>_xll.BDH("RCOM IN Equity","TOTAL_EQUITY","FY 2018","FY 2018","Currency=INR","Period=FY","BEST_FPERIOD_OVERRIDE=FY","FILING_STATUS=MR","EQY_CONSOLIDATED=Y","SCALING_FORMAT=MLN","Sort=A","Dates=H","DateFormat=P","Fill=—","Direction=H","UseDPDF=Y")</f>
        <v>31150</v>
      </c>
    </row>
    <row r="20" spans="1:12">
      <c r="A20" s="10" t="s">
        <v>85</v>
      </c>
      <c r="B20" s="10" t="s">
        <v>86</v>
      </c>
      <c r="C20" s="13">
        <f>_xll.BDH("RCOM IN Equity","BS_SH_OUT","FY 2009","FY 2009","Currency=INR","Period=FY","BEST_FPERIOD_OVERRIDE=FY","FILING_STATUS=MR","EQY_CONSOLIDATED=Y","Sort=A","Dates=H","DateFormat=P","Fill=—","Direction=H","UseDPDF=Y")</f>
        <v>2064.0268999999998</v>
      </c>
      <c r="D20" s="13">
        <f>_xll.BDH("RCOM IN Equity","BS_SH_OUT","FY 2010","FY 2010","Currency=INR","Period=FY","BEST_FPERIOD_OVERRIDE=FY","FILING_STATUS=MR","EQY_CONSOLIDATED=Y","Sort=A","Dates=H","DateFormat=P","Fill=—","Direction=H","UseDPDF=Y")</f>
        <v>2064.0268999999998</v>
      </c>
      <c r="E20" s="13">
        <f>_xll.BDH("RCOM IN Equity","BS_SH_OUT","FY 2011","FY 2011","Currency=INR","Period=FY","BEST_FPERIOD_OVERRIDE=FY","FILING_STATUS=MR","EQY_CONSOLIDATED=Y","Sort=A","Dates=H","DateFormat=P","Fill=—","Direction=H","UseDPDF=Y")</f>
        <v>2064.0268999999998</v>
      </c>
      <c r="F20" s="13">
        <f>_xll.BDH("RCOM IN Equity","BS_SH_OUT","FY 2012","FY 2012","Currency=INR","Period=FY","BEST_FPERIOD_OVERRIDE=FY","FILING_STATUS=MR","EQY_CONSOLIDATED=Y","Sort=A","Dates=H","DateFormat=P","Fill=—","Direction=H","UseDPDF=Y")</f>
        <v>2064.0268999999998</v>
      </c>
      <c r="G20" s="13">
        <f>_xll.BDH("RCOM IN Equity","BS_SH_OUT","FY 2013","FY 2013","Currency=INR","Period=FY","BEST_FPERIOD_OVERRIDE=FY","FILING_STATUS=MR","EQY_CONSOLIDATED=Y","Sort=A","Dates=H","DateFormat=P","Fill=—","Direction=H","UseDPDF=Y")</f>
        <v>2064.0268999999998</v>
      </c>
      <c r="H20" s="13">
        <f>_xll.BDH("RCOM IN Equity","BS_SH_OUT","FY 2014","FY 2014","Currency=INR","Period=FY","BEST_FPERIOD_OVERRIDE=FY","FILING_STATUS=MR","EQY_CONSOLIDATED=Y","Sort=A","Dates=H","DateFormat=P","Fill=—","Direction=H","UseDPDF=Y")</f>
        <v>2064.0268999999998</v>
      </c>
      <c r="I20" s="13">
        <f>_xll.BDH("RCOM IN Equity","BS_SH_OUT","FY 2015","FY 2015","Currency=INR","Period=FY","BEST_FPERIOD_OVERRIDE=FY","FILING_STATUS=MR","EQY_CONSOLIDATED=Y","Sort=A","Dates=H","DateFormat=P","Fill=—","Direction=H","UseDPDF=Y")</f>
        <v>2488.9796999999999</v>
      </c>
      <c r="J20" s="13">
        <f>_xll.BDH("RCOM IN Equity","BS_SH_OUT","FY 2016","FY 2016","Currency=INR","Period=FY","BEST_FPERIOD_OVERRIDE=FY","FILING_STATUS=MR","EQY_CONSOLIDATED=Y","Sort=A","Dates=H","DateFormat=P","Fill=—","Direction=H","UseDPDF=Y")</f>
        <v>2488.9796999999999</v>
      </c>
      <c r="K20" s="13">
        <f>_xll.BDH("RCOM IN Equity","BS_SH_OUT","FY 2017","FY 2017","Currency=INR","Period=FY","BEST_FPERIOD_OVERRIDE=FY","FILING_STATUS=MR","EQY_CONSOLIDATED=Y","Sort=A","Dates=H","DateFormat=P","Fill=—","Direction=H","UseDPDF=Y")</f>
        <v>2488.9796999999999</v>
      </c>
      <c r="L20" s="13">
        <f>_xll.BDH("RCOM IN Equity","BS_SH_OUT","FY 2018","FY 2018","Currency=INR","Period=FY","BEST_FPERIOD_OVERRIDE=FY","FILING_STATUS=MR","EQY_CONSOLIDATED=Y","Sort=A","Dates=H","DateFormat=P","Fill=—","Direction=H","UseDPDF=Y")</f>
        <v>2765.5331000000001</v>
      </c>
    </row>
    <row r="21" spans="1:12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1:12">
      <c r="A22" s="10" t="s">
        <v>87</v>
      </c>
      <c r="B22" s="10" t="s">
        <v>52</v>
      </c>
      <c r="C22" s="13">
        <f>_xll.BDH("RCOM IN Equity","CF_CASH_FROM_OPER","FY 2009","FY 2009","Currency=INR","Period=FY","BEST_FPERIOD_OVERRIDE=FY","FILING_STATUS=MR","EQY_CONSOLIDATED=Y","SCALING_FORMAT=MLN","Sort=A","Dates=H","DateFormat=P","Fill=—","Direction=H","UseDPDF=Y")</f>
        <v>51300.9</v>
      </c>
      <c r="D22" s="13">
        <f>_xll.BDH("RCOM IN Equity","CF_CASH_FROM_OPER","FY 2010","FY 2010","Currency=INR","Period=FY","BEST_FPERIOD_OVERRIDE=FY","FILING_STATUS=MR","EQY_CONSOLIDATED=Y","SCALING_FORMAT=MLN","Sort=A","Dates=H","DateFormat=P","Fill=—","Direction=H","UseDPDF=Y")</f>
        <v>81756.399999999994</v>
      </c>
      <c r="E22" s="13">
        <f>_xll.BDH("RCOM IN Equity","CF_CASH_FROM_OPER","FY 2011","FY 2011","Currency=INR","Period=FY","BEST_FPERIOD_OVERRIDE=FY","FILING_STATUS=MR","EQY_CONSOLIDATED=Y","SCALING_FORMAT=MLN","Sort=A","Dates=H","DateFormat=P","Fill=—","Direction=H","UseDPDF=Y")</f>
        <v>10720</v>
      </c>
      <c r="F22" s="13">
        <f>_xll.BDH("RCOM IN Equity","CF_CASH_FROM_OPER","FY 2012","FY 2012","Currency=INR","Period=FY","BEST_FPERIOD_OVERRIDE=FY","FILING_STATUS=MR","EQY_CONSOLIDATED=Y","SCALING_FORMAT=MLN","Sort=A","Dates=H","DateFormat=P","Fill=—","Direction=H","UseDPDF=Y")</f>
        <v>40730</v>
      </c>
      <c r="G22" s="13">
        <f>_xll.BDH("RCOM IN Equity","CF_CASH_FROM_OPER","FY 2013","FY 2013","Currency=INR","Period=FY","BEST_FPERIOD_OVERRIDE=FY","FILING_STATUS=MR","EQY_CONSOLIDATED=Y","SCALING_FORMAT=MLN","Sort=A","Dates=H","DateFormat=P","Fill=—","Direction=H","UseDPDF=Y")</f>
        <v>13700</v>
      </c>
      <c r="H22" s="13">
        <f>_xll.BDH("RCOM IN Equity","CF_CASH_FROM_OPER","FY 2014","FY 2014","Currency=INR","Period=FY","BEST_FPERIOD_OVERRIDE=FY","FILING_STATUS=MR","EQY_CONSOLIDATED=Y","SCALING_FORMAT=MLN","Sort=A","Dates=H","DateFormat=P","Fill=—","Direction=H","UseDPDF=Y")</f>
        <v>38700</v>
      </c>
      <c r="I22" s="13">
        <f>_xll.BDH("RCOM IN Equity","CF_CASH_FROM_OPER","FY 2015","FY 2015","Currency=INR","Period=FY","BEST_FPERIOD_OVERRIDE=FY","FILING_STATUS=MR","EQY_CONSOLIDATED=Y","SCALING_FORMAT=MLN","Sort=A","Dates=H","DateFormat=P","Fill=—","Direction=H","UseDPDF=Y")</f>
        <v>4860</v>
      </c>
      <c r="J22" s="13">
        <f>_xll.BDH("RCOM IN Equity","CF_CASH_FROM_OPER","FY 2016","FY 2016","Currency=INR","Period=FY","BEST_FPERIOD_OVERRIDE=FY","FILING_STATUS=MR","EQY_CONSOLIDATED=Y","SCALING_FORMAT=MLN","Sort=A","Dates=H","DateFormat=P","Fill=—","Direction=H","UseDPDF=Y")</f>
        <v>142210</v>
      </c>
      <c r="K22" s="13">
        <f>_xll.BDH("RCOM IN Equity","CF_CASH_FROM_OPER","FY 2017","FY 2017","Currency=INR","Period=FY","BEST_FPERIOD_OVERRIDE=FY","FILING_STATUS=MR","EQY_CONSOLIDATED=Y","SCALING_FORMAT=MLN","Sort=A","Dates=H","DateFormat=P","Fill=—","Direction=H","UseDPDF=Y")</f>
        <v>-35600</v>
      </c>
      <c r="L22" s="13">
        <f>_xll.BDH("RCOM IN Equity","CF_CASH_FROM_OPER","FY 2018","FY 2018","Currency=INR","Period=FY","BEST_FPERIOD_OVERRIDE=FY","FILING_STATUS=MR","EQY_CONSOLIDATED=Y","SCALING_FORMAT=MLN","Sort=A","Dates=H","DateFormat=P","Fill=—","Direction=H","UseDPDF=Y")</f>
        <v>-4070</v>
      </c>
    </row>
    <row r="23" spans="1:12">
      <c r="A23" s="10" t="s">
        <v>88</v>
      </c>
      <c r="B23" s="10" t="s">
        <v>89</v>
      </c>
      <c r="C23" s="13">
        <f>_xll.BDH("RCOM IN Equity","CF_CASH_FROM_INV_ACT","FY 2009","FY 2009","Currency=INR","Period=FY","BEST_FPERIOD_OVERRIDE=FY","FILING_STATUS=MR","EQY_CONSOLIDATED=Y","SCALING_FORMAT=MLN","Sort=A","Dates=H","DateFormat=P","Fill=—","Direction=H","UseDPDF=Y")</f>
        <v>-100079.4</v>
      </c>
      <c r="D23" s="13">
        <f>_xll.BDH("RCOM IN Equity","CF_CASH_FROM_INV_ACT","FY 2010","FY 2010","Currency=INR","Period=FY","BEST_FPERIOD_OVERRIDE=FY","FILING_STATUS=MR","EQY_CONSOLIDATED=Y","SCALING_FORMAT=MLN","Sort=A","Dates=H","DateFormat=P","Fill=—","Direction=H","UseDPDF=Y")</f>
        <v>-18600.5</v>
      </c>
      <c r="E23" s="13">
        <f>_xll.BDH("RCOM IN Equity","CF_CASH_FROM_INV_ACT","FY 2011","FY 2011","Currency=INR","Period=FY","BEST_FPERIOD_OVERRIDE=FY","FILING_STATUS=MR","EQY_CONSOLIDATED=Y","SCALING_FORMAT=MLN","Sort=A","Dates=H","DateFormat=P","Fill=—","Direction=H","UseDPDF=Y")</f>
        <v>-64580</v>
      </c>
      <c r="F23" s="13">
        <f>_xll.BDH("RCOM IN Equity","CF_CASH_FROM_INV_ACT","FY 2012","FY 2012","Currency=INR","Period=FY","BEST_FPERIOD_OVERRIDE=FY","FILING_STATUS=MR","EQY_CONSOLIDATED=Y","SCALING_FORMAT=MLN","Sort=A","Dates=H","DateFormat=P","Fill=—","Direction=H","UseDPDF=Y")</f>
        <v>-46110</v>
      </c>
      <c r="G23" s="13">
        <f>_xll.BDH("RCOM IN Equity","CF_CASH_FROM_INV_ACT","FY 2013","FY 2013","Currency=INR","Period=FY","BEST_FPERIOD_OVERRIDE=FY","FILING_STATUS=MR","EQY_CONSOLIDATED=Y","SCALING_FORMAT=MLN","Sort=A","Dates=H","DateFormat=P","Fill=—","Direction=H","UseDPDF=Y")</f>
        <v>-20790</v>
      </c>
      <c r="H23" s="13">
        <f>_xll.BDH("RCOM IN Equity","CF_CASH_FROM_INV_ACT","FY 2014","FY 2014","Currency=INR","Period=FY","BEST_FPERIOD_OVERRIDE=FY","FILING_STATUS=MR","EQY_CONSOLIDATED=Y","SCALING_FORMAT=MLN","Sort=A","Dates=H","DateFormat=P","Fill=—","Direction=H","UseDPDF=Y")</f>
        <v>-21490</v>
      </c>
      <c r="I23" s="13">
        <f>_xll.BDH("RCOM IN Equity","CF_CASH_FROM_INV_ACT","FY 2015","FY 2015","Currency=INR","Period=FY","BEST_FPERIOD_OVERRIDE=FY","FILING_STATUS=MR","EQY_CONSOLIDATED=Y","SCALING_FORMAT=MLN","Sort=A","Dates=H","DateFormat=P","Fill=—","Direction=H","UseDPDF=Y")</f>
        <v>-31560</v>
      </c>
      <c r="J23" s="13">
        <f>_xll.BDH("RCOM IN Equity","CF_CASH_FROM_INV_ACT","FY 2016","FY 2016","Currency=INR","Period=FY","BEST_FPERIOD_OVERRIDE=FY","FILING_STATUS=MR","EQY_CONSOLIDATED=Y","SCALING_FORMAT=MLN","Sort=A","Dates=H","DateFormat=P","Fill=—","Direction=H","UseDPDF=Y")</f>
        <v>-150650</v>
      </c>
      <c r="K23" s="13">
        <f>_xll.BDH("RCOM IN Equity","CF_CASH_FROM_INV_ACT","FY 2017","FY 2017","Currency=INR","Period=FY","BEST_FPERIOD_OVERRIDE=FY","FILING_STATUS=MR","EQY_CONSOLIDATED=Y","SCALING_FORMAT=MLN","Sort=A","Dates=H","DateFormat=P","Fill=—","Direction=H","UseDPDF=Y")</f>
        <v>6630</v>
      </c>
      <c r="L23" s="13">
        <f>_xll.BDH("RCOM IN Equity","CF_CASH_FROM_INV_ACT","FY 2018","FY 2018","Currency=INR","Period=FY","BEST_FPERIOD_OVERRIDE=FY","FILING_STATUS=MR","EQY_CONSOLIDATED=Y","SCALING_FORMAT=MLN","Sort=A","Dates=H","DateFormat=P","Fill=—","Direction=H","UseDPDF=Y")</f>
        <v>-3600</v>
      </c>
    </row>
    <row r="24" spans="1:12">
      <c r="A24" s="10" t="s">
        <v>90</v>
      </c>
      <c r="B24" s="10" t="s">
        <v>91</v>
      </c>
      <c r="C24" s="13">
        <f>_xll.BDH("RCOM IN Equity","CF_CASH_FROM_FNC_ACT","FY 2009","FY 2009","Currency=INR","Period=FY","BEST_FPERIOD_OVERRIDE=FY","FILING_STATUS=MR","EQY_CONSOLIDATED=Y","SCALING_FORMAT=MLN","Sort=A","Dates=H","DateFormat=P","Fill=—","Direction=H","UseDPDF=Y")</f>
        <v>56004.2</v>
      </c>
      <c r="D24" s="13">
        <f>_xll.BDH("RCOM IN Equity","CF_CASH_FROM_FNC_ACT","FY 2010","FY 2010","Currency=INR","Period=FY","BEST_FPERIOD_OVERRIDE=FY","FILING_STATUS=MR","EQY_CONSOLIDATED=Y","SCALING_FORMAT=MLN","Sort=A","Dates=H","DateFormat=P","Fill=—","Direction=H","UseDPDF=Y")</f>
        <v>-71799.5</v>
      </c>
      <c r="E24" s="13">
        <f>_xll.BDH("RCOM IN Equity","CF_CASH_FROM_FNC_ACT","FY 2011","FY 2011","Currency=INR","Period=FY","BEST_FPERIOD_OVERRIDE=FY","FILING_STATUS=MR","EQY_CONSOLIDATED=Y","SCALING_FORMAT=MLN","Sort=A","Dates=H","DateFormat=P","Fill=—","Direction=H","UseDPDF=Y")</f>
        <v>94330</v>
      </c>
      <c r="F24" s="13">
        <f>_xll.BDH("RCOM IN Equity","CF_CASH_FROM_FNC_ACT","FY 2012","FY 2012","Currency=INR","Period=FY","BEST_FPERIOD_OVERRIDE=FY","FILING_STATUS=MR","EQY_CONSOLIDATED=Y","SCALING_FORMAT=MLN","Sort=A","Dates=H","DateFormat=P","Fill=—","Direction=H","UseDPDF=Y")</f>
        <v>-37780</v>
      </c>
      <c r="G24" s="13">
        <f>_xll.BDH("RCOM IN Equity","CF_CASH_FROM_FNC_ACT","FY 2013","FY 2013","Currency=INR","Period=FY","BEST_FPERIOD_OVERRIDE=FY","FILING_STATUS=MR","EQY_CONSOLIDATED=Y","SCALING_FORMAT=MLN","Sort=A","Dates=H","DateFormat=P","Fill=—","Direction=H","UseDPDF=Y")</f>
        <v>8900</v>
      </c>
      <c r="H24" s="13">
        <f>_xll.BDH("RCOM IN Equity","CF_CASH_FROM_FNC_ACT","FY 2014","FY 2014","Currency=INR","Period=FY","BEST_FPERIOD_OVERRIDE=FY","FILING_STATUS=MR","EQY_CONSOLIDATED=Y","SCALING_FORMAT=MLN","Sort=A","Dates=H","DateFormat=P","Fill=—","Direction=H","UseDPDF=Y")</f>
        <v>-19480</v>
      </c>
      <c r="I24" s="13">
        <f>_xll.BDH("RCOM IN Equity","CF_CASH_FROM_FNC_ACT","FY 2015","FY 2015","Currency=INR","Period=FY","BEST_FPERIOD_OVERRIDE=FY","FILING_STATUS=MR","EQY_CONSOLIDATED=Y","SCALING_FORMAT=MLN","Sort=A","Dates=H","DateFormat=P","Fill=—","Direction=H","UseDPDF=Y")</f>
        <v>35220</v>
      </c>
      <c r="J24" s="13">
        <f>_xll.BDH("RCOM IN Equity","CF_CASH_FROM_FNC_ACT","FY 2016","FY 2016","Currency=INR","Period=FY","BEST_FPERIOD_OVERRIDE=FY","FILING_STATUS=MR","EQY_CONSOLIDATED=Y","SCALING_FORMAT=MLN","Sort=A","Dates=H","DateFormat=P","Fill=—","Direction=H","UseDPDF=Y")</f>
        <v>4360</v>
      </c>
      <c r="K24" s="13">
        <f>_xll.BDH("RCOM IN Equity","CF_CASH_FROM_FNC_ACT","FY 2017","FY 2017","Currency=INR","Period=FY","BEST_FPERIOD_OVERRIDE=FY","FILING_STATUS=MR","EQY_CONSOLIDATED=Y","SCALING_FORMAT=MLN","Sort=A","Dates=H","DateFormat=P","Fill=—","Direction=H","UseDPDF=Y")</f>
        <v>31480</v>
      </c>
      <c r="L24" s="13">
        <f>_xll.BDH("RCOM IN Equity","CF_CASH_FROM_FNC_ACT","FY 2018","FY 2018","Currency=INR","Period=FY","BEST_FPERIOD_OVERRIDE=FY","FILING_STATUS=MR","EQY_CONSOLIDATED=Y","SCALING_FORMAT=MLN","Sort=A","Dates=H","DateFormat=P","Fill=—","Direction=H","UseDPDF=Y")</f>
        <v>5590</v>
      </c>
    </row>
    <row r="25" spans="1:12">
      <c r="A25" s="7" t="s">
        <v>57</v>
      </c>
      <c r="B25" s="7"/>
      <c r="C25" s="7" t="s">
        <v>3</v>
      </c>
      <c r="D25" s="7"/>
      <c r="E25" s="7"/>
      <c r="F25" s="7"/>
      <c r="G25" s="7"/>
      <c r="H25" s="7"/>
      <c r="I25" s="7"/>
      <c r="J25" s="7"/>
      <c r="K25" s="7"/>
      <c r="L2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L25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1420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1421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0" t="s">
        <v>1422</v>
      </c>
      <c r="B7" s="10" t="s">
        <v>1423</v>
      </c>
      <c r="C7" s="14">
        <f>_xll.BDH("RCOM IN Equity","RETURN_COM_EQY","FY 2009","FY 2009","Currency=INR","Period=FY","BEST_FPERIOD_OVERRIDE=FY","FILING_STATUS=MR","EQY_CONSOLIDATED=Y","FA_ADJUSTED=GAAP","Sort=A","Dates=H","DateFormat=P","Fill=—","Direction=H","UseDPDF=Y")</f>
        <v>16.954699999999999</v>
      </c>
      <c r="D7" s="14">
        <f>_xll.BDH("RCOM IN Equity","RETURN_COM_EQY","FY 2010","FY 2010","Currency=INR","Period=FY","BEST_FPERIOD_OVERRIDE=FY","FILING_STATUS=MR","EQY_CONSOLIDATED=Y","FA_ADJUSTED=GAAP","Sort=A","Dates=H","DateFormat=P","Fill=—","Direction=H","UseDPDF=Y")</f>
        <v>10.871</v>
      </c>
      <c r="E7" s="14">
        <f>_xll.BDH("RCOM IN Equity","RETURN_COM_EQY","FY 2011","FY 2011","Currency=INR","Period=FY","BEST_FPERIOD_OVERRIDE=FY","FILING_STATUS=MR","EQY_CONSOLIDATED=Y","FA_ADJUSTED=GAAP","Sort=A","Dates=H","DateFormat=P","Fill=—","Direction=H","UseDPDF=Y")</f>
        <v>3.2077</v>
      </c>
      <c r="F7" s="14">
        <f>_xll.BDH("RCOM IN Equity","RETURN_COM_EQY","FY 2012","FY 2012","Currency=INR","Period=FY","BEST_FPERIOD_OVERRIDE=FY","FILING_STATUS=MR","EQY_CONSOLIDATED=Y","FA_ADJUSTED=GAAP","Sort=A","Dates=H","DateFormat=P","Fill=—","Direction=H","UseDPDF=Y")</f>
        <v>2.4167999999999998</v>
      </c>
      <c r="G7" s="14">
        <f>_xll.BDH("RCOM IN Equity","RETURN_COM_EQY","FY 2013","FY 2013","Currency=INR","Period=FY","BEST_FPERIOD_OVERRIDE=FY","FILING_STATUS=MR","EQY_CONSOLIDATED=Y","FA_ADJUSTED=GAAP","Sort=A","Dates=H","DateFormat=P","Fill=—","Direction=H","UseDPDF=Y")</f>
        <v>1.9159999999999999</v>
      </c>
      <c r="H7" s="14">
        <f>_xll.BDH("RCOM IN Equity","RETURN_COM_EQY","FY 2014","FY 2014","Currency=INR","Period=FY","BEST_FPERIOD_OVERRIDE=FY","FILING_STATUS=MR","EQY_CONSOLIDATED=Y","FA_ADJUSTED=GAAP","Sort=A","Dates=H","DateFormat=P","Fill=—","Direction=H","UseDPDF=Y")</f>
        <v>3.1419999999999999</v>
      </c>
      <c r="I7" s="14">
        <f>_xll.BDH("RCOM IN Equity","RETURN_COM_EQY","FY 2015","FY 2015","Currency=INR","Period=FY","BEST_FPERIOD_OVERRIDE=FY","FILING_STATUS=MR","EQY_CONSOLIDATED=Y","FA_ADJUSTED=GAAP","Sort=A","Dates=H","DateFormat=P","Fill=—","Direction=H","UseDPDF=Y")</f>
        <v>2.0188999999999999</v>
      </c>
      <c r="J7" s="14">
        <f>_xll.BDH("RCOM IN Equity","RETURN_COM_EQY","FY 2016","FY 2016","Currency=INR","Period=FY","BEST_FPERIOD_OVERRIDE=FY","FILING_STATUS=MR","EQY_CONSOLIDATED=Y","FA_ADJUSTED=GAAP","Sort=A","Dates=H","DateFormat=P","Fill=—","Direction=H","UseDPDF=Y")</f>
        <v>1.8383</v>
      </c>
      <c r="K7" s="14">
        <f>_xll.BDH("RCOM IN Equity","RETURN_COM_EQY","FY 2017","FY 2017","Currency=INR","Period=FY","BEST_FPERIOD_OVERRIDE=FY","FILING_STATUS=MR","EQY_CONSOLIDATED=Y","FA_ADJUSTED=GAAP","Sort=A","Dates=H","DateFormat=P","Fill=—","Direction=H","UseDPDF=Y")</f>
        <v>-4.6647999999999996</v>
      </c>
      <c r="L7" s="14">
        <f>_xll.BDH("RCOM IN Equity","RETURN_COM_EQY","FY 2018","FY 2018","Currency=INR","Period=FY","BEST_FPERIOD_OVERRIDE=FY","FILING_STATUS=MR","EQY_CONSOLIDATED=Y","FA_ADJUSTED=GAAP","Sort=A","Dates=H","DateFormat=P","Fill=—","Direction=H","UseDPDF=Y")</f>
        <v>-152.07320000000001</v>
      </c>
    </row>
    <row r="8" spans="1:12">
      <c r="A8" s="10" t="s">
        <v>1424</v>
      </c>
      <c r="B8" s="10" t="s">
        <v>1425</v>
      </c>
      <c r="C8" s="14">
        <f>_xll.BDH("RCOM IN Equity","RETURN_ON_ASSET","FY 2009","FY 2009","Currency=INR","Period=FY","BEST_FPERIOD_OVERRIDE=FY","FILING_STATUS=MR","EQY_CONSOLIDATED=Y","FA_ADJUSTED=GAAP","Sort=A","Dates=H","DateFormat=P","Fill=—","Direction=H","UseDPDF=Y")</f>
        <v>6.7290999999999999</v>
      </c>
      <c r="D8" s="14">
        <f>_xll.BDH("RCOM IN Equity","RETURN_ON_ASSET","FY 2010","FY 2010","Currency=INR","Period=FY","BEST_FPERIOD_OVERRIDE=FY","FILING_STATUS=MR","EQY_CONSOLIDATED=Y","FA_ADJUSTED=GAAP","Sort=A","Dates=H","DateFormat=P","Fill=—","Direction=H","UseDPDF=Y")</f>
        <v>4.7798999999999996</v>
      </c>
      <c r="E8" s="14">
        <f>_xll.BDH("RCOM IN Equity","RETURN_ON_ASSET","FY 2011","FY 2011","Currency=INR","Period=FY","BEST_FPERIOD_OVERRIDE=FY","FILING_STATUS=MR","EQY_CONSOLIDATED=Y","FA_ADJUSTED=GAAP","Sort=A","Dates=H","DateFormat=P","Fill=—","Direction=H","UseDPDF=Y")</f>
        <v>1.4363000000000001</v>
      </c>
      <c r="F8" s="14">
        <f>_xll.BDH("RCOM IN Equity","RETURN_ON_ASSET","FY 2012","FY 2012","Currency=INR","Period=FY","BEST_FPERIOD_OVERRIDE=FY","FILING_STATUS=MR","EQY_CONSOLIDATED=Y","FA_ADJUSTED=GAAP","Sort=A","Dates=H","DateFormat=P","Fill=—","Direction=H","UseDPDF=Y")</f>
        <v>0.99260000000000004</v>
      </c>
      <c r="G8" s="14">
        <f>_xll.BDH("RCOM IN Equity","RETURN_ON_ASSET","FY 2013","FY 2013","Currency=INR","Period=FY","BEST_FPERIOD_OVERRIDE=FY","FILING_STATUS=MR","EQY_CONSOLIDATED=Y","FA_ADJUSTED=GAAP","Sort=A","Dates=H","DateFormat=P","Fill=—","Direction=H","UseDPDF=Y")</f>
        <v>0.73670000000000002</v>
      </c>
      <c r="H8" s="14">
        <f>_xll.BDH("RCOM IN Equity","RETURN_ON_ASSET","FY 2014","FY 2014","Currency=INR","Period=FY","BEST_FPERIOD_OVERRIDE=FY","FILING_STATUS=MR","EQY_CONSOLIDATED=Y","FA_ADJUSTED=GAAP","Sort=A","Dates=H","DateFormat=P","Fill=—","Direction=H","UseDPDF=Y")</f>
        <v>1.1574</v>
      </c>
      <c r="I8" s="14">
        <f>_xll.BDH("RCOM IN Equity","RETURN_ON_ASSET","FY 2015","FY 2015","Currency=INR","Period=FY","BEST_FPERIOD_OVERRIDE=FY","FILING_STATUS=MR","EQY_CONSOLIDATED=Y","FA_ADJUSTED=GAAP","Sort=A","Dates=H","DateFormat=P","Fill=—","Direction=H","UseDPDF=Y")</f>
        <v>0.77710000000000001</v>
      </c>
      <c r="J8" s="14">
        <f>_xll.BDH("RCOM IN Equity","RETURN_ON_ASSET","FY 2016","FY 2016","Currency=INR","Period=FY","BEST_FPERIOD_OVERRIDE=FY","FILING_STATUS=MR","EQY_CONSOLIDATED=Y","FA_ADJUSTED=GAAP","Sort=A","Dates=H","DateFormat=P","Fill=—","Direction=H","UseDPDF=Y")</f>
        <v>0.65049999999999997</v>
      </c>
      <c r="K8" s="14">
        <f>_xll.BDH("RCOM IN Equity","RETURN_ON_ASSET","FY 2017","FY 2017","Currency=INR","Period=FY","BEST_FPERIOD_OVERRIDE=FY","FILING_STATUS=MR","EQY_CONSOLIDATED=Y","FA_ADJUSTED=GAAP","Sort=A","Dates=H","DateFormat=P","Fill=—","Direction=H","UseDPDF=Y")</f>
        <v>-1.381</v>
      </c>
      <c r="L8" s="14">
        <f>_xll.BDH("RCOM IN Equity","RETURN_ON_ASSET","FY 2018","FY 2018","Currency=INR","Period=FY","BEST_FPERIOD_OVERRIDE=FY","FILING_STATUS=MR","EQY_CONSOLIDATED=Y","FA_ADJUSTED=GAAP","Sort=A","Dates=H","DateFormat=P","Fill=—","Direction=H","UseDPDF=Y")</f>
        <v>-27.352599999999999</v>
      </c>
    </row>
    <row r="9" spans="1:12">
      <c r="A9" s="10" t="s">
        <v>1426</v>
      </c>
      <c r="B9" s="10" t="s">
        <v>1427</v>
      </c>
      <c r="C9" s="14">
        <f>_xll.BDH("RCOM IN Equity","RETURN_ON_CAP","FY 2009","FY 2009","Currency=INR","Period=FY","BEST_FPERIOD_OVERRIDE=FY","FILING_STATUS=MR","EQY_CONSOLIDATED=Y","FA_ADJUSTED=GAAP","Sort=A","Dates=H","DateFormat=P","Fill=—","Direction=H","UseDPDF=Y")</f>
        <v>10.1165</v>
      </c>
      <c r="D9" s="14">
        <f>_xll.BDH("RCOM IN Equity","RETURN_ON_CAP","FY 2010","FY 2010","Currency=INR","Period=FY","BEST_FPERIOD_OVERRIDE=FY","FILING_STATUS=MR","EQY_CONSOLIDATED=Y","FA_ADJUSTED=GAAP","Sort=A","Dates=H","DateFormat=P","Fill=—","Direction=H","UseDPDF=Y")</f>
        <v>7.7031999999999998</v>
      </c>
      <c r="E9" s="14">
        <f>_xll.BDH("RCOM IN Equity","RETURN_ON_CAP","FY 2011","FY 2011","Currency=INR","Period=FY","BEST_FPERIOD_OVERRIDE=FY","FILING_STATUS=MR","EQY_CONSOLIDATED=Y","FA_ADJUSTED=GAAP","Sort=A","Dates=H","DateFormat=P","Fill=—","Direction=H","UseDPDF=Y")</f>
        <v>3.1011000000000002</v>
      </c>
      <c r="F9" s="14">
        <f>_xll.BDH("RCOM IN Equity","RETURN_ON_CAP","FY 2012","FY 2012","Currency=INR","Period=FY","BEST_FPERIOD_OVERRIDE=FY","FILING_STATUS=MR","EQY_CONSOLIDATED=Y","FA_ADJUSTED=GAAP","Sort=A","Dates=H","DateFormat=P","Fill=—","Direction=H","UseDPDF=Y")</f>
        <v>2.5495000000000001</v>
      </c>
      <c r="G9" s="14">
        <f>_xll.BDH("RCOM IN Equity","RETURN_ON_CAP","FY 2013","FY 2013","Currency=INR","Period=FY","BEST_FPERIOD_OVERRIDE=FY","FILING_STATUS=MR","EQY_CONSOLIDATED=Y","FA_ADJUSTED=GAAP","Sort=A","Dates=H","DateFormat=P","Fill=—","Direction=H","UseDPDF=Y")</f>
        <v>3.7111000000000001</v>
      </c>
      <c r="H9" s="14">
        <f>_xll.BDH("RCOM IN Equity","RETURN_ON_CAP","FY 2014","FY 2014","Currency=INR","Period=FY","BEST_FPERIOD_OVERRIDE=FY","FILING_STATUS=MR","EQY_CONSOLIDATED=Y","FA_ADJUSTED=GAAP","Sort=A","Dates=H","DateFormat=P","Fill=—","Direction=H","UseDPDF=Y")</f>
        <v>3.9238</v>
      </c>
      <c r="I9" s="14">
        <f>_xll.BDH("RCOM IN Equity","RETURN_ON_CAP","FY 2015","FY 2015","Currency=INR","Period=FY","BEST_FPERIOD_OVERRIDE=FY","FILING_STATUS=MR","EQY_CONSOLIDATED=Y","FA_ADJUSTED=GAAP","Sort=A","Dates=H","DateFormat=P","Fill=—","Direction=H","UseDPDF=Y")</f>
        <v>2.9005000000000001</v>
      </c>
      <c r="J9" s="14">
        <f>_xll.BDH("RCOM IN Equity","RETURN_ON_CAP","FY 2016","FY 2016","Currency=INR","Period=FY","BEST_FPERIOD_OVERRIDE=FY","FILING_STATUS=MR","EQY_CONSOLIDATED=Y","FA_ADJUSTED=GAAP","Sort=A","Dates=H","DateFormat=P","Fill=—","Direction=H","UseDPDF=Y")</f>
        <v>2.8258999999999999</v>
      </c>
      <c r="K9" s="14">
        <f>_xll.BDH("RCOM IN Equity","RETURN_ON_CAP","FY 2017","FY 2017","Currency=INR","Period=FY","BEST_FPERIOD_OVERRIDE=FY","FILING_STATUS=MR","EQY_CONSOLIDATED=Y","FA_ADJUSTED=GAAP","Sort=A","Dates=H","DateFormat=P","Fill=—","Direction=H","UseDPDF=Y")</f>
        <v>-1.4998</v>
      </c>
      <c r="L9" s="14">
        <f>_xll.BDH("RCOM IN Equity","RETURN_ON_CAP","FY 2018","FY 2018","Currency=INR","Period=FY","BEST_FPERIOD_OVERRIDE=FY","FILING_STATUS=MR","EQY_CONSOLIDATED=Y","FA_ADJUSTED=GAAP","Sort=A","Dates=H","DateFormat=P","Fill=—","Direction=H","UseDPDF=Y")</f>
        <v>-38.032600000000002</v>
      </c>
    </row>
    <row r="10" spans="1:12">
      <c r="A10" s="10" t="s">
        <v>1428</v>
      </c>
      <c r="B10" s="10" t="s">
        <v>1429</v>
      </c>
      <c r="C10" s="14">
        <f>_xll.BDH("RCOM IN Equity","RETURN_ON_INV_CAPITAL","FY 2009","FY 2009","Currency=INR","Period=FY","BEST_FPERIOD_OVERRIDE=FY","FILING_STATUS=MR","EQY_CONSOLIDATED=Y","FA_ADJUSTED=GAAP","Sort=A","Dates=H","DateFormat=P","Fill=—","Direction=H","UseDPDF=Y")</f>
        <v>8.0486000000000004</v>
      </c>
      <c r="D10" s="14">
        <f>_xll.BDH("RCOM IN Equity","RETURN_ON_INV_CAPITAL","FY 2010","FY 2010","Currency=INR","Period=FY","BEST_FPERIOD_OVERRIDE=FY","FILING_STATUS=MR","EQY_CONSOLIDATED=Y","FA_ADJUSTED=GAAP","Sort=A","Dates=H","DateFormat=P","Fill=—","Direction=H","UseDPDF=Y")</f>
        <v>4.0117000000000003</v>
      </c>
      <c r="E10" s="14">
        <f>_xll.BDH("RCOM IN Equity","RETURN_ON_INV_CAPITAL","FY 2011","FY 2011","Currency=INR","Period=FY","BEST_FPERIOD_OVERRIDE=FY","FILING_STATUS=MR","EQY_CONSOLIDATED=Y","FA_ADJUSTED=GAAP","Sort=A","Dates=H","DateFormat=P","Fill=—","Direction=H","UseDPDF=Y")</f>
        <v>2.577</v>
      </c>
      <c r="F10" s="14">
        <f>_xll.BDH("RCOM IN Equity","RETURN_ON_INV_CAPITAL","FY 2012","FY 2012","Currency=INR","Period=FY","BEST_FPERIOD_OVERRIDE=FY","FILING_STATUS=MR","EQY_CONSOLIDATED=Y","FA_ADJUSTED=GAAP","Sort=A","Dates=H","DateFormat=P","Fill=—","Direction=H","UseDPDF=Y")</f>
        <v>2.1128</v>
      </c>
      <c r="G10" s="14">
        <f>_xll.BDH("RCOM IN Equity","RETURN_ON_INV_CAPITAL","FY 2013","FY 2013","Currency=INR","Period=FY","BEST_FPERIOD_OVERRIDE=FY","FILING_STATUS=MR","EQY_CONSOLIDATED=Y","FA_ADJUSTED=GAAP","Sort=A","Dates=H","DateFormat=P","Fill=—","Direction=H","UseDPDF=Y")</f>
        <v>2.5863</v>
      </c>
      <c r="H10" s="14">
        <f>_xll.BDH("RCOM IN Equity","RETURN_ON_INV_CAPITAL","FY 2014","FY 2014","Currency=INR","Period=FY","BEST_FPERIOD_OVERRIDE=FY","FILING_STATUS=MR","EQY_CONSOLIDATED=Y","FA_ADJUSTED=GAAP","Sort=A","Dates=H","DateFormat=P","Fill=—","Direction=H","UseDPDF=Y")</f>
        <v>3.5592999999999999</v>
      </c>
      <c r="I10" s="14">
        <f>_xll.BDH("RCOM IN Equity","RETURN_ON_INV_CAPITAL","FY 2015","FY 2015","Currency=INR","Period=FY","BEST_FPERIOD_OVERRIDE=FY","FILING_STATUS=MR","EQY_CONSOLIDATED=Y","FA_ADJUSTED=GAAP","Sort=A","Dates=H","DateFormat=P","Fill=—","Direction=H","UseDPDF=Y")</f>
        <v>2.9590000000000001</v>
      </c>
      <c r="J10" s="14">
        <f>_xll.BDH("RCOM IN Equity","RETURN_ON_INV_CAPITAL","FY 2016","FY 2016","Currency=INR","Period=FY","BEST_FPERIOD_OVERRIDE=FY","FILING_STATUS=MR","EQY_CONSOLIDATED=Y","FA_ADJUSTED=GAAP","Sort=A","Dates=H","DateFormat=P","Fill=—","Direction=H","UseDPDF=Y")</f>
        <v>3.0663999999999998</v>
      </c>
      <c r="K10" s="14">
        <f>_xll.BDH("RCOM IN Equity","RETURN_ON_INV_CAPITAL","FY 2017","FY 2017","Currency=INR","Period=FY","BEST_FPERIOD_OVERRIDE=FY","FILING_STATUS=MR","EQY_CONSOLIDATED=Y","FA_ADJUSTED=GAAP","Sort=A","Dates=H","DateFormat=P","Fill=—","Direction=H","UseDPDF=Y")</f>
        <v>0.67569999999999997</v>
      </c>
      <c r="L10" s="14">
        <f>_xll.BDH("RCOM IN Equity","RETURN_ON_INV_CAPITAL","FY 2018","FY 2018","Currency=INR","Period=FY","BEST_FPERIOD_OVERRIDE=FY","FILING_STATUS=MR","EQY_CONSOLIDATED=Y","FA_ADJUSTED=GAAP","Sort=A","Dates=H","DateFormat=P","Fill=—","Direction=H","UseDPDF=Y")</f>
        <v>0.30649999999999999</v>
      </c>
    </row>
    <row r="11" spans="1:12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>
      <c r="A12" s="6" t="s">
        <v>1430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10" t="s">
        <v>608</v>
      </c>
      <c r="B13" s="10" t="s">
        <v>1431</v>
      </c>
      <c r="C13" s="14">
        <f>_xll.BDH("RCOM IN Equity","EBITDA_TO_REVENUE","FY 2009","FY 2009","Currency=INR","Period=FY","BEST_FPERIOD_OVERRIDE=FY","FILING_STATUS=MR","EQY_CONSOLIDATED=Y","FA_ADJUSTED=GAAP","Sort=A","Dates=H","DateFormat=P","Fill=—","Direction=H","UseDPDF=Y")</f>
        <v>42.0899</v>
      </c>
      <c r="D13" s="14">
        <f>_xll.BDH("RCOM IN Equity","EBITDA_TO_REVENUE","FY 2010","FY 2010","Currency=INR","Period=FY","BEST_FPERIOD_OVERRIDE=FY","FILING_STATUS=MR","EQY_CONSOLIDATED=Y","FA_ADJUSTED=GAAP","Sort=A","Dates=H","DateFormat=P","Fill=—","Direction=H","UseDPDF=Y")</f>
        <v>33.7879</v>
      </c>
      <c r="E13" s="14">
        <f>_xll.BDH("RCOM IN Equity","EBITDA_TO_REVENUE","FY 2011","FY 2011","Currency=INR","Period=FY","BEST_FPERIOD_OVERRIDE=FY","FILING_STATUS=MR","EQY_CONSOLIDATED=Y","FA_ADJUSTED=GAAP","Sort=A","Dates=H","DateFormat=P","Fill=—","Direction=H","UseDPDF=Y")</f>
        <v>37.9193</v>
      </c>
      <c r="F13" s="14">
        <f>_xll.BDH("RCOM IN Equity","EBITDA_TO_REVENUE","FY 2012","FY 2012","Currency=INR","Period=FY","BEST_FPERIOD_OVERRIDE=FY","FILING_STATUS=MR","EQY_CONSOLIDATED=Y","FA_ADJUSTED=GAAP","Sort=A","Dates=H","DateFormat=P","Fill=—","Direction=H","UseDPDF=Y")</f>
        <v>30.962800000000001</v>
      </c>
      <c r="G13" s="14">
        <f>_xll.BDH("RCOM IN Equity","EBITDA_TO_REVENUE","FY 2013","FY 2013","Currency=INR","Period=FY","BEST_FPERIOD_OVERRIDE=FY","FILING_STATUS=MR","EQY_CONSOLIDATED=Y","FA_ADJUSTED=GAAP","Sort=A","Dates=H","DateFormat=P","Fill=—","Direction=H","UseDPDF=Y")</f>
        <v>30.792000000000002</v>
      </c>
      <c r="H13" s="14">
        <f>_xll.BDH("RCOM IN Equity","EBITDA_TO_REVENUE","FY 2014","FY 2014","Currency=INR","Period=FY","BEST_FPERIOD_OVERRIDE=FY","FILING_STATUS=MR","EQY_CONSOLIDATED=Y","FA_ADJUSTED=GAAP","Sort=A","Dates=H","DateFormat=P","Fill=—","Direction=H","UseDPDF=Y")</f>
        <v>32.024799999999999</v>
      </c>
      <c r="I13" s="14">
        <f>_xll.BDH("RCOM IN Equity","EBITDA_TO_REVENUE","FY 2015","FY 2015","Currency=INR","Period=FY","BEST_FPERIOD_OVERRIDE=FY","FILING_STATUS=MR","EQY_CONSOLIDATED=Y","FA_ADJUSTED=GAAP","Sort=A","Dates=H","DateFormat=P","Fill=—","Direction=H","UseDPDF=Y")</f>
        <v>33.636699999999998</v>
      </c>
      <c r="J13" s="14">
        <f>_xll.BDH("RCOM IN Equity","EBITDA_TO_REVENUE","FY 2016","FY 2016","Currency=INR","Period=FY","BEST_FPERIOD_OVERRIDE=FY","FILING_STATUS=MR","EQY_CONSOLIDATED=Y","FA_ADJUSTED=GAAP","Sort=A","Dates=H","DateFormat=P","Fill=—","Direction=H","UseDPDF=Y")</f>
        <v>33.390099999999997</v>
      </c>
      <c r="K13" s="14">
        <f>_xll.BDH("RCOM IN Equity","EBITDA_TO_REVENUE","FY 2017","FY 2017","Currency=INR","Period=FY","BEST_FPERIOD_OVERRIDE=FY","FILING_STATUS=MR","EQY_CONSOLIDATED=Y","FA_ADJUSTED=GAAP","Sort=A","Dates=H","DateFormat=P","Fill=—","Direction=H","UseDPDF=Y")</f>
        <v>71.116900000000001</v>
      </c>
      <c r="L13" s="14">
        <f>_xll.BDH("RCOM IN Equity","EBITDA_TO_REVENUE","FY 2018","FY 2018","Currency=INR","Period=FY","BEST_FPERIOD_OVERRIDE=FY","FILING_STATUS=MR","EQY_CONSOLIDATED=Y","FA_ADJUSTED=GAAP","Sort=A","Dates=H","DateFormat=P","Fill=—","Direction=H","UseDPDF=Y")</f>
        <v>67.711699999999993</v>
      </c>
    </row>
    <row r="14" spans="1:12">
      <c r="A14" s="10" t="s">
        <v>358</v>
      </c>
      <c r="B14" s="10" t="s">
        <v>359</v>
      </c>
      <c r="C14" s="14">
        <f>_xll.BDH("RCOM IN Equity","OPER_MARGIN","FY 2009","FY 2009","Currency=INR","Period=FY","BEST_FPERIOD_OVERRIDE=FY","FILING_STATUS=MR","EQY_CONSOLIDATED=Y","FA_ADJUSTED=GAAP","Sort=A","Dates=H","DateFormat=P","Fill=—","Direction=H","UseDPDF=Y")</f>
        <v>24.697500000000002</v>
      </c>
      <c r="D14" s="14">
        <f>_xll.BDH("RCOM IN Equity","OPER_MARGIN","FY 2010","FY 2010","Currency=INR","Period=FY","BEST_FPERIOD_OVERRIDE=FY","FILING_STATUS=MR","EQY_CONSOLIDATED=Y","FA_ADJUSTED=GAAP","Sort=A","Dates=H","DateFormat=P","Fill=—","Direction=H","UseDPDF=Y")</f>
        <v>15.675699999999999</v>
      </c>
      <c r="E14" s="14">
        <f>_xll.BDH("RCOM IN Equity","OPER_MARGIN","FY 2011","FY 2011","Currency=INR","Period=FY","BEST_FPERIOD_OVERRIDE=FY","FILING_STATUS=MR","EQY_CONSOLIDATED=Y","FA_ADJUSTED=GAAP","Sort=A","Dates=H","DateFormat=P","Fill=—","Direction=H","UseDPDF=Y")</f>
        <v>8.4748000000000001</v>
      </c>
      <c r="F14" s="14">
        <f>_xll.BDH("RCOM IN Equity","OPER_MARGIN","FY 2012","FY 2012","Currency=INR","Period=FY","BEST_FPERIOD_OVERRIDE=FY","FILING_STATUS=MR","EQY_CONSOLIDATED=Y","FA_ADJUSTED=GAAP","Sort=A","Dates=H","DateFormat=P","Fill=—","Direction=H","UseDPDF=Y")</f>
        <v>9.7082999999999995</v>
      </c>
      <c r="G14" s="14">
        <f>_xll.BDH("RCOM IN Equity","OPER_MARGIN","FY 2013","FY 2013","Currency=INR","Period=FY","BEST_FPERIOD_OVERRIDE=FY","FILING_STATUS=MR","EQY_CONSOLIDATED=Y","FA_ADJUSTED=GAAP","Sort=A","Dates=H","DateFormat=P","Fill=—","Direction=H","UseDPDF=Y")</f>
        <v>10.8635</v>
      </c>
      <c r="H14" s="14">
        <f>_xll.BDH("RCOM IN Equity","OPER_MARGIN","FY 2014","FY 2014","Currency=INR","Period=FY","BEST_FPERIOD_OVERRIDE=FY","FILING_STATUS=MR","EQY_CONSOLIDATED=Y","FA_ADJUSTED=GAAP","Sort=A","Dates=H","DateFormat=P","Fill=—","Direction=H","UseDPDF=Y")</f>
        <v>10.367699999999999</v>
      </c>
      <c r="I14" s="14">
        <f>_xll.BDH("RCOM IN Equity","OPER_MARGIN","FY 2015","FY 2015","Currency=INR","Period=FY","BEST_FPERIOD_OVERRIDE=FY","FILING_STATUS=MR","EQY_CONSOLIDATED=Y","FA_ADJUSTED=GAAP","Sort=A","Dates=H","DateFormat=P","Fill=—","Direction=H","UseDPDF=Y")</f>
        <v>15.8194</v>
      </c>
      <c r="J14" s="14">
        <f>_xll.BDH("RCOM IN Equity","OPER_MARGIN","FY 2016","FY 2016","Currency=INR","Period=FY","BEST_FPERIOD_OVERRIDE=FY","FILING_STATUS=MR","EQY_CONSOLIDATED=Y","FA_ADJUSTED=GAAP","Sort=A","Dates=H","DateFormat=P","Fill=—","Direction=H","UseDPDF=Y")</f>
        <v>12.767300000000001</v>
      </c>
      <c r="K14" s="14">
        <f>_xll.BDH("RCOM IN Equity","OPER_MARGIN","FY 2017","FY 2017","Currency=INR","Period=FY","BEST_FPERIOD_OVERRIDE=FY","FILING_STATUS=MR","EQY_CONSOLIDATED=Y","FA_ADJUSTED=GAAP","Sort=A","Dates=H","DateFormat=P","Fill=—","Direction=H","UseDPDF=Y")</f>
        <v>6.7134999999999998</v>
      </c>
      <c r="L14" s="14">
        <f>_xll.BDH("RCOM IN Equity","OPER_MARGIN","FY 2018","FY 2018","Currency=INR","Period=FY","BEST_FPERIOD_OVERRIDE=FY","FILING_STATUS=MR","EQY_CONSOLIDATED=Y","FA_ADJUSTED=GAAP","Sort=A","Dates=H","DateFormat=P","Fill=—","Direction=H","UseDPDF=Y")</f>
        <v>5.2907000000000002</v>
      </c>
    </row>
    <row r="15" spans="1:12">
      <c r="A15" s="10" t="s">
        <v>1432</v>
      </c>
      <c r="B15" s="10" t="s">
        <v>1433</v>
      </c>
      <c r="C15" s="14">
        <f>_xll.BDH("RCOM IN Equity","INCREMENTAL_OPERATING_MARGIN","FY 2009","FY 2009","Currency=INR","Period=FY","BEST_FPERIOD_OVERRIDE=FY","FILING_STATUS=MR","EQY_CONSOLIDATED=Y","FA_ADJUSTED=GAAP","Sort=A","Dates=H","DateFormat=P","Fill=—","Direction=H","UseDPDF=Y")</f>
        <v>30.4407</v>
      </c>
      <c r="D15" s="14">
        <f>_xll.BDH("RCOM IN Equity","INCREMENTAL_OPERATING_MARGIN","FY 2010","FY 2010","Currency=INR","Period=FY","BEST_FPERIOD_OVERRIDE=FY","FILING_STATUS=MR","EQY_CONSOLIDATED=Y","FA_ADJUSTED=GAAP","Sort=A","Dates=H","DateFormat=P","Fill=—","Direction=H","UseDPDF=Y")</f>
        <v>-3250</v>
      </c>
      <c r="E15" s="14" t="str">
        <f>_xll.BDH("RCOM IN Equity","INCREMENTAL_OPERATING_MARGIN","FY 2011","FY 2011","Currency=INR","Period=FY","BEST_FPERIOD_OVERRIDE=FY","FILING_STATUS=MR","EQY_CONSOLIDATED=Y","FA_ADJUSTED=GAAP","Sort=A","Dates=H","DateFormat=P","Fill=—","Direction=H","UseDPDF=Y")</f>
        <v>—</v>
      </c>
      <c r="F15" s="14">
        <f>_xll.BDH("RCOM IN Equity","INCREMENTAL_OPERATING_MARGIN","FY 2012","FY 2012","Currency=INR","Period=FY","BEST_FPERIOD_OVERRIDE=FY","FILING_STATUS=MR","EQY_CONSOLIDATED=Y","FA_ADJUSTED=GAAP","Sort=A","Dates=H","DateFormat=P","Fill=—","Direction=H","UseDPDF=Y")</f>
        <v>-1.6306</v>
      </c>
      <c r="G15" s="14">
        <f>_xll.BDH("RCOM IN Equity","INCREMENTAL_OPERATING_MARGIN","FY 2013","FY 2013","Currency=INR","Period=FY","BEST_FPERIOD_OVERRIDE=FY","FILING_STATUS=MR","EQY_CONSOLIDATED=Y","FA_ADJUSTED=GAAP","Sort=A","Dates=H","DateFormat=P","Fill=—","Direction=H","UseDPDF=Y")</f>
        <v>48.2699</v>
      </c>
      <c r="H15" s="14">
        <f>_xll.BDH("RCOM IN Equity","INCREMENTAL_OPERATING_MARGIN","FY 2014","FY 2014","Currency=INR","Period=FY","BEST_FPERIOD_OVERRIDE=FY","FILING_STATUS=MR","EQY_CONSOLIDATED=Y","FA_ADJUSTED=GAAP","Sort=A","Dates=H","DateFormat=P","Fill=—","Direction=H","UseDPDF=Y")</f>
        <v>4.5564999999999998</v>
      </c>
      <c r="I15" s="14">
        <f>_xll.BDH("RCOM IN Equity","INCREMENTAL_OPERATING_MARGIN","FY 2015","FY 2015","Currency=INR","Period=FY","BEST_FPERIOD_OVERRIDE=FY","FILING_STATUS=MR","EQY_CONSOLIDATED=Y","FA_ADJUSTED=GAAP","Sort=A","Dates=H","DateFormat=P","Fill=—","Direction=H","UseDPDF=Y")</f>
        <v>252.1739</v>
      </c>
      <c r="J15" s="14" t="str">
        <f>_xll.BDH("RCOM IN Equity","INCREMENTAL_OPERATING_MARGIN","FY 2016","FY 2016","Currency=INR","Period=FY","BEST_FPERIOD_OVERRIDE=FY","FILING_STATUS=MR","EQY_CONSOLIDATED=Y","FA_ADJUSTED=GAAP","Sort=A","Dates=H","DateFormat=P","Fill=—","Direction=H","UseDPDF=Y")</f>
        <v>—</v>
      </c>
      <c r="K15" s="14">
        <f>_xll.BDH("RCOM IN Equity","INCREMENTAL_OPERATING_MARGIN","FY 2017","FY 2017","Currency=INR","Period=FY","BEST_FPERIOD_OVERRIDE=FY","FILING_STATUS=MR","EQY_CONSOLIDATED=Y","FA_ADJUSTED=GAAP","Sort=A","Dates=H","DateFormat=P","Fill=—","Direction=H","UseDPDF=Y")</f>
        <v>-15.3796</v>
      </c>
      <c r="L15" s="14">
        <f>_xll.BDH("RCOM IN Equity","INCREMENTAL_OPERATING_MARGIN","FY 2018","FY 2018","Currency=INR","Period=FY","BEST_FPERIOD_OVERRIDE=FY","FILING_STATUS=MR","EQY_CONSOLIDATED=Y","FA_ADJUSTED=GAAP","Sort=A","Dates=H","DateFormat=P","Fill=—","Direction=H","UseDPDF=Y")</f>
        <v>-10.0459</v>
      </c>
    </row>
    <row r="16" spans="1:12">
      <c r="A16" s="10" t="s">
        <v>1434</v>
      </c>
      <c r="B16" s="10" t="s">
        <v>1435</v>
      </c>
      <c r="C16" s="14">
        <f>_xll.BDH("RCOM IN Equity","PRETAX_INC_TO_NET_SALES","FY 2009","FY 2009","Currency=INR","Period=FY","BEST_FPERIOD_OVERRIDE=FY","FILING_STATUS=MR","EQY_CONSOLIDATED=Y","FA_ADJUSTED=GAAP","Sort=A","Dates=H","DateFormat=P","Fill=—","Direction=H","UseDPDF=Y")</f>
        <v>29.873899999999999</v>
      </c>
      <c r="D16" s="14">
        <f>_xll.BDH("RCOM IN Equity","PRETAX_INC_TO_NET_SALES","FY 2010","FY 2010","Currency=INR","Period=FY","BEST_FPERIOD_OVERRIDE=FY","FILING_STATUS=MR","EQY_CONSOLIDATED=Y","FA_ADJUSTED=GAAP","Sort=A","Dates=H","DateFormat=P","Fill=—","Direction=H","UseDPDF=Y")</f>
        <v>25.249300000000002</v>
      </c>
      <c r="E16" s="14">
        <f>_xll.BDH("RCOM IN Equity","PRETAX_INC_TO_NET_SALES","FY 2011","FY 2011","Currency=INR","Period=FY","BEST_FPERIOD_OVERRIDE=FY","FILING_STATUS=MR","EQY_CONSOLIDATED=Y","FA_ADJUSTED=GAAP","Sort=A","Dates=H","DateFormat=P","Fill=—","Direction=H","UseDPDF=Y")</f>
        <v>6.8677000000000001</v>
      </c>
      <c r="F16" s="14">
        <f>_xll.BDH("RCOM IN Equity","PRETAX_INC_TO_NET_SALES","FY 2012","FY 2012","Currency=INR","Period=FY","BEST_FPERIOD_OVERRIDE=FY","FILING_STATUS=MR","EQY_CONSOLIDATED=Y","FA_ADJUSTED=GAAP","Sort=A","Dates=H","DateFormat=P","Fill=—","Direction=H","UseDPDF=Y")</f>
        <v>4.7125000000000004</v>
      </c>
      <c r="G16" s="14">
        <f>_xll.BDH("RCOM IN Equity","PRETAX_INC_TO_NET_SALES","FY 2013","FY 2013","Currency=INR","Period=FY","BEST_FPERIOD_OVERRIDE=FY","FILING_STATUS=MR","EQY_CONSOLIDATED=Y","FA_ADJUSTED=GAAP","Sort=A","Dates=H","DateFormat=P","Fill=—","Direction=H","UseDPDF=Y")</f>
        <v>4.2241</v>
      </c>
      <c r="H16" s="14">
        <f>_xll.BDH("RCOM IN Equity","PRETAX_INC_TO_NET_SALES","FY 2014","FY 2014","Currency=INR","Period=FY","BEST_FPERIOD_OVERRIDE=FY","FILING_STATUS=MR","EQY_CONSOLIDATED=Y","FA_ADJUSTED=GAAP","Sort=A","Dates=H","DateFormat=P","Fill=—","Direction=H","UseDPDF=Y")</f>
        <v>0.55400000000000005</v>
      </c>
      <c r="I16" s="14">
        <f>_xll.BDH("RCOM IN Equity","PRETAX_INC_TO_NET_SALES","FY 2015","FY 2015","Currency=INR","Period=FY","BEST_FPERIOD_OVERRIDE=FY","FILING_STATUS=MR","EQY_CONSOLIDATED=Y","FA_ADJUSTED=GAAP","Sort=A","Dates=H","DateFormat=P","Fill=—","Direction=H","UseDPDF=Y")</f>
        <v>4.4157999999999999</v>
      </c>
      <c r="J16" s="14">
        <f>_xll.BDH("RCOM IN Equity","PRETAX_INC_TO_NET_SALES","FY 2016","FY 2016","Currency=INR","Period=FY","BEST_FPERIOD_OVERRIDE=FY","FILING_STATUS=MR","EQY_CONSOLIDATED=Y","FA_ADJUSTED=GAAP","Sort=A","Dates=H","DateFormat=P","Fill=—","Direction=H","UseDPDF=Y")</f>
        <v>1.0669999999999999</v>
      </c>
      <c r="K16" s="14">
        <f>_xll.BDH("RCOM IN Equity","PRETAX_INC_TO_NET_SALES","FY 2017","FY 2017","Currency=INR","Period=FY","BEST_FPERIOD_OVERRIDE=FY","FILING_STATUS=MR","EQY_CONSOLIDATED=Y","FA_ADJUSTED=GAAP","Sort=A","Dates=H","DateFormat=P","Fill=—","Direction=H","UseDPDF=Y")</f>
        <v>2.3650000000000002</v>
      </c>
      <c r="L16" s="14">
        <f>_xll.BDH("RCOM IN Equity","PRETAX_INC_TO_NET_SALES","FY 2018","FY 2018","Currency=INR","Period=FY","BEST_FPERIOD_OVERRIDE=FY","FILING_STATUS=MR","EQY_CONSOLIDATED=Y","FA_ADJUSTED=GAAP","Sort=A","Dates=H","DateFormat=P","Fill=—","Direction=H","UseDPDF=Y")</f>
        <v>-6.5299999999999997E-2</v>
      </c>
    </row>
    <row r="17" spans="1:12">
      <c r="A17" s="10" t="s">
        <v>1436</v>
      </c>
      <c r="B17" s="10" t="s">
        <v>1437</v>
      </c>
      <c r="C17" s="14">
        <f>_xll.BDH("RCOM IN Equity","INC_BEF_XO_ITEMS_TO_NET_SALES","FY 2009","FY 2009","Currency=INR","Period=FY","BEST_FPERIOD_OVERRIDE=FY","FILING_STATUS=MR","EQY_CONSOLIDATED=Y","FA_ADJUSTED=GAAP","Sort=A","Dates=H","DateFormat=P","Fill=—","Direction=H","UseDPDF=Y")</f>
        <v>30.1313</v>
      </c>
      <c r="D17" s="14">
        <f>_xll.BDH("RCOM IN Equity","INC_BEF_XO_ITEMS_TO_NET_SALES","FY 2010","FY 2010","Currency=INR","Period=FY","BEST_FPERIOD_OVERRIDE=FY","FILING_STATUS=MR","EQY_CONSOLIDATED=Y","FA_ADJUSTED=GAAP","Sort=A","Dates=H","DateFormat=P","Fill=—","Direction=H","UseDPDF=Y")</f>
        <v>23.0807</v>
      </c>
      <c r="E17" s="14">
        <f>_xll.BDH("RCOM IN Equity","INC_BEF_XO_ITEMS_TO_NET_SALES","FY 2011","FY 2011","Currency=INR","Period=FY","BEST_FPERIOD_OVERRIDE=FY","FILING_STATUS=MR","EQY_CONSOLIDATED=Y","FA_ADJUSTED=GAAP","Sort=A","Dates=H","DateFormat=P","Fill=—","Direction=H","UseDPDF=Y")</f>
        <v>6.7681000000000004</v>
      </c>
      <c r="F17" s="14">
        <f>_xll.BDH("RCOM IN Equity","INC_BEF_XO_ITEMS_TO_NET_SALES","FY 2012","FY 2012","Currency=INR","Period=FY","BEST_FPERIOD_OVERRIDE=FY","FILING_STATUS=MR","EQY_CONSOLIDATED=Y","FA_ADJUSTED=GAAP","Sort=A","Dates=H","DateFormat=P","Fill=—","Direction=H","UseDPDF=Y")</f>
        <v>5.2842000000000002</v>
      </c>
      <c r="G17" s="14">
        <f>_xll.BDH("RCOM IN Equity","INC_BEF_XO_ITEMS_TO_NET_SALES","FY 2013","FY 2013","Currency=INR","Period=FY","BEST_FPERIOD_OVERRIDE=FY","FILING_STATUS=MR","EQY_CONSOLIDATED=Y","FA_ADJUSTED=GAAP","Sort=A","Dates=H","DateFormat=P","Fill=—","Direction=H","UseDPDF=Y")</f>
        <v>3.8613</v>
      </c>
      <c r="H17" s="14">
        <f>_xll.BDH("RCOM IN Equity","INC_BEF_XO_ITEMS_TO_NET_SALES","FY 2014","FY 2014","Currency=INR","Period=FY","BEST_FPERIOD_OVERRIDE=FY","FILING_STATUS=MR","EQY_CONSOLIDATED=Y","FA_ADJUSTED=GAAP","Sort=A","Dates=H","DateFormat=P","Fill=—","Direction=H","UseDPDF=Y")</f>
        <v>5.4394</v>
      </c>
      <c r="I17" s="14">
        <f>_xll.BDH("RCOM IN Equity","INC_BEF_XO_ITEMS_TO_NET_SALES","FY 2015","FY 2015","Currency=INR","Period=FY","BEST_FPERIOD_OVERRIDE=FY","FILING_STATUS=MR","EQY_CONSOLIDATED=Y","FA_ADJUSTED=GAAP","Sort=A","Dates=H","DateFormat=P","Fill=—","Direction=H","UseDPDF=Y")</f>
        <v>2.9081000000000001</v>
      </c>
      <c r="J17" s="14">
        <f>_xll.BDH("RCOM IN Equity","INC_BEF_XO_ITEMS_TO_NET_SALES","FY 2016","FY 2016","Currency=INR","Period=FY","BEST_FPERIOD_OVERRIDE=FY","FILING_STATUS=MR","EQY_CONSOLIDATED=Y","FA_ADJUSTED=GAAP","Sort=A","Dates=H","DateFormat=P","Fill=—","Direction=H","UseDPDF=Y")</f>
        <v>3.0354999999999999</v>
      </c>
      <c r="K17" s="14">
        <f>_xll.BDH("RCOM IN Equity","INC_BEF_XO_ITEMS_TO_NET_SALES","FY 2017","FY 2017","Currency=INR","Period=FY","BEST_FPERIOD_OVERRIDE=FY","FILING_STATUS=MR","EQY_CONSOLIDATED=Y","FA_ADJUSTED=GAAP","Sort=A","Dates=H","DateFormat=P","Fill=—","Direction=H","UseDPDF=Y")</f>
        <v>3.7382</v>
      </c>
      <c r="L17" s="14">
        <f>_xll.BDH("RCOM IN Equity","INC_BEF_XO_ITEMS_TO_NET_SALES","FY 2018","FY 2018","Currency=INR","Period=FY","BEST_FPERIOD_OVERRIDE=FY","FILING_STATUS=MR","EQY_CONSOLIDATED=Y","FA_ADJUSTED=GAAP","Sort=A","Dates=H","DateFormat=P","Fill=—","Direction=H","UseDPDF=Y")</f>
        <v>-0.41370000000000001</v>
      </c>
    </row>
    <row r="18" spans="1:12">
      <c r="A18" s="10" t="s">
        <v>1438</v>
      </c>
      <c r="B18" s="10" t="s">
        <v>361</v>
      </c>
      <c r="C18" s="14">
        <f>_xll.BDH("RCOM IN Equity","PROF_MARGIN","FY 2009","FY 2009","Currency=INR","Period=FY","BEST_FPERIOD_OVERRIDE=FY","FILING_STATUS=MR","EQY_CONSOLIDATED=Y","FA_ADJUSTED=GAAP","Sort=A","Dates=H","DateFormat=P","Fill=—","Direction=H","UseDPDF=Y")</f>
        <v>29.142199999999999</v>
      </c>
      <c r="D18" s="14">
        <f>_xll.BDH("RCOM IN Equity","PROF_MARGIN","FY 2010","FY 2010","Currency=INR","Period=FY","BEST_FPERIOD_OVERRIDE=FY","FILING_STATUS=MR","EQY_CONSOLIDATED=Y","FA_ADJUSTED=GAAP","Sort=A","Dates=H","DateFormat=P","Fill=—","Direction=H","UseDPDF=Y")</f>
        <v>22.504200000000001</v>
      </c>
      <c r="E18" s="14">
        <f>_xll.BDH("RCOM IN Equity","PROF_MARGIN","FY 2011","FY 2011","Currency=INR","Period=FY","BEST_FPERIOD_OVERRIDE=FY","FILING_STATUS=MR","EQY_CONSOLIDATED=Y","FA_ADJUSTED=GAAP","Sort=A","Dates=H","DateFormat=P","Fill=—","Direction=H","UseDPDF=Y")</f>
        <v>6.0890000000000004</v>
      </c>
      <c r="F18" s="14">
        <f>_xll.BDH("RCOM IN Equity","PROF_MARGIN","FY 2012","FY 2012","Currency=INR","Period=FY","BEST_FPERIOD_OVERRIDE=FY","FILING_STATUS=MR","EQY_CONSOLIDATED=Y","FA_ADJUSTED=GAAP","Sort=A","Dates=H","DateFormat=P","Fill=—","Direction=H","UseDPDF=Y")</f>
        <v>4.9583000000000004</v>
      </c>
      <c r="G18" s="14">
        <f>_xll.BDH("RCOM IN Equity","PROF_MARGIN","FY 2013","FY 2013","Currency=INR","Period=FY","BEST_FPERIOD_OVERRIDE=FY","FILING_STATUS=MR","EQY_CONSOLIDATED=Y","FA_ADJUSTED=GAAP","Sort=A","Dates=H","DateFormat=P","Fill=—","Direction=H","UseDPDF=Y")</f>
        <v>3.4828999999999999</v>
      </c>
      <c r="H18" s="14">
        <f>_xll.BDH("RCOM IN Equity","PROF_MARGIN","FY 2014","FY 2014","Currency=INR","Period=FY","BEST_FPERIOD_OVERRIDE=FY","FILING_STATUS=MR","EQY_CONSOLIDATED=Y","FA_ADJUSTED=GAAP","Sort=A","Dates=H","DateFormat=P","Fill=—","Direction=H","UseDPDF=Y")</f>
        <v>5</v>
      </c>
      <c r="I18" s="14">
        <f>_xll.BDH("RCOM IN Equity","PROF_MARGIN","FY 2015","FY 2015","Currency=INR","Period=FY","BEST_FPERIOD_OVERRIDE=FY","FILING_STATUS=MR","EQY_CONSOLIDATED=Y","FA_ADJUSTED=GAAP","Sort=A","Dates=H","DateFormat=P","Fill=—","Direction=H","UseDPDF=Y")</f>
        <v>3.3329</v>
      </c>
      <c r="J18" s="14">
        <f>_xll.BDH("RCOM IN Equity","PROF_MARGIN","FY 2016","FY 2016","Currency=INR","Period=FY","BEST_FPERIOD_OVERRIDE=FY","FILING_STATUS=MR","EQY_CONSOLIDATED=Y","FA_ADJUSTED=GAAP","Sort=A","Dates=H","DateFormat=P","Fill=—","Direction=H","UseDPDF=Y")</f>
        <v>2.9388999999999998</v>
      </c>
      <c r="K18" s="14">
        <f>_xll.BDH("RCOM IN Equity","PROF_MARGIN","FY 2017","FY 2017","Currency=INR","Period=FY","BEST_FPERIOD_OVERRIDE=FY","FILING_STATUS=MR","EQY_CONSOLIDATED=Y","FA_ADJUSTED=GAAP","Sort=A","Dates=H","DateFormat=P","Fill=—","Direction=H","UseDPDF=Y")</f>
        <v>-21.4068</v>
      </c>
      <c r="L18" s="14">
        <f>_xll.BDH("RCOM IN Equity","PROF_MARGIN","FY 2018","FY 2018","Currency=INR","Period=FY","BEST_FPERIOD_OVERRIDE=FY","FILING_STATUS=MR","EQY_CONSOLIDATED=Y","FA_ADJUSTED=GAAP","Sort=A","Dates=H","DateFormat=P","Fill=—","Direction=H","UseDPDF=Y")</f>
        <v>-519.029</v>
      </c>
    </row>
    <row r="19" spans="1:12">
      <c r="A19" s="10" t="s">
        <v>1439</v>
      </c>
      <c r="B19" s="10" t="s">
        <v>1440</v>
      </c>
      <c r="C19" s="14">
        <f>_xll.BDH("RCOM IN Equity","NET_INCOME_TO_COMMON_MARGIN","FY 2009","FY 2009","Currency=INR","Period=FY","BEST_FPERIOD_OVERRIDE=FY","FILING_STATUS=MR","EQY_CONSOLIDATED=Y","FA_ADJUSTED=GAAP","Sort=A","Dates=H","DateFormat=P","Fill=—","Direction=H","UseDPDF=Y")</f>
        <v>29.142199999999999</v>
      </c>
      <c r="D19" s="14">
        <f>_xll.BDH("RCOM IN Equity","NET_INCOME_TO_COMMON_MARGIN","FY 2010","FY 2010","Currency=INR","Period=FY","BEST_FPERIOD_OVERRIDE=FY","FILING_STATUS=MR","EQY_CONSOLIDATED=Y","FA_ADJUSTED=GAAP","Sort=A","Dates=H","DateFormat=P","Fill=—","Direction=H","UseDPDF=Y")</f>
        <v>22.504200000000001</v>
      </c>
      <c r="E19" s="14">
        <f>_xll.BDH("RCOM IN Equity","NET_INCOME_TO_COMMON_MARGIN","FY 2011","FY 2011","Currency=INR","Period=FY","BEST_FPERIOD_OVERRIDE=FY","FILING_STATUS=MR","EQY_CONSOLIDATED=Y","FA_ADJUSTED=GAAP","Sort=A","Dates=H","DateFormat=P","Fill=—","Direction=H","UseDPDF=Y")</f>
        <v>6.0890000000000004</v>
      </c>
      <c r="F19" s="14">
        <f>_xll.BDH("RCOM IN Equity","NET_INCOME_TO_COMMON_MARGIN","FY 2012","FY 2012","Currency=INR","Period=FY","BEST_FPERIOD_OVERRIDE=FY","FILING_STATUS=MR","EQY_CONSOLIDATED=Y","FA_ADJUSTED=GAAP","Sort=A","Dates=H","DateFormat=P","Fill=—","Direction=H","UseDPDF=Y")</f>
        <v>4.9583000000000004</v>
      </c>
      <c r="G19" s="14">
        <f>_xll.BDH("RCOM IN Equity","NET_INCOME_TO_COMMON_MARGIN","FY 2013","FY 2013","Currency=INR","Period=FY","BEST_FPERIOD_OVERRIDE=FY","FILING_STATUS=MR","EQY_CONSOLIDATED=Y","FA_ADJUSTED=GAAP","Sort=A","Dates=H","DateFormat=P","Fill=—","Direction=H","UseDPDF=Y")</f>
        <v>3.4828999999999999</v>
      </c>
      <c r="H19" s="14">
        <f>_xll.BDH("RCOM IN Equity","NET_INCOME_TO_COMMON_MARGIN","FY 2014","FY 2014","Currency=INR","Period=FY","BEST_FPERIOD_OVERRIDE=FY","FILING_STATUS=MR","EQY_CONSOLIDATED=Y","FA_ADJUSTED=GAAP","Sort=A","Dates=H","DateFormat=P","Fill=—","Direction=H","UseDPDF=Y")</f>
        <v>5</v>
      </c>
      <c r="I19" s="14">
        <f>_xll.BDH("RCOM IN Equity","NET_INCOME_TO_COMMON_MARGIN","FY 2015","FY 2015","Currency=INR","Period=FY","BEST_FPERIOD_OVERRIDE=FY","FILING_STATUS=MR","EQY_CONSOLIDATED=Y","FA_ADJUSTED=GAAP","Sort=A","Dates=H","DateFormat=P","Fill=—","Direction=H","UseDPDF=Y")</f>
        <v>3.3329</v>
      </c>
      <c r="J19" s="14">
        <f>_xll.BDH("RCOM IN Equity","NET_INCOME_TO_COMMON_MARGIN","FY 2016","FY 2016","Currency=INR","Period=FY","BEST_FPERIOD_OVERRIDE=FY","FILING_STATUS=MR","EQY_CONSOLIDATED=Y","FA_ADJUSTED=GAAP","Sort=A","Dates=H","DateFormat=P","Fill=—","Direction=H","UseDPDF=Y")</f>
        <v>2.9388999999999998</v>
      </c>
      <c r="K19" s="14">
        <f>_xll.BDH("RCOM IN Equity","NET_INCOME_TO_COMMON_MARGIN","FY 2017","FY 2017","Currency=INR","Period=FY","BEST_FPERIOD_OVERRIDE=FY","FILING_STATUS=MR","EQY_CONSOLIDATED=Y","FA_ADJUSTED=GAAP","Sort=A","Dates=H","DateFormat=P","Fill=—","Direction=H","UseDPDF=Y")</f>
        <v>-21.4068</v>
      </c>
      <c r="L19" s="14">
        <f>_xll.BDH("RCOM IN Equity","NET_INCOME_TO_COMMON_MARGIN","FY 2018","FY 2018","Currency=INR","Period=FY","BEST_FPERIOD_OVERRIDE=FY","FILING_STATUS=MR","EQY_CONSOLIDATED=Y","FA_ADJUSTED=GAAP","Sort=A","Dates=H","DateFormat=P","Fill=—","Direction=H","UseDPDF=Y")</f>
        <v>-519.029</v>
      </c>
    </row>
    <row r="20" spans="1:12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>
      <c r="A21" s="6" t="s">
        <v>1441</v>
      </c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10" t="s">
        <v>1442</v>
      </c>
      <c r="B22" s="10" t="s">
        <v>1443</v>
      </c>
      <c r="C22" s="14" t="str">
        <f>_xll.BDH("RCOM IN Equity","EFF_TAX_RATE","FY 2009","FY 2009","Currency=INR","Period=FY","BEST_FPERIOD_OVERRIDE=FY","FILING_STATUS=MR","EQY_CONSOLIDATED=Y","FA_ADJUSTED=GAAP","Sort=A","Dates=H","DateFormat=P","Fill=—","Direction=H","UseDPDF=Y")</f>
        <v>—</v>
      </c>
      <c r="D22" s="14">
        <f>_xll.BDH("RCOM IN Equity","EFF_TAX_RATE","FY 2010","FY 2010","Currency=INR","Period=FY","BEST_FPERIOD_OVERRIDE=FY","FILING_STATUS=MR","EQY_CONSOLIDATED=Y","FA_ADJUSTED=GAAP","Sort=A","Dates=H","DateFormat=P","Fill=—","Direction=H","UseDPDF=Y")</f>
        <v>8.5277999999999992</v>
      </c>
      <c r="E22" s="14">
        <f>_xll.BDH("RCOM IN Equity","EFF_TAX_RATE","FY 2011","FY 2011","Currency=INR","Period=FY","BEST_FPERIOD_OVERRIDE=FY","FILING_STATUS=MR","EQY_CONSOLIDATED=Y","FA_ADJUSTED=GAAP","Sort=A","Dates=H","DateFormat=P","Fill=—","Direction=H","UseDPDF=Y")</f>
        <v>0.79100000000000004</v>
      </c>
      <c r="F22" s="14" t="str">
        <f>_xll.BDH("RCOM IN Equity","EFF_TAX_RATE","FY 2012","FY 2012","Currency=INR","Period=FY","BEST_FPERIOD_OVERRIDE=FY","FILING_STATUS=MR","EQY_CONSOLIDATED=Y","FA_ADJUSTED=GAAP","Sort=A","Dates=H","DateFormat=P","Fill=—","Direction=H","UseDPDF=Y")</f>
        <v>—</v>
      </c>
      <c r="G22" s="14">
        <f>_xll.BDH("RCOM IN Equity","EFF_TAX_RATE","FY 2013","FY 2013","Currency=INR","Period=FY","BEST_FPERIOD_OVERRIDE=FY","FILING_STATUS=MR","EQY_CONSOLIDATED=Y","FA_ADJUSTED=GAAP","Sort=A","Dates=H","DateFormat=P","Fill=—","Direction=H","UseDPDF=Y")</f>
        <v>8.7117000000000004</v>
      </c>
      <c r="H22" s="14" t="str">
        <f>_xll.BDH("RCOM IN Equity","EFF_TAX_RATE","FY 2014","FY 2014","Currency=INR","Period=FY","BEST_FPERIOD_OVERRIDE=FY","FILING_STATUS=MR","EQY_CONSOLIDATED=Y","FA_ADJUSTED=GAAP","Sort=A","Dates=H","DateFormat=P","Fill=—","Direction=H","UseDPDF=Y")</f>
        <v>—</v>
      </c>
      <c r="I22" s="14">
        <f>_xll.BDH("RCOM IN Equity","EFF_TAX_RATE","FY 2015","FY 2015","Currency=INR","Period=FY","BEST_FPERIOD_OVERRIDE=FY","FILING_STATUS=MR","EQY_CONSOLIDATED=Y","FA_ADJUSTED=GAAP","Sort=A","Dates=H","DateFormat=P","Fill=—","Direction=H","UseDPDF=Y")</f>
        <v>34.460900000000002</v>
      </c>
      <c r="J22" s="14" t="str">
        <f>_xll.BDH("RCOM IN Equity","EFF_TAX_RATE","FY 2016","FY 2016","Currency=INR","Period=FY","BEST_FPERIOD_OVERRIDE=FY","FILING_STATUS=MR","EQY_CONSOLIDATED=Y","FA_ADJUSTED=GAAP","Sort=A","Dates=H","DateFormat=P","Fill=—","Direction=H","UseDPDF=Y")</f>
        <v>—</v>
      </c>
      <c r="K22" s="14" t="str">
        <f>_xll.BDH("RCOM IN Equity","EFF_TAX_RATE","FY 2017","FY 2017","Currency=INR","Period=FY","BEST_FPERIOD_OVERRIDE=FY","FILING_STATUS=MR","EQY_CONSOLIDATED=Y","FA_ADJUSTED=GAAP","Sort=A","Dates=H","DateFormat=P","Fill=—","Direction=H","UseDPDF=Y")</f>
        <v>—</v>
      </c>
      <c r="L22" s="14" t="str">
        <f>_xll.BDH("RCOM IN Equity","EFF_TAX_RATE","FY 2018","FY 2018","Currency=INR","Period=FY","BEST_FPERIOD_OVERRIDE=FY","FILING_STATUS=MR","EQY_CONSOLIDATED=Y","FA_ADJUSTED=GAAP","Sort=A","Dates=H","DateFormat=P","Fill=—","Direction=H","UseDPDF=Y")</f>
        <v>—</v>
      </c>
    </row>
    <row r="23" spans="1:12">
      <c r="A23" s="10" t="s">
        <v>1444</v>
      </c>
      <c r="B23" s="10" t="s">
        <v>1445</v>
      </c>
      <c r="C23" s="14">
        <f>_xll.BDH("RCOM IN Equity","DVD_PAYOUT_RATIO","FY 2009","FY 2009","Currency=INR","Period=FY","BEST_FPERIOD_OVERRIDE=FY","FILING_STATUS=MR","EQY_CONSOLIDATED=Y","FA_ADJUSTED=GAAP","Sort=A","Dates=H","DateFormat=P","Fill=—","Direction=H","UseDPDF=Y")</f>
        <v>2.7315</v>
      </c>
      <c r="D23" s="14">
        <f>_xll.BDH("RCOM IN Equity","DVD_PAYOUT_RATIO","FY 2010","FY 2010","Currency=INR","Period=FY","BEST_FPERIOD_OVERRIDE=FY","FILING_STATUS=MR","EQY_CONSOLIDATED=Y","FA_ADJUSTED=GAAP","Sort=A","Dates=H","DateFormat=P","Fill=—","Direction=H","UseDPDF=Y")</f>
        <v>3.7688999999999999</v>
      </c>
      <c r="E23" s="14">
        <f>_xll.BDH("RCOM IN Equity","DVD_PAYOUT_RATIO","FY 2011","FY 2011","Currency=INR","Period=FY","BEST_FPERIOD_OVERRIDE=FY","FILING_STATUS=MR","EQY_CONSOLIDATED=Y","FA_ADJUSTED=GAAP","Sort=A","Dates=H","DateFormat=P","Fill=—","Direction=H","UseDPDF=Y")</f>
        <v>7.6580000000000004</v>
      </c>
      <c r="F23" s="14">
        <f>_xll.BDH("RCOM IN Equity","DVD_PAYOUT_RATIO","FY 2012","FY 2012","Currency=INR","Period=FY","BEST_FPERIOD_OVERRIDE=FY","FILING_STATUS=MR","EQY_CONSOLIDATED=Y","FA_ADJUSTED=GAAP","Sort=A","Dates=H","DateFormat=P","Fill=—","Direction=H","UseDPDF=Y")</f>
        <v>5.6033999999999997</v>
      </c>
      <c r="G23" s="14">
        <f>_xll.BDH("RCOM IN Equity","DVD_PAYOUT_RATIO","FY 2013","FY 2013","Currency=INR","Period=FY","BEST_FPERIOD_OVERRIDE=FY","FILING_STATUS=MR","EQY_CONSOLIDATED=Y","FA_ADJUSTED=GAAP","Sort=A","Dates=H","DateFormat=P","Fill=—","Direction=H","UseDPDF=Y")</f>
        <v>7.7381000000000002</v>
      </c>
      <c r="H23" s="14">
        <f>_xll.BDH("RCOM IN Equity","DVD_PAYOUT_RATIO","FY 2014","FY 2014","Currency=INR","Period=FY","BEST_FPERIOD_OVERRIDE=FY","FILING_STATUS=MR","EQY_CONSOLIDATED=Y","FA_ADJUSTED=GAAP","Sort=A","Dates=H","DateFormat=P","Fill=—","Direction=H","UseDPDF=Y")</f>
        <v>0</v>
      </c>
      <c r="I23" s="14">
        <f>_xll.BDH("RCOM IN Equity","DVD_PAYOUT_RATIO","FY 2015","FY 2015","Currency=INR","Period=FY","BEST_FPERIOD_OVERRIDE=FY","FILING_STATUS=MR","EQY_CONSOLIDATED=Y","FA_ADJUSTED=GAAP","Sort=A","Dates=H","DateFormat=P","Fill=—","Direction=H","UseDPDF=Y")</f>
        <v>0</v>
      </c>
      <c r="J23" s="14">
        <f>_xll.BDH("RCOM IN Equity","DVD_PAYOUT_RATIO","FY 2016","FY 2016","Currency=INR","Period=FY","BEST_FPERIOD_OVERRIDE=FY","FILING_STATUS=MR","EQY_CONSOLIDATED=Y","FA_ADJUSTED=GAAP","Sort=A","Dates=H","DateFormat=P","Fill=—","Direction=H","UseDPDF=Y")</f>
        <v>0</v>
      </c>
      <c r="K23" s="14">
        <f>_xll.BDH("RCOM IN Equity","DVD_PAYOUT_RATIO","FY 2017","FY 2017","Currency=INR","Period=FY","BEST_FPERIOD_OVERRIDE=FY","FILING_STATUS=MR","EQY_CONSOLIDATED=Y","FA_ADJUSTED=GAAP","Sort=A","Dates=H","DateFormat=P","Fill=—","Direction=H","UseDPDF=Y")</f>
        <v>0</v>
      </c>
      <c r="L23" s="14">
        <f>_xll.BDH("RCOM IN Equity","DVD_PAYOUT_RATIO","FY 2018","FY 2018","Currency=INR","Period=FY","BEST_FPERIOD_OVERRIDE=FY","FILING_STATUS=MR","EQY_CONSOLIDATED=Y","FA_ADJUSTED=GAAP","Sort=A","Dates=H","DateFormat=P","Fill=—","Direction=H","UseDPDF=Y")</f>
        <v>0</v>
      </c>
    </row>
    <row r="24" spans="1:12">
      <c r="A24" s="10" t="s">
        <v>1446</v>
      </c>
      <c r="B24" s="10" t="s">
        <v>1447</v>
      </c>
      <c r="C24" s="14">
        <f>_xll.BDH("RCOM IN Equity","SUSTAIN_GROWTH_RT","FY 2009","FY 2009","Currency=INR","Period=FY","BEST_FPERIOD_OVERRIDE=FY","FILING_STATUS=MR","EQY_CONSOLIDATED=Y","FA_ADJUSTED=GAAP","Sort=A","Dates=H","DateFormat=P","Fill=—","Direction=H","UseDPDF=Y")</f>
        <v>16.491599999999998</v>
      </c>
      <c r="D24" s="14">
        <f>_xll.BDH("RCOM IN Equity","SUSTAIN_GROWTH_RT","FY 2010","FY 2010","Currency=INR","Period=FY","BEST_FPERIOD_OVERRIDE=FY","FILING_STATUS=MR","EQY_CONSOLIDATED=Y","FA_ADJUSTED=GAAP","Sort=A","Dates=H","DateFormat=P","Fill=—","Direction=H","UseDPDF=Y")</f>
        <v>10.4613</v>
      </c>
      <c r="E24" s="14">
        <f>_xll.BDH("RCOM IN Equity","SUSTAIN_GROWTH_RT","FY 2011","FY 2011","Currency=INR","Period=FY","BEST_FPERIOD_OVERRIDE=FY","FILING_STATUS=MR","EQY_CONSOLIDATED=Y","FA_ADJUSTED=GAAP","Sort=A","Dates=H","DateFormat=P","Fill=—","Direction=H","UseDPDF=Y")</f>
        <v>2.9621</v>
      </c>
      <c r="F24" s="14">
        <f>_xll.BDH("RCOM IN Equity","SUSTAIN_GROWTH_RT","FY 2012","FY 2012","Currency=INR","Period=FY","BEST_FPERIOD_OVERRIDE=FY","FILING_STATUS=MR","EQY_CONSOLIDATED=Y","FA_ADJUSTED=GAAP","Sort=A","Dates=H","DateFormat=P","Fill=—","Direction=H","UseDPDF=Y")</f>
        <v>2.2814000000000001</v>
      </c>
      <c r="G24" s="14">
        <f>_xll.BDH("RCOM IN Equity","SUSTAIN_GROWTH_RT","FY 2013","FY 2013","Currency=INR","Period=FY","BEST_FPERIOD_OVERRIDE=FY","FILING_STATUS=MR","EQY_CONSOLIDATED=Y","FA_ADJUSTED=GAAP","Sort=A","Dates=H","DateFormat=P","Fill=—","Direction=H","UseDPDF=Y")</f>
        <v>1.7677</v>
      </c>
      <c r="H24" s="14">
        <f>_xll.BDH("RCOM IN Equity","SUSTAIN_GROWTH_RT","FY 2014","FY 2014","Currency=INR","Period=FY","BEST_FPERIOD_OVERRIDE=FY","FILING_STATUS=MR","EQY_CONSOLIDATED=Y","FA_ADJUSTED=GAAP","Sort=A","Dates=H","DateFormat=P","Fill=—","Direction=H","UseDPDF=Y")</f>
        <v>3.1419999999999999</v>
      </c>
      <c r="I24" s="14">
        <f>_xll.BDH("RCOM IN Equity","SUSTAIN_GROWTH_RT","FY 2015","FY 2015","Currency=INR","Period=FY","BEST_FPERIOD_OVERRIDE=FY","FILING_STATUS=MR","EQY_CONSOLIDATED=Y","FA_ADJUSTED=GAAP","Sort=A","Dates=H","DateFormat=P","Fill=—","Direction=H","UseDPDF=Y")</f>
        <v>2.0188999999999999</v>
      </c>
      <c r="J24" s="14">
        <f>_xll.BDH("RCOM IN Equity","SUSTAIN_GROWTH_RT","FY 2016","FY 2016","Currency=INR","Period=FY","BEST_FPERIOD_OVERRIDE=FY","FILING_STATUS=MR","EQY_CONSOLIDATED=Y","FA_ADJUSTED=GAAP","Sort=A","Dates=H","DateFormat=P","Fill=—","Direction=H","UseDPDF=Y")</f>
        <v>1.8383</v>
      </c>
      <c r="K24" s="14">
        <f>_xll.BDH("RCOM IN Equity","SUSTAIN_GROWTH_RT","FY 2017","FY 2017","Currency=INR","Period=FY","BEST_FPERIOD_OVERRIDE=FY","FILING_STATUS=MR","EQY_CONSOLIDATED=Y","FA_ADJUSTED=GAAP","Sort=A","Dates=H","DateFormat=P","Fill=—","Direction=H","UseDPDF=Y")</f>
        <v>-4.6647999999999996</v>
      </c>
      <c r="L24" s="14">
        <f>_xll.BDH("RCOM IN Equity","SUSTAIN_GROWTH_RT","FY 2018","FY 2018","Currency=INR","Period=FY","BEST_FPERIOD_OVERRIDE=FY","FILING_STATUS=MR","EQY_CONSOLIDATED=Y","FA_ADJUSTED=GAAP","Sort=A","Dates=H","DateFormat=P","Fill=—","Direction=H","UseDPDF=Y")</f>
        <v>-152.07320000000001</v>
      </c>
    </row>
    <row r="25" spans="1:12">
      <c r="A25" s="7" t="s">
        <v>57</v>
      </c>
      <c r="B25" s="7"/>
      <c r="C25" s="7" t="s">
        <v>3</v>
      </c>
      <c r="D25" s="7"/>
      <c r="E25" s="7"/>
      <c r="F25" s="7"/>
      <c r="G25" s="7"/>
      <c r="H25" s="7"/>
      <c r="I25" s="7"/>
      <c r="J25" s="7"/>
      <c r="K25" s="7"/>
      <c r="L25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L88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1448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1449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0" t="s">
        <v>0</v>
      </c>
      <c r="B7" s="10" t="s">
        <v>40</v>
      </c>
      <c r="C7" s="14">
        <f>_xll.BDH("RCOM IN Equity","SALES_GROWTH","FY 2009","FY 2009","Currency=INR","Period=FY","BEST_FPERIOD_OVERRIDE=FY","FILING_STATUS=MR","EQY_CONSOLIDATED=Y","FA_ADJUSTED=GAAP","Sort=A","Dates=H","DateFormat=P","Fill=—","Direction=H","UseDPDF=Y")</f>
        <v>20.960599999999999</v>
      </c>
      <c r="D7" s="14">
        <f>_xll.BDH("RCOM IN Equity","SALES_GROWTH","FY 2010","FY 2010","Currency=INR","Period=FY","BEST_FPERIOD_OVERRIDE=FY","FILING_STATUS=MR","EQY_CONSOLIDATED=Y","FA_ADJUSTED=GAAP","Sort=A","Dates=H","DateFormat=P","Fill=—","Direction=H","UseDPDF=Y")</f>
        <v>-0.27889999999999998</v>
      </c>
      <c r="E7" s="14">
        <f>_xll.BDH("RCOM IN Equity","SALES_GROWTH","FY 2011","FY 2011","Currency=INR","Period=FY","BEST_FPERIOD_OVERRIDE=FY","FILING_STATUS=MR","EQY_CONSOLIDATED=Y","FA_ADJUSTED=GAAP","Sort=A","Dates=H","DateFormat=P","Fill=—","Direction=H","UseDPDF=Y")</f>
        <v>6.7873000000000001</v>
      </c>
      <c r="F7" s="14">
        <f>_xll.BDH("RCOM IN Equity","SALES_GROWTH","FY 2012","FY 2012","Currency=INR","Period=FY","BEST_FPERIOD_OVERRIDE=FY","FILING_STATUS=MR","EQY_CONSOLIDATED=Y","FA_ADJUSTED=GAAP","Sort=A","Dates=H","DateFormat=P","Fill=—","Direction=H","UseDPDF=Y")</f>
        <v>-15.27</v>
      </c>
      <c r="G7" s="14">
        <f>_xll.BDH("RCOM IN Equity","SALES_GROWTH","FY 2013","FY 2013","Currency=INR","Period=FY","BEST_FPERIOD_OVERRIDE=FY","FILING_STATUS=MR","EQY_CONSOLIDATED=Y","FA_ADJUSTED=GAAP","Sort=A","Dates=H","DateFormat=P","Fill=—","Direction=H","UseDPDF=Y")</f>
        <v>3.0882999999999998</v>
      </c>
      <c r="H7" s="14">
        <f>_xll.BDH("RCOM IN Equity","SALES_GROWTH","FY 2014","FY 2014","Currency=INR","Period=FY","BEST_FPERIOD_OVERRIDE=FY","FILING_STATUS=MR","EQY_CONSOLIDATED=Y","FA_ADJUSTED=GAAP","Sort=A","Dates=H","DateFormat=P","Fill=—","Direction=H","UseDPDF=Y")</f>
        <v>8.5311000000000003</v>
      </c>
      <c r="I7" s="14">
        <f>_xll.BDH("RCOM IN Equity","SALES_GROWTH","FY 2015","FY 2015","Currency=INR","Period=FY","BEST_FPERIOD_OVERRIDE=FY","FILING_STATUS=MR","EQY_CONSOLIDATED=Y","FA_ADJUSTED=GAAP","Sort=A","Dates=H","DateFormat=P","Fill=—","Direction=H","UseDPDF=Y")</f>
        <v>2.3066</v>
      </c>
      <c r="J7" s="14">
        <f>_xll.BDH("RCOM IN Equity","SALES_GROWTH","FY 2016","FY 2016","Currency=INR","Period=FY","BEST_FPERIOD_OVERRIDE=FY","FILING_STATUS=MR","EQY_CONSOLIDATED=Y","FA_ADJUSTED=GAAP","Sort=A","Dates=H","DateFormat=P","Fill=—","Direction=H","UseDPDF=Y")</f>
        <v>1.4937</v>
      </c>
      <c r="K7" s="14">
        <f>_xll.BDH("RCOM IN Equity","SALES_GROWTH","FY 2017","FY 2017","Currency=INR","Period=FY","BEST_FPERIOD_OVERRIDE=FY","FILING_STATUS=MR","EQY_CONSOLIDATED=Y","FA_ADJUSTED=GAAP","Sort=A","Dates=H","DateFormat=P","Fill=—","Direction=H","UseDPDF=Y")</f>
        <v>-69.856999999999999</v>
      </c>
      <c r="L7" s="14">
        <f>_xll.BDH("RCOM IN Equity","SALES_GROWTH","FY 2018","FY 2018","Currency=INR","Period=FY","BEST_FPERIOD_OVERRIDE=FY","FILING_STATUS=MR","EQY_CONSOLIDATED=Y","FA_ADJUSTED=GAAP","Sort=A","Dates=H","DateFormat=P","Fill=—","Direction=H","UseDPDF=Y")</f>
        <v>-29.9207</v>
      </c>
    </row>
    <row r="8" spans="1:12">
      <c r="A8" s="10" t="s">
        <v>46</v>
      </c>
      <c r="B8" s="10" t="s">
        <v>1450</v>
      </c>
      <c r="C8" s="14">
        <f>_xll.BDH("RCOM IN Equity","EBITDA_GROWTH","FY 2009","FY 2009","Currency=INR","Period=FY","BEST_FPERIOD_OVERRIDE=FY","FILING_STATUS=MR","EQY_CONSOLIDATED=Y","FA_ADJUSTED=GAAP","Sort=A","Dates=H","DateFormat=P","Fill=—","Direction=H","UseDPDF=Y")</f>
        <v>27.752299999999998</v>
      </c>
      <c r="D8" s="14">
        <f>_xll.BDH("RCOM IN Equity","EBITDA_GROWTH","FY 2010","FY 2010","Currency=INR","Period=FY","BEST_FPERIOD_OVERRIDE=FY","FILING_STATUS=MR","EQY_CONSOLIDATED=Y","FA_ADJUSTED=GAAP","Sort=A","Dates=H","DateFormat=P","Fill=—","Direction=H","UseDPDF=Y")</f>
        <v>-19.948499999999999</v>
      </c>
      <c r="E8" s="14">
        <f>_xll.BDH("RCOM IN Equity","EBITDA_GROWTH","FY 2011","FY 2011","Currency=INR","Period=FY","BEST_FPERIOD_OVERRIDE=FY","FILING_STATUS=MR","EQY_CONSOLIDATED=Y","FA_ADJUSTED=GAAP","Sort=A","Dates=H","DateFormat=P","Fill=—","Direction=H","UseDPDF=Y")</f>
        <v>19.844799999999999</v>
      </c>
      <c r="F8" s="14">
        <f>_xll.BDH("RCOM IN Equity","EBITDA_GROWTH","FY 2012","FY 2012","Currency=INR","Period=FY","BEST_FPERIOD_OVERRIDE=FY","FILING_STATUS=MR","EQY_CONSOLIDATED=Y","FA_ADJUSTED=GAAP","Sort=A","Dates=H","DateFormat=P","Fill=—","Direction=H","UseDPDF=Y")</f>
        <v>-30.8142</v>
      </c>
      <c r="G8" s="14">
        <f>_xll.BDH("RCOM IN Equity","EBITDA_GROWTH","FY 2013","FY 2013","Currency=INR","Period=FY","BEST_FPERIOD_OVERRIDE=FY","FILING_STATUS=MR","EQY_CONSOLIDATED=Y","FA_ADJUSTED=GAAP","Sort=A","Dates=H","DateFormat=P","Fill=—","Direction=H","UseDPDF=Y")</f>
        <v>2.5194000000000001</v>
      </c>
      <c r="H8" s="14">
        <f>_xll.BDH("RCOM IN Equity","EBITDA_GROWTH","FY 2014","FY 2014","Currency=INR","Period=FY","BEST_FPERIOD_OVERRIDE=FY","FILING_STATUS=MR","EQY_CONSOLIDATED=Y","FA_ADJUSTED=GAAP","Sort=A","Dates=H","DateFormat=P","Fill=—","Direction=H","UseDPDF=Y")</f>
        <v>12.8766</v>
      </c>
      <c r="I8" s="14">
        <f>_xll.BDH("RCOM IN Equity","EBITDA_GROWTH","FY 2015","FY 2015","Currency=INR","Period=FY","BEST_FPERIOD_OVERRIDE=FY","FILING_STATUS=MR","EQY_CONSOLIDATED=Y","FA_ADJUSTED=GAAP","Sort=A","Dates=H","DateFormat=P","Fill=—","Direction=H","UseDPDF=Y")</f>
        <v>7.4560000000000004</v>
      </c>
      <c r="J8" s="14">
        <f>_xll.BDH("RCOM IN Equity","EBITDA_GROWTH","FY 2016","FY 2016","Currency=INR","Period=FY","BEST_FPERIOD_OVERRIDE=FY","FILING_STATUS=MR","EQY_CONSOLIDATED=Y","FA_ADJUSTED=GAAP","Sort=A","Dates=H","DateFormat=P","Fill=—","Direction=H","UseDPDF=Y")</f>
        <v>0.74939999999999996</v>
      </c>
      <c r="K8" s="14">
        <f>_xll.BDH("RCOM IN Equity","EBITDA_GROWTH","FY 2017","FY 2017","Currency=INR","Period=FY","BEST_FPERIOD_OVERRIDE=FY","FILING_STATUS=MR","EQY_CONSOLIDATED=Y","FA_ADJUSTED=GAAP","Sort=A","Dates=H","DateFormat=P","Fill=—","Direction=H","UseDPDF=Y")</f>
        <v>-35.798900000000003</v>
      </c>
      <c r="L8" s="14">
        <f>_xll.BDH("RCOM IN Equity","EBITDA_GROWTH","FY 2018","FY 2018","Currency=INR","Period=FY","BEST_FPERIOD_OVERRIDE=FY","FILING_STATUS=MR","EQY_CONSOLIDATED=Y","FA_ADJUSTED=GAAP","Sort=A","Dates=H","DateFormat=P","Fill=—","Direction=H","UseDPDF=Y")</f>
        <v>-33.2761</v>
      </c>
    </row>
    <row r="9" spans="1:12">
      <c r="A9" s="10" t="s">
        <v>63</v>
      </c>
      <c r="B9" s="10" t="s">
        <v>1451</v>
      </c>
      <c r="C9" s="14">
        <f>_xll.BDH("RCOM IN Equity","OPER_INC_GROWTH","FY 2009","FY 2009","Currency=INR","Period=FY","BEST_FPERIOD_OVERRIDE=FY","FILING_STATUS=MR","EQY_CONSOLIDATED=Y","FA_ADJUSTED=GAAP","Sort=A","Dates=H","DateFormat=P","Fill=—","Direction=H","UseDPDF=Y")</f>
        <v>27.1586</v>
      </c>
      <c r="D9" s="14">
        <f>_xll.BDH("RCOM IN Equity","OPER_INC_GROWTH","FY 2010","FY 2010","Currency=INR","Period=FY","BEST_FPERIOD_OVERRIDE=FY","FILING_STATUS=MR","EQY_CONSOLIDATED=Y","FA_ADJUSTED=GAAP","Sort=A","Dates=H","DateFormat=P","Fill=—","Direction=H","UseDPDF=Y")</f>
        <v>-36.706200000000003</v>
      </c>
      <c r="E9" s="14">
        <f>_xll.BDH("RCOM IN Equity","OPER_INC_GROWTH","FY 2011","FY 2011","Currency=INR","Period=FY","BEST_FPERIOD_OVERRIDE=FY","FILING_STATUS=MR","EQY_CONSOLIDATED=Y","FA_ADJUSTED=GAAP","Sort=A","Dates=H","DateFormat=P","Fill=—","Direction=H","UseDPDF=Y")</f>
        <v>-42.267299999999999</v>
      </c>
      <c r="F9" s="14">
        <f>_xll.BDH("RCOM IN Equity","OPER_INC_GROWTH","FY 2012","FY 2012","Currency=INR","Period=FY","BEST_FPERIOD_OVERRIDE=FY","FILING_STATUS=MR","EQY_CONSOLIDATED=Y","FA_ADJUSTED=GAAP","Sort=A","Dates=H","DateFormat=P","Fill=—","Direction=H","UseDPDF=Y")</f>
        <v>-2.9379999999999997</v>
      </c>
      <c r="G9" s="14">
        <f>_xll.BDH("RCOM IN Equity","OPER_INC_GROWTH","FY 2013","FY 2013","Currency=INR","Period=FY","BEST_FPERIOD_OVERRIDE=FY","FILING_STATUS=MR","EQY_CONSOLIDATED=Y","FA_ADJUSTED=GAAP","Sort=A","Dates=H","DateFormat=P","Fill=—","Direction=H","UseDPDF=Y")</f>
        <v>15.355</v>
      </c>
      <c r="H9" s="14">
        <f>_xll.BDH("RCOM IN Equity","OPER_INC_GROWTH","FY 2014","FY 2014","Currency=INR","Period=FY","BEST_FPERIOD_OVERRIDE=FY","FILING_STATUS=MR","EQY_CONSOLIDATED=Y","FA_ADJUSTED=GAAP","Sort=A","Dates=H","DateFormat=P","Fill=—","Direction=H","UseDPDF=Y")</f>
        <v>3.5781999999999998</v>
      </c>
      <c r="I9" s="14">
        <f>_xll.BDH("RCOM IN Equity","OPER_INC_GROWTH","FY 2015","FY 2015","Currency=INR","Period=FY","BEST_FPERIOD_OVERRIDE=FY","FILING_STATUS=MR","EQY_CONSOLIDATED=Y","FA_ADJUSTED=GAAP","Sort=A","Dates=H","DateFormat=P","Fill=—","Direction=H","UseDPDF=Y")</f>
        <v>56.103200000000001</v>
      </c>
      <c r="J9" s="14">
        <f>_xll.BDH("RCOM IN Equity","OPER_INC_GROWTH","FY 2016","FY 2016","Currency=INR","Period=FY","BEST_FPERIOD_OVERRIDE=FY","FILING_STATUS=MR","EQY_CONSOLIDATED=Y","FA_ADJUSTED=GAAP","Sort=A","Dates=H","DateFormat=P","Fill=—","Direction=H","UseDPDF=Y")</f>
        <v>-18.087900000000001</v>
      </c>
      <c r="K9" s="14">
        <f>_xll.BDH("RCOM IN Equity","OPER_INC_GROWTH","FY 2017","FY 2017","Currency=INR","Period=FY","BEST_FPERIOD_OVERRIDE=FY","FILING_STATUS=MR","EQY_CONSOLIDATED=Y","FA_ADJUSTED=GAAP","Sort=A","Dates=H","DateFormat=P","Fill=—","Direction=H","UseDPDF=Y")</f>
        <v>-84.149900000000002</v>
      </c>
      <c r="L9" s="14">
        <f>_xll.BDH("RCOM IN Equity","OPER_INC_GROWTH","FY 2018","FY 2018","Currency=INR","Period=FY","BEST_FPERIOD_OVERRIDE=FY","FILING_STATUS=MR","EQY_CONSOLIDATED=Y","FA_ADJUSTED=GAAP","Sort=A","Dates=H","DateFormat=P","Fill=—","Direction=H","UseDPDF=Y")</f>
        <v>-44.7727</v>
      </c>
    </row>
    <row r="10" spans="1:12">
      <c r="A10" s="10" t="s">
        <v>65</v>
      </c>
      <c r="B10" s="10" t="s">
        <v>1452</v>
      </c>
      <c r="C10" s="14">
        <f>_xll.BDH("RCOM IN Equity","EARN_FOR_COM_GROWTH","FY 2009","FY 2009","Currency=INR","Period=FY","BEST_FPERIOD_OVERRIDE=FY","FILING_STATUS=MR","EQY_CONSOLIDATED=Y","FA_ADJUSTED=GAAP","Sort=A","Dates=H","DateFormat=P","Fill=—","Direction=H","UseDPDF=Y")</f>
        <v>11.919499999999999</v>
      </c>
      <c r="D10" s="14">
        <f>_xll.BDH("RCOM IN Equity","EARN_FOR_COM_GROWTH","FY 2010","FY 2010","Currency=INR","Period=FY","BEST_FPERIOD_OVERRIDE=FY","FILING_STATUS=MR","EQY_CONSOLIDATED=Y","FA_ADJUSTED=GAAP","Sort=A","Dates=H","DateFormat=P","Fill=—","Direction=H","UseDPDF=Y")</f>
        <v>-22.993300000000001</v>
      </c>
      <c r="E10" s="14">
        <f>_xll.BDH("RCOM IN Equity","EARN_FOR_COM_GROWTH","FY 2011","FY 2011","Currency=INR","Period=FY","BEST_FPERIOD_OVERRIDE=FY","FILING_STATUS=MR","EQY_CONSOLIDATED=Y","FA_ADJUSTED=GAAP","Sort=A","Dates=H","DateFormat=P","Fill=—","Direction=H","UseDPDF=Y")</f>
        <v>-71.106300000000005</v>
      </c>
      <c r="F10" s="14">
        <f>_xll.BDH("RCOM IN Equity","EARN_FOR_COM_GROWTH","FY 2012","FY 2012","Currency=INR","Period=FY","BEST_FPERIOD_OVERRIDE=FY","FILING_STATUS=MR","EQY_CONSOLIDATED=Y","FA_ADJUSTED=GAAP","Sort=A","Dates=H","DateFormat=P","Fill=—","Direction=H","UseDPDF=Y")</f>
        <v>-31.003699999999998</v>
      </c>
      <c r="G10" s="14">
        <f>_xll.BDH("RCOM IN Equity","EARN_FOR_COM_GROWTH","FY 2013","FY 2013","Currency=INR","Period=FY","BEST_FPERIOD_OVERRIDE=FY","FILING_STATUS=MR","EQY_CONSOLIDATED=Y","FA_ADJUSTED=GAAP","Sort=A","Dates=H","DateFormat=P","Fill=—","Direction=H","UseDPDF=Y")</f>
        <v>-27.586200000000002</v>
      </c>
      <c r="H10" s="14">
        <f>_xll.BDH("RCOM IN Equity","EARN_FOR_COM_GROWTH","FY 2014","FY 2014","Currency=INR","Period=FY","BEST_FPERIOD_OVERRIDE=FY","FILING_STATUS=MR","EQY_CONSOLIDATED=Y","FA_ADJUSTED=GAAP","Sort=A","Dates=H","DateFormat=P","Fill=—","Direction=H","UseDPDF=Y")</f>
        <v>55.803600000000003</v>
      </c>
      <c r="I10" s="14">
        <f>_xll.BDH("RCOM IN Equity","EARN_FOR_COM_GROWTH","FY 2015","FY 2015","Currency=INR","Period=FY","BEST_FPERIOD_OVERRIDE=FY","FILING_STATUS=MR","EQY_CONSOLIDATED=Y","FA_ADJUSTED=GAAP","Sort=A","Dates=H","DateFormat=P","Fill=—","Direction=H","UseDPDF=Y")</f>
        <v>-31.805199999999999</v>
      </c>
      <c r="J10" s="14">
        <f>_xll.BDH("RCOM IN Equity","EARN_FOR_COM_GROWTH","FY 2016","FY 2016","Currency=INR","Period=FY","BEST_FPERIOD_OVERRIDE=FY","FILING_STATUS=MR","EQY_CONSOLIDATED=Y","FA_ADJUSTED=GAAP","Sort=A","Dates=H","DateFormat=P","Fill=—","Direction=H","UseDPDF=Y")</f>
        <v>-10.504200000000001</v>
      </c>
      <c r="K10" s="14" t="str">
        <f>_xll.BDH("RCOM IN Equity","EARN_FOR_COM_GROWTH","FY 2017","FY 2017","Currency=INR","Period=FY","BEST_FPERIOD_OVERRIDE=FY","FILING_STATUS=MR","EQY_CONSOLIDATED=Y","FA_ADJUSTED=GAAP","Sort=A","Dates=H","DateFormat=P","Fill=—","Direction=H","UseDPDF=Y")</f>
        <v>—</v>
      </c>
      <c r="L10" s="14">
        <f>_xll.BDH("RCOM IN Equity","EARN_FOR_COM_GROWTH","FY 2018","FY 2018","Currency=INR","Period=FY","BEST_FPERIOD_OVERRIDE=FY","FILING_STATUS=MR","EQY_CONSOLIDATED=Y","FA_ADJUSTED=GAAP","Sort=A","Dates=H","DateFormat=P","Fill=—","Direction=H","UseDPDF=Y")</f>
        <v>-1599.1447000000001</v>
      </c>
    </row>
    <row r="11" spans="1:12">
      <c r="A11" s="10" t="s">
        <v>1453</v>
      </c>
      <c r="B11" s="10" t="s">
        <v>1454</v>
      </c>
      <c r="C11" s="14">
        <f>_xll.BDH("RCOM IN Equity","DILUTED_EPS_AFT_XO_ITEMS_GROWTH","FY 2009","FY 2009","Currency=INR","Period=FY","BEST_FPERIOD_OVERRIDE=FY","FILING_STATUS=MR","EQY_CONSOLIDATED=Y","FA_ADJUSTED=GAAP","Sort=A","Dates=H","DateFormat=P","Fill=—","Direction=H","UseDPDF=Y")</f>
        <v>20.7959</v>
      </c>
      <c r="D11" s="14">
        <f>_xll.BDH("RCOM IN Equity","DILUTED_EPS_AFT_XO_ITEMS_GROWTH","FY 2010","FY 2010","Currency=INR","Period=FY","BEST_FPERIOD_OVERRIDE=FY","FILING_STATUS=MR","EQY_CONSOLIDATED=Y","FA_ADJUSTED=GAAP","Sort=A","Dates=H","DateFormat=P","Fill=—","Direction=H","UseDPDF=Y")</f>
        <v>-22.922499999999999</v>
      </c>
      <c r="E11" s="14">
        <f>_xll.BDH("RCOM IN Equity","DILUTED_EPS_AFT_XO_ITEMS_GROWTH","FY 2011","FY 2011","Currency=INR","Period=FY","BEST_FPERIOD_OVERRIDE=FY","FILING_STATUS=MR","EQY_CONSOLIDATED=Y","FA_ADJUSTED=GAAP","Sort=A","Dates=H","DateFormat=P","Fill=—","Direction=H","UseDPDF=Y")</f>
        <v>-71.106300000000005</v>
      </c>
      <c r="F11" s="14">
        <f>_xll.BDH("RCOM IN Equity","DILUTED_EPS_AFT_XO_ITEMS_GROWTH","FY 2012","FY 2012","Currency=INR","Period=FY","BEST_FPERIOD_OVERRIDE=FY","FILING_STATUS=MR","EQY_CONSOLIDATED=Y","FA_ADJUSTED=GAAP","Sort=A","Dates=H","DateFormat=P","Fill=—","Direction=H","UseDPDF=Y")</f>
        <v>-29.401800000000001</v>
      </c>
      <c r="G11" s="14">
        <f>_xll.BDH("RCOM IN Equity","DILUTED_EPS_AFT_XO_ITEMS_GROWTH","FY 2013","FY 2013","Currency=INR","Period=FY","BEST_FPERIOD_OVERRIDE=FY","FILING_STATUS=MR","EQY_CONSOLIDATED=Y","FA_ADJUSTED=GAAP","Sort=A","Dates=H","DateFormat=P","Fill=—","Direction=H","UseDPDF=Y")</f>
        <v>-26.077100000000002</v>
      </c>
      <c r="H11" s="14">
        <f>_xll.BDH("RCOM IN Equity","DILUTED_EPS_AFT_XO_ITEMS_GROWTH","FY 2014","FY 2014","Currency=INR","Period=FY","BEST_FPERIOD_OVERRIDE=FY","FILING_STATUS=MR","EQY_CONSOLIDATED=Y","FA_ADJUSTED=GAAP","Sort=A","Dates=H","DateFormat=P","Fill=—","Direction=H","UseDPDF=Y")</f>
        <v>55.521500000000003</v>
      </c>
      <c r="I11" s="14">
        <f>_xll.BDH("RCOM IN Equity","DILUTED_EPS_AFT_XO_ITEMS_GROWTH","FY 2015","FY 2015","Currency=INR","Period=FY","BEST_FPERIOD_OVERRIDE=FY","FILING_STATUS=MR","EQY_CONSOLIDATED=Y","FA_ADJUSTED=GAAP","Sort=A","Dates=H","DateFormat=P","Fill=—","Direction=H","UseDPDF=Y")</f>
        <v>-39.842199999999998</v>
      </c>
      <c r="J11" s="14">
        <f>_xll.BDH("RCOM IN Equity","DILUTED_EPS_AFT_XO_ITEMS_GROWTH","FY 2016","FY 2016","Currency=INR","Period=FY","BEST_FPERIOD_OVERRIDE=FY","FILING_STATUS=MR","EQY_CONSOLIDATED=Y","FA_ADJUSTED=GAAP","Sort=A","Dates=H","DateFormat=P","Fill=—","Direction=H","UseDPDF=Y")</f>
        <v>-15.082000000000001</v>
      </c>
      <c r="K11" s="14" t="str">
        <f>_xll.BDH("RCOM IN Equity","DILUTED_EPS_AFT_XO_ITEMS_GROWTH","FY 2017","FY 2017","Currency=INR","Period=FY","BEST_FPERIOD_OVERRIDE=FY","FILING_STATUS=MR","EQY_CONSOLIDATED=Y","FA_ADJUSTED=GAAP","Sort=A","Dates=H","DateFormat=P","Fill=—","Direction=H","UseDPDF=Y")</f>
        <v>—</v>
      </c>
      <c r="L11" s="14">
        <f>_xll.BDH("RCOM IN Equity","DILUTED_EPS_AFT_XO_ITEMS_GROWTH","FY 2018","FY 2018","Currency=INR","Period=FY","BEST_FPERIOD_OVERRIDE=FY","FILING_STATUS=MR","EQY_CONSOLIDATED=Y","FA_ADJUSTED=GAAP","Sort=A","Dates=H","DateFormat=P","Fill=—","Direction=H","UseDPDF=Y")</f>
        <v>-1523.3816999999999</v>
      </c>
    </row>
    <row r="12" spans="1:12">
      <c r="A12" s="10" t="s">
        <v>1455</v>
      </c>
      <c r="B12" s="10" t="s">
        <v>1456</v>
      </c>
      <c r="C12" s="14">
        <f>_xll.BDH("RCOM IN Equity","DILUTED_EPS_BEF_XO_ITEMS_GROWTH","FY 2009","FY 2009","Currency=INR","Period=FY","BEST_FPERIOD_OVERRIDE=FY","FILING_STATUS=MR","EQY_CONSOLIDATED=Y","Sort=A","Dates=H","DateFormat=P","Fill=—","Direction=H","UseDPDF=Y")</f>
        <v>20.7959</v>
      </c>
      <c r="D12" s="14">
        <f>_xll.BDH("RCOM IN Equity","DILUTED_EPS_BEF_XO_ITEMS_GROWTH","FY 2010","FY 2010","Currency=INR","Period=FY","BEST_FPERIOD_OVERRIDE=FY","FILING_STATUS=MR","EQY_CONSOLIDATED=Y","Sort=A","Dates=H","DateFormat=P","Fill=—","Direction=H","UseDPDF=Y")</f>
        <v>-22.922499999999999</v>
      </c>
      <c r="E12" s="14">
        <f>_xll.BDH("RCOM IN Equity","DILUTED_EPS_BEF_XO_ITEMS_GROWTH","FY 2011","FY 2011","Currency=INR","Period=FY","BEST_FPERIOD_OVERRIDE=FY","FILING_STATUS=MR","EQY_CONSOLIDATED=Y","Sort=A","Dates=H","DateFormat=P","Fill=—","Direction=H","UseDPDF=Y")</f>
        <v>-71.106300000000005</v>
      </c>
      <c r="F12" s="14">
        <f>_xll.BDH("RCOM IN Equity","DILUTED_EPS_BEF_XO_ITEMS_GROWTH","FY 2012","FY 2012","Currency=INR","Period=FY","BEST_FPERIOD_OVERRIDE=FY","FILING_STATUS=MR","EQY_CONSOLIDATED=Y","Sort=A","Dates=H","DateFormat=P","Fill=—","Direction=H","UseDPDF=Y")</f>
        <v>-29.401800000000001</v>
      </c>
      <c r="G12" s="14">
        <f>_xll.BDH("RCOM IN Equity","DILUTED_EPS_BEF_XO_ITEMS_GROWTH","FY 2013","FY 2013","Currency=INR","Period=FY","BEST_FPERIOD_OVERRIDE=FY","FILING_STATUS=MR","EQY_CONSOLIDATED=Y","Sort=A","Dates=H","DateFormat=P","Fill=—","Direction=H","UseDPDF=Y")</f>
        <v>-26.077100000000002</v>
      </c>
      <c r="H12" s="14">
        <f>_xll.BDH("RCOM IN Equity","DILUTED_EPS_BEF_XO_ITEMS_GROWTH","FY 2014","FY 2014","Currency=INR","Period=FY","BEST_FPERIOD_OVERRIDE=FY","FILING_STATUS=MR","EQY_CONSOLIDATED=Y","Sort=A","Dates=H","DateFormat=P","Fill=—","Direction=H","UseDPDF=Y")</f>
        <v>55.521500000000003</v>
      </c>
      <c r="I12" s="14">
        <f>_xll.BDH("RCOM IN Equity","DILUTED_EPS_BEF_XO_ITEMS_GROWTH","FY 2015","FY 2015","Currency=INR","Period=FY","BEST_FPERIOD_OVERRIDE=FY","FILING_STATUS=MR","EQY_CONSOLIDATED=Y","Sort=A","Dates=H","DateFormat=P","Fill=—","Direction=H","UseDPDF=Y")</f>
        <v>-39.842199999999998</v>
      </c>
      <c r="J12" s="14">
        <f>_xll.BDH("RCOM IN Equity","DILUTED_EPS_BEF_XO_ITEMS_GROWTH","FY 2016","FY 2016","Currency=INR","Period=FY","BEST_FPERIOD_OVERRIDE=FY","FILING_STATUS=MR","EQY_CONSOLIDATED=Y","Sort=A","Dates=H","DateFormat=P","Fill=—","Direction=H","UseDPDF=Y")</f>
        <v>-15.082000000000001</v>
      </c>
      <c r="K12" s="14">
        <f>_xll.BDH("RCOM IN Equity","DILUTED_EPS_BEF_XO_ITEMS_GROWTH","FY 2017","FY 2017","Currency=INR","Period=FY","BEST_FPERIOD_OVERRIDE=FY","FILING_STATUS=MR","EQY_CONSOLIDATED=Y","Sort=A","Dates=H","DateFormat=P","Fill=—","Direction=H","UseDPDF=Y")</f>
        <v>-80.442300000000003</v>
      </c>
      <c r="L12" s="14">
        <f>_xll.BDH("RCOM IN Equity","DILUTED_EPS_BEF_XO_ITEMS_GROWTH","FY 2018","FY 2018","Currency=INR","Period=FY","BEST_FPERIOD_OVERRIDE=FY","FILING_STATUS=MR","EQY_CONSOLIDATED=Y","Sort=A","Dates=H","DateFormat=P","Fill=—","Direction=H","UseDPDF=Y")</f>
        <v>-62.547800000000002</v>
      </c>
    </row>
    <row r="13" spans="1:12">
      <c r="A13" s="10" t="s">
        <v>1457</v>
      </c>
      <c r="B13" s="10" t="s">
        <v>1458</v>
      </c>
      <c r="C13" s="14">
        <f>_xll.BDH("RCOM IN Equity","RR_DIL_EPS_CONT_OPS_GROWTH","FY 2009","FY 2009","Currency=INR","Period=FY","BEST_FPERIOD_OVERRIDE=FY","FILING_STATUS=MR","EQY_CONSOLIDATED=Y","Sort=A","Dates=H","DateFormat=P","Fill=—","Direction=H","UseDPDF=Y")</f>
        <v>43.543399999999998</v>
      </c>
      <c r="D13" s="14">
        <f>_xll.BDH("RCOM IN Equity","RR_DIL_EPS_CONT_OPS_GROWTH","FY 2010","FY 2010","Currency=INR","Period=FY","BEST_FPERIOD_OVERRIDE=FY","FILING_STATUS=MR","EQY_CONSOLIDATED=Y","Sort=A","Dates=H","DateFormat=P","Fill=—","Direction=H","UseDPDF=Y")</f>
        <v>-18.9604</v>
      </c>
      <c r="E13" s="14">
        <f>_xll.BDH("RCOM IN Equity","RR_DIL_EPS_CONT_OPS_GROWTH","FY 2011","FY 2011","Currency=INR","Period=FY","BEST_FPERIOD_OVERRIDE=FY","FILING_STATUS=MR","EQY_CONSOLIDATED=Y","Sort=A","Dates=H","DateFormat=P","Fill=—","Direction=H","UseDPDF=Y")</f>
        <v>-77.051900000000003</v>
      </c>
      <c r="F13" s="14">
        <f>_xll.BDH("RCOM IN Equity","RR_DIL_EPS_CONT_OPS_GROWTH","FY 2012","FY 2012","Currency=INR","Period=FY","BEST_FPERIOD_OVERRIDE=FY","FILING_STATUS=MR","EQY_CONSOLIDATED=Y","Sort=A","Dates=H","DateFormat=P","Fill=—","Direction=H","UseDPDF=Y")</f>
        <v>9.3872999999999998</v>
      </c>
      <c r="G13" s="14">
        <f>_xll.BDH("RCOM IN Equity","RR_DIL_EPS_CONT_OPS_GROWTH","FY 2013","FY 2013","Currency=INR","Period=FY","BEST_FPERIOD_OVERRIDE=FY","FILING_STATUS=MR","EQY_CONSOLIDATED=Y","Sort=A","Dates=H","DateFormat=P","Fill=—","Direction=H","UseDPDF=Y")</f>
        <v>-41.111600000000003</v>
      </c>
      <c r="H13" s="14">
        <f>_xll.BDH("RCOM IN Equity","RR_DIL_EPS_CONT_OPS_GROWTH","FY 2014","FY 2014","Currency=INR","Period=FY","BEST_FPERIOD_OVERRIDE=FY","FILING_STATUS=MR","EQY_CONSOLIDATED=Y","Sort=A","Dates=H","DateFormat=P","Fill=—","Direction=H","UseDPDF=Y")</f>
        <v>57.6584</v>
      </c>
      <c r="I13" s="14">
        <f>_xll.BDH("RCOM IN Equity","RR_DIL_EPS_CONT_OPS_GROWTH","FY 2015","FY 2015","Currency=INR","Period=FY","BEST_FPERIOD_OVERRIDE=FY","FILING_STATUS=MR","EQY_CONSOLIDATED=Y","Sort=A","Dates=H","DateFormat=P","Fill=—","Direction=H","UseDPDF=Y")</f>
        <v>-41.861400000000003</v>
      </c>
      <c r="J13" s="14">
        <f>_xll.BDH("RCOM IN Equity","RR_DIL_EPS_CONT_OPS_GROWTH","FY 2016","FY 2016","Currency=INR","Period=FY","BEST_FPERIOD_OVERRIDE=FY","FILING_STATUS=MR","EQY_CONSOLIDATED=Y","Sort=A","Dates=H","DateFormat=P","Fill=—","Direction=H","UseDPDF=Y")</f>
        <v>-31.986000000000001</v>
      </c>
      <c r="K13" s="14">
        <f>_xll.BDH("RCOM IN Equity","RR_DIL_EPS_CONT_OPS_GROWTH","FY 2017","FY 2017","Currency=INR","Period=FY","BEST_FPERIOD_OVERRIDE=FY","FILING_STATUS=MR","EQY_CONSOLIDATED=Y","Sort=A","Dates=H","DateFormat=P","Fill=—","Direction=H","UseDPDF=Y")</f>
        <v>-74.920299999999997</v>
      </c>
      <c r="L13" s="14">
        <f>_xll.BDH("RCOM IN Equity","RR_DIL_EPS_CONT_OPS_GROWTH","FY 2018","FY 2018","Currency=INR","Period=FY","BEST_FPERIOD_OVERRIDE=FY","FILING_STATUS=MR","EQY_CONSOLIDATED=Y","Sort=A","Dates=H","DateFormat=P","Fill=—","Direction=H","UseDPDF=Y")</f>
        <v>-62.547800000000002</v>
      </c>
    </row>
    <row r="14" spans="1:12">
      <c r="A14" s="10" t="s">
        <v>1459</v>
      </c>
      <c r="B14" s="10" t="s">
        <v>1460</v>
      </c>
      <c r="C14" s="14">
        <f>_xll.BDH("RCOM IN Equity","DIVIDEND_PER_SHARE_1_YEAR_GROWTH","FY 2009","FY 2009","Currency=INR","Period=FY","BEST_FPERIOD_OVERRIDE=FY","FILING_STATUS=MR","EQY_CONSOLIDATED=Y","Sort=A","Dates=H","DateFormat=P","Fill=—","Direction=H","UseDPDF=Y")</f>
        <v>6.6666999999999996</v>
      </c>
      <c r="D14" s="14">
        <f>_xll.BDH("RCOM IN Equity","DIVIDEND_PER_SHARE_1_YEAR_GROWTH","FY 2010","FY 2010","Currency=INR","Period=FY","BEST_FPERIOD_OVERRIDE=FY","FILING_STATUS=MR","EQY_CONSOLIDATED=Y","Sort=A","Dates=H","DateFormat=P","Fill=—","Direction=H","UseDPDF=Y")</f>
        <v>6.25</v>
      </c>
      <c r="E14" s="14">
        <f>_xll.BDH("RCOM IN Equity","DIVIDEND_PER_SHARE_1_YEAR_GROWTH","FY 2011","FY 2011","Currency=INR","Period=FY","BEST_FPERIOD_OVERRIDE=FY","FILING_STATUS=MR","EQY_CONSOLIDATED=Y","Sort=A","Dates=H","DateFormat=P","Fill=—","Direction=H","UseDPDF=Y")</f>
        <v>-41.176499999999997</v>
      </c>
      <c r="F14" s="14">
        <f>_xll.BDH("RCOM IN Equity","DIVIDEND_PER_SHARE_1_YEAR_GROWTH","FY 2012","FY 2012","Currency=INR","Period=FY","BEST_FPERIOD_OVERRIDE=FY","FILING_STATUS=MR","EQY_CONSOLIDATED=Y","Sort=A","Dates=H","DateFormat=P","Fill=—","Direction=H","UseDPDF=Y")</f>
        <v>-50</v>
      </c>
      <c r="G14" s="14">
        <f>_xll.BDH("RCOM IN Equity","DIVIDEND_PER_SHARE_1_YEAR_GROWTH","FY 2013","FY 2013","Currency=INR","Period=FY","BEST_FPERIOD_OVERRIDE=FY","FILING_STATUS=MR","EQY_CONSOLIDATED=Y","Sort=A","Dates=H","DateFormat=P","Fill=—","Direction=H","UseDPDF=Y")</f>
        <v>0</v>
      </c>
      <c r="H14" s="14" t="str">
        <f>_xll.BDH("RCOM IN Equity","DIVIDEND_PER_SHARE_1_YEAR_GROWTH","FY 2014","FY 2014","Currency=INR","Period=FY","BEST_FPERIOD_OVERRIDE=FY","FILING_STATUS=MR","EQY_CONSOLIDATED=Y","Sort=A","Dates=H","DateFormat=P","Fill=—","Direction=H","UseDPDF=Y")</f>
        <v>—</v>
      </c>
      <c r="I14" s="14" t="str">
        <f>_xll.BDH("RCOM IN Equity","DIVIDEND_PER_SHARE_1_YEAR_GROWTH","FY 2015","FY 2015","Currency=INR","Period=FY","BEST_FPERIOD_OVERRIDE=FY","FILING_STATUS=MR","EQY_CONSOLIDATED=Y","Sort=A","Dates=H","DateFormat=P","Fill=—","Direction=H","UseDPDF=Y")</f>
        <v>—</v>
      </c>
      <c r="J14" s="14" t="str">
        <f>_xll.BDH("RCOM IN Equity","DIVIDEND_PER_SHARE_1_YEAR_GROWTH","FY 2016","FY 2016","Currency=INR","Period=FY","BEST_FPERIOD_OVERRIDE=FY","FILING_STATUS=MR","EQY_CONSOLIDATED=Y","Sort=A","Dates=H","DateFormat=P","Fill=—","Direction=H","UseDPDF=Y")</f>
        <v>—</v>
      </c>
      <c r="K14" s="14" t="str">
        <f>_xll.BDH("RCOM IN Equity","DIVIDEND_PER_SHARE_1_YEAR_GROWTH","FY 2017","FY 2017","Currency=INR","Period=FY","BEST_FPERIOD_OVERRIDE=FY","FILING_STATUS=MR","EQY_CONSOLIDATED=Y","Sort=A","Dates=H","DateFormat=P","Fill=—","Direction=H","UseDPDF=Y")</f>
        <v>—</v>
      </c>
      <c r="L14" s="14" t="str">
        <f>_xll.BDH("RCOM IN Equity","DIVIDEND_PER_SHARE_1_YEAR_GROWTH","FY 2018","FY 2018","Currency=INR","Period=FY","BEST_FPERIOD_OVERRIDE=FY","FILING_STATUS=MR","EQY_CONSOLIDATED=Y","Sort=A","Dates=H","DateFormat=P","Fill=—","Direction=H","UseDPDF=Y")</f>
        <v>—</v>
      </c>
    </row>
    <row r="15" spans="1:12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>
      <c r="A16" s="10" t="s">
        <v>1461</v>
      </c>
      <c r="B16" s="10" t="s">
        <v>1462</v>
      </c>
      <c r="C16" s="14">
        <f>_xll.BDH("RCOM IN Equity","ACCOUNTS_RECEIVABLE_GROWTH","FY 2009","FY 2009","Currency=INR","Period=FY","BEST_FPERIOD_OVERRIDE=FY","FILING_STATUS=MR","EQY_CONSOLIDATED=Y","Sort=A","Dates=H","DateFormat=P","Fill=—","Direction=H","UseDPDF=Y")</f>
        <v>-68.730199999999996</v>
      </c>
      <c r="D16" s="14">
        <f>_xll.BDH("RCOM IN Equity","ACCOUNTS_RECEIVABLE_GROWTH","FY 2010","FY 2010","Currency=INR","Period=FY","BEST_FPERIOD_OVERRIDE=FY","FILING_STATUS=MR","EQY_CONSOLIDATED=Y","Sort=A","Dates=H","DateFormat=P","Fill=—","Direction=H","UseDPDF=Y")</f>
        <v>16.347100000000001</v>
      </c>
      <c r="E16" s="14">
        <f>_xll.BDH("RCOM IN Equity","ACCOUNTS_RECEIVABLE_GROWTH","FY 2011","FY 2011","Currency=INR","Period=FY","BEST_FPERIOD_OVERRIDE=FY","FILING_STATUS=MR","EQY_CONSOLIDATED=Y","Sort=A","Dates=H","DateFormat=P","Fill=—","Direction=H","UseDPDF=Y")</f>
        <v>35.091500000000003</v>
      </c>
      <c r="F16" s="14">
        <f>_xll.BDH("RCOM IN Equity","ACCOUNTS_RECEIVABLE_GROWTH","FY 2012","FY 2012","Currency=INR","Period=FY","BEST_FPERIOD_OVERRIDE=FY","FILING_STATUS=MR","EQY_CONSOLIDATED=Y","Sort=A","Dates=H","DateFormat=P","Fill=—","Direction=H","UseDPDF=Y")</f>
        <v>37.668199999999999</v>
      </c>
      <c r="G16" s="14">
        <f>_xll.BDH("RCOM IN Equity","ACCOUNTS_RECEIVABLE_GROWTH","FY 2013","FY 2013","Currency=INR","Period=FY","BEST_FPERIOD_OVERRIDE=FY","FILING_STATUS=MR","EQY_CONSOLIDATED=Y","Sort=A","Dates=H","DateFormat=P","Fill=—","Direction=H","UseDPDF=Y")</f>
        <v>-14.5494</v>
      </c>
      <c r="H16" s="14">
        <f>_xll.BDH("RCOM IN Equity","ACCOUNTS_RECEIVABLE_GROWTH","FY 2014","FY 2014","Currency=INR","Period=FY","BEST_FPERIOD_OVERRIDE=FY","FILING_STATUS=MR","EQY_CONSOLIDATED=Y","Sort=A","Dates=H","DateFormat=P","Fill=—","Direction=H","UseDPDF=Y")</f>
        <v>-28.399000000000001</v>
      </c>
      <c r="I16" s="14">
        <f>_xll.BDH("RCOM IN Equity","ACCOUNTS_RECEIVABLE_GROWTH","FY 2015","FY 2015","Currency=INR","Period=FY","BEST_FPERIOD_OVERRIDE=FY","FILING_STATUS=MR","EQY_CONSOLIDATED=Y","Sort=A","Dates=H","DateFormat=P","Fill=—","Direction=H","UseDPDF=Y")</f>
        <v>5.9450000000000003</v>
      </c>
      <c r="J16" s="14">
        <f>_xll.BDH("RCOM IN Equity","ACCOUNTS_RECEIVABLE_GROWTH","FY 2016","FY 2016","Currency=INR","Period=FY","BEST_FPERIOD_OVERRIDE=FY","FILING_STATUS=MR","EQY_CONSOLIDATED=Y","Sort=A","Dates=H","DateFormat=P","Fill=—","Direction=H","UseDPDF=Y")</f>
        <v>149.66499999999999</v>
      </c>
      <c r="K16" s="14">
        <f>_xll.BDH("RCOM IN Equity","ACCOUNTS_RECEIVABLE_GROWTH","FY 2017","FY 2017","Currency=INR","Period=FY","BEST_FPERIOD_OVERRIDE=FY","FILING_STATUS=MR","EQY_CONSOLIDATED=Y","Sort=A","Dates=H","DateFormat=P","Fill=—","Direction=H","UseDPDF=Y")</f>
        <v>9.0573999999999995</v>
      </c>
      <c r="L16" s="14">
        <f>_xll.BDH("RCOM IN Equity","ACCOUNTS_RECEIVABLE_GROWTH","FY 2018","FY 2018","Currency=INR","Period=FY","BEST_FPERIOD_OVERRIDE=FY","FILING_STATUS=MR","EQY_CONSOLIDATED=Y","Sort=A","Dates=H","DateFormat=P","Fill=—","Direction=H","UseDPDF=Y")</f>
        <v>-34.389400000000002</v>
      </c>
    </row>
    <row r="17" spans="1:12">
      <c r="A17" s="10" t="s">
        <v>1463</v>
      </c>
      <c r="B17" s="10" t="s">
        <v>1464</v>
      </c>
      <c r="C17" s="14">
        <f>_xll.BDH("RCOM IN Equity","INVENTORY_GROWTH","FY 2009","FY 2009","Currency=INR","Period=FY","BEST_FPERIOD_OVERRIDE=FY","FILING_STATUS=MR","EQY_CONSOLIDATED=Y","Sort=A","Dates=H","DateFormat=P","Fill=—","Direction=H","UseDPDF=Y")</f>
        <v>33.714399999999998</v>
      </c>
      <c r="D17" s="14">
        <f>_xll.BDH("RCOM IN Equity","INVENTORY_GROWTH","FY 2010","FY 2010","Currency=INR","Period=FY","BEST_FPERIOD_OVERRIDE=FY","FILING_STATUS=MR","EQY_CONSOLIDATED=Y","Sort=A","Dates=H","DateFormat=P","Fill=—","Direction=H","UseDPDF=Y")</f>
        <v>0.35189999999999999</v>
      </c>
      <c r="E17" s="14">
        <f>_xll.BDH("RCOM IN Equity","INVENTORY_GROWTH","FY 2011","FY 2011","Currency=INR","Period=FY","BEST_FPERIOD_OVERRIDE=FY","FILING_STATUS=MR","EQY_CONSOLIDATED=Y","Sort=A","Dates=H","DateFormat=P","Fill=—","Direction=H","UseDPDF=Y")</f>
        <v>-5.0731999999999999</v>
      </c>
      <c r="F17" s="14">
        <f>_xll.BDH("RCOM IN Equity","INVENTORY_GROWTH","FY 2012","FY 2012","Currency=INR","Period=FY","BEST_FPERIOD_OVERRIDE=FY","FILING_STATUS=MR","EQY_CONSOLIDATED=Y","Sort=A","Dates=H","DateFormat=P","Fill=—","Direction=H","UseDPDF=Y")</f>
        <v>9.4778000000000002</v>
      </c>
      <c r="G17" s="14">
        <f>_xll.BDH("RCOM IN Equity","INVENTORY_GROWTH","FY 2013","FY 2013","Currency=INR","Period=FY","BEST_FPERIOD_OVERRIDE=FY","FILING_STATUS=MR","EQY_CONSOLIDATED=Y","Sort=A","Dates=H","DateFormat=P","Fill=—","Direction=H","UseDPDF=Y")</f>
        <v>-12.190799999999999</v>
      </c>
      <c r="H17" s="14">
        <f>_xll.BDH("RCOM IN Equity","INVENTORY_GROWTH","FY 2014","FY 2014","Currency=INR","Period=FY","BEST_FPERIOD_OVERRIDE=FY","FILING_STATUS=MR","EQY_CONSOLIDATED=Y","Sort=A","Dates=H","DateFormat=P","Fill=—","Direction=H","UseDPDF=Y")</f>
        <v>-16.498999999999999</v>
      </c>
      <c r="I17" s="14">
        <f>_xll.BDH("RCOM IN Equity","INVENTORY_GROWTH","FY 2015","FY 2015","Currency=INR","Period=FY","BEST_FPERIOD_OVERRIDE=FY","FILING_STATUS=MR","EQY_CONSOLIDATED=Y","Sort=A","Dates=H","DateFormat=P","Fill=—","Direction=H","UseDPDF=Y")</f>
        <v>-3.3734999999999999</v>
      </c>
      <c r="J17" s="14">
        <f>_xll.BDH("RCOM IN Equity","INVENTORY_GROWTH","FY 2016","FY 2016","Currency=INR","Period=FY","BEST_FPERIOD_OVERRIDE=FY","FILING_STATUS=MR","EQY_CONSOLIDATED=Y","Sort=A","Dates=H","DateFormat=P","Fill=—","Direction=H","UseDPDF=Y")</f>
        <v>-48.1297</v>
      </c>
      <c r="K17" s="14">
        <f>_xll.BDH("RCOM IN Equity","INVENTORY_GROWTH","FY 2017","FY 2017","Currency=INR","Period=FY","BEST_FPERIOD_OVERRIDE=FY","FILING_STATUS=MR","EQY_CONSOLIDATED=Y","Sort=A","Dates=H","DateFormat=P","Fill=—","Direction=H","UseDPDF=Y")</f>
        <v>12.9808</v>
      </c>
      <c r="L17" s="14">
        <f>_xll.BDH("RCOM IN Equity","INVENTORY_GROWTH","FY 2018","FY 2018","Currency=INR","Period=FY","BEST_FPERIOD_OVERRIDE=FY","FILING_STATUS=MR","EQY_CONSOLIDATED=Y","Sort=A","Dates=H","DateFormat=P","Fill=—","Direction=H","UseDPDF=Y")</f>
        <v>-66.382999999999996</v>
      </c>
    </row>
    <row r="18" spans="1:12">
      <c r="A18" s="10" t="s">
        <v>1465</v>
      </c>
      <c r="B18" s="10" t="s">
        <v>1466</v>
      </c>
      <c r="C18" s="14">
        <f>_xll.BDH("RCOM IN Equity","NET_FIXED_ASSETS_1_YEAR_GROWTH","FY 2009","FY 2009","Currency=INR","Period=FY","BEST_FPERIOD_OVERRIDE=FY","FILING_STATUS=MR","EQY_CONSOLIDATED=Y","Sort=A","Dates=H","DateFormat=P","Fill=—","Direction=H","UseDPDF=Y")</f>
        <v>8.9033999999999995</v>
      </c>
      <c r="D18" s="14">
        <f>_xll.BDH("RCOM IN Equity","NET_FIXED_ASSETS_1_YEAR_GROWTH","FY 2010","FY 2010","Currency=INR","Period=FY","BEST_FPERIOD_OVERRIDE=FY","FILING_STATUS=MR","EQY_CONSOLIDATED=Y","Sort=A","Dates=H","DateFormat=P","Fill=—","Direction=H","UseDPDF=Y")</f>
        <v>0.55930000000000002</v>
      </c>
      <c r="E18" s="14">
        <f>_xll.BDH("RCOM IN Equity","NET_FIXED_ASSETS_1_YEAR_GROWTH","FY 2011","FY 2011","Currency=INR","Period=FY","BEST_FPERIOD_OVERRIDE=FY","FILING_STATUS=MR","EQY_CONSOLIDATED=Y","Sort=A","Dates=H","DateFormat=P","Fill=—","Direction=H","UseDPDF=Y")</f>
        <v>4.6300999999999997</v>
      </c>
      <c r="F18" s="14">
        <f>_xll.BDH("RCOM IN Equity","NET_FIXED_ASSETS_1_YEAR_GROWTH","FY 2012","FY 2012","Currency=INR","Period=FY","BEST_FPERIOD_OVERRIDE=FY","FILING_STATUS=MR","EQY_CONSOLIDATED=Y","Sort=A","Dates=H","DateFormat=P","Fill=—","Direction=H","UseDPDF=Y")</f>
        <v>-13.08</v>
      </c>
      <c r="G18" s="14">
        <f>_xll.BDH("RCOM IN Equity","NET_FIXED_ASSETS_1_YEAR_GROWTH","FY 2013","FY 2013","Currency=INR","Period=FY","BEST_FPERIOD_OVERRIDE=FY","FILING_STATUS=MR","EQY_CONSOLIDATED=Y","Sort=A","Dates=H","DateFormat=P","Fill=—","Direction=H","UseDPDF=Y")</f>
        <v>-0.76990000000000003</v>
      </c>
      <c r="H18" s="14">
        <f>_xll.BDH("RCOM IN Equity","NET_FIXED_ASSETS_1_YEAR_GROWTH","FY 2014","FY 2014","Currency=INR","Period=FY","BEST_FPERIOD_OVERRIDE=FY","FILING_STATUS=MR","EQY_CONSOLIDATED=Y","Sort=A","Dates=H","DateFormat=P","Fill=—","Direction=H","UseDPDF=Y")</f>
        <v>-2.2383999999999999</v>
      </c>
      <c r="I18" s="14">
        <f>_xll.BDH("RCOM IN Equity","NET_FIXED_ASSETS_1_YEAR_GROWTH","FY 2015","FY 2015","Currency=INR","Period=FY","BEST_FPERIOD_OVERRIDE=FY","FILING_STATUS=MR","EQY_CONSOLIDATED=Y","Sort=A","Dates=H","DateFormat=P","Fill=—","Direction=H","UseDPDF=Y")</f>
        <v>-3.9173</v>
      </c>
      <c r="J18" s="14">
        <f>_xll.BDH("RCOM IN Equity","NET_FIXED_ASSETS_1_YEAR_GROWTH","FY 2016","FY 2016","Currency=INR","Period=FY","BEST_FPERIOD_OVERRIDE=FY","FILING_STATUS=MR","EQY_CONSOLIDATED=Y","Sort=A","Dates=H","DateFormat=P","Fill=—","Direction=H","UseDPDF=Y")</f>
        <v>16.0122</v>
      </c>
      <c r="K18" s="14">
        <f>_xll.BDH("RCOM IN Equity","NET_FIXED_ASSETS_1_YEAR_GROWTH","FY 2017","FY 2017","Currency=INR","Period=FY","BEST_FPERIOD_OVERRIDE=FY","FILING_STATUS=MR","EQY_CONSOLIDATED=Y","Sort=A","Dates=H","DateFormat=P","Fill=—","Direction=H","UseDPDF=Y")</f>
        <v>-1.5573000000000001</v>
      </c>
      <c r="L18" s="14">
        <f>_xll.BDH("RCOM IN Equity","NET_FIXED_ASSETS_1_YEAR_GROWTH","FY 2018","FY 2018","Currency=INR","Period=FY","BEST_FPERIOD_OVERRIDE=FY","FILING_STATUS=MR","EQY_CONSOLIDATED=Y","Sort=A","Dates=H","DateFormat=P","Fill=—","Direction=H","UseDPDF=Y")</f>
        <v>-67.576899999999995</v>
      </c>
    </row>
    <row r="19" spans="1:12">
      <c r="A19" s="10" t="s">
        <v>77</v>
      </c>
      <c r="B19" s="10" t="s">
        <v>1467</v>
      </c>
      <c r="C19" s="14">
        <f>_xll.BDH("RCOM IN Equity","ASSET_GROWTH","FY 2009","FY 2009","Currency=INR","Period=FY","BEST_FPERIOD_OVERRIDE=FY","FILING_STATUS=MR","EQY_CONSOLIDATED=Y","Sort=A","Dates=H","DateFormat=P","Fill=—","Direction=H","UseDPDF=Y")</f>
        <v>31.949200000000001</v>
      </c>
      <c r="D19" s="14">
        <f>_xll.BDH("RCOM IN Equity","ASSET_GROWTH","FY 2010","FY 2010","Currency=INR","Period=FY","BEST_FPERIOD_OVERRIDE=FY","FILING_STATUS=MR","EQY_CONSOLIDATED=Y","Sort=A","Dates=H","DateFormat=P","Fill=—","Direction=H","UseDPDF=Y")</f>
        <v>-9.4301999999999992</v>
      </c>
      <c r="E19" s="14">
        <f>_xll.BDH("RCOM IN Equity","ASSET_GROWTH","FY 2011","FY 2011","Currency=INR","Period=FY","BEST_FPERIOD_OVERRIDE=FY","FILING_STATUS=MR","EQY_CONSOLIDATED=Y","Sort=A","Dates=H","DateFormat=P","Fill=—","Direction=H","UseDPDF=Y")</f>
        <v>2.3273000000000001</v>
      </c>
      <c r="F19" s="14">
        <f>_xll.BDH("RCOM IN Equity","ASSET_GROWTH","FY 2012","FY 2012","Currency=INR","Period=FY","BEST_FPERIOD_OVERRIDE=FY","FILING_STATUS=MR","EQY_CONSOLIDATED=Y","Sort=A","Dates=H","DateFormat=P","Fill=—","Direction=H","UseDPDF=Y")</f>
        <v>-2.5949</v>
      </c>
      <c r="G19" s="14">
        <f>_xll.BDH("RCOM IN Equity","ASSET_GROWTH","FY 2013","FY 2013","Currency=INR","Period=FY","BEST_FPERIOD_OVERRIDE=FY","FILING_STATUS=MR","EQY_CONSOLIDATED=Y","Sort=A","Dates=H","DateFormat=P","Fill=—","Direction=H","UseDPDF=Y")</f>
        <v>-2.2576000000000001</v>
      </c>
      <c r="H19" s="14">
        <f>_xll.BDH("RCOM IN Equity","ASSET_GROWTH","FY 2014","FY 2014","Currency=INR","Period=FY","BEST_FPERIOD_OVERRIDE=FY","FILING_STATUS=MR","EQY_CONSOLIDATED=Y","Sort=A","Dates=H","DateFormat=P","Fill=—","Direction=H","UseDPDF=Y")</f>
        <v>0.61760000000000004</v>
      </c>
      <c r="I19" s="14">
        <f>_xll.BDH("RCOM IN Equity","ASSET_GROWTH","FY 2015","FY 2015","Currency=INR","Period=FY","BEST_FPERIOD_OVERRIDE=FY","FILING_STATUS=MR","EQY_CONSOLIDATED=Y","Sort=A","Dates=H","DateFormat=P","Fill=—","Direction=H","UseDPDF=Y")</f>
        <v>2.516</v>
      </c>
      <c r="J19" s="14">
        <f>_xll.BDH("RCOM IN Equity","ASSET_GROWTH","FY 2016","FY 2016","Currency=INR","Period=FY","BEST_FPERIOD_OVERRIDE=FY","FILING_STATUS=MR","EQY_CONSOLIDATED=Y","Sort=A","Dates=H","DateFormat=P","Fill=—","Direction=H","UseDPDF=Y")</f>
        <v>11.214600000000001</v>
      </c>
      <c r="K19" s="14">
        <f>_xll.BDH("RCOM IN Equity","ASSET_GROWTH","FY 2017","FY 2017","Currency=INR","Period=FY","BEST_FPERIOD_OVERRIDE=FY","FILING_STATUS=MR","EQY_CONSOLIDATED=Y","Sort=A","Dates=H","DateFormat=P","Fill=—","Direction=H","UseDPDF=Y")</f>
        <v>-3.5987</v>
      </c>
      <c r="L19" s="14">
        <f>_xll.BDH("RCOM IN Equity","ASSET_GROWTH","FY 2018","FY 2018","Currency=INR","Period=FY","BEST_FPERIOD_OVERRIDE=FY","FILING_STATUS=MR","EQY_CONSOLIDATED=Y","Sort=A","Dates=H","DateFormat=P","Fill=—","Direction=H","UseDPDF=Y")</f>
        <v>-25.220800000000001</v>
      </c>
    </row>
    <row r="20" spans="1:12">
      <c r="A20" s="10" t="s">
        <v>1468</v>
      </c>
      <c r="B20" s="10" t="s">
        <v>1469</v>
      </c>
      <c r="C20" s="14" t="str">
        <f>_xll.BDH("RCOM IN Equity","MODIFIED_WORK_CAP_GROWTH","FY 2009","FY 2009","Currency=INR","Period=FY","BEST_FPERIOD_OVERRIDE=FY","FILING_STATUS=MR","EQY_CONSOLIDATED=Y","Sort=A","Dates=H","DateFormat=P","Fill=—","Direction=H","UseDPDF=Y")</f>
        <v>—</v>
      </c>
      <c r="D20" s="14" t="str">
        <f>_xll.BDH("RCOM IN Equity","MODIFIED_WORK_CAP_GROWTH","FY 2010","FY 2010","Currency=INR","Period=FY","BEST_FPERIOD_OVERRIDE=FY","FILING_STATUS=MR","EQY_CONSOLIDATED=Y","Sort=A","Dates=H","DateFormat=P","Fill=—","Direction=H","UseDPDF=Y")</f>
        <v>—</v>
      </c>
      <c r="E20" s="14">
        <f>_xll.BDH("RCOM IN Equity","MODIFIED_WORK_CAP_GROWTH","FY 2011","FY 2011","Currency=INR","Period=FY","BEST_FPERIOD_OVERRIDE=FY","FILING_STATUS=MR","EQY_CONSOLIDATED=Y","Sort=A","Dates=H","DateFormat=P","Fill=—","Direction=H","UseDPDF=Y")</f>
        <v>91.369200000000006</v>
      </c>
      <c r="F20" s="14" t="str">
        <f>_xll.BDH("RCOM IN Equity","MODIFIED_WORK_CAP_GROWTH","FY 2012","FY 2012","Currency=INR","Period=FY","BEST_FPERIOD_OVERRIDE=FY","FILING_STATUS=MR","EQY_CONSOLIDATED=Y","Sort=A","Dates=H","DateFormat=P","Fill=—","Direction=H","UseDPDF=Y")</f>
        <v>—</v>
      </c>
      <c r="G20" s="14" t="str">
        <f>_xll.BDH("RCOM IN Equity","MODIFIED_WORK_CAP_GROWTH","FY 2013","FY 2013","Currency=INR","Period=FY","BEST_FPERIOD_OVERRIDE=FY","FILING_STATUS=MR","EQY_CONSOLIDATED=Y","Sort=A","Dates=H","DateFormat=P","Fill=—","Direction=H","UseDPDF=Y")</f>
        <v>—</v>
      </c>
      <c r="H20" s="14">
        <f>_xll.BDH("RCOM IN Equity","MODIFIED_WORK_CAP_GROWTH","FY 2014","FY 2014","Currency=INR","Period=FY","BEST_FPERIOD_OVERRIDE=FY","FILING_STATUS=MR","EQY_CONSOLIDATED=Y","Sort=A","Dates=H","DateFormat=P","Fill=—","Direction=H","UseDPDF=Y")</f>
        <v>-573.7201</v>
      </c>
      <c r="I20" s="14">
        <f>_xll.BDH("RCOM IN Equity","MODIFIED_WORK_CAP_GROWTH","FY 2015","FY 2015","Currency=INR","Period=FY","BEST_FPERIOD_OVERRIDE=FY","FILING_STATUS=MR","EQY_CONSOLIDATED=Y","Sort=A","Dates=H","DateFormat=P","Fill=—","Direction=H","UseDPDF=Y")</f>
        <v>-133.5866</v>
      </c>
      <c r="J20" s="14">
        <f>_xll.BDH("RCOM IN Equity","MODIFIED_WORK_CAP_GROWTH","FY 2016","FY 2016","Currency=INR","Period=FY","BEST_FPERIOD_OVERRIDE=FY","FILING_STATUS=MR","EQY_CONSOLIDATED=Y","Sort=A","Dates=H","DateFormat=P","Fill=—","Direction=H","UseDPDF=Y")</f>
        <v>43.916699999999999</v>
      </c>
      <c r="K20" s="14">
        <f>_xll.BDH("RCOM IN Equity","MODIFIED_WORK_CAP_GROWTH","FY 2017","FY 2017","Currency=INR","Period=FY","BEST_FPERIOD_OVERRIDE=FY","FILING_STATUS=MR","EQY_CONSOLIDATED=Y","Sort=A","Dates=H","DateFormat=P","Fill=—","Direction=H","UseDPDF=Y")</f>
        <v>51.2761</v>
      </c>
      <c r="L20" s="14">
        <f>_xll.BDH("RCOM IN Equity","MODIFIED_WORK_CAP_GROWTH","FY 2018","FY 2018","Currency=INR","Period=FY","BEST_FPERIOD_OVERRIDE=FY","FILING_STATUS=MR","EQY_CONSOLIDATED=Y","Sort=A","Dates=H","DateFormat=P","Fill=—","Direction=H","UseDPDF=Y")</f>
        <v>-110.7937</v>
      </c>
    </row>
    <row r="21" spans="1:12">
      <c r="A21" s="10" t="s">
        <v>1470</v>
      </c>
      <c r="B21" s="10" t="s">
        <v>1471</v>
      </c>
      <c r="C21" s="14">
        <f>_xll.BDH("RCOM IN Equity","WORK_CAP_GROWTH","FY 2009","FY 2009","Currency=INR","Period=FY","BEST_FPERIOD_OVERRIDE=FY","FILING_STATUS=MR","EQY_CONSOLIDATED=Y","Sort=A","Dates=H","DateFormat=P","Fill=—","Direction=H","UseDPDF=Y")</f>
        <v>62.496499999999997</v>
      </c>
      <c r="D21" s="14">
        <f>_xll.BDH("RCOM IN Equity","WORK_CAP_GROWTH","FY 2010","FY 2010","Currency=INR","Period=FY","BEST_FPERIOD_OVERRIDE=FY","FILING_STATUS=MR","EQY_CONSOLIDATED=Y","Sort=A","Dates=H","DateFormat=P","Fill=—","Direction=H","UseDPDF=Y")</f>
        <v>-63.452100000000002</v>
      </c>
      <c r="E21" s="14">
        <f>_xll.BDH("RCOM IN Equity","WORK_CAP_GROWTH","FY 2011","FY 2011","Currency=INR","Period=FY","BEST_FPERIOD_OVERRIDE=FY","FILING_STATUS=MR","EQY_CONSOLIDATED=Y","Sort=A","Dates=H","DateFormat=P","Fill=—","Direction=H","UseDPDF=Y")</f>
        <v>-21.939799999999998</v>
      </c>
      <c r="F21" s="14">
        <f>_xll.BDH("RCOM IN Equity","WORK_CAP_GROWTH","FY 2012","FY 2012","Currency=INR","Period=FY","BEST_FPERIOD_OVERRIDE=FY","FILING_STATUS=MR","EQY_CONSOLIDATED=Y","Sort=A","Dates=H","DateFormat=P","Fill=—","Direction=H","UseDPDF=Y")</f>
        <v>37.813800000000001</v>
      </c>
      <c r="G21" s="14">
        <f>_xll.BDH("RCOM IN Equity","WORK_CAP_GROWTH","FY 2013","FY 2013","Currency=INR","Period=FY","BEST_FPERIOD_OVERRIDE=FY","FILING_STATUS=MR","EQY_CONSOLIDATED=Y","Sort=A","Dates=H","DateFormat=P","Fill=—","Direction=H","UseDPDF=Y")</f>
        <v>-13.3786</v>
      </c>
      <c r="H21" s="14">
        <f>_xll.BDH("RCOM IN Equity","WORK_CAP_GROWTH","FY 2014","FY 2014","Currency=INR","Period=FY","BEST_FPERIOD_OVERRIDE=FY","FILING_STATUS=MR","EQY_CONSOLIDATED=Y","Sort=A","Dates=H","DateFormat=P","Fill=—","Direction=H","UseDPDF=Y")</f>
        <v>-8.7941000000000003</v>
      </c>
      <c r="I21" s="14">
        <f>_xll.BDH("RCOM IN Equity","WORK_CAP_GROWTH","FY 2015","FY 2015","Currency=INR","Period=FY","BEST_FPERIOD_OVERRIDE=FY","FILING_STATUS=MR","EQY_CONSOLIDATED=Y","Sort=A","Dates=H","DateFormat=P","Fill=—","Direction=H","UseDPDF=Y")</f>
        <v>82.460300000000004</v>
      </c>
      <c r="J21" s="14">
        <f>_xll.BDH("RCOM IN Equity","WORK_CAP_GROWTH","FY 2016","FY 2016","Currency=INR","Period=FY","BEST_FPERIOD_OVERRIDE=FY","FILING_STATUS=MR","EQY_CONSOLIDATED=Y","Sort=A","Dates=H","DateFormat=P","Fill=—","Direction=H","UseDPDF=Y")</f>
        <v>-646.13220000000001</v>
      </c>
      <c r="K21" s="14">
        <f>_xll.BDH("RCOM IN Equity","WORK_CAP_GROWTH","FY 2017","FY 2017","Currency=INR","Period=FY","BEST_FPERIOD_OVERRIDE=FY","FILING_STATUS=MR","EQY_CONSOLIDATED=Y","Sort=A","Dates=H","DateFormat=P","Fill=—","Direction=H","UseDPDF=Y")</f>
        <v>-44.687399999999997</v>
      </c>
      <c r="L21" s="14">
        <f>_xll.BDH("RCOM IN Equity","WORK_CAP_GROWTH","FY 2018","FY 2018","Currency=INR","Period=FY","BEST_FPERIOD_OVERRIDE=FY","FILING_STATUS=MR","EQY_CONSOLIDATED=Y","Sort=A","Dates=H","DateFormat=P","Fill=—","Direction=H","UseDPDF=Y")</f>
        <v>69.5184</v>
      </c>
    </row>
    <row r="22" spans="1:12">
      <c r="A22" s="10" t="s">
        <v>1472</v>
      </c>
      <c r="B22" s="10" t="s">
        <v>1473</v>
      </c>
      <c r="C22" s="14">
        <f>_xll.BDH("RCOM IN Equity","EMPL_GROWTH","FY 2009","FY 2009","Currency=INR","Period=FY","BEST_FPERIOD_OVERRIDE=FY","FILING_STATUS=MR","EQY_CONSOLIDATED=Y","Sort=A","Dates=H","DateFormat=P","Fill=—","Direction=H","UseDPDF=Y")</f>
        <v>1.3643000000000001</v>
      </c>
      <c r="D22" s="14">
        <f>_xll.BDH("RCOM IN Equity","EMPL_GROWTH","FY 2010","FY 2010","Currency=INR","Period=FY","BEST_FPERIOD_OVERRIDE=FY","FILING_STATUS=MR","EQY_CONSOLIDATED=Y","Sort=A","Dates=H","DateFormat=P","Fill=—","Direction=H","UseDPDF=Y")</f>
        <v>-16.624500000000001</v>
      </c>
      <c r="E22" s="14">
        <f>_xll.BDH("RCOM IN Equity","EMPL_GROWTH","FY 2011","FY 2011","Currency=INR","Period=FY","BEST_FPERIOD_OVERRIDE=FY","FILING_STATUS=MR","EQY_CONSOLIDATED=Y","Sort=A","Dates=H","DateFormat=P","Fill=—","Direction=H","UseDPDF=Y")</f>
        <v>-9.3917000000000002</v>
      </c>
      <c r="F22" s="14">
        <f>_xll.BDH("RCOM IN Equity","EMPL_GROWTH","FY 2012","FY 2012","Currency=INR","Period=FY","BEST_FPERIOD_OVERRIDE=FY","FILING_STATUS=MR","EQY_CONSOLIDATED=Y","Sort=A","Dates=H","DateFormat=P","Fill=—","Direction=H","UseDPDF=Y")</f>
        <v>-12.8452</v>
      </c>
      <c r="G22" s="14">
        <f>_xll.BDH("RCOM IN Equity","EMPL_GROWTH","FY 2013","FY 2013","Currency=INR","Period=FY","BEST_FPERIOD_OVERRIDE=FY","FILING_STATUS=MR","EQY_CONSOLIDATED=Y","Sort=A","Dates=H","DateFormat=P","Fill=—","Direction=H","UseDPDF=Y")</f>
        <v>-23.7408</v>
      </c>
      <c r="H22" s="14" t="str">
        <f>_xll.BDH("RCOM IN Equity","EMPL_GROWTH","FY 2014","FY 2014","Currency=INR","Period=FY","BEST_FPERIOD_OVERRIDE=FY","FILING_STATUS=MR","EQY_CONSOLIDATED=Y","Sort=A","Dates=H","DateFormat=P","Fill=—","Direction=H","UseDPDF=Y")</f>
        <v>—</v>
      </c>
      <c r="I22" s="14" t="str">
        <f>_xll.BDH("RCOM IN Equity","EMPL_GROWTH","FY 2015","FY 2015","Currency=INR","Period=FY","BEST_FPERIOD_OVERRIDE=FY","FILING_STATUS=MR","EQY_CONSOLIDATED=Y","Sort=A","Dates=H","DateFormat=P","Fill=—","Direction=H","UseDPDF=Y")</f>
        <v>—</v>
      </c>
      <c r="J22" s="14" t="str">
        <f>_xll.BDH("RCOM IN Equity","EMPL_GROWTH","FY 2016","FY 2016","Currency=INR","Period=FY","BEST_FPERIOD_OVERRIDE=FY","FILING_STATUS=MR","EQY_CONSOLIDATED=Y","Sort=A","Dates=H","DateFormat=P","Fill=—","Direction=H","UseDPDF=Y")</f>
        <v>—</v>
      </c>
      <c r="K22" s="14" t="str">
        <f>_xll.BDH("RCOM IN Equity","EMPL_GROWTH","FY 2017","FY 2017","Currency=INR","Period=FY","BEST_FPERIOD_OVERRIDE=FY","FILING_STATUS=MR","EQY_CONSOLIDATED=Y","Sort=A","Dates=H","DateFormat=P","Fill=—","Direction=H","UseDPDF=Y")</f>
        <v>—</v>
      </c>
      <c r="L22" s="14" t="str">
        <f>_xll.BDH("RCOM IN Equity","EMPL_GROWTH","FY 2018","FY 2018","Currency=INR","Period=FY","BEST_FPERIOD_OVERRIDE=FY","FILING_STATUS=MR","EQY_CONSOLIDATED=Y","Sort=A","Dates=H","DateFormat=P","Fill=—","Direction=H","UseDPDF=Y")</f>
        <v>—</v>
      </c>
    </row>
    <row r="23" spans="1:12">
      <c r="A23" s="10" t="s">
        <v>1474</v>
      </c>
      <c r="B23" s="10" t="s">
        <v>1475</v>
      </c>
      <c r="C23" s="14">
        <f>_xll.BDH("RCOM IN Equity","ACCOUNTS_PAYABLE_GROWTH_1YR","FY 2009","FY 2009","Currency=INR","Period=FY","BEST_FPERIOD_OVERRIDE=FY","FILING_STATUS=MR","EQY_CONSOLIDATED=Y","Sort=A","Dates=H","DateFormat=P","Fill=—","Direction=H","UseDPDF=Y")</f>
        <v>-94.519300000000001</v>
      </c>
      <c r="D23" s="14">
        <f>_xll.BDH("RCOM IN Equity","ACCOUNTS_PAYABLE_GROWTH_1YR","FY 2010","FY 2010","Currency=INR","Period=FY","BEST_FPERIOD_OVERRIDE=FY","FILING_STATUS=MR","EQY_CONSOLIDATED=Y","Sort=A","Dates=H","DateFormat=P","Fill=—","Direction=H","UseDPDF=Y")</f>
        <v>304.79500000000002</v>
      </c>
      <c r="E23" s="14">
        <f>_xll.BDH("RCOM IN Equity","ACCOUNTS_PAYABLE_GROWTH_1YR","FY 2011","FY 2011","Currency=INR","Period=FY","BEST_FPERIOD_OVERRIDE=FY","FILING_STATUS=MR","EQY_CONSOLIDATED=Y","Sort=A","Dates=H","DateFormat=P","Fill=—","Direction=H","UseDPDF=Y")</f>
        <v>-2.0741000000000001</v>
      </c>
      <c r="F23" s="14">
        <f>_xll.BDH("RCOM IN Equity","ACCOUNTS_PAYABLE_GROWTH_1YR","FY 2012","FY 2012","Currency=INR","Period=FY","BEST_FPERIOD_OVERRIDE=FY","FILING_STATUS=MR","EQY_CONSOLIDATED=Y","Sort=A","Dates=H","DateFormat=P","Fill=—","Direction=H","UseDPDF=Y")</f>
        <v>22.7104</v>
      </c>
      <c r="G23" s="14">
        <f>_xll.BDH("RCOM IN Equity","ACCOUNTS_PAYABLE_GROWTH_1YR","FY 2013","FY 2013","Currency=INR","Period=FY","BEST_FPERIOD_OVERRIDE=FY","FILING_STATUS=MR","EQY_CONSOLIDATED=Y","Sort=A","Dates=H","DateFormat=P","Fill=—","Direction=H","UseDPDF=Y")</f>
        <v>1.9845000000000002</v>
      </c>
      <c r="H23" s="14">
        <f>_xll.BDH("RCOM IN Equity","ACCOUNTS_PAYABLE_GROWTH_1YR","FY 2014","FY 2014","Currency=INR","Period=FY","BEST_FPERIOD_OVERRIDE=FY","FILING_STATUS=MR","EQY_CONSOLIDATED=Y","Sort=A","Dates=H","DateFormat=P","Fill=—","Direction=H","UseDPDF=Y")</f>
        <v>48.731000000000002</v>
      </c>
      <c r="I23" s="14">
        <f>_xll.BDH("RCOM IN Equity","ACCOUNTS_PAYABLE_GROWTH_1YR","FY 2015","FY 2015","Currency=INR","Period=FY","BEST_FPERIOD_OVERRIDE=FY","FILING_STATUS=MR","EQY_CONSOLIDATED=Y","Sort=A","Dates=H","DateFormat=P","Fill=—","Direction=H","UseDPDF=Y")</f>
        <v>76.507400000000004</v>
      </c>
      <c r="J23" s="14">
        <f>_xll.BDH("RCOM IN Equity","ACCOUNTS_PAYABLE_GROWTH_1YR","FY 2016","FY 2016","Currency=INR","Period=FY","BEST_FPERIOD_OVERRIDE=FY","FILING_STATUS=MR","EQY_CONSOLIDATED=Y","Sort=A","Dates=H","DateFormat=P","Fill=—","Direction=H","UseDPDF=Y")</f>
        <v>-6.9448999999999996</v>
      </c>
      <c r="K23" s="14">
        <f>_xll.BDH("RCOM IN Equity","ACCOUNTS_PAYABLE_GROWTH_1YR","FY 2017","FY 2017","Currency=INR","Period=FY","BEST_FPERIOD_OVERRIDE=FY","FILING_STATUS=MR","EQY_CONSOLIDATED=Y","Sort=A","Dates=H","DateFormat=P","Fill=—","Direction=H","UseDPDF=Y")</f>
        <v>-17.818200000000001</v>
      </c>
      <c r="L23" s="14">
        <f>_xll.BDH("RCOM IN Equity","ACCOUNTS_PAYABLE_GROWTH_1YR","FY 2018","FY 2018","Currency=INR","Period=FY","BEST_FPERIOD_OVERRIDE=FY","FILING_STATUS=MR","EQY_CONSOLIDATED=Y","Sort=A","Dates=H","DateFormat=P","Fill=—","Direction=H","UseDPDF=Y")</f>
        <v>2.5705999999999998</v>
      </c>
    </row>
    <row r="24" spans="1:12">
      <c r="A24" s="10" t="s">
        <v>1476</v>
      </c>
      <c r="B24" s="10" t="s">
        <v>1477</v>
      </c>
      <c r="C24" s="14">
        <f>_xll.BDH("RCOM IN Equity","SHORT_TERM_DEBT_1_YEAR_GROWTH","FY 2009","FY 2009","Currency=INR","Period=FY","BEST_FPERIOD_OVERRIDE=FY","FILING_STATUS=MR","EQY_CONSOLIDATED=Y","Sort=A","Dates=H","DateFormat=P","Fill=—","Direction=H","UseDPDF=Y")</f>
        <v>1.3486</v>
      </c>
      <c r="D24" s="14">
        <f>_xll.BDH("RCOM IN Equity","SHORT_TERM_DEBT_1_YEAR_GROWTH","FY 2010","FY 2010","Currency=INR","Period=FY","BEST_FPERIOD_OVERRIDE=FY","FILING_STATUS=MR","EQY_CONSOLIDATED=Y","Sort=A","Dates=H","DateFormat=P","Fill=—","Direction=H","UseDPDF=Y")</f>
        <v>-11.8604</v>
      </c>
      <c r="E24" s="14">
        <f>_xll.BDH("RCOM IN Equity","SHORT_TERM_DEBT_1_YEAR_GROWTH","FY 2011","FY 2011","Currency=INR","Period=FY","BEST_FPERIOD_OVERRIDE=FY","FILING_STATUS=MR","EQY_CONSOLIDATED=Y","Sort=A","Dates=H","DateFormat=P","Fill=—","Direction=H","UseDPDF=Y")</f>
        <v>88.825999999999993</v>
      </c>
      <c r="F24" s="14">
        <f>_xll.BDH("RCOM IN Equity","SHORT_TERM_DEBT_1_YEAR_GROWTH","FY 2012","FY 2012","Currency=INR","Period=FY","BEST_FPERIOD_OVERRIDE=FY","FILING_STATUS=MR","EQY_CONSOLIDATED=Y","Sort=A","Dates=H","DateFormat=P","Fill=—","Direction=H","UseDPDF=Y")</f>
        <v>-56.184800000000003</v>
      </c>
      <c r="G24" s="14">
        <f>_xll.BDH("RCOM IN Equity","SHORT_TERM_DEBT_1_YEAR_GROWTH","FY 2013","FY 2013","Currency=INR","Period=FY","BEST_FPERIOD_OVERRIDE=FY","FILING_STATUS=MR","EQY_CONSOLIDATED=Y","Sort=A","Dates=H","DateFormat=P","Fill=—","Direction=H","UseDPDF=Y")</f>
        <v>48.654299999999999</v>
      </c>
      <c r="H24" s="14">
        <f>_xll.BDH("RCOM IN Equity","SHORT_TERM_DEBT_1_YEAR_GROWTH","FY 2014","FY 2014","Currency=INR","Period=FY","BEST_FPERIOD_OVERRIDE=FY","FILING_STATUS=MR","EQY_CONSOLIDATED=Y","Sort=A","Dates=H","DateFormat=P","Fill=—","Direction=H","UseDPDF=Y")</f>
        <v>9.4490999999999996</v>
      </c>
      <c r="I24" s="14">
        <f>_xll.BDH("RCOM IN Equity","SHORT_TERM_DEBT_1_YEAR_GROWTH","FY 2015","FY 2015","Currency=INR","Period=FY","BEST_FPERIOD_OVERRIDE=FY","FILING_STATUS=MR","EQY_CONSOLIDATED=Y","Sort=A","Dates=H","DateFormat=P","Fill=—","Direction=H","UseDPDF=Y")</f>
        <v>-32.673099999999998</v>
      </c>
      <c r="J24" s="14">
        <f>_xll.BDH("RCOM IN Equity","SHORT_TERM_DEBT_1_YEAR_GROWTH","FY 2016","FY 2016","Currency=INR","Period=FY","BEST_FPERIOD_OVERRIDE=FY","FILING_STATUS=MR","EQY_CONSOLIDATED=Y","Sort=A","Dates=H","DateFormat=P","Fill=—","Direction=H","UseDPDF=Y")</f>
        <v>52.936799999999998</v>
      </c>
      <c r="K24" s="14">
        <f>_xll.BDH("RCOM IN Equity","SHORT_TERM_DEBT_1_YEAR_GROWTH","FY 2017","FY 2017","Currency=INR","Period=FY","BEST_FPERIOD_OVERRIDE=FY","FILING_STATUS=MR","EQY_CONSOLIDATED=Y","Sort=A","Dates=H","DateFormat=P","Fill=—","Direction=H","UseDPDF=Y")</f>
        <v>59.849699999999999</v>
      </c>
      <c r="L24" s="14">
        <f>_xll.BDH("RCOM IN Equity","SHORT_TERM_DEBT_1_YEAR_GROWTH","FY 2018","FY 2018","Currency=INR","Period=FY","BEST_FPERIOD_OVERRIDE=FY","FILING_STATUS=MR","EQY_CONSOLIDATED=Y","Sort=A","Dates=H","DateFormat=P","Fill=—","Direction=H","UseDPDF=Y")</f>
        <v>47.578000000000003</v>
      </c>
    </row>
    <row r="25" spans="1:12">
      <c r="A25" s="10" t="s">
        <v>1478</v>
      </c>
      <c r="B25" s="10" t="s">
        <v>1479</v>
      </c>
      <c r="C25" s="14">
        <f>_xll.BDH("RCOM IN Equity","TOTAL_DEBT_1_YEAR_GROWTH","FY 2009","FY 2009","Currency=INR","Period=FY","BEST_FPERIOD_OVERRIDE=FY","FILING_STATUS=MR","EQY_CONSOLIDATED=Y","Sort=A","Dates=H","DateFormat=P","Fill=—","Direction=H","UseDPDF=Y")</f>
        <v>51.664099999999998</v>
      </c>
      <c r="D25" s="14">
        <f>_xll.BDH("RCOM IN Equity","TOTAL_DEBT_1_YEAR_GROWTH","FY 2010","FY 2010","Currency=INR","Period=FY","BEST_FPERIOD_OVERRIDE=FY","FILING_STATUS=MR","EQY_CONSOLIDATED=Y","Sort=A","Dates=H","DateFormat=P","Fill=—","Direction=H","UseDPDF=Y")</f>
        <v>-24.122299999999999</v>
      </c>
      <c r="E25" s="14">
        <f>_xll.BDH("RCOM IN Equity","TOTAL_DEBT_1_YEAR_GROWTH","FY 2011","FY 2011","Currency=INR","Period=FY","BEST_FPERIOD_OVERRIDE=FY","FILING_STATUS=MR","EQY_CONSOLIDATED=Y","Sort=A","Dates=H","DateFormat=P","Fill=—","Direction=H","UseDPDF=Y")</f>
        <v>31.483899999999998</v>
      </c>
      <c r="F25" s="14">
        <f>_xll.BDH("RCOM IN Equity","TOTAL_DEBT_1_YEAR_GROWTH","FY 2012","FY 2012","Currency=INR","Period=FY","BEST_FPERIOD_OVERRIDE=FY","FILING_STATUS=MR","EQY_CONSOLIDATED=Y","Sort=A","Dates=H","DateFormat=P","Fill=—","Direction=H","UseDPDF=Y")</f>
        <v>-1.9657</v>
      </c>
      <c r="G25" s="14">
        <f>_xll.BDH("RCOM IN Equity","TOTAL_DEBT_1_YEAR_GROWTH","FY 2013","FY 2013","Currency=INR","Period=FY","BEST_FPERIOD_OVERRIDE=FY","FILING_STATUS=MR","EQY_CONSOLIDATED=Y","Sort=A","Dates=H","DateFormat=P","Fill=—","Direction=H","UseDPDF=Y")</f>
        <v>8.4693000000000005</v>
      </c>
      <c r="H25" s="14">
        <f>_xll.BDH("RCOM IN Equity","TOTAL_DEBT_1_YEAR_GROWTH","FY 2014","FY 2014","Currency=INR","Period=FY","BEST_FPERIOD_OVERRIDE=FY","FILING_STATUS=MR","EQY_CONSOLIDATED=Y","Sort=A","Dates=H","DateFormat=P","Fill=—","Direction=H","UseDPDF=Y")</f>
        <v>1.7354000000000001</v>
      </c>
      <c r="I25" s="14">
        <f>_xll.BDH("RCOM IN Equity","TOTAL_DEBT_1_YEAR_GROWTH","FY 2015","FY 2015","Currency=INR","Period=FY","BEST_FPERIOD_OVERRIDE=FY","FILING_STATUS=MR","EQY_CONSOLIDATED=Y","Sort=A","Dates=H","DateFormat=P","Fill=—","Direction=H","UseDPDF=Y")</f>
        <v>-5.4508999999999999</v>
      </c>
      <c r="J25" s="14">
        <f>_xll.BDH("RCOM IN Equity","TOTAL_DEBT_1_YEAR_GROWTH","FY 2016","FY 2016","Currency=INR","Period=FY","BEST_FPERIOD_OVERRIDE=FY","FILING_STATUS=MR","EQY_CONSOLIDATED=Y","Sort=A","Dates=H","DateFormat=P","Fill=—","Direction=H","UseDPDF=Y")</f>
        <v>9.1407000000000007</v>
      </c>
      <c r="K25" s="14">
        <f>_xll.BDH("RCOM IN Equity","TOTAL_DEBT_1_YEAR_GROWTH","FY 2017","FY 2017","Currency=INR","Period=FY","BEST_FPERIOD_OVERRIDE=FY","FILING_STATUS=MR","EQY_CONSOLIDATED=Y","Sort=A","Dates=H","DateFormat=P","Fill=—","Direction=H","UseDPDF=Y")</f>
        <v>4.8513000000000002</v>
      </c>
      <c r="L25" s="14">
        <f>_xll.BDH("RCOM IN Equity","TOTAL_DEBT_1_YEAR_GROWTH","FY 2018","FY 2018","Currency=INR","Period=FY","BEST_FPERIOD_OVERRIDE=FY","FILING_STATUS=MR","EQY_CONSOLIDATED=Y","Sort=A","Dates=H","DateFormat=P","Fill=—","Direction=H","UseDPDF=Y")</f>
        <v>3.3891999999999998</v>
      </c>
    </row>
    <row r="26" spans="1:12">
      <c r="A26" s="10" t="s">
        <v>83</v>
      </c>
      <c r="B26" s="10" t="s">
        <v>1480</v>
      </c>
      <c r="C26" s="14">
        <f>_xll.BDH("RCOM IN Equity","TOTAL_EQUITY_1_YEAR_GROWTH","FY 2009","FY 2009","Currency=INR","Period=FY","BEST_FPERIOD_OVERRIDE=FY","FILING_STATUS=MR","EQY_CONSOLIDATED=Y","Sort=A","Dates=H","DateFormat=P","Fill=—","Direction=H","UseDPDF=Y")</f>
        <v>36.487499999999997</v>
      </c>
      <c r="D26" s="14">
        <f>_xll.BDH("RCOM IN Equity","TOTAL_EQUITY_1_YEAR_GROWTH","FY 2010","FY 2010","Currency=INR","Period=FY","BEST_FPERIOD_OVERRIDE=FY","FILING_STATUS=MR","EQY_CONSOLIDATED=Y","Sort=A","Dates=H","DateFormat=P","Fill=—","Direction=H","UseDPDF=Y")</f>
        <v>2.5242</v>
      </c>
      <c r="E26" s="14">
        <f>_xll.BDH("RCOM IN Equity","TOTAL_EQUITY_1_YEAR_GROWTH","FY 2011","FY 2011","Currency=INR","Period=FY","BEST_FPERIOD_OVERRIDE=FY","FILING_STATUS=MR","EQY_CONSOLIDATED=Y","Sort=A","Dates=H","DateFormat=P","Fill=—","Direction=H","UseDPDF=Y")</f>
        <v>-6.1246999999999998</v>
      </c>
      <c r="F26" s="14">
        <f>_xll.BDH("RCOM IN Equity","TOTAL_EQUITY_1_YEAR_GROWTH","FY 2012","FY 2012","Currency=INR","Period=FY","BEST_FPERIOD_OVERRIDE=FY","FILING_STATUS=MR","EQY_CONSOLIDATED=Y","Sort=A","Dates=H","DateFormat=P","Fill=—","Direction=H","UseDPDF=Y")</f>
        <v>-10.084</v>
      </c>
      <c r="G26" s="14">
        <f>_xll.BDH("RCOM IN Equity","TOTAL_EQUITY_1_YEAR_GROWTH","FY 2013","FY 2013","Currency=INR","Period=FY","BEST_FPERIOD_OVERRIDE=FY","FILING_STATUS=MR","EQY_CONSOLIDATED=Y","Sort=A","Dates=H","DateFormat=P","Fill=—","Direction=H","UseDPDF=Y")</f>
        <v>-6.9463999999999997</v>
      </c>
      <c r="H26" s="14">
        <f>_xll.BDH("RCOM IN Equity","TOTAL_EQUITY_1_YEAR_GROWTH","FY 2014","FY 2014","Currency=INR","Period=FY","BEST_FPERIOD_OVERRIDE=FY","FILING_STATUS=MR","EQY_CONSOLIDATED=Y","Sort=A","Dates=H","DateFormat=P","Fill=—","Direction=H","UseDPDF=Y")</f>
        <v>-2.9964</v>
      </c>
      <c r="I26" s="14">
        <f>_xll.BDH("RCOM IN Equity","TOTAL_EQUITY_1_YEAR_GROWTH","FY 2015","FY 2015","Currency=INR","Period=FY","BEST_FPERIOD_OVERRIDE=FY","FILING_STATUS=MR","EQY_CONSOLIDATED=Y","Sort=A","Dates=H","DateFormat=P","Fill=—","Direction=H","UseDPDF=Y")</f>
        <v>14.636699999999999</v>
      </c>
      <c r="J26" s="14">
        <f>_xll.BDH("RCOM IN Equity","TOTAL_EQUITY_1_YEAR_GROWTH","FY 2016","FY 2016","Currency=INR","Period=FY","BEST_FPERIOD_OVERRIDE=FY","FILING_STATUS=MR","EQY_CONSOLIDATED=Y","Sort=A","Dates=H","DateFormat=P","Fill=—","Direction=H","UseDPDF=Y")</f>
        <v>-17.1218</v>
      </c>
      <c r="K26" s="14">
        <f>_xll.BDH("RCOM IN Equity","TOTAL_EQUITY_1_YEAR_GROWTH","FY 2017","FY 2017","Currency=INR","Period=FY","BEST_FPERIOD_OVERRIDE=FY","FILING_STATUS=MR","EQY_CONSOLIDATED=Y","Sort=A","Dates=H","DateFormat=P","Fill=—","Direction=H","UseDPDF=Y")</f>
        <v>-9.0883000000000003</v>
      </c>
      <c r="L26" s="14">
        <f>_xll.BDH("RCOM IN Equity","TOTAL_EQUITY_1_YEAR_GROWTH","FY 2018","FY 2018","Currency=INR","Period=FY","BEST_FPERIOD_OVERRIDE=FY","FILING_STATUS=MR","EQY_CONSOLIDATED=Y","Sort=A","Dates=H","DateFormat=P","Fill=—","Direction=H","UseDPDF=Y")</f>
        <v>-89.247100000000003</v>
      </c>
    </row>
    <row r="27" spans="1:12">
      <c r="A27" s="10" t="s">
        <v>1481</v>
      </c>
      <c r="B27" s="10" t="s">
        <v>1482</v>
      </c>
      <c r="C27" s="14">
        <f>_xll.BDH("RCOM IN Equity","GROWTH_IN_CAP","FY 2009","FY 2009","Currency=INR","Period=FY","BEST_FPERIOD_OVERRIDE=FY","FILING_STATUS=MR","EQY_CONSOLIDATED=Y","Sort=A","Dates=H","DateFormat=P","Fill=—","Direction=H","UseDPDF=Y")</f>
        <v>43.3292</v>
      </c>
      <c r="D27" s="14">
        <f>_xll.BDH("RCOM IN Equity","GROWTH_IN_CAP","FY 2010","FY 2010","Currency=INR","Period=FY","BEST_FPERIOD_OVERRIDE=FY","FILING_STATUS=MR","EQY_CONSOLIDATED=Y","Sort=A","Dates=H","DateFormat=P","Fill=—","Direction=H","UseDPDF=Y")</f>
        <v>-10.1867</v>
      </c>
      <c r="E27" s="14">
        <f>_xll.BDH("RCOM IN Equity","GROWTH_IN_CAP","FY 2011","FY 2011","Currency=INR","Period=FY","BEST_FPERIOD_OVERRIDE=FY","FILING_STATUS=MR","EQY_CONSOLIDATED=Y","Sort=A","Dates=H","DateFormat=P","Fill=—","Direction=H","UseDPDF=Y")</f>
        <v>9.0318000000000005</v>
      </c>
      <c r="F27" s="14">
        <f>_xll.BDH("RCOM IN Equity","GROWTH_IN_CAP","FY 2012","FY 2012","Currency=INR","Period=FY","BEST_FPERIOD_OVERRIDE=FY","FILING_STATUS=MR","EQY_CONSOLIDATED=Y","Sort=A","Dates=H","DateFormat=P","Fill=—","Direction=H","UseDPDF=Y")</f>
        <v>-6.1384999999999996</v>
      </c>
      <c r="G27" s="14">
        <f>_xll.BDH("RCOM IN Equity","GROWTH_IN_CAP","FY 2013","FY 2013","Currency=INR","Period=FY","BEST_FPERIOD_OVERRIDE=FY","FILING_STATUS=MR","EQY_CONSOLIDATED=Y","Sort=A","Dates=H","DateFormat=P","Fill=—","Direction=H","UseDPDF=Y")</f>
        <v>0.87860000000000005</v>
      </c>
      <c r="H27" s="14">
        <f>_xll.BDH("RCOM IN Equity","GROWTH_IN_CAP","FY 2014","FY 2014","Currency=INR","Period=FY","BEST_FPERIOD_OVERRIDE=FY","FILING_STATUS=MR","EQY_CONSOLIDATED=Y","Sort=A","Dates=H","DateFormat=P","Fill=—","Direction=H","UseDPDF=Y")</f>
        <v>-0.4138</v>
      </c>
      <c r="I27" s="14">
        <f>_xll.BDH("RCOM IN Equity","GROWTH_IN_CAP","FY 2015","FY 2015","Currency=INR","Period=FY","BEST_FPERIOD_OVERRIDE=FY","FILING_STATUS=MR","EQY_CONSOLIDATED=Y","Sort=A","Dates=H","DateFormat=P","Fill=—","Direction=H","UseDPDF=Y")</f>
        <v>3.4363999999999999</v>
      </c>
      <c r="J27" s="14">
        <f>_xll.BDH("RCOM IN Equity","GROWTH_IN_CAP","FY 2016","FY 2016","Currency=INR","Period=FY","BEST_FPERIOD_OVERRIDE=FY","FILING_STATUS=MR","EQY_CONSOLIDATED=Y","Sort=A","Dates=H","DateFormat=P","Fill=—","Direction=H","UseDPDF=Y")</f>
        <v>-3.7366999999999999</v>
      </c>
      <c r="K27" s="14">
        <f>_xll.BDH("RCOM IN Equity","GROWTH_IN_CAP","FY 2017","FY 2017","Currency=INR","Period=FY","BEST_FPERIOD_OVERRIDE=FY","FILING_STATUS=MR","EQY_CONSOLIDATED=Y","Sort=A","Dates=H","DateFormat=P","Fill=—","Direction=H","UseDPDF=Y")</f>
        <v>-1.0334000000000001</v>
      </c>
      <c r="L27" s="14">
        <f>_xll.BDH("RCOM IN Equity","GROWTH_IN_CAP","FY 2018","FY 2018","Currency=INR","Period=FY","BEST_FPERIOD_OVERRIDE=FY","FILING_STATUS=MR","EQY_CONSOLIDATED=Y","Sort=A","Dates=H","DateFormat=P","Fill=—","Direction=H","UseDPDF=Y")</f>
        <v>-32.534599999999998</v>
      </c>
    </row>
    <row r="28" spans="1:12">
      <c r="A28" s="10" t="s">
        <v>1483</v>
      </c>
      <c r="B28" s="10" t="s">
        <v>1484</v>
      </c>
      <c r="C28" s="14">
        <f>_xll.BDH("RCOM IN Equity","BVPS_GROWTH","FY 2009","FY 2009","Currency=INR","Period=FY","BEST_FPERIOD_OVERRIDE=FY","FILING_STATUS=MR","EQY_CONSOLIDATED=Y","Sort=A","Dates=H","DateFormat=P","Fill=—","Direction=H","UseDPDF=Y")</f>
        <v>45.661999999999999</v>
      </c>
      <c r="D28" s="14">
        <f>_xll.BDH("RCOM IN Equity","BVPS_GROWTH","FY 2010","FY 2010","Currency=INR","Period=FY","BEST_FPERIOD_OVERRIDE=FY","FILING_STATUS=MR","EQY_CONSOLIDATED=Y","Sort=A","Dates=H","DateFormat=P","Fill=—","Direction=H","UseDPDF=Y")</f>
        <v>2.5550999999999999</v>
      </c>
      <c r="E28" s="14">
        <f>_xll.BDH("RCOM IN Equity","BVPS_GROWTH","FY 2011","FY 2011","Currency=INR","Period=FY","BEST_FPERIOD_OVERRIDE=FY","FILING_STATUS=MR","EQY_CONSOLIDATED=Y","Sort=A","Dates=H","DateFormat=P","Fill=—","Direction=H","UseDPDF=Y")</f>
        <v>-6.5995999999999997</v>
      </c>
      <c r="F28" s="14">
        <f>_xll.BDH("RCOM IN Equity","BVPS_GROWTH","FY 2012","FY 2012","Currency=INR","Period=FY","BEST_FPERIOD_OVERRIDE=FY","FILING_STATUS=MR","EQY_CONSOLIDATED=Y","Sort=A","Dates=H","DateFormat=P","Fill=—","Direction=H","UseDPDF=Y")</f>
        <v>-10.378</v>
      </c>
      <c r="G28" s="14">
        <f>_xll.BDH("RCOM IN Equity","BVPS_GROWTH","FY 2013","FY 2013","Currency=INR","Period=FY","BEST_FPERIOD_OVERRIDE=FY","FILING_STATUS=MR","EQY_CONSOLIDATED=Y","Sort=A","Dates=H","DateFormat=P","Fill=—","Direction=H","UseDPDF=Y")</f>
        <v>-6.7389999999999999</v>
      </c>
      <c r="H28" s="14">
        <f>_xll.BDH("RCOM IN Equity","BVPS_GROWTH","FY 2014","FY 2014","Currency=INR","Period=FY","BEST_FPERIOD_OVERRIDE=FY","FILING_STATUS=MR","EQY_CONSOLIDATED=Y","Sort=A","Dates=H","DateFormat=P","Fill=—","Direction=H","UseDPDF=Y")</f>
        <v>-3.1137000000000001</v>
      </c>
      <c r="I28" s="14">
        <f>_xll.BDH("RCOM IN Equity","BVPS_GROWTH","FY 2015","FY 2015","Currency=INR","Period=FY","BEST_FPERIOD_OVERRIDE=FY","FILING_STATUS=MR","EQY_CONSOLIDATED=Y","Sort=A","Dates=H","DateFormat=P","Fill=—","Direction=H","UseDPDF=Y")</f>
        <v>-4.0766</v>
      </c>
      <c r="J28" s="14">
        <f>_xll.BDH("RCOM IN Equity","BVPS_GROWTH","FY 2016","FY 2016","Currency=INR","Period=FY","BEST_FPERIOD_OVERRIDE=FY","FILING_STATUS=MR","EQY_CONSOLIDATED=Y","Sort=A","Dates=H","DateFormat=P","Fill=—","Direction=H","UseDPDF=Y")</f>
        <v>-16.746600000000001</v>
      </c>
      <c r="K28" s="14">
        <f>_xll.BDH("RCOM IN Equity","BVPS_GROWTH","FY 2017","FY 2017","Currency=INR","Period=FY","BEST_FPERIOD_OVERRIDE=FY","FILING_STATUS=MR","EQY_CONSOLIDATED=Y","Sort=A","Dates=H","DateFormat=P","Fill=—","Direction=H","UseDPDF=Y")</f>
        <v>-9.5431000000000008</v>
      </c>
      <c r="L28" s="14">
        <f>_xll.BDH("RCOM IN Equity","BVPS_GROWTH","FY 2018","FY 2018","Currency=INR","Period=FY","BEST_FPERIOD_OVERRIDE=FY","FILING_STATUS=MR","EQY_CONSOLIDATED=Y","Sort=A","Dates=H","DateFormat=P","Fill=—","Direction=H","UseDPDF=Y")</f>
        <v>-91.232799999999997</v>
      </c>
    </row>
    <row r="29" spans="1:12">
      <c r="A29" s="10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>
      <c r="A30" s="10" t="s">
        <v>87</v>
      </c>
      <c r="B30" s="10" t="s">
        <v>1485</v>
      </c>
      <c r="C30" s="14">
        <f>_xll.BDH("RCOM IN Equity","CASH_FLOW_GROWTH","FY 2009","FY 2009","Currency=INR","Period=FY","BEST_FPERIOD_OVERRIDE=FY","FILING_STATUS=MR","EQY_CONSOLIDATED=Y","Sort=A","Dates=H","DateFormat=P","Fill=—","Direction=H","UseDPDF=Y")</f>
        <v>22.139800000000001</v>
      </c>
      <c r="D30" s="14">
        <f>_xll.BDH("RCOM IN Equity","CASH_FLOW_GROWTH","FY 2010","FY 2010","Currency=INR","Period=FY","BEST_FPERIOD_OVERRIDE=FY","FILING_STATUS=MR","EQY_CONSOLIDATED=Y","Sort=A","Dates=H","DateFormat=P","Fill=—","Direction=H","UseDPDF=Y")</f>
        <v>59.366399999999999</v>
      </c>
      <c r="E30" s="14">
        <f>_xll.BDH("RCOM IN Equity","CASH_FLOW_GROWTH","FY 2011","FY 2011","Currency=INR","Period=FY","BEST_FPERIOD_OVERRIDE=FY","FILING_STATUS=MR","EQY_CONSOLIDATED=Y","Sort=A","Dates=H","DateFormat=P","Fill=—","Direction=H","UseDPDF=Y")</f>
        <v>-86.887900000000002</v>
      </c>
      <c r="F30" s="14">
        <f>_xll.BDH("RCOM IN Equity","CASH_FLOW_GROWTH","FY 2012","FY 2012","Currency=INR","Period=FY","BEST_FPERIOD_OVERRIDE=FY","FILING_STATUS=MR","EQY_CONSOLIDATED=Y","Sort=A","Dates=H","DateFormat=P","Fill=—","Direction=H","UseDPDF=Y")</f>
        <v>279.94400000000002</v>
      </c>
      <c r="G30" s="14">
        <f>_xll.BDH("RCOM IN Equity","CASH_FLOW_GROWTH","FY 2013","FY 2013","Currency=INR","Period=FY","BEST_FPERIOD_OVERRIDE=FY","FILING_STATUS=MR","EQY_CONSOLIDATED=Y","Sort=A","Dates=H","DateFormat=P","Fill=—","Direction=H","UseDPDF=Y")</f>
        <v>-66.363900000000001</v>
      </c>
      <c r="H30" s="14">
        <f>_xll.BDH("RCOM IN Equity","CASH_FLOW_GROWTH","FY 2014","FY 2014","Currency=INR","Period=FY","BEST_FPERIOD_OVERRIDE=FY","FILING_STATUS=MR","EQY_CONSOLIDATED=Y","Sort=A","Dates=H","DateFormat=P","Fill=—","Direction=H","UseDPDF=Y")</f>
        <v>182.48179999999999</v>
      </c>
      <c r="I30" s="14">
        <f>_xll.BDH("RCOM IN Equity","CASH_FLOW_GROWTH","FY 2015","FY 2015","Currency=INR","Period=FY","BEST_FPERIOD_OVERRIDE=FY","FILING_STATUS=MR","EQY_CONSOLIDATED=Y","Sort=A","Dates=H","DateFormat=P","Fill=—","Direction=H","UseDPDF=Y")</f>
        <v>-87.441900000000004</v>
      </c>
      <c r="J30" s="14">
        <f>_xll.BDH("RCOM IN Equity","CASH_FLOW_GROWTH","FY 2016","FY 2016","Currency=INR","Period=FY","BEST_FPERIOD_OVERRIDE=FY","FILING_STATUS=MR","EQY_CONSOLIDATED=Y","Sort=A","Dates=H","DateFormat=P","Fill=—","Direction=H","UseDPDF=Y")</f>
        <v>2826.1316999999999</v>
      </c>
      <c r="K30" s="14" t="str">
        <f>_xll.BDH("RCOM IN Equity","CASH_FLOW_GROWTH","FY 2017","FY 2017","Currency=INR","Period=FY","BEST_FPERIOD_OVERRIDE=FY","FILING_STATUS=MR","EQY_CONSOLIDATED=Y","Sort=A","Dates=H","DateFormat=P","Fill=—","Direction=H","UseDPDF=Y")</f>
        <v>—</v>
      </c>
      <c r="L30" s="14">
        <f>_xll.BDH("RCOM IN Equity","CASH_FLOW_GROWTH","FY 2018","FY 2018","Currency=INR","Period=FY","BEST_FPERIOD_OVERRIDE=FY","FILING_STATUS=MR","EQY_CONSOLIDATED=Y","Sort=A","Dates=H","DateFormat=P","Fill=—","Direction=H","UseDPDF=Y")</f>
        <v>88.567400000000006</v>
      </c>
    </row>
    <row r="31" spans="1:12">
      <c r="A31" s="10" t="s">
        <v>53</v>
      </c>
      <c r="B31" s="10" t="s">
        <v>1486</v>
      </c>
      <c r="C31" s="14">
        <f>_xll.BDH("RCOM IN Equity","TOT_CAP_EXPEND_GROWTH","FY 2009","FY 2009","Currency=INR","Period=FY","BEST_FPERIOD_OVERRIDE=FY","FILING_STATUS=MR","EQY_CONSOLIDATED=Y","Sort=A","Dates=H","DateFormat=P","Fill=—","Direction=H","UseDPDF=Y")</f>
        <v>-29.5212</v>
      </c>
      <c r="D31" s="14">
        <f>_xll.BDH("RCOM IN Equity","TOT_CAP_EXPEND_GROWTH","FY 2010","FY 2010","Currency=INR","Period=FY","BEST_FPERIOD_OVERRIDE=FY","FILING_STATUS=MR","EQY_CONSOLIDATED=Y","Sort=A","Dates=H","DateFormat=P","Fill=—","Direction=H","UseDPDF=Y")</f>
        <v>-38.849800000000002</v>
      </c>
      <c r="E31" s="14">
        <f>_xll.BDH("RCOM IN Equity","TOT_CAP_EXPEND_GROWTH","FY 2011","FY 2011","Currency=INR","Period=FY","BEST_FPERIOD_OVERRIDE=FY","FILING_STATUS=MR","EQY_CONSOLIDATED=Y","Sort=A","Dates=H","DateFormat=P","Fill=—","Direction=H","UseDPDF=Y")</f>
        <v>37.766300000000001</v>
      </c>
      <c r="F31" s="14">
        <f>_xll.BDH("RCOM IN Equity","TOT_CAP_EXPEND_GROWTH","FY 2012","FY 2012","Currency=INR","Period=FY","BEST_FPERIOD_OVERRIDE=FY","FILING_STATUS=MR","EQY_CONSOLIDATED=Y","Sort=A","Dates=H","DateFormat=P","Fill=—","Direction=H","UseDPDF=Y")</f>
        <v>-53.035699999999999</v>
      </c>
      <c r="G31" s="14">
        <f>_xll.BDH("RCOM IN Equity","TOT_CAP_EXPEND_GROWTH","FY 2013","FY 2013","Currency=INR","Period=FY","BEST_FPERIOD_OVERRIDE=FY","FILING_STATUS=MR","EQY_CONSOLIDATED=Y","Sort=A","Dates=H","DateFormat=P","Fill=—","Direction=H","UseDPDF=Y")</f>
        <v>-56.412399999999998</v>
      </c>
      <c r="H31" s="14">
        <f>_xll.BDH("RCOM IN Equity","TOT_CAP_EXPEND_GROWTH","FY 2014","FY 2014","Currency=INR","Period=FY","BEST_FPERIOD_OVERRIDE=FY","FILING_STATUS=MR","EQY_CONSOLIDATED=Y","Sort=A","Dates=H","DateFormat=P","Fill=—","Direction=H","UseDPDF=Y")</f>
        <v>2.4125000000000001</v>
      </c>
      <c r="I31" s="14">
        <f>_xll.BDH("RCOM IN Equity","TOT_CAP_EXPEND_GROWTH","FY 2015","FY 2015","Currency=INR","Period=FY","BEST_FPERIOD_OVERRIDE=FY","FILING_STATUS=MR","EQY_CONSOLIDATED=Y","Sort=A","Dates=H","DateFormat=P","Fill=—","Direction=H","UseDPDF=Y")</f>
        <v>15.2887</v>
      </c>
      <c r="J31" s="14">
        <f>_xll.BDH("RCOM IN Equity","TOT_CAP_EXPEND_GROWTH","FY 2016","FY 2016","Currency=INR","Period=FY","BEST_FPERIOD_OVERRIDE=FY","FILING_STATUS=MR","EQY_CONSOLIDATED=Y","Sort=A","Dates=H","DateFormat=P","Fill=—","Direction=H","UseDPDF=Y")</f>
        <v>514.18269999999995</v>
      </c>
      <c r="K31" s="14">
        <f>_xll.BDH("RCOM IN Equity","TOT_CAP_EXPEND_GROWTH","FY 2017","FY 2017","Currency=INR","Period=FY","BEST_FPERIOD_OVERRIDE=FY","FILING_STATUS=MR","EQY_CONSOLIDATED=Y","Sort=A","Dates=H","DateFormat=P","Fill=—","Direction=H","UseDPDF=Y")</f>
        <v>-74.429199999999994</v>
      </c>
      <c r="L31" s="14">
        <f>_xll.BDH("RCOM IN Equity","TOT_CAP_EXPEND_GROWTH","FY 2018","FY 2018","Currency=INR","Period=FY","BEST_FPERIOD_OVERRIDE=FY","FILING_STATUS=MR","EQY_CONSOLIDATED=Y","Sort=A","Dates=H","DateFormat=P","Fill=—","Direction=H","UseDPDF=Y")</f>
        <v>-84.923500000000004</v>
      </c>
    </row>
    <row r="32" spans="1:12">
      <c r="A32" s="10" t="s">
        <v>55</v>
      </c>
      <c r="B32" s="10" t="s">
        <v>1487</v>
      </c>
      <c r="C32" s="14">
        <f>_xll.BDH("RCOM IN Equity","FREE_CASH_FLOW_1_YEAR_GROWTH","FY 2009","FY 2009","Currency=INR","Period=FY","BEST_FPERIOD_OVERRIDE=FY","FILING_STATUS=MR","EQY_CONSOLIDATED=Y","Sort=A","Dates=H","DateFormat=P","Fill=—","Direction=H","UseDPDF=Y")</f>
        <v>45.968400000000003</v>
      </c>
      <c r="D32" s="14" t="str">
        <f>_xll.BDH("RCOM IN Equity","FREE_CASH_FLOW_1_YEAR_GROWTH","FY 2010","FY 2010","Currency=INR","Period=FY","BEST_FPERIOD_OVERRIDE=FY","FILING_STATUS=MR","EQY_CONSOLIDATED=Y","Sort=A","Dates=H","DateFormat=P","Fill=—","Direction=H","UseDPDF=Y")</f>
        <v>—</v>
      </c>
      <c r="E32" s="14" t="str">
        <f>_xll.BDH("RCOM IN Equity","FREE_CASH_FLOW_1_YEAR_GROWTH","FY 2011","FY 2011","Currency=INR","Period=FY","BEST_FPERIOD_OVERRIDE=FY","FILING_STATUS=MR","EQY_CONSOLIDATED=Y","Sort=A","Dates=H","DateFormat=P","Fill=—","Direction=H","UseDPDF=Y")</f>
        <v>—</v>
      </c>
      <c r="F32" s="14">
        <f>_xll.BDH("RCOM IN Equity","FREE_CASH_FLOW_1_YEAR_GROWTH","FY 2012","FY 2012","Currency=INR","Period=FY","BEST_FPERIOD_OVERRIDE=FY","FILING_STATUS=MR","EQY_CONSOLIDATED=Y","Sort=A","Dates=H","DateFormat=P","Fill=—","Direction=H","UseDPDF=Y")</f>
        <v>91.604500000000002</v>
      </c>
      <c r="G32" s="14">
        <f>_xll.BDH("RCOM IN Equity","FREE_CASH_FLOW_1_YEAR_GROWTH","FY 2013","FY 2013","Currency=INR","Period=FY","BEST_FPERIOD_OVERRIDE=FY","FILING_STATUS=MR","EQY_CONSOLIDATED=Y","Sort=A","Dates=H","DateFormat=P","Fill=—","Direction=H","UseDPDF=Y")</f>
        <v>4.2470999999999997</v>
      </c>
      <c r="H32" s="14" t="str">
        <f>_xll.BDH("RCOM IN Equity","FREE_CASH_FLOW_1_YEAR_GROWTH","FY 2014","FY 2014","Currency=INR","Period=FY","BEST_FPERIOD_OVERRIDE=FY","FILING_STATUS=MR","EQY_CONSOLIDATED=Y","Sort=A","Dates=H","DateFormat=P","Fill=—","Direction=H","UseDPDF=Y")</f>
        <v>—</v>
      </c>
      <c r="I32" s="14" t="str">
        <f>_xll.BDH("RCOM IN Equity","FREE_CASH_FLOW_1_YEAR_GROWTH","FY 2015","FY 2015","Currency=INR","Period=FY","BEST_FPERIOD_OVERRIDE=FY","FILING_STATUS=MR","EQY_CONSOLIDATED=Y","Sort=A","Dates=H","DateFormat=P","Fill=—","Direction=H","UseDPDF=Y")</f>
        <v>—</v>
      </c>
      <c r="J32" s="14">
        <f>_xll.BDH("RCOM IN Equity","FREE_CASH_FLOW_1_YEAR_GROWTH","FY 2016","FY 2016","Currency=INR","Period=FY","BEST_FPERIOD_OVERRIDE=FY","FILING_STATUS=MR","EQY_CONSOLIDATED=Y","Sort=A","Dates=H","DateFormat=P","Fill=—","Direction=H","UseDPDF=Y")</f>
        <v>44.825899999999997</v>
      </c>
      <c r="K32" s="14">
        <f>_xll.BDH("RCOM IN Equity","FREE_CASH_FLOW_1_YEAR_GROWTH","FY 2017","FY 2017","Currency=INR","Period=FY","BEST_FPERIOD_OVERRIDE=FY","FILING_STATUS=MR","EQY_CONSOLIDATED=Y","Sort=A","Dates=H","DateFormat=P","Fill=—","Direction=H","UseDPDF=Y")</f>
        <v>-574.48149999999998</v>
      </c>
      <c r="L32" s="14">
        <f>_xll.BDH("RCOM IN Equity","FREE_CASH_FLOW_1_YEAR_GROWTH","FY 2018","FY 2018","Currency=INR","Period=FY","BEST_FPERIOD_OVERRIDE=FY","FILING_STATUS=MR","EQY_CONSOLIDATED=Y","Sort=A","Dates=H","DateFormat=P","Fill=—","Direction=H","UseDPDF=Y")</f>
        <v>86.657799999999995</v>
      </c>
    </row>
    <row r="33" spans="1:12">
      <c r="A33" s="10" t="s">
        <v>1488</v>
      </c>
      <c r="B33" s="10" t="s">
        <v>1489</v>
      </c>
      <c r="C33" s="14" t="str">
        <f>_xll.BDH("RCOM IN Equity","CASH_FLOW_TO_FIRM_1_YEAR_GROWTH","FY 2009","FY 2009","Currency=INR","Period=FY","BEST_FPERIOD_OVERRIDE=FY","FILING_STATUS=MR","EQY_CONSOLIDATED=Y","FA_ADJUSTED=GAAP","Sort=A","Dates=H","DateFormat=P","Fill=—","Direction=H","UseDPDF=Y")</f>
        <v>—</v>
      </c>
      <c r="D33" s="14" t="str">
        <f>_xll.BDH("RCOM IN Equity","CASH_FLOW_TO_FIRM_1_YEAR_GROWTH","FY 2010","FY 2010","Currency=INR","Period=FY","BEST_FPERIOD_OVERRIDE=FY","FILING_STATUS=MR","EQY_CONSOLIDATED=Y","FA_ADJUSTED=GAAP","Sort=A","Dates=H","DateFormat=P","Fill=—","Direction=H","UseDPDF=Y")</f>
        <v>—</v>
      </c>
      <c r="E33" s="14">
        <f>_xll.BDH("RCOM IN Equity","CASH_FLOW_TO_FIRM_1_YEAR_GROWTH","FY 2011","FY 2011","Currency=INR","Period=FY","BEST_FPERIOD_OVERRIDE=FY","FILING_STATUS=MR","EQY_CONSOLIDATED=Y","FA_ADJUSTED=GAAP","Sort=A","Dates=H","DateFormat=P","Fill=—","Direction=H","UseDPDF=Y")</f>
        <v>-79.083399999999997</v>
      </c>
      <c r="F33" s="14" t="str">
        <f>_xll.BDH("RCOM IN Equity","CASH_FLOW_TO_FIRM_1_YEAR_GROWTH","FY 2012","FY 2012","Currency=INR","Period=FY","BEST_FPERIOD_OVERRIDE=FY","FILING_STATUS=MR","EQY_CONSOLIDATED=Y","FA_ADJUSTED=GAAP","Sort=A","Dates=H","DateFormat=P","Fill=—","Direction=H","UseDPDF=Y")</f>
        <v>—</v>
      </c>
      <c r="G33" s="14" t="str">
        <f>_xll.BDH("RCOM IN Equity","CASH_FLOW_TO_FIRM_1_YEAR_GROWTH","FY 2013","FY 2013","Currency=INR","Period=FY","BEST_FPERIOD_OVERRIDE=FY","FILING_STATUS=MR","EQY_CONSOLIDATED=Y","FA_ADJUSTED=GAAP","Sort=A","Dates=H","DateFormat=P","Fill=—","Direction=H","UseDPDF=Y")</f>
        <v>—</v>
      </c>
      <c r="H33" s="14" t="str">
        <f>_xll.BDH("RCOM IN Equity","CASH_FLOW_TO_FIRM_1_YEAR_GROWTH","FY 2014","FY 2014","Currency=INR","Period=FY","BEST_FPERIOD_OVERRIDE=FY","FILING_STATUS=MR","EQY_CONSOLIDATED=Y","FA_ADJUSTED=GAAP","Sort=A","Dates=H","DateFormat=P","Fill=—","Direction=H","UseDPDF=Y")</f>
        <v>—</v>
      </c>
      <c r="I33" s="14" t="str">
        <f>_xll.BDH("RCOM IN Equity","CASH_FLOW_TO_FIRM_1_YEAR_GROWTH","FY 2015","FY 2015","Currency=INR","Period=FY","BEST_FPERIOD_OVERRIDE=FY","FILING_STATUS=MR","EQY_CONSOLIDATED=Y","FA_ADJUSTED=GAAP","Sort=A","Dates=H","DateFormat=P","Fill=—","Direction=H","UseDPDF=Y")</f>
        <v>—</v>
      </c>
      <c r="J33" s="14" t="str">
        <f>_xll.BDH("RCOM IN Equity","CASH_FLOW_TO_FIRM_1_YEAR_GROWTH","FY 2016","FY 2016","Currency=INR","Period=FY","BEST_FPERIOD_OVERRIDE=FY","FILING_STATUS=MR","EQY_CONSOLIDATED=Y","FA_ADJUSTED=GAAP","Sort=A","Dates=H","DateFormat=P","Fill=—","Direction=H","UseDPDF=Y")</f>
        <v>—</v>
      </c>
      <c r="K33" s="14" t="str">
        <f>_xll.BDH("RCOM IN Equity","CASH_FLOW_TO_FIRM_1_YEAR_GROWTH","FY 2017","FY 2017","Currency=INR","Period=FY","BEST_FPERIOD_OVERRIDE=FY","FILING_STATUS=MR","EQY_CONSOLIDATED=Y","FA_ADJUSTED=GAAP","Sort=A","Dates=H","DateFormat=P","Fill=—","Direction=H","UseDPDF=Y")</f>
        <v>—</v>
      </c>
      <c r="L33" s="14" t="str">
        <f>_xll.BDH("RCOM IN Equity","CASH_FLOW_TO_FIRM_1_YEAR_GROWTH","FY 2018","FY 2018","Currency=INR","Period=FY","BEST_FPERIOD_OVERRIDE=FY","FILING_STATUS=MR","EQY_CONSOLIDATED=Y","FA_ADJUSTED=GAAP","Sort=A","Dates=H","DateFormat=P","Fill=—","Direction=H","UseDPDF=Y")</f>
        <v>—</v>
      </c>
    </row>
    <row r="34" spans="1:12">
      <c r="A34" s="10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1:12">
      <c r="A35" s="6" t="s">
        <v>1490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>
      <c r="A36" s="10" t="s">
        <v>0</v>
      </c>
      <c r="B36" s="10" t="s">
        <v>1491</v>
      </c>
      <c r="C36" s="14" t="str">
        <f>_xll.BDH("RCOM IN Equity","GEO_GROW_NET_SALES","FY 2009","FY 2009","Currency=INR","Period=FY","BEST_FPERIOD_OVERRIDE=FY","FILING_STATUS=MR","EQY_CONSOLIDATED=Y","FA_ADJUSTED=GAAP","Sort=A","Dates=H","DateFormat=P","Fill=—","Direction=H","UseDPDF=Y")</f>
        <v>—</v>
      </c>
      <c r="D36" s="14" t="str">
        <f>_xll.BDH("RCOM IN Equity","GEO_GROW_NET_SALES","FY 2010","FY 2010","Currency=INR","Period=FY","BEST_FPERIOD_OVERRIDE=FY","FILING_STATUS=MR","EQY_CONSOLIDATED=Y","FA_ADJUSTED=GAAP","Sort=A","Dates=H","DateFormat=P","Fill=—","Direction=H","UseDPDF=Y")</f>
        <v>—</v>
      </c>
      <c r="E36" s="14" t="str">
        <f>_xll.BDH("RCOM IN Equity","GEO_GROW_NET_SALES","FY 2011","FY 2011","Currency=INR","Period=FY","BEST_FPERIOD_OVERRIDE=FY","FILING_STATUS=MR","EQY_CONSOLIDATED=Y","FA_ADJUSTED=GAAP","Sort=A","Dates=H","DateFormat=P","Fill=—","Direction=H","UseDPDF=Y")</f>
        <v>—</v>
      </c>
      <c r="F36" s="14" t="str">
        <f>_xll.BDH("RCOM IN Equity","GEO_GROW_NET_SALES","FY 2012","FY 2012","Currency=INR","Period=FY","BEST_FPERIOD_OVERRIDE=FY","FILING_STATUS=MR","EQY_CONSOLIDATED=Y","FA_ADJUSTED=GAAP","Sort=A","Dates=H","DateFormat=P","Fill=—","Direction=H","UseDPDF=Y")</f>
        <v>—</v>
      </c>
      <c r="G36" s="14">
        <f>_xll.BDH("RCOM IN Equity","GEO_GROW_NET_SALES","FY 2013","FY 2013","Currency=INR","Period=FY","BEST_FPERIOD_OVERRIDE=FY","FILING_STATUS=MR","EQY_CONSOLIDATED=Y","FA_ADJUSTED=GAAP","Sort=A","Dates=H","DateFormat=P","Fill=—","Direction=H","UseDPDF=Y")</f>
        <v>2.3856999999999999</v>
      </c>
      <c r="H36" s="14">
        <f>_xll.BDH("RCOM IN Equity","GEO_GROW_NET_SALES","FY 2014","FY 2014","Currency=INR","Period=FY","BEST_FPERIOD_OVERRIDE=FY","FILING_STATUS=MR","EQY_CONSOLIDATED=Y","FA_ADJUSTED=GAAP","Sort=A","Dates=H","DateFormat=P","Fill=—","Direction=H","UseDPDF=Y")</f>
        <v>0.1893</v>
      </c>
      <c r="I36" s="14">
        <f>_xll.BDH("RCOM IN Equity","GEO_GROW_NET_SALES","FY 2015","FY 2015","Currency=INR","Period=FY","BEST_FPERIOD_OVERRIDE=FY","FILING_STATUS=MR","EQY_CONSOLIDATED=Y","FA_ADJUSTED=GAAP","Sort=A","Dates=H","DateFormat=P","Fill=—","Direction=H","UseDPDF=Y")</f>
        <v>0.70350000000000001</v>
      </c>
      <c r="J36" s="14">
        <f>_xll.BDH("RCOM IN Equity","GEO_GROW_NET_SALES","FY 2016","FY 2016","Currency=INR","Period=FY","BEST_FPERIOD_OVERRIDE=FY","FILING_STATUS=MR","EQY_CONSOLIDATED=Y","FA_ADJUSTED=GAAP","Sort=A","Dates=H","DateFormat=P","Fill=—","Direction=H","UseDPDF=Y")</f>
        <v>-0.31530000000000002</v>
      </c>
      <c r="K36" s="14">
        <f>_xll.BDH("RCOM IN Equity","GEO_GROW_NET_SALES","FY 2017","FY 2017","Currency=INR","Period=FY","BEST_FPERIOD_OVERRIDE=FY","FILING_STATUS=MR","EQY_CONSOLIDATED=Y","FA_ADJUSTED=GAAP","Sort=A","Dates=H","DateFormat=P","Fill=—","Direction=H","UseDPDF=Y")</f>
        <v>-18.930299999999999</v>
      </c>
      <c r="L36" s="14">
        <f>_xll.BDH("RCOM IN Equity","GEO_GROW_NET_SALES","FY 2018","FY 2018","Currency=INR","Period=FY","BEST_FPERIOD_OVERRIDE=FY","FILING_STATUS=MR","EQY_CONSOLIDATED=Y","FA_ADJUSTED=GAAP","Sort=A","Dates=H","DateFormat=P","Fill=—","Direction=H","UseDPDF=Y")</f>
        <v>-24.9527</v>
      </c>
    </row>
    <row r="37" spans="1:12">
      <c r="A37" s="10" t="s">
        <v>46</v>
      </c>
      <c r="B37" s="10" t="s">
        <v>1492</v>
      </c>
      <c r="C37" s="14" t="str">
        <f>_xll.BDH("RCOM IN Equity","GEO_GROW_EBITDA","FY 2009","FY 2009","Currency=INR","Period=FY","BEST_FPERIOD_OVERRIDE=FY","FILING_STATUS=MR","EQY_CONSOLIDATED=Y","FA_ADJUSTED=GAAP","Sort=A","Dates=H","DateFormat=P","Fill=—","Direction=H","UseDPDF=Y")</f>
        <v>—</v>
      </c>
      <c r="D37" s="14" t="str">
        <f>_xll.BDH("RCOM IN Equity","GEO_GROW_EBITDA","FY 2010","FY 2010","Currency=INR","Period=FY","BEST_FPERIOD_OVERRIDE=FY","FILING_STATUS=MR","EQY_CONSOLIDATED=Y","FA_ADJUSTED=GAAP","Sort=A","Dates=H","DateFormat=P","Fill=—","Direction=H","UseDPDF=Y")</f>
        <v>—</v>
      </c>
      <c r="E37" s="14" t="str">
        <f>_xll.BDH("RCOM IN Equity","GEO_GROW_EBITDA","FY 2011","FY 2011","Currency=INR","Period=FY","BEST_FPERIOD_OVERRIDE=FY","FILING_STATUS=MR","EQY_CONSOLIDATED=Y","FA_ADJUSTED=GAAP","Sort=A","Dates=H","DateFormat=P","Fill=—","Direction=H","UseDPDF=Y")</f>
        <v>—</v>
      </c>
      <c r="F37" s="14" t="str">
        <f>_xll.BDH("RCOM IN Equity","GEO_GROW_EBITDA","FY 2012","FY 2012","Currency=INR","Period=FY","BEST_FPERIOD_OVERRIDE=FY","FILING_STATUS=MR","EQY_CONSOLIDATED=Y","FA_ADJUSTED=GAAP","Sort=A","Dates=H","DateFormat=P","Fill=—","Direction=H","UseDPDF=Y")</f>
        <v>—</v>
      </c>
      <c r="G37" s="14">
        <f>_xll.BDH("RCOM IN Equity","GEO_GROW_EBITDA","FY 2013","FY 2013","Currency=INR","Period=FY","BEST_FPERIOD_OVERRIDE=FY","FILING_STATUS=MR","EQY_CONSOLIDATED=Y","FA_ADJUSTED=GAAP","Sort=A","Dates=H","DateFormat=P","Fill=—","Direction=H","UseDPDF=Y")</f>
        <v>-2.762</v>
      </c>
      <c r="H37" s="14">
        <f>_xll.BDH("RCOM IN Equity","GEO_GROW_EBITDA","FY 2014","FY 2014","Currency=INR","Period=FY","BEST_FPERIOD_OVERRIDE=FY","FILING_STATUS=MR","EQY_CONSOLIDATED=Y","FA_ADJUSTED=GAAP","Sort=A","Dates=H","DateFormat=P","Fill=—","Direction=H","UseDPDF=Y")</f>
        <v>-5.14</v>
      </c>
      <c r="I37" s="14">
        <f>_xll.BDH("RCOM IN Equity","GEO_GROW_EBITDA","FY 2015","FY 2015","Currency=INR","Period=FY","BEST_FPERIOD_OVERRIDE=FY","FILING_STATUS=MR","EQY_CONSOLIDATED=Y","FA_ADJUSTED=GAAP","Sort=A","Dates=H","DateFormat=P","Fill=—","Direction=H","UseDPDF=Y")</f>
        <v>0.61329999999999996</v>
      </c>
      <c r="J37" s="14">
        <f>_xll.BDH("RCOM IN Equity","GEO_GROW_EBITDA","FY 2016","FY 2016","Currency=INR","Period=FY","BEST_FPERIOD_OVERRIDE=FY","FILING_STATUS=MR","EQY_CONSOLIDATED=Y","FA_ADJUSTED=GAAP","Sort=A","Dates=H","DateFormat=P","Fill=—","Direction=H","UseDPDF=Y")</f>
        <v>-2.8193000000000001</v>
      </c>
      <c r="K37" s="14">
        <f>_xll.BDH("RCOM IN Equity","GEO_GROW_EBITDA","FY 2017","FY 2017","Currency=INR","Period=FY","BEST_FPERIOD_OVERRIDE=FY","FILING_STATUS=MR","EQY_CONSOLIDATED=Y","FA_ADJUSTED=GAAP","Sort=A","Dates=H","DateFormat=P","Fill=—","Direction=H","UseDPDF=Y")</f>
        <v>-4.2618</v>
      </c>
      <c r="L37" s="14">
        <f>_xll.BDH("RCOM IN Equity","GEO_GROW_EBITDA","FY 2018","FY 2018","Currency=INR","Period=FY","BEST_FPERIOD_OVERRIDE=FY","FILING_STATUS=MR","EQY_CONSOLIDATED=Y","FA_ADJUSTED=GAAP","Sort=A","Dates=H","DateFormat=P","Fill=—","Direction=H","UseDPDF=Y")</f>
        <v>-12.142200000000001</v>
      </c>
    </row>
    <row r="38" spans="1:12">
      <c r="A38" s="10" t="s">
        <v>63</v>
      </c>
      <c r="B38" s="10" t="s">
        <v>1493</v>
      </c>
      <c r="C38" s="14" t="str">
        <f>_xll.BDH("RCOM IN Equity","GEO_GROW_OPER_INC","FY 2009","FY 2009","Currency=INR","Period=FY","BEST_FPERIOD_OVERRIDE=FY","FILING_STATUS=MR","EQY_CONSOLIDATED=Y","FA_ADJUSTED=GAAP","Sort=A","Dates=H","DateFormat=P","Fill=—","Direction=H","UseDPDF=Y")</f>
        <v>—</v>
      </c>
      <c r="D38" s="14" t="str">
        <f>_xll.BDH("RCOM IN Equity","GEO_GROW_OPER_INC","FY 2010","FY 2010","Currency=INR","Period=FY","BEST_FPERIOD_OVERRIDE=FY","FILING_STATUS=MR","EQY_CONSOLIDATED=Y","FA_ADJUSTED=GAAP","Sort=A","Dates=H","DateFormat=P","Fill=—","Direction=H","UseDPDF=Y")</f>
        <v>—</v>
      </c>
      <c r="E38" s="14" t="str">
        <f>_xll.BDH("RCOM IN Equity","GEO_GROW_OPER_INC","FY 2011","FY 2011","Currency=INR","Period=FY","BEST_FPERIOD_OVERRIDE=FY","FILING_STATUS=MR","EQY_CONSOLIDATED=Y","FA_ADJUSTED=GAAP","Sort=A","Dates=H","DateFormat=P","Fill=—","Direction=H","UseDPDF=Y")</f>
        <v>—</v>
      </c>
      <c r="F38" s="14" t="str">
        <f>_xll.BDH("RCOM IN Equity","GEO_GROW_OPER_INC","FY 2012","FY 2012","Currency=INR","Period=FY","BEST_FPERIOD_OVERRIDE=FY","FILING_STATUS=MR","EQY_CONSOLIDATED=Y","FA_ADJUSTED=GAAP","Sort=A","Dates=H","DateFormat=P","Fill=—","Direction=H","UseDPDF=Y")</f>
        <v>—</v>
      </c>
      <c r="G38" s="14">
        <f>_xll.BDH("RCOM IN Equity","GEO_GROW_OPER_INC","FY 2013","FY 2013","Currency=INR","Period=FY","BEST_FPERIOD_OVERRIDE=FY","FILING_STATUS=MR","EQY_CONSOLIDATED=Y","FA_ADJUSTED=GAAP","Sort=A","Dates=H","DateFormat=P","Fill=—","Direction=H","UseDPDF=Y")</f>
        <v>-12.2509</v>
      </c>
      <c r="H38" s="14">
        <f>_xll.BDH("RCOM IN Equity","GEO_GROW_OPER_INC","FY 2014","FY 2014","Currency=INR","Period=FY","BEST_FPERIOD_OVERRIDE=FY","FILING_STATUS=MR","EQY_CONSOLIDATED=Y","FA_ADJUSTED=GAAP","Sort=A","Dates=H","DateFormat=P","Fill=—","Direction=H","UseDPDF=Y")</f>
        <v>-15.7776</v>
      </c>
      <c r="I38" s="14">
        <f>_xll.BDH("RCOM IN Equity","GEO_GROW_OPER_INC","FY 2015","FY 2015","Currency=INR","Period=FY","BEST_FPERIOD_OVERRIDE=FY","FILING_STATUS=MR","EQY_CONSOLIDATED=Y","FA_ADJUSTED=GAAP","Sort=A","Dates=H","DateFormat=P","Fill=—","Direction=H","UseDPDF=Y")</f>
        <v>0.88749999999999996</v>
      </c>
      <c r="J38" s="14">
        <f>_xll.BDH("RCOM IN Equity","GEO_GROW_OPER_INC","FY 2016","FY 2016","Currency=INR","Period=FY","BEST_FPERIOD_OVERRIDE=FY","FILING_STATUS=MR","EQY_CONSOLIDATED=Y","FA_ADJUSTED=GAAP","Sort=A","Dates=H","DateFormat=P","Fill=—","Direction=H","UseDPDF=Y")</f>
        <v>8.1989000000000001</v>
      </c>
      <c r="K38" s="14">
        <f>_xll.BDH("RCOM IN Equity","GEO_GROW_OPER_INC","FY 2017","FY 2017","Currency=INR","Period=FY","BEST_FPERIOD_OVERRIDE=FY","FILING_STATUS=MR","EQY_CONSOLIDATED=Y","FA_ADJUSTED=GAAP","Sort=A","Dates=H","DateFormat=P","Fill=—","Direction=H","UseDPDF=Y")</f>
        <v>-24.695699999999999</v>
      </c>
      <c r="L38" s="14">
        <f>_xll.BDH("RCOM IN Equity","GEO_GROW_OPER_INC","FY 2018","FY 2018","Currency=INR","Period=FY","BEST_FPERIOD_OVERRIDE=FY","FILING_STATUS=MR","EQY_CONSOLIDATED=Y","FA_ADJUSTED=GAAP","Sort=A","Dates=H","DateFormat=P","Fill=—","Direction=H","UseDPDF=Y")</f>
        <v>-35.0105</v>
      </c>
    </row>
    <row r="39" spans="1:12">
      <c r="A39" s="10" t="s">
        <v>65</v>
      </c>
      <c r="B39" s="10" t="s">
        <v>1494</v>
      </c>
      <c r="C39" s="14" t="str">
        <f>_xll.BDH("RCOM IN Equity","NET_INCOME_TO_COMMON_5_YR_GROWTH","FY 2009","FY 2009","Currency=INR","Period=FY","BEST_FPERIOD_OVERRIDE=FY","FILING_STATUS=MR","EQY_CONSOLIDATED=Y","FA_ADJUSTED=GAAP","Sort=A","Dates=H","DateFormat=P","Fill=—","Direction=H","UseDPDF=Y")</f>
        <v>—</v>
      </c>
      <c r="D39" s="14" t="str">
        <f>_xll.BDH("RCOM IN Equity","NET_INCOME_TO_COMMON_5_YR_GROWTH","FY 2010","FY 2010","Currency=INR","Period=FY","BEST_FPERIOD_OVERRIDE=FY","FILING_STATUS=MR","EQY_CONSOLIDATED=Y","FA_ADJUSTED=GAAP","Sort=A","Dates=H","DateFormat=P","Fill=—","Direction=H","UseDPDF=Y")</f>
        <v>—</v>
      </c>
      <c r="E39" s="14" t="str">
        <f>_xll.BDH("RCOM IN Equity","NET_INCOME_TO_COMMON_5_YR_GROWTH","FY 2011","FY 2011","Currency=INR","Period=FY","BEST_FPERIOD_OVERRIDE=FY","FILING_STATUS=MR","EQY_CONSOLIDATED=Y","FA_ADJUSTED=GAAP","Sort=A","Dates=H","DateFormat=P","Fill=—","Direction=H","UseDPDF=Y")</f>
        <v>—</v>
      </c>
      <c r="F39" s="14" t="str">
        <f>_xll.BDH("RCOM IN Equity","NET_INCOME_TO_COMMON_5_YR_GROWTH","FY 2012","FY 2012","Currency=INR","Period=FY","BEST_FPERIOD_OVERRIDE=FY","FILING_STATUS=MR","EQY_CONSOLIDATED=Y","FA_ADJUSTED=GAAP","Sort=A","Dates=H","DateFormat=P","Fill=—","Direction=H","UseDPDF=Y")</f>
        <v>—</v>
      </c>
      <c r="G39" s="14">
        <f>_xll.BDH("RCOM IN Equity","NET_INCOME_TO_COMMON_5_YR_GROWTH","FY 2013","FY 2013","Currency=INR","Period=FY","BEST_FPERIOD_OVERRIDE=FY","FILING_STATUS=MR","EQY_CONSOLIDATED=Y","FA_ADJUSTED=GAAP","Sort=A","Dates=H","DateFormat=P","Fill=—","Direction=H","UseDPDF=Y")</f>
        <v>-34.086100000000002</v>
      </c>
      <c r="H39" s="14">
        <f>_xll.BDH("RCOM IN Equity","NET_INCOME_TO_COMMON_5_YR_GROWTH","FY 2014","FY 2014","Currency=INR","Period=FY","BEST_FPERIOD_OVERRIDE=FY","FILING_STATUS=MR","EQY_CONSOLIDATED=Y","FA_ADJUSTED=GAAP","Sort=A","Dates=H","DateFormat=P","Fill=—","Direction=H","UseDPDF=Y")</f>
        <v>-29.5776</v>
      </c>
      <c r="I39" s="14">
        <f>_xll.BDH("RCOM IN Equity","NET_INCOME_TO_COMMON_5_YR_GROWTH","FY 2015","FY 2015","Currency=INR","Period=FY","BEST_FPERIOD_OVERRIDE=FY","FILING_STATUS=MR","EQY_CONSOLIDATED=Y","FA_ADJUSTED=GAAP","Sort=A","Dates=H","DateFormat=P","Fill=—","Direction=H","UseDPDF=Y")</f>
        <v>-31.2685</v>
      </c>
      <c r="J39" s="14">
        <f>_xll.BDH("RCOM IN Equity","NET_INCOME_TO_COMMON_5_YR_GROWTH","FY 2016","FY 2016","Currency=INR","Period=FY","BEST_FPERIOD_OVERRIDE=FY","FILING_STATUS=MR","EQY_CONSOLIDATED=Y","FA_ADJUSTED=GAAP","Sort=A","Dates=H","DateFormat=P","Fill=—","Direction=H","UseDPDF=Y")</f>
        <v>-13.8301</v>
      </c>
      <c r="K39" s="14" t="str">
        <f>_xll.BDH("RCOM IN Equity","NET_INCOME_TO_COMMON_5_YR_GROWTH","FY 2017","FY 2017","Currency=INR","Period=FY","BEST_FPERIOD_OVERRIDE=FY","FILING_STATUS=MR","EQY_CONSOLIDATED=Y","FA_ADJUSTED=GAAP","Sort=A","Dates=H","DateFormat=P","Fill=—","Direction=H","UseDPDF=Y")</f>
        <v>—</v>
      </c>
      <c r="L39" s="14" t="str">
        <f>_xll.BDH("RCOM IN Equity","NET_INCOME_TO_COMMON_5_YR_GROWTH","FY 2018","FY 2018","Currency=INR","Period=FY","BEST_FPERIOD_OVERRIDE=FY","FILING_STATUS=MR","EQY_CONSOLIDATED=Y","FA_ADJUSTED=GAAP","Sort=A","Dates=H","DateFormat=P","Fill=—","Direction=H","UseDPDF=Y")</f>
        <v>—</v>
      </c>
    </row>
    <row r="40" spans="1:12">
      <c r="A40" s="10" t="s">
        <v>1453</v>
      </c>
      <c r="B40" s="10" t="s">
        <v>1495</v>
      </c>
      <c r="C40" s="14" t="str">
        <f>_xll.BDH("RCOM IN Equity","5Y_GEO_GROWTH_DILUTED_EPS","FY 2009","FY 2009","Currency=INR","Period=FY","BEST_FPERIOD_OVERRIDE=FY","FILING_STATUS=MR","EQY_CONSOLIDATED=Y","FA_ADJUSTED=GAAP","Sort=A","Dates=H","DateFormat=P","Fill=—","Direction=H","UseDPDF=Y")</f>
        <v>—</v>
      </c>
      <c r="D40" s="14" t="str">
        <f>_xll.BDH("RCOM IN Equity","5Y_GEO_GROWTH_DILUTED_EPS","FY 2010","FY 2010","Currency=INR","Period=FY","BEST_FPERIOD_OVERRIDE=FY","FILING_STATUS=MR","EQY_CONSOLIDATED=Y","FA_ADJUSTED=GAAP","Sort=A","Dates=H","DateFormat=P","Fill=—","Direction=H","UseDPDF=Y")</f>
        <v>—</v>
      </c>
      <c r="E40" s="14" t="str">
        <f>_xll.BDH("RCOM IN Equity","5Y_GEO_GROWTH_DILUTED_EPS","FY 2011","FY 2011","Currency=INR","Period=FY","BEST_FPERIOD_OVERRIDE=FY","FILING_STATUS=MR","EQY_CONSOLIDATED=Y","FA_ADJUSTED=GAAP","Sort=A","Dates=H","DateFormat=P","Fill=—","Direction=H","UseDPDF=Y")</f>
        <v>—</v>
      </c>
      <c r="F40" s="14" t="str">
        <f>_xll.BDH("RCOM IN Equity","5Y_GEO_GROWTH_DILUTED_EPS","FY 2012","FY 2012","Currency=INR","Period=FY","BEST_FPERIOD_OVERRIDE=FY","FILING_STATUS=MR","EQY_CONSOLIDATED=Y","FA_ADJUSTED=GAAP","Sort=A","Dates=H","DateFormat=P","Fill=—","Direction=H","UseDPDF=Y")</f>
        <v>—</v>
      </c>
      <c r="G40" s="14">
        <f>_xll.BDH("RCOM IN Equity","5Y_GEO_GROWTH_DILUTED_EPS","FY 2013","FY 2013","Currency=INR","Period=FY","BEST_FPERIOD_OVERRIDE=FY","FILING_STATUS=MR","EQY_CONSOLIDATED=Y","FA_ADJUSTED=GAAP","Sort=A","Dates=H","DateFormat=P","Fill=—","Direction=H","UseDPDF=Y")</f>
        <v>-32.473999999999997</v>
      </c>
      <c r="H40" s="14">
        <f>_xll.BDH("RCOM IN Equity","5Y_GEO_GROWTH_DILUTED_EPS","FY 2014","FY 2014","Currency=INR","Period=FY","BEST_FPERIOD_OVERRIDE=FY","FILING_STATUS=MR","EQY_CONSOLIDATED=Y","FA_ADJUSTED=GAAP","Sort=A","Dates=H","DateFormat=P","Fill=—","Direction=H","UseDPDF=Y")</f>
        <v>-28.973800000000001</v>
      </c>
      <c r="I40" s="14">
        <f>_xll.BDH("RCOM IN Equity","5Y_GEO_GROWTH_DILUTED_EPS","FY 2015","FY 2015","Currency=INR","Period=FY","BEST_FPERIOD_OVERRIDE=FY","FILING_STATUS=MR","EQY_CONSOLIDATED=Y","FA_ADJUSTED=GAAP","Sort=A","Dates=H","DateFormat=P","Fill=—","Direction=H","UseDPDF=Y")</f>
        <v>-32.4086</v>
      </c>
      <c r="J40" s="14">
        <f>_xll.BDH("RCOM IN Equity","5Y_GEO_GROWTH_DILUTED_EPS","FY 2016","FY 2016","Currency=INR","Period=FY","BEST_FPERIOD_OVERRIDE=FY","FILING_STATUS=MR","EQY_CONSOLIDATED=Y","FA_ADJUSTED=GAAP","Sort=A","Dates=H","DateFormat=P","Fill=—","Direction=H","UseDPDF=Y")</f>
        <v>-16.144600000000001</v>
      </c>
      <c r="K40" s="14" t="str">
        <f>_xll.BDH("RCOM IN Equity","5Y_GEO_GROWTH_DILUTED_EPS","FY 2017","FY 2017","Currency=INR","Period=FY","BEST_FPERIOD_OVERRIDE=FY","FILING_STATUS=MR","EQY_CONSOLIDATED=Y","FA_ADJUSTED=GAAP","Sort=A","Dates=H","DateFormat=P","Fill=—","Direction=H","UseDPDF=Y")</f>
        <v>—</v>
      </c>
      <c r="L40" s="14" t="str">
        <f>_xll.BDH("RCOM IN Equity","5Y_GEO_GROWTH_DILUTED_EPS","FY 2018","FY 2018","Currency=INR","Period=FY","BEST_FPERIOD_OVERRIDE=FY","FILING_STATUS=MR","EQY_CONSOLIDATED=Y","FA_ADJUSTED=GAAP","Sort=A","Dates=H","DateFormat=P","Fill=—","Direction=H","UseDPDF=Y")</f>
        <v>—</v>
      </c>
    </row>
    <row r="41" spans="1:12">
      <c r="A41" s="10" t="s">
        <v>1455</v>
      </c>
      <c r="B41" s="10" t="s">
        <v>1496</v>
      </c>
      <c r="C41" s="14" t="str">
        <f>_xll.BDH("RCOM IN Equity","5Y_GEO_GROWTH_DILUTED_EPS_BEF_XO","FY 2009","FY 2009","Currency=INR","Period=FY","BEST_FPERIOD_OVERRIDE=FY","FILING_STATUS=MR","EQY_CONSOLIDATED=Y","Sort=A","Dates=H","DateFormat=P","Fill=—","Direction=H","UseDPDF=Y")</f>
        <v>—</v>
      </c>
      <c r="D41" s="14" t="str">
        <f>_xll.BDH("RCOM IN Equity","5Y_GEO_GROWTH_DILUTED_EPS_BEF_XO","FY 2010","FY 2010","Currency=INR","Period=FY","BEST_FPERIOD_OVERRIDE=FY","FILING_STATUS=MR","EQY_CONSOLIDATED=Y","Sort=A","Dates=H","DateFormat=P","Fill=—","Direction=H","UseDPDF=Y")</f>
        <v>—</v>
      </c>
      <c r="E41" s="14" t="str">
        <f>_xll.BDH("RCOM IN Equity","5Y_GEO_GROWTH_DILUTED_EPS_BEF_XO","FY 2011","FY 2011","Currency=INR","Period=FY","BEST_FPERIOD_OVERRIDE=FY","FILING_STATUS=MR","EQY_CONSOLIDATED=Y","Sort=A","Dates=H","DateFormat=P","Fill=—","Direction=H","UseDPDF=Y")</f>
        <v>—</v>
      </c>
      <c r="F41" s="14" t="str">
        <f>_xll.BDH("RCOM IN Equity","5Y_GEO_GROWTH_DILUTED_EPS_BEF_XO","FY 2012","FY 2012","Currency=INR","Period=FY","BEST_FPERIOD_OVERRIDE=FY","FILING_STATUS=MR","EQY_CONSOLIDATED=Y","Sort=A","Dates=H","DateFormat=P","Fill=—","Direction=H","UseDPDF=Y")</f>
        <v>—</v>
      </c>
      <c r="G41" s="14">
        <f>_xll.BDH("RCOM IN Equity","5Y_GEO_GROWTH_DILUTED_EPS_BEF_XO","FY 2013","FY 2013","Currency=INR","Period=FY","BEST_FPERIOD_OVERRIDE=FY","FILING_STATUS=MR","EQY_CONSOLIDATED=Y","Sort=A","Dates=H","DateFormat=P","Fill=—","Direction=H","UseDPDF=Y")</f>
        <v>-32.473999999999997</v>
      </c>
      <c r="H41" s="14">
        <f>_xll.BDH("RCOM IN Equity","5Y_GEO_GROWTH_DILUTED_EPS_BEF_XO","FY 2014","FY 2014","Currency=INR","Period=FY","BEST_FPERIOD_OVERRIDE=FY","FILING_STATUS=MR","EQY_CONSOLIDATED=Y","Sort=A","Dates=H","DateFormat=P","Fill=—","Direction=H","UseDPDF=Y")</f>
        <v>-28.973800000000001</v>
      </c>
      <c r="I41" s="14">
        <f>_xll.BDH("RCOM IN Equity","5Y_GEO_GROWTH_DILUTED_EPS_BEF_XO","FY 2015","FY 2015","Currency=INR","Period=FY","BEST_FPERIOD_OVERRIDE=FY","FILING_STATUS=MR","EQY_CONSOLIDATED=Y","Sort=A","Dates=H","DateFormat=P","Fill=—","Direction=H","UseDPDF=Y")</f>
        <v>-32.4086</v>
      </c>
      <c r="J41" s="14">
        <f>_xll.BDH("RCOM IN Equity","5Y_GEO_GROWTH_DILUTED_EPS_BEF_XO","FY 2016","FY 2016","Currency=INR","Period=FY","BEST_FPERIOD_OVERRIDE=FY","FILING_STATUS=MR","EQY_CONSOLIDATED=Y","Sort=A","Dates=H","DateFormat=P","Fill=—","Direction=H","UseDPDF=Y")</f>
        <v>-16.144600000000001</v>
      </c>
      <c r="K41" s="14">
        <f>_xll.BDH("RCOM IN Equity","5Y_GEO_GROWTH_DILUTED_EPS_BEF_XO","FY 2017","FY 2017","Currency=INR","Period=FY","BEST_FPERIOD_OVERRIDE=FY","FILING_STATUS=MR","EQY_CONSOLIDATED=Y","Sort=A","Dates=H","DateFormat=P","Fill=—","Direction=H","UseDPDF=Y")</f>
        <v>-35.1312</v>
      </c>
      <c r="L41" s="14">
        <f>_xll.BDH("RCOM IN Equity","5Y_GEO_GROWTH_DILUTED_EPS_BEF_XO","FY 2018","FY 2018","Currency=INR","Period=FY","BEST_FPERIOD_OVERRIDE=FY","FILING_STATUS=MR","EQY_CONSOLIDATED=Y","Sort=A","Dates=H","DateFormat=P","Fill=—","Direction=H","UseDPDF=Y")</f>
        <v>-43.379300000000001</v>
      </c>
    </row>
    <row r="42" spans="1:12">
      <c r="A42" s="10" t="s">
        <v>1457</v>
      </c>
      <c r="B42" s="10" t="s">
        <v>1497</v>
      </c>
      <c r="C42" s="14" t="str">
        <f>_xll.BDH("RCOM IN Equity","GEO_GROW_DILUTED_EPS_CONT_OPS","FY 2009","FY 2009","Currency=INR","Period=FY","BEST_FPERIOD_OVERRIDE=FY","FILING_STATUS=MR","EQY_CONSOLIDATED=Y","Sort=A","Dates=H","DateFormat=P","Fill=—","Direction=H","UseDPDF=Y")</f>
        <v>—</v>
      </c>
      <c r="D42" s="14" t="str">
        <f>_xll.BDH("RCOM IN Equity","GEO_GROW_DILUTED_EPS_CONT_OPS","FY 2010","FY 2010","Currency=INR","Period=FY","BEST_FPERIOD_OVERRIDE=FY","FILING_STATUS=MR","EQY_CONSOLIDATED=Y","Sort=A","Dates=H","DateFormat=P","Fill=—","Direction=H","UseDPDF=Y")</f>
        <v>—</v>
      </c>
      <c r="E42" s="14" t="str">
        <f>_xll.BDH("RCOM IN Equity","GEO_GROW_DILUTED_EPS_CONT_OPS","FY 2011","FY 2011","Currency=INR","Period=FY","BEST_FPERIOD_OVERRIDE=FY","FILING_STATUS=MR","EQY_CONSOLIDATED=Y","Sort=A","Dates=H","DateFormat=P","Fill=—","Direction=H","UseDPDF=Y")</f>
        <v>—</v>
      </c>
      <c r="F42" s="14" t="str">
        <f>_xll.BDH("RCOM IN Equity","GEO_GROW_DILUTED_EPS_CONT_OPS","FY 2012","FY 2012","Currency=INR","Period=FY","BEST_FPERIOD_OVERRIDE=FY","FILING_STATUS=MR","EQY_CONSOLIDATED=Y","Sort=A","Dates=H","DateFormat=P","Fill=—","Direction=H","UseDPDF=Y")</f>
        <v>—</v>
      </c>
      <c r="G42" s="14">
        <f>_xll.BDH("RCOM IN Equity","GEO_GROW_DILUTED_EPS_CONT_OPS","FY 2013","FY 2013","Currency=INR","Period=FY","BEST_FPERIOD_OVERRIDE=FY","FILING_STATUS=MR","EQY_CONSOLIDATED=Y","Sort=A","Dates=H","DateFormat=P","Fill=—","Direction=H","UseDPDF=Y")</f>
        <v>-29.679099999999998</v>
      </c>
      <c r="H42" s="14">
        <f>_xll.BDH("RCOM IN Equity","GEO_GROW_DILUTED_EPS_CONT_OPS","FY 2014","FY 2014","Currency=INR","Period=FY","BEST_FPERIOD_OVERRIDE=FY","FILING_STATUS=MR","EQY_CONSOLIDATED=Y","Sort=A","Dates=H","DateFormat=P","Fill=—","Direction=H","UseDPDF=Y")</f>
        <v>-28.3475</v>
      </c>
      <c r="I42" s="14">
        <f>_xll.BDH("RCOM IN Equity","GEO_GROW_DILUTED_EPS_CONT_OPS","FY 2015","FY 2015","Currency=INR","Period=FY","BEST_FPERIOD_OVERRIDE=FY","FILING_STATUS=MR","EQY_CONSOLIDATED=Y","Sort=A","Dates=H","DateFormat=P","Fill=—","Direction=H","UseDPDF=Y")</f>
        <v>-32.952199999999998</v>
      </c>
      <c r="J42" s="14">
        <f>_xll.BDH("RCOM IN Equity","GEO_GROW_DILUTED_EPS_CONT_OPS","FY 2016","FY 2016","Currency=INR","Period=FY","BEST_FPERIOD_OVERRIDE=FY","FILING_STATUS=MR","EQY_CONSOLIDATED=Y","Sort=A","Dates=H","DateFormat=P","Fill=—","Direction=H","UseDPDF=Y")</f>
        <v>-16.678899999999999</v>
      </c>
      <c r="K42" s="14">
        <f>_xll.BDH("RCOM IN Equity","GEO_GROW_DILUTED_EPS_CONT_OPS","FY 2017","FY 2017","Currency=INR","Period=FY","BEST_FPERIOD_OVERRIDE=FY","FILING_STATUS=MR","EQY_CONSOLIDATED=Y","Sort=A","Dates=H","DateFormat=P","Fill=—","Direction=H","UseDPDF=Y")</f>
        <v>-37.937899999999999</v>
      </c>
      <c r="L42" s="14">
        <f>_xll.BDH("RCOM IN Equity","GEO_GROW_DILUTED_EPS_CONT_OPS","FY 2018","FY 2018","Currency=INR","Period=FY","BEST_FPERIOD_OVERRIDE=FY","FILING_STATUS=MR","EQY_CONSOLIDATED=Y","Sort=A","Dates=H","DateFormat=P","Fill=—","Direction=H","UseDPDF=Y")</f>
        <v>-43.308799999999998</v>
      </c>
    </row>
    <row r="43" spans="1:12">
      <c r="A43" s="10" t="s">
        <v>1459</v>
      </c>
      <c r="B43" s="10" t="s">
        <v>1498</v>
      </c>
      <c r="C43" s="14" t="str">
        <f>_xll.BDH("RCOM IN Equity","GEO_GROW_DVD_PER_SH","FY 2009","FY 2009","Currency=INR","Period=FY","BEST_FPERIOD_OVERRIDE=FY","FILING_STATUS=MR","EQY_CONSOLIDATED=Y","Sort=A","Dates=H","DateFormat=P","Fill=—","Direction=H","UseDPDF=Y")</f>
        <v>—</v>
      </c>
      <c r="D43" s="14" t="str">
        <f>_xll.BDH("RCOM IN Equity","GEO_GROW_DVD_PER_SH","FY 2010","FY 2010","Currency=INR","Period=FY","BEST_FPERIOD_OVERRIDE=FY","FILING_STATUS=MR","EQY_CONSOLIDATED=Y","Sort=A","Dates=H","DateFormat=P","Fill=—","Direction=H","UseDPDF=Y")</f>
        <v>—</v>
      </c>
      <c r="E43" s="14" t="str">
        <f>_xll.BDH("RCOM IN Equity","GEO_GROW_DVD_PER_SH","FY 2011","FY 2011","Currency=INR","Period=FY","BEST_FPERIOD_OVERRIDE=FY","FILING_STATUS=MR","EQY_CONSOLIDATED=Y","Sort=A","Dates=H","DateFormat=P","Fill=—","Direction=H","UseDPDF=Y")</f>
        <v>—</v>
      </c>
      <c r="F43" s="14" t="str">
        <f>_xll.BDH("RCOM IN Equity","GEO_GROW_DVD_PER_SH","FY 2012","FY 2012","Currency=INR","Period=FY","BEST_FPERIOD_OVERRIDE=FY","FILING_STATUS=MR","EQY_CONSOLIDATED=Y","Sort=A","Dates=H","DateFormat=P","Fill=—","Direction=H","UseDPDF=Y")</f>
        <v>—</v>
      </c>
      <c r="G43" s="14">
        <f>_xll.BDH("RCOM IN Equity","GEO_GROW_DVD_PER_SH","FY 2013","FY 2013","Currency=INR","Period=FY","BEST_FPERIOD_OVERRIDE=FY","FILING_STATUS=MR","EQY_CONSOLIDATED=Y","Sort=A","Dates=H","DateFormat=P","Fill=—","Direction=H","UseDPDF=Y")</f>
        <v>-19.7258</v>
      </c>
      <c r="H43" s="14">
        <f>_xll.BDH("RCOM IN Equity","GEO_GROW_DVD_PER_SH","FY 2014","FY 2014","Currency=INR","Period=FY","BEST_FPERIOD_OVERRIDE=FY","FILING_STATUS=MR","EQY_CONSOLIDATED=Y","Sort=A","Dates=H","DateFormat=P","Fill=—","Direction=H","UseDPDF=Y")</f>
        <v>-100</v>
      </c>
      <c r="I43" s="14">
        <f>_xll.BDH("RCOM IN Equity","GEO_GROW_DVD_PER_SH","FY 2015","FY 2015","Currency=INR","Period=FY","BEST_FPERIOD_OVERRIDE=FY","FILING_STATUS=MR","EQY_CONSOLIDATED=Y","Sort=A","Dates=H","DateFormat=P","Fill=—","Direction=H","UseDPDF=Y")</f>
        <v>-100</v>
      </c>
      <c r="J43" s="14">
        <f>_xll.BDH("RCOM IN Equity","GEO_GROW_DVD_PER_SH","FY 2016","FY 2016","Currency=INR","Period=FY","BEST_FPERIOD_OVERRIDE=FY","FILING_STATUS=MR","EQY_CONSOLIDATED=Y","Sort=A","Dates=H","DateFormat=P","Fill=—","Direction=H","UseDPDF=Y")</f>
        <v>-100</v>
      </c>
      <c r="K43" s="14">
        <f>_xll.BDH("RCOM IN Equity","GEO_GROW_DVD_PER_SH","FY 2017","FY 2017","Currency=INR","Period=FY","BEST_FPERIOD_OVERRIDE=FY","FILING_STATUS=MR","EQY_CONSOLIDATED=Y","Sort=A","Dates=H","DateFormat=P","Fill=—","Direction=H","UseDPDF=Y")</f>
        <v>-100</v>
      </c>
      <c r="L43" s="14">
        <f>_xll.BDH("RCOM IN Equity","GEO_GROW_DVD_PER_SH","FY 2018","FY 2018","Currency=INR","Period=FY","BEST_FPERIOD_OVERRIDE=FY","FILING_STATUS=MR","EQY_CONSOLIDATED=Y","Sort=A","Dates=H","DateFormat=P","Fill=—","Direction=H","UseDPDF=Y")</f>
        <v>-100</v>
      </c>
    </row>
    <row r="44" spans="1:12">
      <c r="A44" s="10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 spans="1:12">
      <c r="A45" s="10" t="s">
        <v>1461</v>
      </c>
      <c r="B45" s="10" t="s">
        <v>1499</v>
      </c>
      <c r="C45" s="14" t="str">
        <f>_xll.BDH("RCOM IN Equity","ACCOUNTS_RECEIVABLE_5_YR_GROWTH","FY 2009","FY 2009","Currency=INR","Period=FY","BEST_FPERIOD_OVERRIDE=FY","FILING_STATUS=MR","EQY_CONSOLIDATED=Y","Sort=A","Dates=H","DateFormat=P","Fill=—","Direction=H","UseDPDF=Y")</f>
        <v>—</v>
      </c>
      <c r="D45" s="14" t="str">
        <f>_xll.BDH("RCOM IN Equity","ACCOUNTS_RECEIVABLE_5_YR_GROWTH","FY 2010","FY 2010","Currency=INR","Period=FY","BEST_FPERIOD_OVERRIDE=FY","FILING_STATUS=MR","EQY_CONSOLIDATED=Y","Sort=A","Dates=H","DateFormat=P","Fill=—","Direction=H","UseDPDF=Y")</f>
        <v>—</v>
      </c>
      <c r="E45" s="14" t="str">
        <f>_xll.BDH("RCOM IN Equity","ACCOUNTS_RECEIVABLE_5_YR_GROWTH","FY 2011","FY 2011","Currency=INR","Period=FY","BEST_FPERIOD_OVERRIDE=FY","FILING_STATUS=MR","EQY_CONSOLIDATED=Y","Sort=A","Dates=H","DateFormat=P","Fill=—","Direction=H","UseDPDF=Y")</f>
        <v>—</v>
      </c>
      <c r="F45" s="14" t="str">
        <f>_xll.BDH("RCOM IN Equity","ACCOUNTS_RECEIVABLE_5_YR_GROWTH","FY 2012","FY 2012","Currency=INR","Period=FY","BEST_FPERIOD_OVERRIDE=FY","FILING_STATUS=MR","EQY_CONSOLIDATED=Y","Sort=A","Dates=H","DateFormat=P","Fill=—","Direction=H","UseDPDF=Y")</f>
        <v>—</v>
      </c>
      <c r="G45" s="14">
        <f>_xll.BDH("RCOM IN Equity","ACCOUNTS_RECEIVABLE_5_YR_GROWTH","FY 2013","FY 2013","Currency=INR","Period=FY","BEST_FPERIOD_OVERRIDE=FY","FILING_STATUS=MR","EQY_CONSOLIDATED=Y","Sort=A","Dates=H","DateFormat=P","Fill=—","Direction=H","UseDPDF=Y")</f>
        <v>-10.3786</v>
      </c>
      <c r="H45" s="14">
        <f>_xll.BDH("RCOM IN Equity","ACCOUNTS_RECEIVABLE_5_YR_GROWTH","FY 2014","FY 2014","Currency=INR","Period=FY","BEST_FPERIOD_OVERRIDE=FY","FILING_STATUS=MR","EQY_CONSOLIDATED=Y","Sort=A","Dates=H","DateFormat=P","Fill=—","Direction=H","UseDPDF=Y")</f>
        <v>5.7719000000000005</v>
      </c>
      <c r="I45" s="14">
        <f>_xll.BDH("RCOM IN Equity","ACCOUNTS_RECEIVABLE_5_YR_GROWTH","FY 2015","FY 2015","Currency=INR","Period=FY","BEST_FPERIOD_OVERRIDE=FY","FILING_STATUS=MR","EQY_CONSOLIDATED=Y","Sort=A","Dates=H","DateFormat=P","Fill=—","Direction=H","UseDPDF=Y")</f>
        <v>3.8090999999999999</v>
      </c>
      <c r="J45" s="14">
        <f>_xll.BDH("RCOM IN Equity","ACCOUNTS_RECEIVABLE_5_YR_GROWTH","FY 2016","FY 2016","Currency=INR","Period=FY","BEST_FPERIOD_OVERRIDE=FY","FILING_STATUS=MR","EQY_CONSOLIDATED=Y","Sort=A","Dates=H","DateFormat=P","Fill=—","Direction=H","UseDPDF=Y")</f>
        <v>17.3765</v>
      </c>
      <c r="K45" s="14">
        <f>_xll.BDH("RCOM IN Equity","ACCOUNTS_RECEIVABLE_5_YR_GROWTH","FY 2017","FY 2017","Currency=INR","Period=FY","BEST_FPERIOD_OVERRIDE=FY","FILING_STATUS=MR","EQY_CONSOLIDATED=Y","Sort=A","Dates=H","DateFormat=P","Fill=—","Direction=H","UseDPDF=Y")</f>
        <v>12.0329</v>
      </c>
      <c r="L45" s="14">
        <f>_xll.BDH("RCOM IN Equity","ACCOUNTS_RECEIVABLE_5_YR_GROWTH","FY 2018","FY 2018","Currency=INR","Period=FY","BEST_FPERIOD_OVERRIDE=FY","FILING_STATUS=MR","EQY_CONSOLIDATED=Y","Sort=A","Dates=H","DateFormat=P","Fill=—","Direction=H","UseDPDF=Y")</f>
        <v>6.2667000000000002</v>
      </c>
    </row>
    <row r="46" spans="1:12">
      <c r="A46" s="10" t="s">
        <v>1463</v>
      </c>
      <c r="B46" s="10" t="s">
        <v>1500</v>
      </c>
      <c r="C46" s="14" t="str">
        <f>_xll.BDH("RCOM IN Equity","INVENTORY_5_YEAR_GROWTH","FY 2009","FY 2009","Currency=INR","Period=FY","BEST_FPERIOD_OVERRIDE=FY","FILING_STATUS=MR","EQY_CONSOLIDATED=Y","Sort=A","Dates=H","DateFormat=P","Fill=—","Direction=H","UseDPDF=Y")</f>
        <v>—</v>
      </c>
      <c r="D46" s="14" t="str">
        <f>_xll.BDH("RCOM IN Equity","INVENTORY_5_YEAR_GROWTH","FY 2010","FY 2010","Currency=INR","Period=FY","BEST_FPERIOD_OVERRIDE=FY","FILING_STATUS=MR","EQY_CONSOLIDATED=Y","Sort=A","Dates=H","DateFormat=P","Fill=—","Direction=H","UseDPDF=Y")</f>
        <v>—</v>
      </c>
      <c r="E46" s="14" t="str">
        <f>_xll.BDH("RCOM IN Equity","INVENTORY_5_YEAR_GROWTH","FY 2011","FY 2011","Currency=INR","Period=FY","BEST_FPERIOD_OVERRIDE=FY","FILING_STATUS=MR","EQY_CONSOLIDATED=Y","Sort=A","Dates=H","DateFormat=P","Fill=—","Direction=H","UseDPDF=Y")</f>
        <v>—</v>
      </c>
      <c r="F46" s="14" t="str">
        <f>_xll.BDH("RCOM IN Equity","INVENTORY_5_YEAR_GROWTH","FY 2012","FY 2012","Currency=INR","Period=FY","BEST_FPERIOD_OVERRIDE=FY","FILING_STATUS=MR","EQY_CONSOLIDATED=Y","Sort=A","Dates=H","DateFormat=P","Fill=—","Direction=H","UseDPDF=Y")</f>
        <v>—</v>
      </c>
      <c r="G46" s="14">
        <f>_xll.BDH("RCOM IN Equity","INVENTORY_5_YEAR_GROWTH","FY 2013","FY 2013","Currency=INR","Period=FY","BEST_FPERIOD_OVERRIDE=FY","FILING_STATUS=MR","EQY_CONSOLIDATED=Y","Sort=A","Dates=H","DateFormat=P","Fill=—","Direction=H","UseDPDF=Y")</f>
        <v>4.1337999999999999</v>
      </c>
      <c r="H46" s="14">
        <f>_xll.BDH("RCOM IN Equity","INVENTORY_5_YEAR_GROWTH","FY 2014","FY 2014","Currency=INR","Period=FY","BEST_FPERIOD_OVERRIDE=FY","FILING_STATUS=MR","EQY_CONSOLIDATED=Y","Sort=A","Dates=H","DateFormat=P","Fill=—","Direction=H","UseDPDF=Y")</f>
        <v>-5.2248999999999999</v>
      </c>
      <c r="I46" s="14">
        <f>_xll.BDH("RCOM IN Equity","INVENTORY_5_YEAR_GROWTH","FY 2015","FY 2015","Currency=INR","Period=FY","BEST_FPERIOD_OVERRIDE=FY","FILING_STATUS=MR","EQY_CONSOLIDATED=Y","Sort=A","Dates=H","DateFormat=P","Fill=—","Direction=H","UseDPDF=Y")</f>
        <v>-5.9391999999999996</v>
      </c>
      <c r="J46" s="14">
        <f>_xll.BDH("RCOM IN Equity","INVENTORY_5_YEAR_GROWTH","FY 2016","FY 2016","Currency=INR","Period=FY","BEST_FPERIOD_OVERRIDE=FY","FILING_STATUS=MR","EQY_CONSOLIDATED=Y","Sort=A","Dates=H","DateFormat=P","Fill=—","Direction=H","UseDPDF=Y")</f>
        <v>-16.648299999999999</v>
      </c>
      <c r="K46" s="14">
        <f>_xll.BDH("RCOM IN Equity","INVENTORY_5_YEAR_GROWTH","FY 2017","FY 2017","Currency=INR","Period=FY","BEST_FPERIOD_OVERRIDE=FY","FILING_STATUS=MR","EQY_CONSOLIDATED=Y","Sort=A","Dates=H","DateFormat=P","Fill=—","Direction=H","UseDPDF=Y")</f>
        <v>-16.121600000000001</v>
      </c>
      <c r="L46" s="14">
        <f>_xll.BDH("RCOM IN Equity","INVENTORY_5_YEAR_GROWTH","FY 2018","FY 2018","Currency=INR","Period=FY","BEST_FPERIOD_OVERRIDE=FY","FILING_STATUS=MR","EQY_CONSOLIDATED=Y","Sort=A","Dates=H","DateFormat=P","Fill=—","Direction=H","UseDPDF=Y")</f>
        <v>-30.776399999999999</v>
      </c>
    </row>
    <row r="47" spans="1:12">
      <c r="A47" s="10" t="s">
        <v>1465</v>
      </c>
      <c r="B47" s="10" t="s">
        <v>1501</v>
      </c>
      <c r="C47" s="14" t="str">
        <f>_xll.BDH("RCOM IN Equity","NET_FIXED_ASSETS_5_YEAR_GROWTH","FY 2009","FY 2009","Currency=INR","Period=FY","BEST_FPERIOD_OVERRIDE=FY","FILING_STATUS=MR","EQY_CONSOLIDATED=Y","Sort=A","Dates=H","DateFormat=P","Fill=—","Direction=H","UseDPDF=Y")</f>
        <v>—</v>
      </c>
      <c r="D47" s="14" t="str">
        <f>_xll.BDH("RCOM IN Equity","NET_FIXED_ASSETS_5_YEAR_GROWTH","FY 2010","FY 2010","Currency=INR","Period=FY","BEST_FPERIOD_OVERRIDE=FY","FILING_STATUS=MR","EQY_CONSOLIDATED=Y","Sort=A","Dates=H","DateFormat=P","Fill=—","Direction=H","UseDPDF=Y")</f>
        <v>—</v>
      </c>
      <c r="E47" s="14" t="str">
        <f>_xll.BDH("RCOM IN Equity","NET_FIXED_ASSETS_5_YEAR_GROWTH","FY 2011","FY 2011","Currency=INR","Period=FY","BEST_FPERIOD_OVERRIDE=FY","FILING_STATUS=MR","EQY_CONSOLIDATED=Y","Sort=A","Dates=H","DateFormat=P","Fill=—","Direction=H","UseDPDF=Y")</f>
        <v>—</v>
      </c>
      <c r="F47" s="14" t="str">
        <f>_xll.BDH("RCOM IN Equity","NET_FIXED_ASSETS_5_YEAR_GROWTH","FY 2012","FY 2012","Currency=INR","Period=FY","BEST_FPERIOD_OVERRIDE=FY","FILING_STATUS=MR","EQY_CONSOLIDATED=Y","Sort=A","Dates=H","DateFormat=P","Fill=—","Direction=H","UseDPDF=Y")</f>
        <v>—</v>
      </c>
      <c r="G47" s="14">
        <f>_xll.BDH("RCOM IN Equity","NET_FIXED_ASSETS_5_YEAR_GROWTH","FY 2013","FY 2013","Currency=INR","Period=FY","BEST_FPERIOD_OVERRIDE=FY","FILING_STATUS=MR","EQY_CONSOLIDATED=Y","Sort=A","Dates=H","DateFormat=P","Fill=—","Direction=H","UseDPDF=Y")</f>
        <v>-0.23530000000000001</v>
      </c>
      <c r="H47" s="14">
        <f>_xll.BDH("RCOM IN Equity","NET_FIXED_ASSETS_5_YEAR_GROWTH","FY 2014","FY 2014","Currency=INR","Period=FY","BEST_FPERIOD_OVERRIDE=FY","FILING_STATUS=MR","EQY_CONSOLIDATED=Y","Sort=A","Dates=H","DateFormat=P","Fill=—","Direction=H","UseDPDF=Y")</f>
        <v>-2.3658000000000001</v>
      </c>
      <c r="I47" s="14">
        <f>_xll.BDH("RCOM IN Equity","NET_FIXED_ASSETS_5_YEAR_GROWTH","FY 2015","FY 2015","Currency=INR","Period=FY","BEST_FPERIOD_OVERRIDE=FY","FILING_STATUS=MR","EQY_CONSOLIDATED=Y","Sort=A","Dates=H","DateFormat=P","Fill=—","Direction=H","UseDPDF=Y")</f>
        <v>-3.2509999999999999</v>
      </c>
      <c r="J47" s="14">
        <f>_xll.BDH("RCOM IN Equity","NET_FIXED_ASSETS_5_YEAR_GROWTH","FY 2016","FY 2016","Currency=INR","Period=FY","BEST_FPERIOD_OVERRIDE=FY","FILING_STATUS=MR","EQY_CONSOLIDATED=Y","Sort=A","Dates=H","DateFormat=P","Fill=—","Direction=H","UseDPDF=Y")</f>
        <v>-1.2321</v>
      </c>
      <c r="K47" s="14">
        <f>_xll.BDH("RCOM IN Equity","NET_FIXED_ASSETS_5_YEAR_GROWTH","FY 2017","FY 2017","Currency=INR","Period=FY","BEST_FPERIOD_OVERRIDE=FY","FILING_STATUS=MR","EQY_CONSOLIDATED=Y","Sort=A","Dates=H","DateFormat=P","Fill=—","Direction=H","UseDPDF=Y")</f>
        <v>1.2579</v>
      </c>
      <c r="L47" s="14">
        <f>_xll.BDH("RCOM IN Equity","NET_FIXED_ASSETS_5_YEAR_GROWTH","FY 2018","FY 2018","Currency=INR","Period=FY","BEST_FPERIOD_OVERRIDE=FY","FILING_STATUS=MR","EQY_CONSOLIDATED=Y","Sort=A","Dates=H","DateFormat=P","Fill=—","Direction=H","UseDPDF=Y")</f>
        <v>-19.039899999999999</v>
      </c>
    </row>
    <row r="48" spans="1:12">
      <c r="A48" s="10" t="s">
        <v>77</v>
      </c>
      <c r="B48" s="10" t="s">
        <v>1502</v>
      </c>
      <c r="C48" s="14" t="str">
        <f>_xll.BDH("RCOM IN Equity","GEO_GROW_TOT_ASSET","FY 2009","FY 2009","Currency=INR","Period=FY","BEST_FPERIOD_OVERRIDE=FY","FILING_STATUS=MR","EQY_CONSOLIDATED=Y","Sort=A","Dates=H","DateFormat=P","Fill=—","Direction=H","UseDPDF=Y")</f>
        <v>—</v>
      </c>
      <c r="D48" s="14" t="str">
        <f>_xll.BDH("RCOM IN Equity","GEO_GROW_TOT_ASSET","FY 2010","FY 2010","Currency=INR","Period=FY","BEST_FPERIOD_OVERRIDE=FY","FILING_STATUS=MR","EQY_CONSOLIDATED=Y","Sort=A","Dates=H","DateFormat=P","Fill=—","Direction=H","UseDPDF=Y")</f>
        <v>—</v>
      </c>
      <c r="E48" s="14" t="str">
        <f>_xll.BDH("RCOM IN Equity","GEO_GROW_TOT_ASSET","FY 2011","FY 2011","Currency=INR","Period=FY","BEST_FPERIOD_OVERRIDE=FY","FILING_STATUS=MR","EQY_CONSOLIDATED=Y","Sort=A","Dates=H","DateFormat=P","Fill=—","Direction=H","UseDPDF=Y")</f>
        <v>—</v>
      </c>
      <c r="F48" s="14" t="str">
        <f>_xll.BDH("RCOM IN Equity","GEO_GROW_TOT_ASSET","FY 2012","FY 2012","Currency=INR","Period=FY","BEST_FPERIOD_OVERRIDE=FY","FILING_STATUS=MR","EQY_CONSOLIDATED=Y","Sort=A","Dates=H","DateFormat=P","Fill=—","Direction=H","UseDPDF=Y")</f>
        <v>—</v>
      </c>
      <c r="G48" s="14">
        <f>_xll.BDH("RCOM IN Equity","GEO_GROW_TOT_ASSET","FY 2013","FY 2013","Currency=INR","Period=FY","BEST_FPERIOD_OVERRIDE=FY","FILING_STATUS=MR","EQY_CONSOLIDATED=Y","Sort=A","Dates=H","DateFormat=P","Fill=—","Direction=H","UseDPDF=Y")</f>
        <v>3.0882999999999998</v>
      </c>
      <c r="H48" s="14">
        <f>_xll.BDH("RCOM IN Equity","GEO_GROW_TOT_ASSET","FY 2014","FY 2014","Currency=INR","Period=FY","BEST_FPERIOD_OVERRIDE=FY","FILING_STATUS=MR","EQY_CONSOLIDATED=Y","Sort=A","Dates=H","DateFormat=P","Fill=—","Direction=H","UseDPDF=Y")</f>
        <v>-2.3521999999999998</v>
      </c>
      <c r="I48" s="14">
        <f>_xll.BDH("RCOM IN Equity","GEO_GROW_TOT_ASSET","FY 2015","FY 2015","Currency=INR","Period=FY","BEST_FPERIOD_OVERRIDE=FY","FILING_STATUS=MR","EQY_CONSOLIDATED=Y","Sort=A","Dates=H","DateFormat=P","Fill=—","Direction=H","UseDPDF=Y")</f>
        <v>9.7799999999999998E-2</v>
      </c>
      <c r="J48" s="14">
        <f>_xll.BDH("RCOM IN Equity","GEO_GROW_TOT_ASSET","FY 2016","FY 2016","Currency=INR","Period=FY","BEST_FPERIOD_OVERRIDE=FY","FILING_STATUS=MR","EQY_CONSOLIDATED=Y","Sort=A","Dates=H","DateFormat=P","Fill=—","Direction=H","UseDPDF=Y")</f>
        <v>1.7789999999999999</v>
      </c>
      <c r="K48" s="14">
        <f>_xll.BDH("RCOM IN Equity","GEO_GROW_TOT_ASSET","FY 2017","FY 2017","Currency=INR","Period=FY","BEST_FPERIOD_OVERRIDE=FY","FILING_STATUS=MR","EQY_CONSOLIDATED=Y","Sort=A","Dates=H","DateFormat=P","Fill=—","Direction=H","UseDPDF=Y")</f>
        <v>1.5684</v>
      </c>
      <c r="L48" s="14">
        <f>_xll.BDH("RCOM IN Equity","GEO_GROW_TOT_ASSET","FY 2018","FY 2018","Currency=INR","Period=FY","BEST_FPERIOD_OVERRIDE=FY","FILING_STATUS=MR","EQY_CONSOLIDATED=Y","Sort=A","Dates=H","DateFormat=P","Fill=—","Direction=H","UseDPDF=Y")</f>
        <v>-3.7284000000000002</v>
      </c>
    </row>
    <row r="49" spans="1:12">
      <c r="A49" s="10" t="s">
        <v>1472</v>
      </c>
      <c r="B49" s="10" t="s">
        <v>1503</v>
      </c>
      <c r="C49" s="14" t="str">
        <f>_xll.BDH("RCOM IN Equity","EMPLOYEES_5_YEAR_GROWTH","FY 2009","FY 2009","Currency=INR","Period=FY","BEST_FPERIOD_OVERRIDE=FY","FILING_STATUS=MR","EQY_CONSOLIDATED=Y","Sort=A","Dates=H","DateFormat=P","Fill=—","Direction=H","UseDPDF=Y")</f>
        <v>—</v>
      </c>
      <c r="D49" s="14" t="str">
        <f>_xll.BDH("RCOM IN Equity","EMPLOYEES_5_YEAR_GROWTH","FY 2010","FY 2010","Currency=INR","Period=FY","BEST_FPERIOD_OVERRIDE=FY","FILING_STATUS=MR","EQY_CONSOLIDATED=Y","Sort=A","Dates=H","DateFormat=P","Fill=—","Direction=H","UseDPDF=Y")</f>
        <v>—</v>
      </c>
      <c r="E49" s="14" t="str">
        <f>_xll.BDH("RCOM IN Equity","EMPLOYEES_5_YEAR_GROWTH","FY 2011","FY 2011","Currency=INR","Period=FY","BEST_FPERIOD_OVERRIDE=FY","FILING_STATUS=MR","EQY_CONSOLIDATED=Y","Sort=A","Dates=H","DateFormat=P","Fill=—","Direction=H","UseDPDF=Y")</f>
        <v>—</v>
      </c>
      <c r="F49" s="14" t="str">
        <f>_xll.BDH("RCOM IN Equity","EMPLOYEES_5_YEAR_GROWTH","FY 2012","FY 2012","Currency=INR","Period=FY","BEST_FPERIOD_OVERRIDE=FY","FILING_STATUS=MR","EQY_CONSOLIDATED=Y","Sort=A","Dates=H","DateFormat=P","Fill=—","Direction=H","UseDPDF=Y")</f>
        <v>—</v>
      </c>
      <c r="G49" s="14">
        <f>_xll.BDH("RCOM IN Equity","EMPLOYEES_5_YEAR_GROWTH","FY 2013","FY 2013","Currency=INR","Period=FY","BEST_FPERIOD_OVERRIDE=FY","FILING_STATUS=MR","EQY_CONSOLIDATED=Y","Sort=A","Dates=H","DateFormat=P","Fill=—","Direction=H","UseDPDF=Y")</f>
        <v>-12.6355</v>
      </c>
      <c r="H49" s="14" t="str">
        <f>_xll.BDH("RCOM IN Equity","EMPLOYEES_5_YEAR_GROWTH","FY 2014","FY 2014","Currency=INR","Period=FY","BEST_FPERIOD_OVERRIDE=FY","FILING_STATUS=MR","EQY_CONSOLIDATED=Y","Sort=A","Dates=H","DateFormat=P","Fill=—","Direction=H","UseDPDF=Y")</f>
        <v>—</v>
      </c>
      <c r="I49" s="14" t="str">
        <f>_xll.BDH("RCOM IN Equity","EMPLOYEES_5_YEAR_GROWTH","FY 2015","FY 2015","Currency=INR","Period=FY","BEST_FPERIOD_OVERRIDE=FY","FILING_STATUS=MR","EQY_CONSOLIDATED=Y","Sort=A","Dates=H","DateFormat=P","Fill=—","Direction=H","UseDPDF=Y")</f>
        <v>—</v>
      </c>
      <c r="J49" s="14" t="str">
        <f>_xll.BDH("RCOM IN Equity","EMPLOYEES_5_YEAR_GROWTH","FY 2016","FY 2016","Currency=INR","Period=FY","BEST_FPERIOD_OVERRIDE=FY","FILING_STATUS=MR","EQY_CONSOLIDATED=Y","Sort=A","Dates=H","DateFormat=P","Fill=—","Direction=H","UseDPDF=Y")</f>
        <v>—</v>
      </c>
      <c r="K49" s="14" t="str">
        <f>_xll.BDH("RCOM IN Equity","EMPLOYEES_5_YEAR_GROWTH","FY 2017","FY 2017","Currency=INR","Period=FY","BEST_FPERIOD_OVERRIDE=FY","FILING_STATUS=MR","EQY_CONSOLIDATED=Y","Sort=A","Dates=H","DateFormat=P","Fill=—","Direction=H","UseDPDF=Y")</f>
        <v>—</v>
      </c>
      <c r="L49" s="14" t="str">
        <f>_xll.BDH("RCOM IN Equity","EMPLOYEES_5_YEAR_GROWTH","FY 2018","FY 2018","Currency=INR","Period=FY","BEST_FPERIOD_OVERRIDE=FY","FILING_STATUS=MR","EQY_CONSOLIDATED=Y","Sort=A","Dates=H","DateFormat=P","Fill=—","Direction=H","UseDPDF=Y")</f>
        <v>—</v>
      </c>
    </row>
    <row r="50" spans="1:12">
      <c r="A50" s="10" t="s">
        <v>1474</v>
      </c>
      <c r="B50" s="10" t="s">
        <v>1504</v>
      </c>
      <c r="C50" s="14" t="str">
        <f>_xll.BDH("RCOM IN Equity","ACCOUNTS_PAYABLE_5_YEAR_GROWTH","FY 2009","FY 2009","Currency=INR","Period=FY","BEST_FPERIOD_OVERRIDE=FY","FILING_STATUS=MR","EQY_CONSOLIDATED=Y","Sort=A","Dates=H","DateFormat=P","Fill=—","Direction=H","UseDPDF=Y")</f>
        <v>—</v>
      </c>
      <c r="D50" s="14" t="str">
        <f>_xll.BDH("RCOM IN Equity","ACCOUNTS_PAYABLE_5_YEAR_GROWTH","FY 2010","FY 2010","Currency=INR","Period=FY","BEST_FPERIOD_OVERRIDE=FY","FILING_STATUS=MR","EQY_CONSOLIDATED=Y","Sort=A","Dates=H","DateFormat=P","Fill=—","Direction=H","UseDPDF=Y")</f>
        <v>—</v>
      </c>
      <c r="E50" s="14" t="str">
        <f>_xll.BDH("RCOM IN Equity","ACCOUNTS_PAYABLE_5_YEAR_GROWTH","FY 2011","FY 2011","Currency=INR","Period=FY","BEST_FPERIOD_OVERRIDE=FY","FILING_STATUS=MR","EQY_CONSOLIDATED=Y","Sort=A","Dates=H","DateFormat=P","Fill=—","Direction=H","UseDPDF=Y")</f>
        <v>—</v>
      </c>
      <c r="F50" s="14" t="str">
        <f>_xll.BDH("RCOM IN Equity","ACCOUNTS_PAYABLE_5_YEAR_GROWTH","FY 2012","FY 2012","Currency=INR","Period=FY","BEST_FPERIOD_OVERRIDE=FY","FILING_STATUS=MR","EQY_CONSOLIDATED=Y","Sort=A","Dates=H","DateFormat=P","Fill=—","Direction=H","UseDPDF=Y")</f>
        <v>—</v>
      </c>
      <c r="G50" s="14">
        <f>_xll.BDH("RCOM IN Equity","ACCOUNTS_PAYABLE_5_YEAR_GROWTH","FY 2013","FY 2013","Currency=INR","Period=FY","BEST_FPERIOD_OVERRIDE=FY","FILING_STATUS=MR","EQY_CONSOLIDATED=Y","Sort=A","Dates=H","DateFormat=P","Fill=—","Direction=H","UseDPDF=Y")</f>
        <v>-22.9314</v>
      </c>
      <c r="H50" s="14">
        <f>_xll.BDH("RCOM IN Equity","ACCOUNTS_PAYABLE_5_YEAR_GROWTH","FY 2014","FY 2014","Currency=INR","Period=FY","BEST_FPERIOD_OVERRIDE=FY","FILING_STATUS=MR","EQY_CONSOLIDATED=Y","Sort=A","Dates=H","DateFormat=P","Fill=—","Direction=H","UseDPDF=Y")</f>
        <v>49.138500000000001</v>
      </c>
      <c r="I50" s="14">
        <f>_xll.BDH("RCOM IN Equity","ACCOUNTS_PAYABLE_5_YEAR_GROWTH","FY 2015","FY 2015","Currency=INR","Period=FY","BEST_FPERIOD_OVERRIDE=FY","FILING_STATUS=MR","EQY_CONSOLIDATED=Y","Sort=A","Dates=H","DateFormat=P","Fill=—","Direction=H","UseDPDF=Y")</f>
        <v>26.326799999999999</v>
      </c>
      <c r="J50" s="14">
        <f>_xll.BDH("RCOM IN Equity","ACCOUNTS_PAYABLE_5_YEAR_GROWTH","FY 2016","FY 2016","Currency=INR","Period=FY","BEST_FPERIOD_OVERRIDE=FY","FILING_STATUS=MR","EQY_CONSOLIDATED=Y","Sort=A","Dates=H","DateFormat=P","Fill=—","Direction=H","UseDPDF=Y")</f>
        <v>25.0443</v>
      </c>
      <c r="K50" s="14">
        <f>_xll.BDH("RCOM IN Equity","ACCOUNTS_PAYABLE_5_YEAR_GROWTH","FY 2017","FY 2017","Currency=INR","Period=FY","BEST_FPERIOD_OVERRIDE=FY","FILING_STATUS=MR","EQY_CONSOLIDATED=Y","Sort=A","Dates=H","DateFormat=P","Fill=—","Direction=H","UseDPDF=Y")</f>
        <v>15.409800000000001</v>
      </c>
      <c r="L50" s="14">
        <f>_xll.BDH("RCOM IN Equity","ACCOUNTS_PAYABLE_5_YEAR_GROWTH","FY 2018","FY 2018","Currency=INR","Period=FY","BEST_FPERIOD_OVERRIDE=FY","FILING_STATUS=MR","EQY_CONSOLIDATED=Y","Sort=A","Dates=H","DateFormat=P","Fill=—","Direction=H","UseDPDF=Y")</f>
        <v>15.542199999999999</v>
      </c>
    </row>
    <row r="51" spans="1:12">
      <c r="A51" s="10" t="s">
        <v>1476</v>
      </c>
      <c r="B51" s="10" t="s">
        <v>1505</v>
      </c>
      <c r="C51" s="14" t="str">
        <f>_xll.BDH("RCOM IN Equity","SHORT_TERM_DEBT_5_YEAR_GROWTH","FY 2009","FY 2009","Currency=INR","Period=FY","BEST_FPERIOD_OVERRIDE=FY","FILING_STATUS=MR","EQY_CONSOLIDATED=Y","Sort=A","Dates=H","DateFormat=P","Fill=—","Direction=H","UseDPDF=Y")</f>
        <v>—</v>
      </c>
      <c r="D51" s="14" t="str">
        <f>_xll.BDH("RCOM IN Equity","SHORT_TERM_DEBT_5_YEAR_GROWTH","FY 2010","FY 2010","Currency=INR","Period=FY","BEST_FPERIOD_OVERRIDE=FY","FILING_STATUS=MR","EQY_CONSOLIDATED=Y","Sort=A","Dates=H","DateFormat=P","Fill=—","Direction=H","UseDPDF=Y")</f>
        <v>—</v>
      </c>
      <c r="E51" s="14" t="str">
        <f>_xll.BDH("RCOM IN Equity","SHORT_TERM_DEBT_5_YEAR_GROWTH","FY 2011","FY 2011","Currency=INR","Period=FY","BEST_FPERIOD_OVERRIDE=FY","FILING_STATUS=MR","EQY_CONSOLIDATED=Y","Sort=A","Dates=H","DateFormat=P","Fill=—","Direction=H","UseDPDF=Y")</f>
        <v>—</v>
      </c>
      <c r="F51" s="14" t="str">
        <f>_xll.BDH("RCOM IN Equity","SHORT_TERM_DEBT_5_YEAR_GROWTH","FY 2012","FY 2012","Currency=INR","Period=FY","BEST_FPERIOD_OVERRIDE=FY","FILING_STATUS=MR","EQY_CONSOLIDATED=Y","Sort=A","Dates=H","DateFormat=P","Fill=—","Direction=H","UseDPDF=Y")</f>
        <v>—</v>
      </c>
      <c r="G51" s="14">
        <f>_xll.BDH("RCOM IN Equity","SHORT_TERM_DEBT_5_YEAR_GROWTH","FY 2013","FY 2013","Currency=INR","Period=FY","BEST_FPERIOD_OVERRIDE=FY","FILING_STATUS=MR","EQY_CONSOLIDATED=Y","Sort=A","Dates=H","DateFormat=P","Fill=—","Direction=H","UseDPDF=Y")</f>
        <v>1.8991</v>
      </c>
      <c r="H51" s="14">
        <f>_xll.BDH("RCOM IN Equity","SHORT_TERM_DEBT_5_YEAR_GROWTH","FY 2014","FY 2014","Currency=INR","Period=FY","BEST_FPERIOD_OVERRIDE=FY","FILING_STATUS=MR","EQY_CONSOLIDATED=Y","Sort=A","Dates=H","DateFormat=P","Fill=—","Direction=H","UseDPDF=Y")</f>
        <v>3.4782999999999999</v>
      </c>
      <c r="I51" s="14">
        <f>_xll.BDH("RCOM IN Equity","SHORT_TERM_DEBT_5_YEAR_GROWTH","FY 2015","FY 2015","Currency=INR","Period=FY","BEST_FPERIOD_OVERRIDE=FY","FILING_STATUS=MR","EQY_CONSOLIDATED=Y","Sort=A","Dates=H","DateFormat=P","Fill=—","Direction=H","UseDPDF=Y")</f>
        <v>-1.9487999999999999</v>
      </c>
      <c r="J51" s="14">
        <f>_xll.BDH("RCOM IN Equity","SHORT_TERM_DEBT_5_YEAR_GROWTH","FY 2016","FY 2016","Currency=INR","Period=FY","BEST_FPERIOD_OVERRIDE=FY","FILING_STATUS=MR","EQY_CONSOLIDATED=Y","Sort=A","Dates=H","DateFormat=P","Fill=—","Direction=H","UseDPDF=Y")</f>
        <v>-5.9966999999999997</v>
      </c>
      <c r="K51" s="14">
        <f>_xll.BDH("RCOM IN Equity","SHORT_TERM_DEBT_5_YEAR_GROWTH","FY 2017","FY 2017","Currency=INR","Period=FY","BEST_FPERIOD_OVERRIDE=FY","FILING_STATUS=MR","EQY_CONSOLIDATED=Y","Sort=A","Dates=H","DateFormat=P","Fill=—","Direction=H","UseDPDF=Y")</f>
        <v>21.775600000000001</v>
      </c>
      <c r="L51" s="14">
        <f>_xll.BDH("RCOM IN Equity","SHORT_TERM_DEBT_5_YEAR_GROWTH","FY 2018","FY 2018","Currency=INR","Period=FY","BEST_FPERIOD_OVERRIDE=FY","FILING_STATUS=MR","EQY_CONSOLIDATED=Y","Sort=A","Dates=H","DateFormat=P","Fill=—","Direction=H","UseDPDF=Y")</f>
        <v>21.598800000000001</v>
      </c>
    </row>
    <row r="52" spans="1:12">
      <c r="A52" s="10" t="s">
        <v>1478</v>
      </c>
      <c r="B52" s="10" t="s">
        <v>1506</v>
      </c>
      <c r="C52" s="14" t="str">
        <f>_xll.BDH("RCOM IN Equity","TOTAL_DEBT_5_YEAR_GROWTH","FY 2009","FY 2009","Currency=INR","Period=FY","BEST_FPERIOD_OVERRIDE=FY","FILING_STATUS=MR","EQY_CONSOLIDATED=Y","Sort=A","Dates=H","DateFormat=P","Fill=—","Direction=H","UseDPDF=Y")</f>
        <v>—</v>
      </c>
      <c r="D52" s="14" t="str">
        <f>_xll.BDH("RCOM IN Equity","TOTAL_DEBT_5_YEAR_GROWTH","FY 2010","FY 2010","Currency=INR","Period=FY","BEST_FPERIOD_OVERRIDE=FY","FILING_STATUS=MR","EQY_CONSOLIDATED=Y","Sort=A","Dates=H","DateFormat=P","Fill=—","Direction=H","UseDPDF=Y")</f>
        <v>—</v>
      </c>
      <c r="E52" s="14" t="str">
        <f>_xll.BDH("RCOM IN Equity","TOTAL_DEBT_5_YEAR_GROWTH","FY 2011","FY 2011","Currency=INR","Period=FY","BEST_FPERIOD_OVERRIDE=FY","FILING_STATUS=MR","EQY_CONSOLIDATED=Y","Sort=A","Dates=H","DateFormat=P","Fill=—","Direction=H","UseDPDF=Y")</f>
        <v>—</v>
      </c>
      <c r="F52" s="14" t="str">
        <f>_xll.BDH("RCOM IN Equity","TOTAL_DEBT_5_YEAR_GROWTH","FY 2012","FY 2012","Currency=INR","Period=FY","BEST_FPERIOD_OVERRIDE=FY","FILING_STATUS=MR","EQY_CONSOLIDATED=Y","Sort=A","Dates=H","DateFormat=P","Fill=—","Direction=H","UseDPDF=Y")</f>
        <v>—</v>
      </c>
      <c r="G52" s="14">
        <f>_xll.BDH("RCOM IN Equity","TOTAL_DEBT_5_YEAR_GROWTH","FY 2013","FY 2013","Currency=INR","Period=FY","BEST_FPERIOD_OVERRIDE=FY","FILING_STATUS=MR","EQY_CONSOLIDATED=Y","Sort=A","Dates=H","DateFormat=P","Fill=—","Direction=H","UseDPDF=Y")</f>
        <v>9.9793000000000003</v>
      </c>
      <c r="H52" s="14">
        <f>_xll.BDH("RCOM IN Equity","TOTAL_DEBT_5_YEAR_GROWTH","FY 2014","FY 2014","Currency=INR","Period=FY","BEST_FPERIOD_OVERRIDE=FY","FILING_STATUS=MR","EQY_CONSOLIDATED=Y","Sort=A","Dates=H","DateFormat=P","Fill=—","Direction=H","UseDPDF=Y")</f>
        <v>1.538</v>
      </c>
      <c r="I52" s="14">
        <f>_xll.BDH("RCOM IN Equity","TOTAL_DEBT_5_YEAR_GROWTH","FY 2015","FY 2015","Currency=INR","Period=FY","BEST_FPERIOD_OVERRIDE=FY","FILING_STATUS=MR","EQY_CONSOLIDATED=Y","Sort=A","Dates=H","DateFormat=P","Fill=—","Direction=H","UseDPDF=Y")</f>
        <v>6.1054000000000004</v>
      </c>
      <c r="J52" s="14">
        <f>_xll.BDH("RCOM IN Equity","TOTAL_DEBT_5_YEAR_GROWTH","FY 2016","FY 2016","Currency=INR","Period=FY","BEST_FPERIOD_OVERRIDE=FY","FILING_STATUS=MR","EQY_CONSOLIDATED=Y","Sort=A","Dates=H","DateFormat=P","Fill=—","Direction=H","UseDPDF=Y")</f>
        <v>2.2256999999999998</v>
      </c>
      <c r="K52" s="14">
        <f>_xll.BDH("RCOM IN Equity","TOTAL_DEBT_5_YEAR_GROWTH","FY 2017","FY 2017","Currency=INR","Period=FY","BEST_FPERIOD_OVERRIDE=FY","FILING_STATUS=MR","EQY_CONSOLIDATED=Y","Sort=A","Dates=H","DateFormat=P","Fill=—","Direction=H","UseDPDF=Y")</f>
        <v>3.6095000000000002</v>
      </c>
      <c r="L52" s="14">
        <f>_xll.BDH("RCOM IN Equity","TOTAL_DEBT_5_YEAR_GROWTH","FY 2018","FY 2018","Currency=INR","Period=FY","BEST_FPERIOD_OVERRIDE=FY","FILING_STATUS=MR","EQY_CONSOLIDATED=Y","Sort=A","Dates=H","DateFormat=P","Fill=—","Direction=H","UseDPDF=Y")</f>
        <v>2.6202999999999999</v>
      </c>
    </row>
    <row r="53" spans="1:12">
      <c r="A53" s="10" t="s">
        <v>83</v>
      </c>
      <c r="B53" s="10" t="s">
        <v>1507</v>
      </c>
      <c r="C53" s="14" t="str">
        <f>_xll.BDH("RCOM IN Equity","GEO_GROW_TOT_SHRHLDR_EQY","FY 2009","FY 2009","Currency=INR","Period=FY","BEST_FPERIOD_OVERRIDE=FY","FILING_STATUS=MR","EQY_CONSOLIDATED=Y","Sort=A","Dates=H","DateFormat=P","Fill=—","Direction=H","UseDPDF=Y")</f>
        <v>—</v>
      </c>
      <c r="D53" s="14" t="str">
        <f>_xll.BDH("RCOM IN Equity","GEO_GROW_TOT_SHRHLDR_EQY","FY 2010","FY 2010","Currency=INR","Period=FY","BEST_FPERIOD_OVERRIDE=FY","FILING_STATUS=MR","EQY_CONSOLIDATED=Y","Sort=A","Dates=H","DateFormat=P","Fill=—","Direction=H","UseDPDF=Y")</f>
        <v>—</v>
      </c>
      <c r="E53" s="14" t="str">
        <f>_xll.BDH("RCOM IN Equity","GEO_GROW_TOT_SHRHLDR_EQY","FY 2011","FY 2011","Currency=INR","Period=FY","BEST_FPERIOD_OVERRIDE=FY","FILING_STATUS=MR","EQY_CONSOLIDATED=Y","Sort=A","Dates=H","DateFormat=P","Fill=—","Direction=H","UseDPDF=Y")</f>
        <v>—</v>
      </c>
      <c r="F53" s="14" t="str">
        <f>_xll.BDH("RCOM IN Equity","GEO_GROW_TOT_SHRHLDR_EQY","FY 2012","FY 2012","Currency=INR","Period=FY","BEST_FPERIOD_OVERRIDE=FY","FILING_STATUS=MR","EQY_CONSOLIDATED=Y","Sort=A","Dates=H","DateFormat=P","Fill=—","Direction=H","UseDPDF=Y")</f>
        <v>—</v>
      </c>
      <c r="G53" s="14">
        <f>_xll.BDH("RCOM IN Equity","GEO_GROW_TOT_SHRHLDR_EQY","FY 2013","FY 2013","Currency=INR","Period=FY","BEST_FPERIOD_OVERRIDE=FY","FILING_STATUS=MR","EQY_CONSOLIDATED=Y","Sort=A","Dates=H","DateFormat=P","Fill=—","Direction=H","UseDPDF=Y")</f>
        <v>1.9079999999999999</v>
      </c>
      <c r="H53" s="14">
        <f>_xll.BDH("RCOM IN Equity","GEO_GROW_TOT_SHRHLDR_EQY","FY 2014","FY 2014","Currency=INR","Period=FY","BEST_FPERIOD_OVERRIDE=FY","FILING_STATUS=MR","EQY_CONSOLIDATED=Y","Sort=A","Dates=H","DateFormat=P","Fill=—","Direction=H","UseDPDF=Y")</f>
        <v>-4.8197000000000001</v>
      </c>
      <c r="I53" s="14">
        <f>_xll.BDH("RCOM IN Equity","GEO_GROW_TOT_SHRHLDR_EQY","FY 2015","FY 2015","Currency=INR","Period=FY","BEST_FPERIOD_OVERRIDE=FY","FILING_STATUS=MR","EQY_CONSOLIDATED=Y","Sort=A","Dates=H","DateFormat=P","Fill=—","Direction=H","UseDPDF=Y")</f>
        <v>-2.67</v>
      </c>
      <c r="J53" s="14">
        <f>_xll.BDH("RCOM IN Equity","GEO_GROW_TOT_SHRHLDR_EQY","FY 2016","FY 2016","Currency=INR","Period=FY","BEST_FPERIOD_OVERRIDE=FY","FILING_STATUS=MR","EQY_CONSOLIDATED=Y","Sort=A","Dates=H","DateFormat=P","Fill=—","Direction=H","UseDPDF=Y")</f>
        <v>-5.0654000000000003</v>
      </c>
      <c r="K53" s="14">
        <f>_xll.BDH("RCOM IN Equity","GEO_GROW_TOT_SHRHLDR_EQY","FY 2017","FY 2017","Currency=INR","Period=FY","BEST_FPERIOD_OVERRIDE=FY","FILING_STATUS=MR","EQY_CONSOLIDATED=Y","Sort=A","Dates=H","DateFormat=P","Fill=—","Direction=H","UseDPDF=Y")</f>
        <v>-4.8560999999999996</v>
      </c>
      <c r="L53" s="14">
        <f>_xll.BDH("RCOM IN Equity","GEO_GROW_TOT_SHRHLDR_EQY","FY 2018","FY 2018","Currency=INR","Period=FY","BEST_FPERIOD_OVERRIDE=FY","FILING_STATUS=MR","EQY_CONSOLIDATED=Y","Sort=A","Dates=H","DateFormat=P","Fill=—","Direction=H","UseDPDF=Y")</f>
        <v>-38.207000000000001</v>
      </c>
    </row>
    <row r="54" spans="1:12">
      <c r="A54" s="10" t="s">
        <v>1508</v>
      </c>
      <c r="B54" s="10" t="s">
        <v>1509</v>
      </c>
      <c r="C54" s="14" t="str">
        <f>_xll.BDH("RCOM IN Equity","TOTAL_CAPITAL_5_YEAR_GROWTH","FY 2009","FY 2009","Currency=INR","Period=FY","BEST_FPERIOD_OVERRIDE=FY","FILING_STATUS=MR","EQY_CONSOLIDATED=Y","Sort=A","Dates=H","DateFormat=P","Fill=—","Direction=H","UseDPDF=Y")</f>
        <v>—</v>
      </c>
      <c r="D54" s="14" t="str">
        <f>_xll.BDH("RCOM IN Equity","TOTAL_CAPITAL_5_YEAR_GROWTH","FY 2010","FY 2010","Currency=INR","Period=FY","BEST_FPERIOD_OVERRIDE=FY","FILING_STATUS=MR","EQY_CONSOLIDATED=Y","Sort=A","Dates=H","DateFormat=P","Fill=—","Direction=H","UseDPDF=Y")</f>
        <v>—</v>
      </c>
      <c r="E54" s="14" t="str">
        <f>_xll.BDH("RCOM IN Equity","TOTAL_CAPITAL_5_YEAR_GROWTH","FY 2011","FY 2011","Currency=INR","Period=FY","BEST_FPERIOD_OVERRIDE=FY","FILING_STATUS=MR","EQY_CONSOLIDATED=Y","Sort=A","Dates=H","DateFormat=P","Fill=—","Direction=H","UseDPDF=Y")</f>
        <v>—</v>
      </c>
      <c r="F54" s="14" t="str">
        <f>_xll.BDH("RCOM IN Equity","TOTAL_CAPITAL_5_YEAR_GROWTH","FY 2012","FY 2012","Currency=INR","Period=FY","BEST_FPERIOD_OVERRIDE=FY","FILING_STATUS=MR","EQY_CONSOLIDATED=Y","Sort=A","Dates=H","DateFormat=P","Fill=—","Direction=H","UseDPDF=Y")</f>
        <v>—</v>
      </c>
      <c r="G54" s="14">
        <f>_xll.BDH("RCOM IN Equity","TOTAL_CAPITAL_5_YEAR_GROWTH","FY 2013","FY 2013","Currency=INR","Period=FY","BEST_FPERIOD_OVERRIDE=FY","FILING_STATUS=MR","EQY_CONSOLIDATED=Y","Sort=A","Dates=H","DateFormat=P","Fill=—","Direction=H","UseDPDF=Y")</f>
        <v>5.8529999999999998</v>
      </c>
      <c r="H54" s="14">
        <f>_xll.BDH("RCOM IN Equity","TOTAL_CAPITAL_5_YEAR_GROWTH","FY 2014","FY 2014","Currency=INR","Period=FY","BEST_FPERIOD_OVERRIDE=FY","FILING_STATUS=MR","EQY_CONSOLIDATED=Y","Sort=A","Dates=H","DateFormat=P","Fill=—","Direction=H","UseDPDF=Y")</f>
        <v>-1.5817000000000001</v>
      </c>
      <c r="I54" s="14">
        <f>_xll.BDH("RCOM IN Equity","TOTAL_CAPITAL_5_YEAR_GROWTH","FY 2015","FY 2015","Currency=INR","Period=FY","BEST_FPERIOD_OVERRIDE=FY","FILING_STATUS=MR","EQY_CONSOLIDATED=Y","Sort=A","Dates=H","DateFormat=P","Fill=—","Direction=H","UseDPDF=Y")</f>
        <v>1.2377</v>
      </c>
      <c r="J54" s="14">
        <f>_xll.BDH("RCOM IN Equity","TOTAL_CAPITAL_5_YEAR_GROWTH","FY 2016","FY 2016","Currency=INR","Period=FY","BEST_FPERIOD_OVERRIDE=FY","FILING_STATUS=MR","EQY_CONSOLIDATED=Y","Sort=A","Dates=H","DateFormat=P","Fill=—","Direction=H","UseDPDF=Y")</f>
        <v>-1.2530000000000001</v>
      </c>
      <c r="K54" s="14">
        <f>_xll.BDH("RCOM IN Equity","TOTAL_CAPITAL_5_YEAR_GROWTH","FY 2017","FY 2017","Currency=INR","Period=FY","BEST_FPERIOD_OVERRIDE=FY","FILING_STATUS=MR","EQY_CONSOLIDATED=Y","Sort=A","Dates=H","DateFormat=P","Fill=—","Direction=H","UseDPDF=Y")</f>
        <v>-0.2014</v>
      </c>
      <c r="L54" s="14">
        <f>_xll.BDH("RCOM IN Equity","TOTAL_CAPITAL_5_YEAR_GROWTH","FY 2018","FY 2018","Currency=INR","Period=FY","BEST_FPERIOD_OVERRIDE=FY","FILING_STATUS=MR","EQY_CONSOLIDATED=Y","Sort=A","Dates=H","DateFormat=P","Fill=—","Direction=H","UseDPDF=Y")</f>
        <v>-7.9168000000000003</v>
      </c>
    </row>
    <row r="55" spans="1:12">
      <c r="A55" s="10" t="s">
        <v>1483</v>
      </c>
      <c r="B55" s="10" t="s">
        <v>1510</v>
      </c>
      <c r="C55" s="14" t="str">
        <f>_xll.BDH("RCOM IN Equity","GEO_GROW_BOOK_VAL","FY 2009","FY 2009","Currency=INR","Period=FY","BEST_FPERIOD_OVERRIDE=FY","FILING_STATUS=MR","EQY_CONSOLIDATED=Y","Sort=A","Dates=H","DateFormat=P","Fill=—","Direction=H","UseDPDF=Y")</f>
        <v>—</v>
      </c>
      <c r="D55" s="14" t="str">
        <f>_xll.BDH("RCOM IN Equity","GEO_GROW_BOOK_VAL","FY 2010","FY 2010","Currency=INR","Period=FY","BEST_FPERIOD_OVERRIDE=FY","FILING_STATUS=MR","EQY_CONSOLIDATED=Y","Sort=A","Dates=H","DateFormat=P","Fill=—","Direction=H","UseDPDF=Y")</f>
        <v>—</v>
      </c>
      <c r="E55" s="14" t="str">
        <f>_xll.BDH("RCOM IN Equity","GEO_GROW_BOOK_VAL","FY 2011","FY 2011","Currency=INR","Period=FY","BEST_FPERIOD_OVERRIDE=FY","FILING_STATUS=MR","EQY_CONSOLIDATED=Y","Sort=A","Dates=H","DateFormat=P","Fill=—","Direction=H","UseDPDF=Y")</f>
        <v>—</v>
      </c>
      <c r="F55" s="14" t="str">
        <f>_xll.BDH("RCOM IN Equity","GEO_GROW_BOOK_VAL","FY 2012","FY 2012","Currency=INR","Period=FY","BEST_FPERIOD_OVERRIDE=FY","FILING_STATUS=MR","EQY_CONSOLIDATED=Y","Sort=A","Dates=H","DateFormat=P","Fill=—","Direction=H","UseDPDF=Y")</f>
        <v>—</v>
      </c>
      <c r="G55" s="14">
        <f>_xll.BDH("RCOM IN Equity","GEO_GROW_BOOK_VAL","FY 2013","FY 2013","Currency=INR","Period=FY","BEST_FPERIOD_OVERRIDE=FY","FILING_STATUS=MR","EQY_CONSOLIDATED=Y","Sort=A","Dates=H","DateFormat=P","Fill=—","Direction=H","UseDPDF=Y")</f>
        <v>3.1225000000000001</v>
      </c>
      <c r="H55" s="14">
        <f>_xll.BDH("RCOM IN Equity","GEO_GROW_BOOK_VAL","FY 2014","FY 2014","Currency=INR","Period=FY","BEST_FPERIOD_OVERRIDE=FY","FILING_STATUS=MR","EQY_CONSOLIDATED=Y","Sort=A","Dates=H","DateFormat=P","Fill=—","Direction=H","UseDPDF=Y")</f>
        <v>-4.9534000000000002</v>
      </c>
      <c r="I55" s="14">
        <f>_xll.BDH("RCOM IN Equity","GEO_GROW_BOOK_VAL","FY 2015","FY 2015","Currency=INR","Period=FY","BEST_FPERIOD_OVERRIDE=FY","FILING_STATUS=MR","EQY_CONSOLIDATED=Y","Sort=A","Dates=H","DateFormat=P","Fill=—","Direction=H","UseDPDF=Y")</f>
        <v>-6.2157</v>
      </c>
      <c r="J55" s="14">
        <f>_xll.BDH("RCOM IN Equity","GEO_GROW_BOOK_VAL","FY 2016","FY 2016","Currency=INR","Period=FY","BEST_FPERIOD_OVERRIDE=FY","FILING_STATUS=MR","EQY_CONSOLIDATED=Y","Sort=A","Dates=H","DateFormat=P","Fill=—","Direction=H","UseDPDF=Y")</f>
        <v>-8.3483000000000001</v>
      </c>
      <c r="K55" s="14">
        <f>_xll.BDH("RCOM IN Equity","GEO_GROW_BOOK_VAL","FY 2017","FY 2017","Currency=INR","Period=FY","BEST_FPERIOD_OVERRIDE=FY","FILING_STATUS=MR","EQY_CONSOLIDATED=Y","Sort=A","Dates=H","DateFormat=P","Fill=—","Direction=H","UseDPDF=Y")</f>
        <v>-8.1781000000000006</v>
      </c>
      <c r="L55" s="14">
        <f>_xll.BDH("RCOM IN Equity","GEO_GROW_BOOK_VAL","FY 2018","FY 2018","Currency=INR","Period=FY","BEST_FPERIOD_OVERRIDE=FY","FILING_STATUS=MR","EQY_CONSOLIDATED=Y","Sort=A","Dates=H","DateFormat=P","Fill=—","Direction=H","UseDPDF=Y")</f>
        <v>-42.776000000000003</v>
      </c>
    </row>
    <row r="56" spans="1:12">
      <c r="A56" s="10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</row>
    <row r="57" spans="1:12">
      <c r="A57" s="10" t="s">
        <v>87</v>
      </c>
      <c r="B57" s="10" t="s">
        <v>1511</v>
      </c>
      <c r="C57" s="14" t="str">
        <f>_xll.BDH("RCOM IN Equity","GEO_GROW_CASH_OPER_ACT","FY 2009","FY 2009","Currency=INR","Period=FY","BEST_FPERIOD_OVERRIDE=FY","FILING_STATUS=MR","EQY_CONSOLIDATED=Y","Sort=A","Dates=H","DateFormat=P","Fill=—","Direction=H","UseDPDF=Y")</f>
        <v>—</v>
      </c>
      <c r="D57" s="14" t="str">
        <f>_xll.BDH("RCOM IN Equity","GEO_GROW_CASH_OPER_ACT","FY 2010","FY 2010","Currency=INR","Period=FY","BEST_FPERIOD_OVERRIDE=FY","FILING_STATUS=MR","EQY_CONSOLIDATED=Y","Sort=A","Dates=H","DateFormat=P","Fill=—","Direction=H","UseDPDF=Y")</f>
        <v>—</v>
      </c>
      <c r="E57" s="14" t="str">
        <f>_xll.BDH("RCOM IN Equity","GEO_GROW_CASH_OPER_ACT","FY 2011","FY 2011","Currency=INR","Period=FY","BEST_FPERIOD_OVERRIDE=FY","FILING_STATUS=MR","EQY_CONSOLIDATED=Y","Sort=A","Dates=H","DateFormat=P","Fill=—","Direction=H","UseDPDF=Y")</f>
        <v>—</v>
      </c>
      <c r="F57" s="14" t="str">
        <f>_xll.BDH("RCOM IN Equity","GEO_GROW_CASH_OPER_ACT","FY 2012","FY 2012","Currency=INR","Period=FY","BEST_FPERIOD_OVERRIDE=FY","FILING_STATUS=MR","EQY_CONSOLIDATED=Y","Sort=A","Dates=H","DateFormat=P","Fill=—","Direction=H","UseDPDF=Y")</f>
        <v>—</v>
      </c>
      <c r="G57" s="14">
        <f>_xll.BDH("RCOM IN Equity","GEO_GROW_CASH_OPER_ACT","FY 2013","FY 2013","Currency=INR","Period=FY","BEST_FPERIOD_OVERRIDE=FY","FILING_STATUS=MR","EQY_CONSOLIDATED=Y","Sort=A","Dates=H","DateFormat=P","Fill=—","Direction=H","UseDPDF=Y")</f>
        <v>-20.073499999999999</v>
      </c>
      <c r="H57" s="14">
        <f>_xll.BDH("RCOM IN Equity","GEO_GROW_CASH_OPER_ACT","FY 2014","FY 2014","Currency=INR","Period=FY","BEST_FPERIOD_OVERRIDE=FY","FILING_STATUS=MR","EQY_CONSOLIDATED=Y","Sort=A","Dates=H","DateFormat=P","Fill=—","Direction=H","UseDPDF=Y")</f>
        <v>-5.4813999999999998</v>
      </c>
      <c r="I57" s="14">
        <f>_xll.BDH("RCOM IN Equity","GEO_GROW_CASH_OPER_ACT","FY 2015","FY 2015","Currency=INR","Period=FY","BEST_FPERIOD_OVERRIDE=FY","FILING_STATUS=MR","EQY_CONSOLIDATED=Y","Sort=A","Dates=H","DateFormat=P","Fill=—","Direction=H","UseDPDF=Y")</f>
        <v>-43.137900000000002</v>
      </c>
      <c r="J57" s="14">
        <f>_xll.BDH("RCOM IN Equity","GEO_GROW_CASH_OPER_ACT","FY 2016","FY 2016","Currency=INR","Period=FY","BEST_FPERIOD_OVERRIDE=FY","FILING_STATUS=MR","EQY_CONSOLIDATED=Y","Sort=A","Dates=H","DateFormat=P","Fill=—","Direction=H","UseDPDF=Y")</f>
        <v>67.705399999999997</v>
      </c>
      <c r="K57" s="14" t="str">
        <f>_xll.BDH("RCOM IN Equity","GEO_GROW_CASH_OPER_ACT","FY 2017","FY 2017","Currency=INR","Period=FY","BEST_FPERIOD_OVERRIDE=FY","FILING_STATUS=MR","EQY_CONSOLIDATED=Y","Sort=A","Dates=H","DateFormat=P","Fill=—","Direction=H","UseDPDF=Y")</f>
        <v>—</v>
      </c>
      <c r="L57" s="14" t="str">
        <f>_xll.BDH("RCOM IN Equity","GEO_GROW_CASH_OPER_ACT","FY 2018","FY 2018","Currency=INR","Period=FY","BEST_FPERIOD_OVERRIDE=FY","FILING_STATUS=MR","EQY_CONSOLIDATED=Y","Sort=A","Dates=H","DateFormat=P","Fill=—","Direction=H","UseDPDF=Y")</f>
        <v>—</v>
      </c>
    </row>
    <row r="58" spans="1:12">
      <c r="A58" s="10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</row>
    <row r="59" spans="1:12">
      <c r="A59" s="6" t="s">
        <v>1512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</row>
    <row r="60" spans="1:12">
      <c r="A60" s="10" t="s">
        <v>0</v>
      </c>
      <c r="B60" s="10" t="s">
        <v>1513</v>
      </c>
      <c r="C60" s="14">
        <f>_xll.BDH("RCOM IN Equity","REVENUE_SEQUENTIAL_GROWTH","FY 2009","FY 2009","Currency=INR","Period=FY","BEST_FPERIOD_OVERRIDE=FY","FILING_STATUS=MR","EQY_CONSOLIDATED=Y","FA_ADJUSTED=GAAP","Sort=A","Dates=H","DateFormat=P","Fill=—","Direction=H","UseDPDF=Y")</f>
        <v>20.960599999999999</v>
      </c>
      <c r="D60" s="14">
        <f>_xll.BDH("RCOM IN Equity","REVENUE_SEQUENTIAL_GROWTH","FY 2010","FY 2010","Currency=INR","Period=FY","BEST_FPERIOD_OVERRIDE=FY","FILING_STATUS=MR","EQY_CONSOLIDATED=Y","FA_ADJUSTED=GAAP","Sort=A","Dates=H","DateFormat=P","Fill=—","Direction=H","UseDPDF=Y")</f>
        <v>-0.27889999999999998</v>
      </c>
      <c r="E60" s="14">
        <f>_xll.BDH("RCOM IN Equity","REVENUE_SEQUENTIAL_GROWTH","FY 2011","FY 2011","Currency=INR","Period=FY","BEST_FPERIOD_OVERRIDE=FY","FILING_STATUS=MR","EQY_CONSOLIDATED=Y","FA_ADJUSTED=GAAP","Sort=A","Dates=H","DateFormat=P","Fill=—","Direction=H","UseDPDF=Y")</f>
        <v>6.7873000000000001</v>
      </c>
      <c r="F60" s="14">
        <f>_xll.BDH("RCOM IN Equity","REVENUE_SEQUENTIAL_GROWTH","FY 2012","FY 2012","Currency=INR","Period=FY","BEST_FPERIOD_OVERRIDE=FY","FILING_STATUS=MR","EQY_CONSOLIDATED=Y","FA_ADJUSTED=GAAP","Sort=A","Dates=H","DateFormat=P","Fill=—","Direction=H","UseDPDF=Y")</f>
        <v>-15.27</v>
      </c>
      <c r="G60" s="14">
        <f>_xll.BDH("RCOM IN Equity","REVENUE_SEQUENTIAL_GROWTH","FY 2013","FY 2013","Currency=INR","Period=FY","BEST_FPERIOD_OVERRIDE=FY","FILING_STATUS=MR","EQY_CONSOLIDATED=Y","FA_ADJUSTED=GAAP","Sort=A","Dates=H","DateFormat=P","Fill=—","Direction=H","UseDPDF=Y")</f>
        <v>3.0882999999999998</v>
      </c>
      <c r="H60" s="14">
        <f>_xll.BDH("RCOM IN Equity","REVENUE_SEQUENTIAL_GROWTH","FY 2014","FY 2014","Currency=INR","Period=FY","BEST_FPERIOD_OVERRIDE=FY","FILING_STATUS=MR","EQY_CONSOLIDATED=Y","FA_ADJUSTED=GAAP","Sort=A","Dates=H","DateFormat=P","Fill=—","Direction=H","UseDPDF=Y")</f>
        <v>8.5311000000000003</v>
      </c>
      <c r="I60" s="14">
        <f>_xll.BDH("RCOM IN Equity","REVENUE_SEQUENTIAL_GROWTH","FY 2015","FY 2015","Currency=INR","Period=FY","BEST_FPERIOD_OVERRIDE=FY","FILING_STATUS=MR","EQY_CONSOLIDATED=Y","FA_ADJUSTED=GAAP","Sort=A","Dates=H","DateFormat=P","Fill=—","Direction=H","UseDPDF=Y")</f>
        <v>2.3066</v>
      </c>
      <c r="J60" s="14">
        <f>_xll.BDH("RCOM IN Equity","REVENUE_SEQUENTIAL_GROWTH","FY 2016","FY 2016","Currency=INR","Period=FY","BEST_FPERIOD_OVERRIDE=FY","FILING_STATUS=MR","EQY_CONSOLIDATED=Y","FA_ADJUSTED=GAAP","Sort=A","Dates=H","DateFormat=P","Fill=—","Direction=H","UseDPDF=Y")</f>
        <v>1.4937</v>
      </c>
      <c r="K60" s="14">
        <f>_xll.BDH("RCOM IN Equity","REVENUE_SEQUENTIAL_GROWTH","FY 2017","FY 2017","Currency=INR","Period=FY","BEST_FPERIOD_OVERRIDE=FY","FILING_STATUS=MR","EQY_CONSOLIDATED=Y","FA_ADJUSTED=GAAP","Sort=A","Dates=H","DateFormat=P","Fill=—","Direction=H","UseDPDF=Y")</f>
        <v>-69.856999999999999</v>
      </c>
      <c r="L60" s="14">
        <f>_xll.BDH("RCOM IN Equity","REVENUE_SEQUENTIAL_GROWTH","FY 2018","FY 2018","Currency=INR","Period=FY","BEST_FPERIOD_OVERRIDE=FY","FILING_STATUS=MR","EQY_CONSOLIDATED=Y","FA_ADJUSTED=GAAP","Sort=A","Dates=H","DateFormat=P","Fill=—","Direction=H","UseDPDF=Y")</f>
        <v>-29.9207</v>
      </c>
    </row>
    <row r="61" spans="1:12">
      <c r="A61" s="10" t="s">
        <v>46</v>
      </c>
      <c r="B61" s="10" t="s">
        <v>1514</v>
      </c>
      <c r="C61" s="14">
        <f>_xll.BDH("RCOM IN Equity","EBITDA_SEQUENTIAL_GROWTH","FY 2009","FY 2009","Currency=INR","Period=FY","BEST_FPERIOD_OVERRIDE=FY","FILING_STATUS=MR","EQY_CONSOLIDATED=Y","FA_ADJUSTED=GAAP","Sort=A","Dates=H","DateFormat=P","Fill=—","Direction=H","UseDPDF=Y")</f>
        <v>27.752299999999998</v>
      </c>
      <c r="D61" s="14">
        <f>_xll.BDH("RCOM IN Equity","EBITDA_SEQUENTIAL_GROWTH","FY 2010","FY 2010","Currency=INR","Period=FY","BEST_FPERIOD_OVERRIDE=FY","FILING_STATUS=MR","EQY_CONSOLIDATED=Y","FA_ADJUSTED=GAAP","Sort=A","Dates=H","DateFormat=P","Fill=—","Direction=H","UseDPDF=Y")</f>
        <v>-19.948499999999999</v>
      </c>
      <c r="E61" s="14">
        <f>_xll.BDH("RCOM IN Equity","EBITDA_SEQUENTIAL_GROWTH","FY 2011","FY 2011","Currency=INR","Period=FY","BEST_FPERIOD_OVERRIDE=FY","FILING_STATUS=MR","EQY_CONSOLIDATED=Y","FA_ADJUSTED=GAAP","Sort=A","Dates=H","DateFormat=P","Fill=—","Direction=H","UseDPDF=Y")</f>
        <v>19.844799999999999</v>
      </c>
      <c r="F61" s="14">
        <f>_xll.BDH("RCOM IN Equity","EBITDA_SEQUENTIAL_GROWTH","FY 2012","FY 2012","Currency=INR","Period=FY","BEST_FPERIOD_OVERRIDE=FY","FILING_STATUS=MR","EQY_CONSOLIDATED=Y","FA_ADJUSTED=GAAP","Sort=A","Dates=H","DateFormat=P","Fill=—","Direction=H","UseDPDF=Y")</f>
        <v>-30.8142</v>
      </c>
      <c r="G61" s="14">
        <f>_xll.BDH("RCOM IN Equity","EBITDA_SEQUENTIAL_GROWTH","FY 2013","FY 2013","Currency=INR","Period=FY","BEST_FPERIOD_OVERRIDE=FY","FILING_STATUS=MR","EQY_CONSOLIDATED=Y","FA_ADJUSTED=GAAP","Sort=A","Dates=H","DateFormat=P","Fill=—","Direction=H","UseDPDF=Y")</f>
        <v>2.5194000000000001</v>
      </c>
      <c r="H61" s="14">
        <f>_xll.BDH("RCOM IN Equity","EBITDA_SEQUENTIAL_GROWTH","FY 2014","FY 2014","Currency=INR","Period=FY","BEST_FPERIOD_OVERRIDE=FY","FILING_STATUS=MR","EQY_CONSOLIDATED=Y","FA_ADJUSTED=GAAP","Sort=A","Dates=H","DateFormat=P","Fill=—","Direction=H","UseDPDF=Y")</f>
        <v>12.8766</v>
      </c>
      <c r="I61" s="14">
        <f>_xll.BDH("RCOM IN Equity","EBITDA_SEQUENTIAL_GROWTH","FY 2015","FY 2015","Currency=INR","Period=FY","BEST_FPERIOD_OVERRIDE=FY","FILING_STATUS=MR","EQY_CONSOLIDATED=Y","FA_ADJUSTED=GAAP","Sort=A","Dates=H","DateFormat=P","Fill=—","Direction=H","UseDPDF=Y")</f>
        <v>7.4560000000000004</v>
      </c>
      <c r="J61" s="14">
        <f>_xll.BDH("RCOM IN Equity","EBITDA_SEQUENTIAL_GROWTH","FY 2016","FY 2016","Currency=INR","Period=FY","BEST_FPERIOD_OVERRIDE=FY","FILING_STATUS=MR","EQY_CONSOLIDATED=Y","FA_ADJUSTED=GAAP","Sort=A","Dates=H","DateFormat=P","Fill=—","Direction=H","UseDPDF=Y")</f>
        <v>0.74939999999999996</v>
      </c>
      <c r="K61" s="14">
        <f>_xll.BDH("RCOM IN Equity","EBITDA_SEQUENTIAL_GROWTH","FY 2017","FY 2017","Currency=INR","Period=FY","BEST_FPERIOD_OVERRIDE=FY","FILING_STATUS=MR","EQY_CONSOLIDATED=Y","FA_ADJUSTED=GAAP","Sort=A","Dates=H","DateFormat=P","Fill=—","Direction=H","UseDPDF=Y")</f>
        <v>-35.798900000000003</v>
      </c>
      <c r="L61" s="14">
        <f>_xll.BDH("RCOM IN Equity","EBITDA_SEQUENTIAL_GROWTH","FY 2018","FY 2018","Currency=INR","Period=FY","BEST_FPERIOD_OVERRIDE=FY","FILING_STATUS=MR","EQY_CONSOLIDATED=Y","FA_ADJUSTED=GAAP","Sort=A","Dates=H","DateFormat=P","Fill=—","Direction=H","UseDPDF=Y")</f>
        <v>-33.2761</v>
      </c>
    </row>
    <row r="62" spans="1:12">
      <c r="A62" s="10" t="s">
        <v>63</v>
      </c>
      <c r="B62" s="10" t="s">
        <v>1515</v>
      </c>
      <c r="C62" s="14">
        <f>_xll.BDH("RCOM IN Equity","OPERATING_INCOME_SEQ_GROWTH","FY 2009","FY 2009","Currency=INR","Period=FY","BEST_FPERIOD_OVERRIDE=FY","FILING_STATUS=MR","EQY_CONSOLIDATED=Y","FA_ADJUSTED=GAAP","Sort=A","Dates=H","DateFormat=P","Fill=—","Direction=H","UseDPDF=Y")</f>
        <v>27.1586</v>
      </c>
      <c r="D62" s="14">
        <f>_xll.BDH("RCOM IN Equity","OPERATING_INCOME_SEQ_GROWTH","FY 2010","FY 2010","Currency=INR","Period=FY","BEST_FPERIOD_OVERRIDE=FY","FILING_STATUS=MR","EQY_CONSOLIDATED=Y","FA_ADJUSTED=GAAP","Sort=A","Dates=H","DateFormat=P","Fill=—","Direction=H","UseDPDF=Y")</f>
        <v>-36.706200000000003</v>
      </c>
      <c r="E62" s="14">
        <f>_xll.BDH("RCOM IN Equity","OPERATING_INCOME_SEQ_GROWTH","FY 2011","FY 2011","Currency=INR","Period=FY","BEST_FPERIOD_OVERRIDE=FY","FILING_STATUS=MR","EQY_CONSOLIDATED=Y","FA_ADJUSTED=GAAP","Sort=A","Dates=H","DateFormat=P","Fill=—","Direction=H","UseDPDF=Y")</f>
        <v>-42.267299999999999</v>
      </c>
      <c r="F62" s="14">
        <f>_xll.BDH("RCOM IN Equity","OPERATING_INCOME_SEQ_GROWTH","FY 2012","FY 2012","Currency=INR","Period=FY","BEST_FPERIOD_OVERRIDE=FY","FILING_STATUS=MR","EQY_CONSOLIDATED=Y","FA_ADJUSTED=GAAP","Sort=A","Dates=H","DateFormat=P","Fill=—","Direction=H","UseDPDF=Y")</f>
        <v>-2.9379999999999997</v>
      </c>
      <c r="G62" s="14">
        <f>_xll.BDH("RCOM IN Equity","OPERATING_INCOME_SEQ_GROWTH","FY 2013","FY 2013","Currency=INR","Period=FY","BEST_FPERIOD_OVERRIDE=FY","FILING_STATUS=MR","EQY_CONSOLIDATED=Y","FA_ADJUSTED=GAAP","Sort=A","Dates=H","DateFormat=P","Fill=—","Direction=H","UseDPDF=Y")</f>
        <v>15.355</v>
      </c>
      <c r="H62" s="14">
        <f>_xll.BDH("RCOM IN Equity","OPERATING_INCOME_SEQ_GROWTH","FY 2014","FY 2014","Currency=INR","Period=FY","BEST_FPERIOD_OVERRIDE=FY","FILING_STATUS=MR","EQY_CONSOLIDATED=Y","FA_ADJUSTED=GAAP","Sort=A","Dates=H","DateFormat=P","Fill=—","Direction=H","UseDPDF=Y")</f>
        <v>3.5781999999999998</v>
      </c>
      <c r="I62" s="14">
        <f>_xll.BDH("RCOM IN Equity","OPERATING_INCOME_SEQ_GROWTH","FY 2015","FY 2015","Currency=INR","Period=FY","BEST_FPERIOD_OVERRIDE=FY","FILING_STATUS=MR","EQY_CONSOLIDATED=Y","FA_ADJUSTED=GAAP","Sort=A","Dates=H","DateFormat=P","Fill=—","Direction=H","UseDPDF=Y")</f>
        <v>56.103200000000001</v>
      </c>
      <c r="J62" s="14">
        <f>_xll.BDH("RCOM IN Equity","OPERATING_INCOME_SEQ_GROWTH","FY 2016","FY 2016","Currency=INR","Period=FY","BEST_FPERIOD_OVERRIDE=FY","FILING_STATUS=MR","EQY_CONSOLIDATED=Y","FA_ADJUSTED=GAAP","Sort=A","Dates=H","DateFormat=P","Fill=—","Direction=H","UseDPDF=Y")</f>
        <v>-18.087900000000001</v>
      </c>
      <c r="K62" s="14">
        <f>_xll.BDH("RCOM IN Equity","OPERATING_INCOME_SEQ_GROWTH","FY 2017","FY 2017","Currency=INR","Period=FY","BEST_FPERIOD_OVERRIDE=FY","FILING_STATUS=MR","EQY_CONSOLIDATED=Y","FA_ADJUSTED=GAAP","Sort=A","Dates=H","DateFormat=P","Fill=—","Direction=H","UseDPDF=Y")</f>
        <v>-84.149900000000002</v>
      </c>
      <c r="L62" s="14">
        <f>_xll.BDH("RCOM IN Equity","OPERATING_INCOME_SEQ_GROWTH","FY 2018","FY 2018","Currency=INR","Period=FY","BEST_FPERIOD_OVERRIDE=FY","FILING_STATUS=MR","EQY_CONSOLIDATED=Y","FA_ADJUSTED=GAAP","Sort=A","Dates=H","DateFormat=P","Fill=—","Direction=H","UseDPDF=Y")</f>
        <v>-44.7727</v>
      </c>
    </row>
    <row r="63" spans="1:12">
      <c r="A63" s="10" t="s">
        <v>65</v>
      </c>
      <c r="B63" s="10" t="s">
        <v>1516</v>
      </c>
      <c r="C63" s="14">
        <f>_xll.BDH("RCOM IN Equity","NET_INCOME_TO_COMMON_SEQ_GROWTH","FY 2009","FY 2009","Currency=INR","Period=FY","BEST_FPERIOD_OVERRIDE=FY","FILING_STATUS=MR","EQY_CONSOLIDATED=Y","FA_ADJUSTED=GAAP","Sort=A","Dates=H","DateFormat=P","Fill=—","Direction=H","UseDPDF=Y")</f>
        <v>11.919499999999999</v>
      </c>
      <c r="D63" s="14">
        <f>_xll.BDH("RCOM IN Equity","NET_INCOME_TO_COMMON_SEQ_GROWTH","FY 2010","FY 2010","Currency=INR","Period=FY","BEST_FPERIOD_OVERRIDE=FY","FILING_STATUS=MR","EQY_CONSOLIDATED=Y","FA_ADJUSTED=GAAP","Sort=A","Dates=H","DateFormat=P","Fill=—","Direction=H","UseDPDF=Y")</f>
        <v>-22.993300000000001</v>
      </c>
      <c r="E63" s="14">
        <f>_xll.BDH("RCOM IN Equity","NET_INCOME_TO_COMMON_SEQ_GROWTH","FY 2011","FY 2011","Currency=INR","Period=FY","BEST_FPERIOD_OVERRIDE=FY","FILING_STATUS=MR","EQY_CONSOLIDATED=Y","FA_ADJUSTED=GAAP","Sort=A","Dates=H","DateFormat=P","Fill=—","Direction=H","UseDPDF=Y")</f>
        <v>-71.106300000000005</v>
      </c>
      <c r="F63" s="14">
        <f>_xll.BDH("RCOM IN Equity","NET_INCOME_TO_COMMON_SEQ_GROWTH","FY 2012","FY 2012","Currency=INR","Period=FY","BEST_FPERIOD_OVERRIDE=FY","FILING_STATUS=MR","EQY_CONSOLIDATED=Y","FA_ADJUSTED=GAAP","Sort=A","Dates=H","DateFormat=P","Fill=—","Direction=H","UseDPDF=Y")</f>
        <v>-31.003699999999998</v>
      </c>
      <c r="G63" s="14">
        <f>_xll.BDH("RCOM IN Equity","NET_INCOME_TO_COMMON_SEQ_GROWTH","FY 2013","FY 2013","Currency=INR","Period=FY","BEST_FPERIOD_OVERRIDE=FY","FILING_STATUS=MR","EQY_CONSOLIDATED=Y","FA_ADJUSTED=GAAP","Sort=A","Dates=H","DateFormat=P","Fill=—","Direction=H","UseDPDF=Y")</f>
        <v>-27.586200000000002</v>
      </c>
      <c r="H63" s="14">
        <f>_xll.BDH("RCOM IN Equity","NET_INCOME_TO_COMMON_SEQ_GROWTH","FY 2014","FY 2014","Currency=INR","Period=FY","BEST_FPERIOD_OVERRIDE=FY","FILING_STATUS=MR","EQY_CONSOLIDATED=Y","FA_ADJUSTED=GAAP","Sort=A","Dates=H","DateFormat=P","Fill=—","Direction=H","UseDPDF=Y")</f>
        <v>55.803600000000003</v>
      </c>
      <c r="I63" s="14">
        <f>_xll.BDH("RCOM IN Equity","NET_INCOME_TO_COMMON_SEQ_GROWTH","FY 2015","FY 2015","Currency=INR","Period=FY","BEST_FPERIOD_OVERRIDE=FY","FILING_STATUS=MR","EQY_CONSOLIDATED=Y","FA_ADJUSTED=GAAP","Sort=A","Dates=H","DateFormat=P","Fill=—","Direction=H","UseDPDF=Y")</f>
        <v>-31.805199999999999</v>
      </c>
      <c r="J63" s="14">
        <f>_xll.BDH("RCOM IN Equity","NET_INCOME_TO_COMMON_SEQ_GROWTH","FY 2016","FY 2016","Currency=INR","Period=FY","BEST_FPERIOD_OVERRIDE=FY","FILING_STATUS=MR","EQY_CONSOLIDATED=Y","FA_ADJUSTED=GAAP","Sort=A","Dates=H","DateFormat=P","Fill=—","Direction=H","UseDPDF=Y")</f>
        <v>-10.504200000000001</v>
      </c>
      <c r="K63" s="14">
        <f>_xll.BDH("RCOM IN Equity","NET_INCOME_TO_COMMON_SEQ_GROWTH","FY 2017","FY 2017","Currency=INR","Period=FY","BEST_FPERIOD_OVERRIDE=FY","FILING_STATUS=MR","EQY_CONSOLIDATED=Y","FA_ADJUSTED=GAAP","Sort=A","Dates=H","DateFormat=P","Fill=—","Direction=H","UseDPDF=Y")</f>
        <v>-319.56180000000001</v>
      </c>
      <c r="L63" s="14" t="str">
        <f>_xll.BDH("RCOM IN Equity","NET_INCOME_TO_COMMON_SEQ_GROWTH","FY 2018","FY 2018","Currency=INR","Period=FY","BEST_FPERIOD_OVERRIDE=FY","FILING_STATUS=MR","EQY_CONSOLIDATED=Y","FA_ADJUSTED=GAAP","Sort=A","Dates=H","DateFormat=P","Fill=—","Direction=H","UseDPDF=Y")</f>
        <v>—</v>
      </c>
    </row>
    <row r="64" spans="1:12">
      <c r="A64" s="10" t="s">
        <v>1453</v>
      </c>
      <c r="B64" s="10" t="s">
        <v>1517</v>
      </c>
      <c r="C64" s="14">
        <f>_xll.BDH("RCOM IN Equity","EPS_DILUTED_SEQUENTIAL_GROWTH","FY 2009","FY 2009","Currency=INR","Period=FY","BEST_FPERIOD_OVERRIDE=FY","FILING_STATUS=MR","EQY_CONSOLIDATED=Y","FA_ADJUSTED=GAAP","Sort=A","Dates=H","DateFormat=P","Fill=—","Direction=H","UseDPDF=Y")</f>
        <v>20.7959</v>
      </c>
      <c r="D64" s="14">
        <f>_xll.BDH("RCOM IN Equity","EPS_DILUTED_SEQUENTIAL_GROWTH","FY 2010","FY 2010","Currency=INR","Period=FY","BEST_FPERIOD_OVERRIDE=FY","FILING_STATUS=MR","EQY_CONSOLIDATED=Y","FA_ADJUSTED=GAAP","Sort=A","Dates=H","DateFormat=P","Fill=—","Direction=H","UseDPDF=Y")</f>
        <v>-22.922499999999999</v>
      </c>
      <c r="E64" s="14">
        <f>_xll.BDH("RCOM IN Equity","EPS_DILUTED_SEQUENTIAL_GROWTH","FY 2011","FY 2011","Currency=INR","Period=FY","BEST_FPERIOD_OVERRIDE=FY","FILING_STATUS=MR","EQY_CONSOLIDATED=Y","FA_ADJUSTED=GAAP","Sort=A","Dates=H","DateFormat=P","Fill=—","Direction=H","UseDPDF=Y")</f>
        <v>-71.106300000000005</v>
      </c>
      <c r="F64" s="14">
        <f>_xll.BDH("RCOM IN Equity","EPS_DILUTED_SEQUENTIAL_GROWTH","FY 2012","FY 2012","Currency=INR","Period=FY","BEST_FPERIOD_OVERRIDE=FY","FILING_STATUS=MR","EQY_CONSOLIDATED=Y","FA_ADJUSTED=GAAP","Sort=A","Dates=H","DateFormat=P","Fill=—","Direction=H","UseDPDF=Y")</f>
        <v>-29.401800000000001</v>
      </c>
      <c r="G64" s="14">
        <f>_xll.BDH("RCOM IN Equity","EPS_DILUTED_SEQUENTIAL_GROWTH","FY 2013","FY 2013","Currency=INR","Period=FY","BEST_FPERIOD_OVERRIDE=FY","FILING_STATUS=MR","EQY_CONSOLIDATED=Y","FA_ADJUSTED=GAAP","Sort=A","Dates=H","DateFormat=P","Fill=—","Direction=H","UseDPDF=Y")</f>
        <v>-26.077100000000002</v>
      </c>
      <c r="H64" s="14">
        <f>_xll.BDH("RCOM IN Equity","EPS_DILUTED_SEQUENTIAL_GROWTH","FY 2014","FY 2014","Currency=INR","Period=FY","BEST_FPERIOD_OVERRIDE=FY","FILING_STATUS=MR","EQY_CONSOLIDATED=Y","FA_ADJUSTED=GAAP","Sort=A","Dates=H","DateFormat=P","Fill=—","Direction=H","UseDPDF=Y")</f>
        <v>55.521500000000003</v>
      </c>
      <c r="I64" s="14">
        <f>_xll.BDH("RCOM IN Equity","EPS_DILUTED_SEQUENTIAL_GROWTH","FY 2015","FY 2015","Currency=INR","Period=FY","BEST_FPERIOD_OVERRIDE=FY","FILING_STATUS=MR","EQY_CONSOLIDATED=Y","FA_ADJUSTED=GAAP","Sort=A","Dates=H","DateFormat=P","Fill=—","Direction=H","UseDPDF=Y")</f>
        <v>-39.842199999999998</v>
      </c>
      <c r="J64" s="14">
        <f>_xll.BDH("RCOM IN Equity","EPS_DILUTED_SEQUENTIAL_GROWTH","FY 2016","FY 2016","Currency=INR","Period=FY","BEST_FPERIOD_OVERRIDE=FY","FILING_STATUS=MR","EQY_CONSOLIDATED=Y","FA_ADJUSTED=GAAP","Sort=A","Dates=H","DateFormat=P","Fill=—","Direction=H","UseDPDF=Y")</f>
        <v>-15.082000000000001</v>
      </c>
      <c r="K64" s="14">
        <f>_xll.BDH("RCOM IN Equity","EPS_DILUTED_SEQUENTIAL_GROWTH","FY 2017","FY 2017","Currency=INR","Period=FY","BEST_FPERIOD_OVERRIDE=FY","FILING_STATUS=MR","EQY_CONSOLIDATED=Y","FA_ADJUSTED=GAAP","Sort=A","Dates=H","DateFormat=P","Fill=—","Direction=H","UseDPDF=Y")</f>
        <v>-319.51560000000001</v>
      </c>
      <c r="L64" s="14" t="str">
        <f>_xll.BDH("RCOM IN Equity","EPS_DILUTED_SEQUENTIAL_GROWTH","FY 2018","FY 2018","Currency=INR","Period=FY","BEST_FPERIOD_OVERRIDE=FY","FILING_STATUS=MR","EQY_CONSOLIDATED=Y","FA_ADJUSTED=GAAP","Sort=A","Dates=H","DateFormat=P","Fill=—","Direction=H","UseDPDF=Y")</f>
        <v>—</v>
      </c>
    </row>
    <row r="65" spans="1:12">
      <c r="A65" s="10" t="s">
        <v>1455</v>
      </c>
      <c r="B65" s="10" t="s">
        <v>1518</v>
      </c>
      <c r="C65" s="14">
        <f>_xll.BDH("RCOM IN Equity","EPS_DIL_BEF_EXTRAORD_SEQ_GRWTH","FY 2009","FY 2009","Currency=INR","Period=FY","BEST_FPERIOD_OVERRIDE=FY","FILING_STATUS=MR","EQY_CONSOLIDATED=Y","Sort=A","Dates=H","DateFormat=P","Fill=—","Direction=H","UseDPDF=Y")</f>
        <v>20.7959</v>
      </c>
      <c r="D65" s="14">
        <f>_xll.BDH("RCOM IN Equity","EPS_DIL_BEF_EXTRAORD_SEQ_GRWTH","FY 2010","FY 2010","Currency=INR","Period=FY","BEST_FPERIOD_OVERRIDE=FY","FILING_STATUS=MR","EQY_CONSOLIDATED=Y","Sort=A","Dates=H","DateFormat=P","Fill=—","Direction=H","UseDPDF=Y")</f>
        <v>-22.922499999999999</v>
      </c>
      <c r="E65" s="14">
        <f>_xll.BDH("RCOM IN Equity","EPS_DIL_BEF_EXTRAORD_SEQ_GRWTH","FY 2011","FY 2011","Currency=INR","Period=FY","BEST_FPERIOD_OVERRIDE=FY","FILING_STATUS=MR","EQY_CONSOLIDATED=Y","Sort=A","Dates=H","DateFormat=P","Fill=—","Direction=H","UseDPDF=Y")</f>
        <v>-71.106300000000005</v>
      </c>
      <c r="F65" s="14">
        <f>_xll.BDH("RCOM IN Equity","EPS_DIL_BEF_EXTRAORD_SEQ_GRWTH","FY 2012","FY 2012","Currency=INR","Period=FY","BEST_FPERIOD_OVERRIDE=FY","FILING_STATUS=MR","EQY_CONSOLIDATED=Y","Sort=A","Dates=H","DateFormat=P","Fill=—","Direction=H","UseDPDF=Y")</f>
        <v>-29.401800000000001</v>
      </c>
      <c r="G65" s="14">
        <f>_xll.BDH("RCOM IN Equity","EPS_DIL_BEF_EXTRAORD_SEQ_GRWTH","FY 2013","FY 2013","Currency=INR","Period=FY","BEST_FPERIOD_OVERRIDE=FY","FILING_STATUS=MR","EQY_CONSOLIDATED=Y","Sort=A","Dates=H","DateFormat=P","Fill=—","Direction=H","UseDPDF=Y")</f>
        <v>-26.077100000000002</v>
      </c>
      <c r="H65" s="14">
        <f>_xll.BDH("RCOM IN Equity","EPS_DIL_BEF_EXTRAORD_SEQ_GRWTH","FY 2014","FY 2014","Currency=INR","Period=FY","BEST_FPERIOD_OVERRIDE=FY","FILING_STATUS=MR","EQY_CONSOLIDATED=Y","Sort=A","Dates=H","DateFormat=P","Fill=—","Direction=H","UseDPDF=Y")</f>
        <v>55.521500000000003</v>
      </c>
      <c r="I65" s="14">
        <f>_xll.BDH("RCOM IN Equity","EPS_DIL_BEF_EXTRAORD_SEQ_GRWTH","FY 2015","FY 2015","Currency=INR","Period=FY","BEST_FPERIOD_OVERRIDE=FY","FILING_STATUS=MR","EQY_CONSOLIDATED=Y","Sort=A","Dates=H","DateFormat=P","Fill=—","Direction=H","UseDPDF=Y")</f>
        <v>-39.842199999999998</v>
      </c>
      <c r="J65" s="14">
        <f>_xll.BDH("RCOM IN Equity","EPS_DIL_BEF_EXTRAORD_SEQ_GRWTH","FY 2016","FY 2016","Currency=INR","Period=FY","BEST_FPERIOD_OVERRIDE=FY","FILING_STATUS=MR","EQY_CONSOLIDATED=Y","Sort=A","Dates=H","DateFormat=P","Fill=—","Direction=H","UseDPDF=Y")</f>
        <v>-15.082000000000001</v>
      </c>
      <c r="K65" s="14">
        <f>_xll.BDH("RCOM IN Equity","EPS_DIL_BEF_EXTRAORD_SEQ_GRWTH","FY 2017","FY 2017","Currency=INR","Period=FY","BEST_FPERIOD_OVERRIDE=FY","FILING_STATUS=MR","EQY_CONSOLIDATED=Y","Sort=A","Dates=H","DateFormat=P","Fill=—","Direction=H","UseDPDF=Y")</f>
        <v>-80.442300000000003</v>
      </c>
      <c r="L65" s="14">
        <f>_xll.BDH("RCOM IN Equity","EPS_DIL_BEF_EXTRAORD_SEQ_GRWTH","FY 2018","FY 2018","Currency=INR","Period=FY","BEST_FPERIOD_OVERRIDE=FY","FILING_STATUS=MR","EQY_CONSOLIDATED=Y","Sort=A","Dates=H","DateFormat=P","Fill=—","Direction=H","UseDPDF=Y")</f>
        <v>-62.547800000000002</v>
      </c>
    </row>
    <row r="66" spans="1:12">
      <c r="A66" s="10" t="s">
        <v>1457</v>
      </c>
      <c r="B66" s="10" t="s">
        <v>1519</v>
      </c>
      <c r="C66" s="14">
        <f>_xll.BDH("RCOM IN Equity","EPS_DILUTED_BEF_ABNRML_SEQ_GRWTH","FY 2009","FY 2009","Currency=INR","Period=FY","BEST_FPERIOD_OVERRIDE=FY","FILING_STATUS=MR","EQY_CONSOLIDATED=Y","Sort=A","Dates=H","DateFormat=P","Fill=—","Direction=H","UseDPDF=Y")</f>
        <v>43.543399999999998</v>
      </c>
      <c r="D66" s="14">
        <f>_xll.BDH("RCOM IN Equity","EPS_DILUTED_BEF_ABNRML_SEQ_GRWTH","FY 2010","FY 2010","Currency=INR","Period=FY","BEST_FPERIOD_OVERRIDE=FY","FILING_STATUS=MR","EQY_CONSOLIDATED=Y","Sort=A","Dates=H","DateFormat=P","Fill=—","Direction=H","UseDPDF=Y")</f>
        <v>-18.9604</v>
      </c>
      <c r="E66" s="14">
        <f>_xll.BDH("RCOM IN Equity","EPS_DILUTED_BEF_ABNRML_SEQ_GRWTH","FY 2011","FY 2011","Currency=INR","Period=FY","BEST_FPERIOD_OVERRIDE=FY","FILING_STATUS=MR","EQY_CONSOLIDATED=Y","Sort=A","Dates=H","DateFormat=P","Fill=—","Direction=H","UseDPDF=Y")</f>
        <v>-77.051900000000003</v>
      </c>
      <c r="F66" s="14">
        <f>_xll.BDH("RCOM IN Equity","EPS_DILUTED_BEF_ABNRML_SEQ_GRWTH","FY 2012","FY 2012","Currency=INR","Period=FY","BEST_FPERIOD_OVERRIDE=FY","FILING_STATUS=MR","EQY_CONSOLIDATED=Y","Sort=A","Dates=H","DateFormat=P","Fill=—","Direction=H","UseDPDF=Y")</f>
        <v>9.3872999999999998</v>
      </c>
      <c r="G66" s="14">
        <f>_xll.BDH("RCOM IN Equity","EPS_DILUTED_BEF_ABNRML_SEQ_GRWTH","FY 2013","FY 2013","Currency=INR","Period=FY","BEST_FPERIOD_OVERRIDE=FY","FILING_STATUS=MR","EQY_CONSOLIDATED=Y","Sort=A","Dates=H","DateFormat=P","Fill=—","Direction=H","UseDPDF=Y")</f>
        <v>-41.111600000000003</v>
      </c>
      <c r="H66" s="14">
        <f>_xll.BDH("RCOM IN Equity","EPS_DILUTED_BEF_ABNRML_SEQ_GRWTH","FY 2014","FY 2014","Currency=INR","Period=FY","BEST_FPERIOD_OVERRIDE=FY","FILING_STATUS=MR","EQY_CONSOLIDATED=Y","Sort=A","Dates=H","DateFormat=P","Fill=—","Direction=H","UseDPDF=Y")</f>
        <v>57.6584</v>
      </c>
      <c r="I66" s="14">
        <f>_xll.BDH("RCOM IN Equity","EPS_DILUTED_BEF_ABNRML_SEQ_GRWTH","FY 2015","FY 2015","Currency=INR","Period=FY","BEST_FPERIOD_OVERRIDE=FY","FILING_STATUS=MR","EQY_CONSOLIDATED=Y","Sort=A","Dates=H","DateFormat=P","Fill=—","Direction=H","UseDPDF=Y")</f>
        <v>-41.861400000000003</v>
      </c>
      <c r="J66" s="14">
        <f>_xll.BDH("RCOM IN Equity","EPS_DILUTED_BEF_ABNRML_SEQ_GRWTH","FY 2016","FY 2016","Currency=INR","Period=FY","BEST_FPERIOD_OVERRIDE=FY","FILING_STATUS=MR","EQY_CONSOLIDATED=Y","Sort=A","Dates=H","DateFormat=P","Fill=—","Direction=H","UseDPDF=Y")</f>
        <v>-31.986000000000001</v>
      </c>
      <c r="K66" s="14">
        <f>_xll.BDH("RCOM IN Equity","EPS_DILUTED_BEF_ABNRML_SEQ_GRWTH","FY 2017","FY 2017","Currency=INR","Period=FY","BEST_FPERIOD_OVERRIDE=FY","FILING_STATUS=MR","EQY_CONSOLIDATED=Y","Sort=A","Dates=H","DateFormat=P","Fill=—","Direction=H","UseDPDF=Y")</f>
        <v>-74.920299999999997</v>
      </c>
      <c r="L66" s="14">
        <f>_xll.BDH("RCOM IN Equity","EPS_DILUTED_BEF_ABNRML_SEQ_GRWTH","FY 2018","FY 2018","Currency=INR","Period=FY","BEST_FPERIOD_OVERRIDE=FY","FILING_STATUS=MR","EQY_CONSOLIDATED=Y","Sort=A","Dates=H","DateFormat=P","Fill=—","Direction=H","UseDPDF=Y")</f>
        <v>-62.547800000000002</v>
      </c>
    </row>
    <row r="67" spans="1:12">
      <c r="A67" s="10" t="s">
        <v>1459</v>
      </c>
      <c r="B67" s="10" t="s">
        <v>1520</v>
      </c>
      <c r="C67" s="14">
        <f>_xll.BDH("RCOM IN Equity","DPS_SEQUENTIAL_GROWTH","FY 2009","FY 2009","Currency=INR","Period=FY","BEST_FPERIOD_OVERRIDE=FY","FILING_STATUS=MR","EQY_CONSOLIDATED=Y","Sort=A","Dates=H","DateFormat=P","Fill=—","Direction=H","UseDPDF=Y")</f>
        <v>6.6666999999999996</v>
      </c>
      <c r="D67" s="14">
        <f>_xll.BDH("RCOM IN Equity","DPS_SEQUENTIAL_GROWTH","FY 2010","FY 2010","Currency=INR","Period=FY","BEST_FPERIOD_OVERRIDE=FY","FILING_STATUS=MR","EQY_CONSOLIDATED=Y","Sort=A","Dates=H","DateFormat=P","Fill=—","Direction=H","UseDPDF=Y")</f>
        <v>6.25</v>
      </c>
      <c r="E67" s="14">
        <f>_xll.BDH("RCOM IN Equity","DPS_SEQUENTIAL_GROWTH","FY 2011","FY 2011","Currency=INR","Period=FY","BEST_FPERIOD_OVERRIDE=FY","FILING_STATUS=MR","EQY_CONSOLIDATED=Y","Sort=A","Dates=H","DateFormat=P","Fill=—","Direction=H","UseDPDF=Y")</f>
        <v>-41.176499999999997</v>
      </c>
      <c r="F67" s="14">
        <f>_xll.BDH("RCOM IN Equity","DPS_SEQUENTIAL_GROWTH","FY 2012","FY 2012","Currency=INR","Period=FY","BEST_FPERIOD_OVERRIDE=FY","FILING_STATUS=MR","EQY_CONSOLIDATED=Y","Sort=A","Dates=H","DateFormat=P","Fill=—","Direction=H","UseDPDF=Y")</f>
        <v>-50</v>
      </c>
      <c r="G67" s="14">
        <f>_xll.BDH("RCOM IN Equity","DPS_SEQUENTIAL_GROWTH","FY 2013","FY 2013","Currency=INR","Period=FY","BEST_FPERIOD_OVERRIDE=FY","FILING_STATUS=MR","EQY_CONSOLIDATED=Y","Sort=A","Dates=H","DateFormat=P","Fill=—","Direction=H","UseDPDF=Y")</f>
        <v>0</v>
      </c>
      <c r="H67" s="14">
        <f>_xll.BDH("RCOM IN Equity","DPS_SEQUENTIAL_GROWTH","FY 2014","FY 2014","Currency=INR","Period=FY","BEST_FPERIOD_OVERRIDE=FY","FILING_STATUS=MR","EQY_CONSOLIDATED=Y","Sort=A","Dates=H","DateFormat=P","Fill=—","Direction=H","UseDPDF=Y")</f>
        <v>-100</v>
      </c>
      <c r="I67" s="14" t="str">
        <f>_xll.BDH("RCOM IN Equity","DPS_SEQUENTIAL_GROWTH","FY 2015","FY 2015","Currency=INR","Period=FY","BEST_FPERIOD_OVERRIDE=FY","FILING_STATUS=MR","EQY_CONSOLIDATED=Y","Sort=A","Dates=H","DateFormat=P","Fill=—","Direction=H","UseDPDF=Y")</f>
        <v>—</v>
      </c>
      <c r="J67" s="14" t="str">
        <f>_xll.BDH("RCOM IN Equity","DPS_SEQUENTIAL_GROWTH","FY 2016","FY 2016","Currency=INR","Period=FY","BEST_FPERIOD_OVERRIDE=FY","FILING_STATUS=MR","EQY_CONSOLIDATED=Y","Sort=A","Dates=H","DateFormat=P","Fill=—","Direction=H","UseDPDF=Y")</f>
        <v>—</v>
      </c>
      <c r="K67" s="14" t="str">
        <f>_xll.BDH("RCOM IN Equity","DPS_SEQUENTIAL_GROWTH","FY 2017","FY 2017","Currency=INR","Period=FY","BEST_FPERIOD_OVERRIDE=FY","FILING_STATUS=MR","EQY_CONSOLIDATED=Y","Sort=A","Dates=H","DateFormat=P","Fill=—","Direction=H","UseDPDF=Y")</f>
        <v>—</v>
      </c>
      <c r="L67" s="14" t="str">
        <f>_xll.BDH("RCOM IN Equity","DPS_SEQUENTIAL_GROWTH","FY 2018","FY 2018","Currency=INR","Period=FY","BEST_FPERIOD_OVERRIDE=FY","FILING_STATUS=MR","EQY_CONSOLIDATED=Y","Sort=A","Dates=H","DateFormat=P","Fill=—","Direction=H","UseDPDF=Y")</f>
        <v>—</v>
      </c>
    </row>
    <row r="68" spans="1:12">
      <c r="A68" s="10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</row>
    <row r="69" spans="1:12">
      <c r="A69" s="10" t="s">
        <v>1461</v>
      </c>
      <c r="B69" s="10" t="s">
        <v>1521</v>
      </c>
      <c r="C69" s="14">
        <f>_xll.BDH("RCOM IN Equity","ACCOUNTS_RECEIVABLE_SEQ_GROWTH","FY 2009","FY 2009","Currency=INR","Period=FY","BEST_FPERIOD_OVERRIDE=FY","FILING_STATUS=MR","EQY_CONSOLIDATED=Y","Sort=A","Dates=H","DateFormat=P","Fill=—","Direction=H","UseDPDF=Y")</f>
        <v>-68.730199999999996</v>
      </c>
      <c r="D69" s="14">
        <f>_xll.BDH("RCOM IN Equity","ACCOUNTS_RECEIVABLE_SEQ_GROWTH","FY 2010","FY 2010","Currency=INR","Period=FY","BEST_FPERIOD_OVERRIDE=FY","FILING_STATUS=MR","EQY_CONSOLIDATED=Y","Sort=A","Dates=H","DateFormat=P","Fill=—","Direction=H","UseDPDF=Y")</f>
        <v>16.347100000000001</v>
      </c>
      <c r="E69" s="14">
        <f>_xll.BDH("RCOM IN Equity","ACCOUNTS_RECEIVABLE_SEQ_GROWTH","FY 2011","FY 2011","Currency=INR","Period=FY","BEST_FPERIOD_OVERRIDE=FY","FILING_STATUS=MR","EQY_CONSOLIDATED=Y","Sort=A","Dates=H","DateFormat=P","Fill=—","Direction=H","UseDPDF=Y")</f>
        <v>35.091500000000003</v>
      </c>
      <c r="F69" s="14">
        <f>_xll.BDH("RCOM IN Equity","ACCOUNTS_RECEIVABLE_SEQ_GROWTH","FY 2012","FY 2012","Currency=INR","Period=FY","BEST_FPERIOD_OVERRIDE=FY","FILING_STATUS=MR","EQY_CONSOLIDATED=Y","Sort=A","Dates=H","DateFormat=P","Fill=—","Direction=H","UseDPDF=Y")</f>
        <v>37.668199999999999</v>
      </c>
      <c r="G69" s="14">
        <f>_xll.BDH("RCOM IN Equity","ACCOUNTS_RECEIVABLE_SEQ_GROWTH","FY 2013","FY 2013","Currency=INR","Period=FY","BEST_FPERIOD_OVERRIDE=FY","FILING_STATUS=MR","EQY_CONSOLIDATED=Y","Sort=A","Dates=H","DateFormat=P","Fill=—","Direction=H","UseDPDF=Y")</f>
        <v>-14.5494</v>
      </c>
      <c r="H69" s="14">
        <f>_xll.BDH("RCOM IN Equity","ACCOUNTS_RECEIVABLE_SEQ_GROWTH","FY 2014","FY 2014","Currency=INR","Period=FY","BEST_FPERIOD_OVERRIDE=FY","FILING_STATUS=MR","EQY_CONSOLIDATED=Y","Sort=A","Dates=H","DateFormat=P","Fill=—","Direction=H","UseDPDF=Y")</f>
        <v>-28.399000000000001</v>
      </c>
      <c r="I69" s="14">
        <f>_xll.BDH("RCOM IN Equity","ACCOUNTS_RECEIVABLE_SEQ_GROWTH","FY 2015","FY 2015","Currency=INR","Period=FY","BEST_FPERIOD_OVERRIDE=FY","FILING_STATUS=MR","EQY_CONSOLIDATED=Y","Sort=A","Dates=H","DateFormat=P","Fill=—","Direction=H","UseDPDF=Y")</f>
        <v>5.9450000000000003</v>
      </c>
      <c r="J69" s="14">
        <f>_xll.BDH("RCOM IN Equity","ACCOUNTS_RECEIVABLE_SEQ_GROWTH","FY 2016","FY 2016","Currency=INR","Period=FY","BEST_FPERIOD_OVERRIDE=FY","FILING_STATUS=MR","EQY_CONSOLIDATED=Y","Sort=A","Dates=H","DateFormat=P","Fill=—","Direction=H","UseDPDF=Y")</f>
        <v>149.66499999999999</v>
      </c>
      <c r="K69" s="14">
        <f>_xll.BDH("RCOM IN Equity","ACCOUNTS_RECEIVABLE_SEQ_GROWTH","FY 2017","FY 2017","Currency=INR","Period=FY","BEST_FPERIOD_OVERRIDE=FY","FILING_STATUS=MR","EQY_CONSOLIDATED=Y","Sort=A","Dates=H","DateFormat=P","Fill=—","Direction=H","UseDPDF=Y")</f>
        <v>9.0573999999999995</v>
      </c>
      <c r="L69" s="14">
        <f>_xll.BDH("RCOM IN Equity","ACCOUNTS_RECEIVABLE_SEQ_GROWTH","FY 2018","FY 2018","Currency=INR","Period=FY","BEST_FPERIOD_OVERRIDE=FY","FILING_STATUS=MR","EQY_CONSOLIDATED=Y","Sort=A","Dates=H","DateFormat=P","Fill=—","Direction=H","UseDPDF=Y")</f>
        <v>-34.389400000000002</v>
      </c>
    </row>
    <row r="70" spans="1:12">
      <c r="A70" s="10" t="s">
        <v>1463</v>
      </c>
      <c r="B70" s="10" t="s">
        <v>1522</v>
      </c>
      <c r="C70" s="14">
        <f>_xll.BDH("RCOM IN Equity","INVENTORY_SEQUENTIAL_GROWTH","FY 2009","FY 2009","Currency=INR","Period=FY","BEST_FPERIOD_OVERRIDE=FY","FILING_STATUS=MR","EQY_CONSOLIDATED=Y","Sort=A","Dates=H","DateFormat=P","Fill=—","Direction=H","UseDPDF=Y")</f>
        <v>33.714399999999998</v>
      </c>
      <c r="D70" s="14">
        <f>_xll.BDH("RCOM IN Equity","INVENTORY_SEQUENTIAL_GROWTH","FY 2010","FY 2010","Currency=INR","Period=FY","BEST_FPERIOD_OVERRIDE=FY","FILING_STATUS=MR","EQY_CONSOLIDATED=Y","Sort=A","Dates=H","DateFormat=P","Fill=—","Direction=H","UseDPDF=Y")</f>
        <v>0.35189999999999999</v>
      </c>
      <c r="E70" s="14">
        <f>_xll.BDH("RCOM IN Equity","INVENTORY_SEQUENTIAL_GROWTH","FY 2011","FY 2011","Currency=INR","Period=FY","BEST_FPERIOD_OVERRIDE=FY","FILING_STATUS=MR","EQY_CONSOLIDATED=Y","Sort=A","Dates=H","DateFormat=P","Fill=—","Direction=H","UseDPDF=Y")</f>
        <v>-5.0731999999999999</v>
      </c>
      <c r="F70" s="14">
        <f>_xll.BDH("RCOM IN Equity","INVENTORY_SEQUENTIAL_GROWTH","FY 2012","FY 2012","Currency=INR","Period=FY","BEST_FPERIOD_OVERRIDE=FY","FILING_STATUS=MR","EQY_CONSOLIDATED=Y","Sort=A","Dates=H","DateFormat=P","Fill=—","Direction=H","UseDPDF=Y")</f>
        <v>9.4778000000000002</v>
      </c>
      <c r="G70" s="14">
        <f>_xll.BDH("RCOM IN Equity","INVENTORY_SEQUENTIAL_GROWTH","FY 2013","FY 2013","Currency=INR","Period=FY","BEST_FPERIOD_OVERRIDE=FY","FILING_STATUS=MR","EQY_CONSOLIDATED=Y","Sort=A","Dates=H","DateFormat=P","Fill=—","Direction=H","UseDPDF=Y")</f>
        <v>-12.190799999999999</v>
      </c>
      <c r="H70" s="14">
        <f>_xll.BDH("RCOM IN Equity","INVENTORY_SEQUENTIAL_GROWTH","FY 2014","FY 2014","Currency=INR","Period=FY","BEST_FPERIOD_OVERRIDE=FY","FILING_STATUS=MR","EQY_CONSOLIDATED=Y","Sort=A","Dates=H","DateFormat=P","Fill=—","Direction=H","UseDPDF=Y")</f>
        <v>-16.498999999999999</v>
      </c>
      <c r="I70" s="14">
        <f>_xll.BDH("RCOM IN Equity","INVENTORY_SEQUENTIAL_GROWTH","FY 2015","FY 2015","Currency=INR","Period=FY","BEST_FPERIOD_OVERRIDE=FY","FILING_STATUS=MR","EQY_CONSOLIDATED=Y","Sort=A","Dates=H","DateFormat=P","Fill=—","Direction=H","UseDPDF=Y")</f>
        <v>-3.3734999999999999</v>
      </c>
      <c r="J70" s="14">
        <f>_xll.BDH("RCOM IN Equity","INVENTORY_SEQUENTIAL_GROWTH","FY 2016","FY 2016","Currency=INR","Period=FY","BEST_FPERIOD_OVERRIDE=FY","FILING_STATUS=MR","EQY_CONSOLIDATED=Y","Sort=A","Dates=H","DateFormat=P","Fill=—","Direction=H","UseDPDF=Y")</f>
        <v>-48.1297</v>
      </c>
      <c r="K70" s="14">
        <f>_xll.BDH("RCOM IN Equity","INVENTORY_SEQUENTIAL_GROWTH","FY 2017","FY 2017","Currency=INR","Period=FY","BEST_FPERIOD_OVERRIDE=FY","FILING_STATUS=MR","EQY_CONSOLIDATED=Y","Sort=A","Dates=H","DateFormat=P","Fill=—","Direction=H","UseDPDF=Y")</f>
        <v>12.9808</v>
      </c>
      <c r="L70" s="14">
        <f>_xll.BDH("RCOM IN Equity","INVENTORY_SEQUENTIAL_GROWTH","FY 2018","FY 2018","Currency=INR","Period=FY","BEST_FPERIOD_OVERRIDE=FY","FILING_STATUS=MR","EQY_CONSOLIDATED=Y","Sort=A","Dates=H","DateFormat=P","Fill=—","Direction=H","UseDPDF=Y")</f>
        <v>-66.382999999999996</v>
      </c>
    </row>
    <row r="71" spans="1:12">
      <c r="A71" s="10" t="s">
        <v>1465</v>
      </c>
      <c r="B71" s="10" t="s">
        <v>1523</v>
      </c>
      <c r="C71" s="14">
        <f>_xll.BDH("RCOM IN Equity","FIXED_ASSETS_SEQUENTIAL_GROWTH","FY 2009","FY 2009","Currency=INR","Period=FY","BEST_FPERIOD_OVERRIDE=FY","FILING_STATUS=MR","EQY_CONSOLIDATED=Y","Sort=A","Dates=H","DateFormat=P","Fill=—","Direction=H","UseDPDF=Y")</f>
        <v>8.9033999999999995</v>
      </c>
      <c r="D71" s="14">
        <f>_xll.BDH("RCOM IN Equity","FIXED_ASSETS_SEQUENTIAL_GROWTH","FY 2010","FY 2010","Currency=INR","Period=FY","BEST_FPERIOD_OVERRIDE=FY","FILING_STATUS=MR","EQY_CONSOLIDATED=Y","Sort=A","Dates=H","DateFormat=P","Fill=—","Direction=H","UseDPDF=Y")</f>
        <v>0.55930000000000002</v>
      </c>
      <c r="E71" s="14">
        <f>_xll.BDH("RCOM IN Equity","FIXED_ASSETS_SEQUENTIAL_GROWTH","FY 2011","FY 2011","Currency=INR","Period=FY","BEST_FPERIOD_OVERRIDE=FY","FILING_STATUS=MR","EQY_CONSOLIDATED=Y","Sort=A","Dates=H","DateFormat=P","Fill=—","Direction=H","UseDPDF=Y")</f>
        <v>4.6300999999999997</v>
      </c>
      <c r="F71" s="14">
        <f>_xll.BDH("RCOM IN Equity","FIXED_ASSETS_SEQUENTIAL_GROWTH","FY 2012","FY 2012","Currency=INR","Period=FY","BEST_FPERIOD_OVERRIDE=FY","FILING_STATUS=MR","EQY_CONSOLIDATED=Y","Sort=A","Dates=H","DateFormat=P","Fill=—","Direction=H","UseDPDF=Y")</f>
        <v>-13.08</v>
      </c>
      <c r="G71" s="14">
        <f>_xll.BDH("RCOM IN Equity","FIXED_ASSETS_SEQUENTIAL_GROWTH","FY 2013","FY 2013","Currency=INR","Period=FY","BEST_FPERIOD_OVERRIDE=FY","FILING_STATUS=MR","EQY_CONSOLIDATED=Y","Sort=A","Dates=H","DateFormat=P","Fill=—","Direction=H","UseDPDF=Y")</f>
        <v>-0.76990000000000003</v>
      </c>
      <c r="H71" s="14">
        <f>_xll.BDH("RCOM IN Equity","FIXED_ASSETS_SEQUENTIAL_GROWTH","FY 2014","FY 2014","Currency=INR","Period=FY","BEST_FPERIOD_OVERRIDE=FY","FILING_STATUS=MR","EQY_CONSOLIDATED=Y","Sort=A","Dates=H","DateFormat=P","Fill=—","Direction=H","UseDPDF=Y")</f>
        <v>-2.2383999999999999</v>
      </c>
      <c r="I71" s="14">
        <f>_xll.BDH("RCOM IN Equity","FIXED_ASSETS_SEQUENTIAL_GROWTH","FY 2015","FY 2015","Currency=INR","Period=FY","BEST_FPERIOD_OVERRIDE=FY","FILING_STATUS=MR","EQY_CONSOLIDATED=Y","Sort=A","Dates=H","DateFormat=P","Fill=—","Direction=H","UseDPDF=Y")</f>
        <v>-3.9173</v>
      </c>
      <c r="J71" s="14">
        <f>_xll.BDH("RCOM IN Equity","FIXED_ASSETS_SEQUENTIAL_GROWTH","FY 2016","FY 2016","Currency=INR","Period=FY","BEST_FPERIOD_OVERRIDE=FY","FILING_STATUS=MR","EQY_CONSOLIDATED=Y","Sort=A","Dates=H","DateFormat=P","Fill=—","Direction=H","UseDPDF=Y")</f>
        <v>16.0122</v>
      </c>
      <c r="K71" s="14">
        <f>_xll.BDH("RCOM IN Equity","FIXED_ASSETS_SEQUENTIAL_GROWTH","FY 2017","FY 2017","Currency=INR","Period=FY","BEST_FPERIOD_OVERRIDE=FY","FILING_STATUS=MR","EQY_CONSOLIDATED=Y","Sort=A","Dates=H","DateFormat=P","Fill=—","Direction=H","UseDPDF=Y")</f>
        <v>-1.5573000000000001</v>
      </c>
      <c r="L71" s="14">
        <f>_xll.BDH("RCOM IN Equity","FIXED_ASSETS_SEQUENTIAL_GROWTH","FY 2018","FY 2018","Currency=INR","Period=FY","BEST_FPERIOD_OVERRIDE=FY","FILING_STATUS=MR","EQY_CONSOLIDATED=Y","Sort=A","Dates=H","DateFormat=P","Fill=—","Direction=H","UseDPDF=Y")</f>
        <v>-67.576899999999995</v>
      </c>
    </row>
    <row r="72" spans="1:12">
      <c r="A72" s="10" t="s">
        <v>77</v>
      </c>
      <c r="B72" s="10" t="s">
        <v>1524</v>
      </c>
      <c r="C72" s="14">
        <f>_xll.BDH("RCOM IN Equity","TOTAL_ASSETS_SEQUENTIAL_GROWTH","FY 2009","FY 2009","Currency=INR","Period=FY","BEST_FPERIOD_OVERRIDE=FY","FILING_STATUS=MR","EQY_CONSOLIDATED=Y","Sort=A","Dates=H","DateFormat=P","Fill=—","Direction=H","UseDPDF=Y")</f>
        <v>31.949200000000001</v>
      </c>
      <c r="D72" s="14">
        <f>_xll.BDH("RCOM IN Equity","TOTAL_ASSETS_SEQUENTIAL_GROWTH","FY 2010","FY 2010","Currency=INR","Period=FY","BEST_FPERIOD_OVERRIDE=FY","FILING_STATUS=MR","EQY_CONSOLIDATED=Y","Sort=A","Dates=H","DateFormat=P","Fill=—","Direction=H","UseDPDF=Y")</f>
        <v>-9.4301999999999992</v>
      </c>
      <c r="E72" s="14">
        <f>_xll.BDH("RCOM IN Equity","TOTAL_ASSETS_SEQUENTIAL_GROWTH","FY 2011","FY 2011","Currency=INR","Period=FY","BEST_FPERIOD_OVERRIDE=FY","FILING_STATUS=MR","EQY_CONSOLIDATED=Y","Sort=A","Dates=H","DateFormat=P","Fill=—","Direction=H","UseDPDF=Y")</f>
        <v>2.3273000000000001</v>
      </c>
      <c r="F72" s="14">
        <f>_xll.BDH("RCOM IN Equity","TOTAL_ASSETS_SEQUENTIAL_GROWTH","FY 2012","FY 2012","Currency=INR","Period=FY","BEST_FPERIOD_OVERRIDE=FY","FILING_STATUS=MR","EQY_CONSOLIDATED=Y","Sort=A","Dates=H","DateFormat=P","Fill=—","Direction=H","UseDPDF=Y")</f>
        <v>-2.5949</v>
      </c>
      <c r="G72" s="14">
        <f>_xll.BDH("RCOM IN Equity","TOTAL_ASSETS_SEQUENTIAL_GROWTH","FY 2013","FY 2013","Currency=INR","Period=FY","BEST_FPERIOD_OVERRIDE=FY","FILING_STATUS=MR","EQY_CONSOLIDATED=Y","Sort=A","Dates=H","DateFormat=P","Fill=—","Direction=H","UseDPDF=Y")</f>
        <v>-2.2576000000000001</v>
      </c>
      <c r="H72" s="14">
        <f>_xll.BDH("RCOM IN Equity","TOTAL_ASSETS_SEQUENTIAL_GROWTH","FY 2014","FY 2014","Currency=INR","Period=FY","BEST_FPERIOD_OVERRIDE=FY","FILING_STATUS=MR","EQY_CONSOLIDATED=Y","Sort=A","Dates=H","DateFormat=P","Fill=—","Direction=H","UseDPDF=Y")</f>
        <v>0.61760000000000004</v>
      </c>
      <c r="I72" s="14">
        <f>_xll.BDH("RCOM IN Equity","TOTAL_ASSETS_SEQUENTIAL_GROWTH","FY 2015","FY 2015","Currency=INR","Period=FY","BEST_FPERIOD_OVERRIDE=FY","FILING_STATUS=MR","EQY_CONSOLIDATED=Y","Sort=A","Dates=H","DateFormat=P","Fill=—","Direction=H","UseDPDF=Y")</f>
        <v>2.516</v>
      </c>
      <c r="J72" s="14">
        <f>_xll.BDH("RCOM IN Equity","TOTAL_ASSETS_SEQUENTIAL_GROWTH","FY 2016","FY 2016","Currency=INR","Period=FY","BEST_FPERIOD_OVERRIDE=FY","FILING_STATUS=MR","EQY_CONSOLIDATED=Y","Sort=A","Dates=H","DateFormat=P","Fill=—","Direction=H","UseDPDF=Y")</f>
        <v>11.214600000000001</v>
      </c>
      <c r="K72" s="14">
        <f>_xll.BDH("RCOM IN Equity","TOTAL_ASSETS_SEQUENTIAL_GROWTH","FY 2017","FY 2017","Currency=INR","Period=FY","BEST_FPERIOD_OVERRIDE=FY","FILING_STATUS=MR","EQY_CONSOLIDATED=Y","Sort=A","Dates=H","DateFormat=P","Fill=—","Direction=H","UseDPDF=Y")</f>
        <v>-3.5987</v>
      </c>
      <c r="L72" s="14">
        <f>_xll.BDH("RCOM IN Equity","TOTAL_ASSETS_SEQUENTIAL_GROWTH","FY 2018","FY 2018","Currency=INR","Period=FY","BEST_FPERIOD_OVERRIDE=FY","FILING_STATUS=MR","EQY_CONSOLIDATED=Y","Sort=A","Dates=H","DateFormat=P","Fill=—","Direction=H","UseDPDF=Y")</f>
        <v>-25.220800000000001</v>
      </c>
    </row>
    <row r="73" spans="1:12">
      <c r="A73" s="10" t="s">
        <v>1468</v>
      </c>
      <c r="B73" s="10" t="s">
        <v>1525</v>
      </c>
      <c r="C73" s="14" t="str">
        <f>_xll.BDH("RCOM IN Equity","MODIFIED_WORKING_CPTL_SEQ_GRWTH","FY 2009","FY 2009","Currency=INR","Period=FY","BEST_FPERIOD_OVERRIDE=FY","FILING_STATUS=MR","EQY_CONSOLIDATED=Y","Sort=A","Dates=H","DateFormat=P","Fill=—","Direction=H","UseDPDF=Y")</f>
        <v>—</v>
      </c>
      <c r="D73" s="14">
        <f>_xll.BDH("RCOM IN Equity","MODIFIED_WORKING_CPTL_SEQ_GRWTH","FY 2010","FY 2010","Currency=INR","Period=FY","BEST_FPERIOD_OVERRIDE=FY","FILING_STATUS=MR","EQY_CONSOLIDATED=Y","Sort=A","Dates=H","DateFormat=P","Fill=—","Direction=H","UseDPDF=Y")</f>
        <v>-142.93809999999999</v>
      </c>
      <c r="E73" s="14" t="str">
        <f>_xll.BDH("RCOM IN Equity","MODIFIED_WORKING_CPTL_SEQ_GRWTH","FY 2011","FY 2011","Currency=INR","Period=FY","BEST_FPERIOD_OVERRIDE=FY","FILING_STATUS=MR","EQY_CONSOLIDATED=Y","Sort=A","Dates=H","DateFormat=P","Fill=—","Direction=H","UseDPDF=Y")</f>
        <v>—</v>
      </c>
      <c r="F73" s="14" t="str">
        <f>_xll.BDH("RCOM IN Equity","MODIFIED_WORKING_CPTL_SEQ_GRWTH","FY 2012","FY 2012","Currency=INR","Period=FY","BEST_FPERIOD_OVERRIDE=FY","FILING_STATUS=MR","EQY_CONSOLIDATED=Y","Sort=A","Dates=H","DateFormat=P","Fill=—","Direction=H","UseDPDF=Y")</f>
        <v>—</v>
      </c>
      <c r="G73" s="14">
        <f>_xll.BDH("RCOM IN Equity","MODIFIED_WORKING_CPTL_SEQ_GRWTH","FY 2013","FY 2013","Currency=INR","Period=FY","BEST_FPERIOD_OVERRIDE=FY","FILING_STATUS=MR","EQY_CONSOLIDATED=Y","Sort=A","Dates=H","DateFormat=P","Fill=—","Direction=H","UseDPDF=Y")</f>
        <v>-425.55560000000003</v>
      </c>
      <c r="H73" s="14" t="str">
        <f>_xll.BDH("RCOM IN Equity","MODIFIED_WORKING_CPTL_SEQ_GRWTH","FY 2014","FY 2014","Currency=INR","Period=FY","BEST_FPERIOD_OVERRIDE=FY","FILING_STATUS=MR","EQY_CONSOLIDATED=Y","Sort=A","Dates=H","DateFormat=P","Fill=—","Direction=H","UseDPDF=Y")</f>
        <v>—</v>
      </c>
      <c r="I73" s="14" t="str">
        <f>_xll.BDH("RCOM IN Equity","MODIFIED_WORKING_CPTL_SEQ_GRWTH","FY 2015","FY 2015","Currency=INR","Period=FY","BEST_FPERIOD_OVERRIDE=FY","FILING_STATUS=MR","EQY_CONSOLIDATED=Y","Sort=A","Dates=H","DateFormat=P","Fill=—","Direction=H","UseDPDF=Y")</f>
        <v>—</v>
      </c>
      <c r="J73" s="14" t="str">
        <f>_xll.BDH("RCOM IN Equity","MODIFIED_WORKING_CPTL_SEQ_GRWTH","FY 2016","FY 2016","Currency=INR","Period=FY","BEST_FPERIOD_OVERRIDE=FY","FILING_STATUS=MR","EQY_CONSOLIDATED=Y","Sort=A","Dates=H","DateFormat=P","Fill=—","Direction=H","UseDPDF=Y")</f>
        <v>—</v>
      </c>
      <c r="K73" s="14" t="str">
        <f>_xll.BDH("RCOM IN Equity","MODIFIED_WORKING_CPTL_SEQ_GRWTH","FY 2017","FY 2017","Currency=INR","Period=FY","BEST_FPERIOD_OVERRIDE=FY","FILING_STATUS=MR","EQY_CONSOLIDATED=Y","Sort=A","Dates=H","DateFormat=P","Fill=—","Direction=H","UseDPDF=Y")</f>
        <v>—</v>
      </c>
      <c r="L73" s="14" t="str">
        <f>_xll.BDH("RCOM IN Equity","MODIFIED_WORKING_CPTL_SEQ_GRWTH","FY 2018","FY 2018","Currency=INR","Period=FY","BEST_FPERIOD_OVERRIDE=FY","FILING_STATUS=MR","EQY_CONSOLIDATED=Y","Sort=A","Dates=H","DateFormat=P","Fill=—","Direction=H","UseDPDF=Y")</f>
        <v>—</v>
      </c>
    </row>
    <row r="74" spans="1:12">
      <c r="A74" s="10" t="s">
        <v>1472</v>
      </c>
      <c r="B74" s="10" t="s">
        <v>1526</v>
      </c>
      <c r="C74" s="14">
        <f>_xll.BDH("RCOM IN Equity","EMPLOYEES_SEQUENTIAL_GROWTH","FY 2009","FY 2009","Currency=INR","Period=FY","BEST_FPERIOD_OVERRIDE=FY","FILING_STATUS=MR","EQY_CONSOLIDATED=Y","Sort=A","Dates=H","DateFormat=P","Fill=—","Direction=H","UseDPDF=Y")</f>
        <v>1.3643000000000001</v>
      </c>
      <c r="D74" s="14">
        <f>_xll.BDH("RCOM IN Equity","EMPLOYEES_SEQUENTIAL_GROWTH","FY 2010","FY 2010","Currency=INR","Period=FY","BEST_FPERIOD_OVERRIDE=FY","FILING_STATUS=MR","EQY_CONSOLIDATED=Y","Sort=A","Dates=H","DateFormat=P","Fill=—","Direction=H","UseDPDF=Y")</f>
        <v>-16.624500000000001</v>
      </c>
      <c r="E74" s="14">
        <f>_xll.BDH("RCOM IN Equity","EMPLOYEES_SEQUENTIAL_GROWTH","FY 2011","FY 2011","Currency=INR","Period=FY","BEST_FPERIOD_OVERRIDE=FY","FILING_STATUS=MR","EQY_CONSOLIDATED=Y","Sort=A","Dates=H","DateFormat=P","Fill=—","Direction=H","UseDPDF=Y")</f>
        <v>-9.3917000000000002</v>
      </c>
      <c r="F74" s="14">
        <f>_xll.BDH("RCOM IN Equity","EMPLOYEES_SEQUENTIAL_GROWTH","FY 2012","FY 2012","Currency=INR","Period=FY","BEST_FPERIOD_OVERRIDE=FY","FILING_STATUS=MR","EQY_CONSOLIDATED=Y","Sort=A","Dates=H","DateFormat=P","Fill=—","Direction=H","UseDPDF=Y")</f>
        <v>-12.8452</v>
      </c>
      <c r="G74" s="14">
        <f>_xll.BDH("RCOM IN Equity","EMPLOYEES_SEQUENTIAL_GROWTH","FY 2013","FY 2013","Currency=INR","Period=FY","BEST_FPERIOD_OVERRIDE=FY","FILING_STATUS=MR","EQY_CONSOLIDATED=Y","Sort=A","Dates=H","DateFormat=P","Fill=—","Direction=H","UseDPDF=Y")</f>
        <v>-23.7408</v>
      </c>
      <c r="H74" s="14" t="str">
        <f>_xll.BDH("RCOM IN Equity","EMPLOYEES_SEQUENTIAL_GROWTH","FY 2014","FY 2014","Currency=INR","Period=FY","BEST_FPERIOD_OVERRIDE=FY","FILING_STATUS=MR","EQY_CONSOLIDATED=Y","Sort=A","Dates=H","DateFormat=P","Fill=—","Direction=H","UseDPDF=Y")</f>
        <v>—</v>
      </c>
      <c r="I74" s="14" t="str">
        <f>_xll.BDH("RCOM IN Equity","EMPLOYEES_SEQUENTIAL_GROWTH","FY 2015","FY 2015","Currency=INR","Period=FY","BEST_FPERIOD_OVERRIDE=FY","FILING_STATUS=MR","EQY_CONSOLIDATED=Y","Sort=A","Dates=H","DateFormat=P","Fill=—","Direction=H","UseDPDF=Y")</f>
        <v>—</v>
      </c>
      <c r="J74" s="14" t="str">
        <f>_xll.BDH("RCOM IN Equity","EMPLOYEES_SEQUENTIAL_GROWTH","FY 2016","FY 2016","Currency=INR","Period=FY","BEST_FPERIOD_OVERRIDE=FY","FILING_STATUS=MR","EQY_CONSOLIDATED=Y","Sort=A","Dates=H","DateFormat=P","Fill=—","Direction=H","UseDPDF=Y")</f>
        <v>—</v>
      </c>
      <c r="K74" s="14" t="str">
        <f>_xll.BDH("RCOM IN Equity","EMPLOYEES_SEQUENTIAL_GROWTH","FY 2017","FY 2017","Currency=INR","Period=FY","BEST_FPERIOD_OVERRIDE=FY","FILING_STATUS=MR","EQY_CONSOLIDATED=Y","Sort=A","Dates=H","DateFormat=P","Fill=—","Direction=H","UseDPDF=Y")</f>
        <v>—</v>
      </c>
      <c r="L74" s="14" t="str">
        <f>_xll.BDH("RCOM IN Equity","EMPLOYEES_SEQUENTIAL_GROWTH","FY 2018","FY 2018","Currency=INR","Period=FY","BEST_FPERIOD_OVERRIDE=FY","FILING_STATUS=MR","EQY_CONSOLIDATED=Y","Sort=A","Dates=H","DateFormat=P","Fill=—","Direction=H","UseDPDF=Y")</f>
        <v>—</v>
      </c>
    </row>
    <row r="75" spans="1:12">
      <c r="A75" s="10" t="s">
        <v>1474</v>
      </c>
      <c r="B75" s="10" t="s">
        <v>1527</v>
      </c>
      <c r="C75" s="14">
        <f>_xll.BDH("RCOM IN Equity","ACCOUNTS_PAYABLE_SEQ_GROWTH","FY 2009","FY 2009","Currency=INR","Period=FY","BEST_FPERIOD_OVERRIDE=FY","FILING_STATUS=MR","EQY_CONSOLIDATED=Y","Sort=A","Dates=H","DateFormat=P","Fill=—","Direction=H","UseDPDF=Y")</f>
        <v>-94.519300000000001</v>
      </c>
      <c r="D75" s="14">
        <f>_xll.BDH("RCOM IN Equity","ACCOUNTS_PAYABLE_SEQ_GROWTH","FY 2010","FY 2010","Currency=INR","Period=FY","BEST_FPERIOD_OVERRIDE=FY","FILING_STATUS=MR","EQY_CONSOLIDATED=Y","Sort=A","Dates=H","DateFormat=P","Fill=—","Direction=H","UseDPDF=Y")</f>
        <v>304.79500000000002</v>
      </c>
      <c r="E75" s="14">
        <f>_xll.BDH("RCOM IN Equity","ACCOUNTS_PAYABLE_SEQ_GROWTH","FY 2011","FY 2011","Currency=INR","Period=FY","BEST_FPERIOD_OVERRIDE=FY","FILING_STATUS=MR","EQY_CONSOLIDATED=Y","Sort=A","Dates=H","DateFormat=P","Fill=—","Direction=H","UseDPDF=Y")</f>
        <v>-2.0741000000000001</v>
      </c>
      <c r="F75" s="14">
        <f>_xll.BDH("RCOM IN Equity","ACCOUNTS_PAYABLE_SEQ_GROWTH","FY 2012","FY 2012","Currency=INR","Period=FY","BEST_FPERIOD_OVERRIDE=FY","FILING_STATUS=MR","EQY_CONSOLIDATED=Y","Sort=A","Dates=H","DateFormat=P","Fill=—","Direction=H","UseDPDF=Y")</f>
        <v>22.7104</v>
      </c>
      <c r="G75" s="14">
        <f>_xll.BDH("RCOM IN Equity","ACCOUNTS_PAYABLE_SEQ_GROWTH","FY 2013","FY 2013","Currency=INR","Period=FY","BEST_FPERIOD_OVERRIDE=FY","FILING_STATUS=MR","EQY_CONSOLIDATED=Y","Sort=A","Dates=H","DateFormat=P","Fill=—","Direction=H","UseDPDF=Y")</f>
        <v>1.9845000000000002</v>
      </c>
      <c r="H75" s="14">
        <f>_xll.BDH("RCOM IN Equity","ACCOUNTS_PAYABLE_SEQ_GROWTH","FY 2014","FY 2014","Currency=INR","Period=FY","BEST_FPERIOD_OVERRIDE=FY","FILING_STATUS=MR","EQY_CONSOLIDATED=Y","Sort=A","Dates=H","DateFormat=P","Fill=—","Direction=H","UseDPDF=Y")</f>
        <v>48.731000000000002</v>
      </c>
      <c r="I75" s="14">
        <f>_xll.BDH("RCOM IN Equity","ACCOUNTS_PAYABLE_SEQ_GROWTH","FY 2015","FY 2015","Currency=INR","Period=FY","BEST_FPERIOD_OVERRIDE=FY","FILING_STATUS=MR","EQY_CONSOLIDATED=Y","Sort=A","Dates=H","DateFormat=P","Fill=—","Direction=H","UseDPDF=Y")</f>
        <v>76.507400000000004</v>
      </c>
      <c r="J75" s="14">
        <f>_xll.BDH("RCOM IN Equity","ACCOUNTS_PAYABLE_SEQ_GROWTH","FY 2016","FY 2016","Currency=INR","Period=FY","BEST_FPERIOD_OVERRIDE=FY","FILING_STATUS=MR","EQY_CONSOLIDATED=Y","Sort=A","Dates=H","DateFormat=P","Fill=—","Direction=H","UseDPDF=Y")</f>
        <v>-6.9448999999999996</v>
      </c>
      <c r="K75" s="14">
        <f>_xll.BDH("RCOM IN Equity","ACCOUNTS_PAYABLE_SEQ_GROWTH","FY 2017","FY 2017","Currency=INR","Period=FY","BEST_FPERIOD_OVERRIDE=FY","FILING_STATUS=MR","EQY_CONSOLIDATED=Y","Sort=A","Dates=H","DateFormat=P","Fill=—","Direction=H","UseDPDF=Y")</f>
        <v>-17.818200000000001</v>
      </c>
      <c r="L75" s="14">
        <f>_xll.BDH("RCOM IN Equity","ACCOUNTS_PAYABLE_SEQ_GROWTH","FY 2018","FY 2018","Currency=INR","Period=FY","BEST_FPERIOD_OVERRIDE=FY","FILING_STATUS=MR","EQY_CONSOLIDATED=Y","Sort=A","Dates=H","DateFormat=P","Fill=—","Direction=H","UseDPDF=Y")</f>
        <v>2.5705999999999998</v>
      </c>
    </row>
    <row r="76" spans="1:12">
      <c r="A76" s="10" t="s">
        <v>1476</v>
      </c>
      <c r="B76" s="10" t="s">
        <v>1528</v>
      </c>
      <c r="C76" s="14">
        <f>_xll.BDH("RCOM IN Equity","ST_DEBT_SEQUENTIAL_GROWTH","FY 2009","FY 2009","Currency=INR","Period=FY","BEST_FPERIOD_OVERRIDE=FY","FILING_STATUS=MR","EQY_CONSOLIDATED=Y","Sort=A","Dates=H","DateFormat=P","Fill=—","Direction=H","UseDPDF=Y")</f>
        <v>1.3486</v>
      </c>
      <c r="D76" s="14">
        <f>_xll.BDH("RCOM IN Equity","ST_DEBT_SEQUENTIAL_GROWTH","FY 2010","FY 2010","Currency=INR","Period=FY","BEST_FPERIOD_OVERRIDE=FY","FILING_STATUS=MR","EQY_CONSOLIDATED=Y","Sort=A","Dates=H","DateFormat=P","Fill=—","Direction=H","UseDPDF=Y")</f>
        <v>-11.8604</v>
      </c>
      <c r="E76" s="14">
        <f>_xll.BDH("RCOM IN Equity","ST_DEBT_SEQUENTIAL_GROWTH","FY 2011","FY 2011","Currency=INR","Period=FY","BEST_FPERIOD_OVERRIDE=FY","FILING_STATUS=MR","EQY_CONSOLIDATED=Y","Sort=A","Dates=H","DateFormat=P","Fill=—","Direction=H","UseDPDF=Y")</f>
        <v>88.825999999999993</v>
      </c>
      <c r="F76" s="14">
        <f>_xll.BDH("RCOM IN Equity","ST_DEBT_SEQUENTIAL_GROWTH","FY 2012","FY 2012","Currency=INR","Period=FY","BEST_FPERIOD_OVERRIDE=FY","FILING_STATUS=MR","EQY_CONSOLIDATED=Y","Sort=A","Dates=H","DateFormat=P","Fill=—","Direction=H","UseDPDF=Y")</f>
        <v>-56.184800000000003</v>
      </c>
      <c r="G76" s="14">
        <f>_xll.BDH("RCOM IN Equity","ST_DEBT_SEQUENTIAL_GROWTH","FY 2013","FY 2013","Currency=INR","Period=FY","BEST_FPERIOD_OVERRIDE=FY","FILING_STATUS=MR","EQY_CONSOLIDATED=Y","Sort=A","Dates=H","DateFormat=P","Fill=—","Direction=H","UseDPDF=Y")</f>
        <v>48.654299999999999</v>
      </c>
      <c r="H76" s="14">
        <f>_xll.BDH("RCOM IN Equity","ST_DEBT_SEQUENTIAL_GROWTH","FY 2014","FY 2014","Currency=INR","Period=FY","BEST_FPERIOD_OVERRIDE=FY","FILING_STATUS=MR","EQY_CONSOLIDATED=Y","Sort=A","Dates=H","DateFormat=P","Fill=—","Direction=H","UseDPDF=Y")</f>
        <v>9.4490999999999996</v>
      </c>
      <c r="I76" s="14">
        <f>_xll.BDH("RCOM IN Equity","ST_DEBT_SEQUENTIAL_GROWTH","FY 2015","FY 2015","Currency=INR","Period=FY","BEST_FPERIOD_OVERRIDE=FY","FILING_STATUS=MR","EQY_CONSOLIDATED=Y","Sort=A","Dates=H","DateFormat=P","Fill=—","Direction=H","UseDPDF=Y")</f>
        <v>-32.673099999999998</v>
      </c>
      <c r="J76" s="14">
        <f>_xll.BDH("RCOM IN Equity","ST_DEBT_SEQUENTIAL_GROWTH","FY 2016","FY 2016","Currency=INR","Period=FY","BEST_FPERIOD_OVERRIDE=FY","FILING_STATUS=MR","EQY_CONSOLIDATED=Y","Sort=A","Dates=H","DateFormat=P","Fill=—","Direction=H","UseDPDF=Y")</f>
        <v>52.936799999999998</v>
      </c>
      <c r="K76" s="14">
        <f>_xll.BDH("RCOM IN Equity","ST_DEBT_SEQUENTIAL_GROWTH","FY 2017","FY 2017","Currency=INR","Period=FY","BEST_FPERIOD_OVERRIDE=FY","FILING_STATUS=MR","EQY_CONSOLIDATED=Y","Sort=A","Dates=H","DateFormat=P","Fill=—","Direction=H","UseDPDF=Y")</f>
        <v>59.849699999999999</v>
      </c>
      <c r="L76" s="14">
        <f>_xll.BDH("RCOM IN Equity","ST_DEBT_SEQUENTIAL_GROWTH","FY 2018","FY 2018","Currency=INR","Period=FY","BEST_FPERIOD_OVERRIDE=FY","FILING_STATUS=MR","EQY_CONSOLIDATED=Y","Sort=A","Dates=H","DateFormat=P","Fill=—","Direction=H","UseDPDF=Y")</f>
        <v>47.578000000000003</v>
      </c>
    </row>
    <row r="77" spans="1:12">
      <c r="A77" s="10" t="s">
        <v>1478</v>
      </c>
      <c r="B77" s="10" t="s">
        <v>1529</v>
      </c>
      <c r="C77" s="14">
        <f>_xll.BDH("RCOM IN Equity","TOTAL_DEBT_SEQUENTIAL_GROWTH","FY 2009","FY 2009","Currency=INR","Period=FY","BEST_FPERIOD_OVERRIDE=FY","FILING_STATUS=MR","EQY_CONSOLIDATED=Y","Sort=A","Dates=H","DateFormat=P","Fill=—","Direction=H","UseDPDF=Y")</f>
        <v>51.664099999999998</v>
      </c>
      <c r="D77" s="14">
        <f>_xll.BDH("RCOM IN Equity","TOTAL_DEBT_SEQUENTIAL_GROWTH","FY 2010","FY 2010","Currency=INR","Period=FY","BEST_FPERIOD_OVERRIDE=FY","FILING_STATUS=MR","EQY_CONSOLIDATED=Y","Sort=A","Dates=H","DateFormat=P","Fill=—","Direction=H","UseDPDF=Y")</f>
        <v>-24.122299999999999</v>
      </c>
      <c r="E77" s="14">
        <f>_xll.BDH("RCOM IN Equity","TOTAL_DEBT_SEQUENTIAL_GROWTH","FY 2011","FY 2011","Currency=INR","Period=FY","BEST_FPERIOD_OVERRIDE=FY","FILING_STATUS=MR","EQY_CONSOLIDATED=Y","Sort=A","Dates=H","DateFormat=P","Fill=—","Direction=H","UseDPDF=Y")</f>
        <v>31.483899999999998</v>
      </c>
      <c r="F77" s="14">
        <f>_xll.BDH("RCOM IN Equity","TOTAL_DEBT_SEQUENTIAL_GROWTH","FY 2012","FY 2012","Currency=INR","Period=FY","BEST_FPERIOD_OVERRIDE=FY","FILING_STATUS=MR","EQY_CONSOLIDATED=Y","Sort=A","Dates=H","DateFormat=P","Fill=—","Direction=H","UseDPDF=Y")</f>
        <v>-1.9657</v>
      </c>
      <c r="G77" s="14">
        <f>_xll.BDH("RCOM IN Equity","TOTAL_DEBT_SEQUENTIAL_GROWTH","FY 2013","FY 2013","Currency=INR","Period=FY","BEST_FPERIOD_OVERRIDE=FY","FILING_STATUS=MR","EQY_CONSOLIDATED=Y","Sort=A","Dates=H","DateFormat=P","Fill=—","Direction=H","UseDPDF=Y")</f>
        <v>8.4693000000000005</v>
      </c>
      <c r="H77" s="14">
        <f>_xll.BDH("RCOM IN Equity","TOTAL_DEBT_SEQUENTIAL_GROWTH","FY 2014","FY 2014","Currency=INR","Period=FY","BEST_FPERIOD_OVERRIDE=FY","FILING_STATUS=MR","EQY_CONSOLIDATED=Y","Sort=A","Dates=H","DateFormat=P","Fill=—","Direction=H","UseDPDF=Y")</f>
        <v>1.7354000000000001</v>
      </c>
      <c r="I77" s="14">
        <f>_xll.BDH("RCOM IN Equity","TOTAL_DEBT_SEQUENTIAL_GROWTH","FY 2015","FY 2015","Currency=INR","Period=FY","BEST_FPERIOD_OVERRIDE=FY","FILING_STATUS=MR","EQY_CONSOLIDATED=Y","Sort=A","Dates=H","DateFormat=P","Fill=—","Direction=H","UseDPDF=Y")</f>
        <v>-5.4508999999999999</v>
      </c>
      <c r="J77" s="14">
        <f>_xll.BDH("RCOM IN Equity","TOTAL_DEBT_SEQUENTIAL_GROWTH","FY 2016","FY 2016","Currency=INR","Period=FY","BEST_FPERIOD_OVERRIDE=FY","FILING_STATUS=MR","EQY_CONSOLIDATED=Y","Sort=A","Dates=H","DateFormat=P","Fill=—","Direction=H","UseDPDF=Y")</f>
        <v>9.1407000000000007</v>
      </c>
      <c r="K77" s="14">
        <f>_xll.BDH("RCOM IN Equity","TOTAL_DEBT_SEQUENTIAL_GROWTH","FY 2017","FY 2017","Currency=INR","Period=FY","BEST_FPERIOD_OVERRIDE=FY","FILING_STATUS=MR","EQY_CONSOLIDATED=Y","Sort=A","Dates=H","DateFormat=P","Fill=—","Direction=H","UseDPDF=Y")</f>
        <v>4.8513000000000002</v>
      </c>
      <c r="L77" s="14">
        <f>_xll.BDH("RCOM IN Equity","TOTAL_DEBT_SEQUENTIAL_GROWTH","FY 2018","FY 2018","Currency=INR","Period=FY","BEST_FPERIOD_OVERRIDE=FY","FILING_STATUS=MR","EQY_CONSOLIDATED=Y","Sort=A","Dates=H","DateFormat=P","Fill=—","Direction=H","UseDPDF=Y")</f>
        <v>3.3891999999999998</v>
      </c>
    </row>
    <row r="78" spans="1:12">
      <c r="A78" s="10" t="s">
        <v>83</v>
      </c>
      <c r="B78" s="10" t="s">
        <v>1530</v>
      </c>
      <c r="C78" s="14">
        <f>_xll.BDH("RCOM IN Equity","TOTAL_EQUITY_SEQUENTIAL_GROWTH","FY 2009","FY 2009","Currency=INR","Period=FY","BEST_FPERIOD_OVERRIDE=FY","FILING_STATUS=MR","EQY_CONSOLIDATED=Y","Sort=A","Dates=H","DateFormat=P","Fill=—","Direction=H","UseDPDF=Y")</f>
        <v>36.487499999999997</v>
      </c>
      <c r="D78" s="14">
        <f>_xll.BDH("RCOM IN Equity","TOTAL_EQUITY_SEQUENTIAL_GROWTH","FY 2010","FY 2010","Currency=INR","Period=FY","BEST_FPERIOD_OVERRIDE=FY","FILING_STATUS=MR","EQY_CONSOLIDATED=Y","Sort=A","Dates=H","DateFormat=P","Fill=—","Direction=H","UseDPDF=Y")</f>
        <v>2.5242</v>
      </c>
      <c r="E78" s="14">
        <f>_xll.BDH("RCOM IN Equity","TOTAL_EQUITY_SEQUENTIAL_GROWTH","FY 2011","FY 2011","Currency=INR","Period=FY","BEST_FPERIOD_OVERRIDE=FY","FILING_STATUS=MR","EQY_CONSOLIDATED=Y","Sort=A","Dates=H","DateFormat=P","Fill=—","Direction=H","UseDPDF=Y")</f>
        <v>-6.1246999999999998</v>
      </c>
      <c r="F78" s="14">
        <f>_xll.BDH("RCOM IN Equity","TOTAL_EQUITY_SEQUENTIAL_GROWTH","FY 2012","FY 2012","Currency=INR","Period=FY","BEST_FPERIOD_OVERRIDE=FY","FILING_STATUS=MR","EQY_CONSOLIDATED=Y","Sort=A","Dates=H","DateFormat=P","Fill=—","Direction=H","UseDPDF=Y")</f>
        <v>-10.084</v>
      </c>
      <c r="G78" s="14">
        <f>_xll.BDH("RCOM IN Equity","TOTAL_EQUITY_SEQUENTIAL_GROWTH","FY 2013","FY 2013","Currency=INR","Period=FY","BEST_FPERIOD_OVERRIDE=FY","FILING_STATUS=MR","EQY_CONSOLIDATED=Y","Sort=A","Dates=H","DateFormat=P","Fill=—","Direction=H","UseDPDF=Y")</f>
        <v>-6.9463999999999997</v>
      </c>
      <c r="H78" s="14">
        <f>_xll.BDH("RCOM IN Equity","TOTAL_EQUITY_SEQUENTIAL_GROWTH","FY 2014","FY 2014","Currency=INR","Period=FY","BEST_FPERIOD_OVERRIDE=FY","FILING_STATUS=MR","EQY_CONSOLIDATED=Y","Sort=A","Dates=H","DateFormat=P","Fill=—","Direction=H","UseDPDF=Y")</f>
        <v>-2.9964</v>
      </c>
      <c r="I78" s="14">
        <f>_xll.BDH("RCOM IN Equity","TOTAL_EQUITY_SEQUENTIAL_GROWTH","FY 2015","FY 2015","Currency=INR","Period=FY","BEST_FPERIOD_OVERRIDE=FY","FILING_STATUS=MR","EQY_CONSOLIDATED=Y","Sort=A","Dates=H","DateFormat=P","Fill=—","Direction=H","UseDPDF=Y")</f>
        <v>14.636699999999999</v>
      </c>
      <c r="J78" s="14">
        <f>_xll.BDH("RCOM IN Equity","TOTAL_EQUITY_SEQUENTIAL_GROWTH","FY 2016","FY 2016","Currency=INR","Period=FY","BEST_FPERIOD_OVERRIDE=FY","FILING_STATUS=MR","EQY_CONSOLIDATED=Y","Sort=A","Dates=H","DateFormat=P","Fill=—","Direction=H","UseDPDF=Y")</f>
        <v>-17.1218</v>
      </c>
      <c r="K78" s="14">
        <f>_xll.BDH("RCOM IN Equity","TOTAL_EQUITY_SEQUENTIAL_GROWTH","FY 2017","FY 2017","Currency=INR","Period=FY","BEST_FPERIOD_OVERRIDE=FY","FILING_STATUS=MR","EQY_CONSOLIDATED=Y","Sort=A","Dates=H","DateFormat=P","Fill=—","Direction=H","UseDPDF=Y")</f>
        <v>-9.0883000000000003</v>
      </c>
      <c r="L78" s="14">
        <f>_xll.BDH("RCOM IN Equity","TOTAL_EQUITY_SEQUENTIAL_GROWTH","FY 2018","FY 2018","Currency=INR","Period=FY","BEST_FPERIOD_OVERRIDE=FY","FILING_STATUS=MR","EQY_CONSOLIDATED=Y","Sort=A","Dates=H","DateFormat=P","Fill=—","Direction=H","UseDPDF=Y")</f>
        <v>-89.247100000000003</v>
      </c>
    </row>
    <row r="79" spans="1:12">
      <c r="A79" s="10" t="s">
        <v>1481</v>
      </c>
      <c r="B79" s="10" t="s">
        <v>1531</v>
      </c>
      <c r="C79" s="14">
        <f>_xll.BDH("RCOM IN Equity","TOTAL_CAPITAL_SEQUENTIAL_GROWTH","FY 2009","FY 2009","Currency=INR","Period=FY","BEST_FPERIOD_OVERRIDE=FY","FILING_STATUS=MR","EQY_CONSOLIDATED=Y","Sort=A","Dates=H","DateFormat=P","Fill=—","Direction=H","UseDPDF=Y")</f>
        <v>43.3292</v>
      </c>
      <c r="D79" s="14">
        <f>_xll.BDH("RCOM IN Equity","TOTAL_CAPITAL_SEQUENTIAL_GROWTH","FY 2010","FY 2010","Currency=INR","Period=FY","BEST_FPERIOD_OVERRIDE=FY","FILING_STATUS=MR","EQY_CONSOLIDATED=Y","Sort=A","Dates=H","DateFormat=P","Fill=—","Direction=H","UseDPDF=Y")</f>
        <v>-10.1867</v>
      </c>
      <c r="E79" s="14">
        <f>_xll.BDH("RCOM IN Equity","TOTAL_CAPITAL_SEQUENTIAL_GROWTH","FY 2011","FY 2011","Currency=INR","Period=FY","BEST_FPERIOD_OVERRIDE=FY","FILING_STATUS=MR","EQY_CONSOLIDATED=Y","Sort=A","Dates=H","DateFormat=P","Fill=—","Direction=H","UseDPDF=Y")</f>
        <v>9.0318000000000005</v>
      </c>
      <c r="F79" s="14">
        <f>_xll.BDH("RCOM IN Equity","TOTAL_CAPITAL_SEQUENTIAL_GROWTH","FY 2012","FY 2012","Currency=INR","Period=FY","BEST_FPERIOD_OVERRIDE=FY","FILING_STATUS=MR","EQY_CONSOLIDATED=Y","Sort=A","Dates=H","DateFormat=P","Fill=—","Direction=H","UseDPDF=Y")</f>
        <v>-6.1384999999999996</v>
      </c>
      <c r="G79" s="14">
        <f>_xll.BDH("RCOM IN Equity","TOTAL_CAPITAL_SEQUENTIAL_GROWTH","FY 2013","FY 2013","Currency=INR","Period=FY","BEST_FPERIOD_OVERRIDE=FY","FILING_STATUS=MR","EQY_CONSOLIDATED=Y","Sort=A","Dates=H","DateFormat=P","Fill=—","Direction=H","UseDPDF=Y")</f>
        <v>0.87860000000000005</v>
      </c>
      <c r="H79" s="14">
        <f>_xll.BDH("RCOM IN Equity","TOTAL_CAPITAL_SEQUENTIAL_GROWTH","FY 2014","FY 2014","Currency=INR","Period=FY","BEST_FPERIOD_OVERRIDE=FY","FILING_STATUS=MR","EQY_CONSOLIDATED=Y","Sort=A","Dates=H","DateFormat=P","Fill=—","Direction=H","UseDPDF=Y")</f>
        <v>-0.4138</v>
      </c>
      <c r="I79" s="14">
        <f>_xll.BDH("RCOM IN Equity","TOTAL_CAPITAL_SEQUENTIAL_GROWTH","FY 2015","FY 2015","Currency=INR","Period=FY","BEST_FPERIOD_OVERRIDE=FY","FILING_STATUS=MR","EQY_CONSOLIDATED=Y","Sort=A","Dates=H","DateFormat=P","Fill=—","Direction=H","UseDPDF=Y")</f>
        <v>3.4363999999999999</v>
      </c>
      <c r="J79" s="14">
        <f>_xll.BDH("RCOM IN Equity","TOTAL_CAPITAL_SEQUENTIAL_GROWTH","FY 2016","FY 2016","Currency=INR","Period=FY","BEST_FPERIOD_OVERRIDE=FY","FILING_STATUS=MR","EQY_CONSOLIDATED=Y","Sort=A","Dates=H","DateFormat=P","Fill=—","Direction=H","UseDPDF=Y")</f>
        <v>-3.7366999999999999</v>
      </c>
      <c r="K79" s="14">
        <f>_xll.BDH("RCOM IN Equity","TOTAL_CAPITAL_SEQUENTIAL_GROWTH","FY 2017","FY 2017","Currency=INR","Period=FY","BEST_FPERIOD_OVERRIDE=FY","FILING_STATUS=MR","EQY_CONSOLIDATED=Y","Sort=A","Dates=H","DateFormat=P","Fill=—","Direction=H","UseDPDF=Y")</f>
        <v>-1.0334000000000001</v>
      </c>
      <c r="L79" s="14">
        <f>_xll.BDH("RCOM IN Equity","TOTAL_CAPITAL_SEQUENTIAL_GROWTH","FY 2018","FY 2018","Currency=INR","Period=FY","BEST_FPERIOD_OVERRIDE=FY","FILING_STATUS=MR","EQY_CONSOLIDATED=Y","Sort=A","Dates=H","DateFormat=P","Fill=—","Direction=H","UseDPDF=Y")</f>
        <v>-32.534599999999998</v>
      </c>
    </row>
    <row r="80" spans="1:12">
      <c r="A80" s="10" t="s">
        <v>1483</v>
      </c>
      <c r="B80" s="10" t="s">
        <v>1532</v>
      </c>
      <c r="C80" s="14">
        <f>_xll.BDH("RCOM IN Equity","BPS_SEQUENTIAL_GROWTH","FY 2009","FY 2009","Currency=INR","Period=FY","BEST_FPERIOD_OVERRIDE=FY","FILING_STATUS=MR","EQY_CONSOLIDATED=Y","Sort=A","Dates=H","DateFormat=P","Fill=—","Direction=H","UseDPDF=Y")</f>
        <v>45.661999999999999</v>
      </c>
      <c r="D80" s="14">
        <f>_xll.BDH("RCOM IN Equity","BPS_SEQUENTIAL_GROWTH","FY 2010","FY 2010","Currency=INR","Period=FY","BEST_FPERIOD_OVERRIDE=FY","FILING_STATUS=MR","EQY_CONSOLIDATED=Y","Sort=A","Dates=H","DateFormat=P","Fill=—","Direction=H","UseDPDF=Y")</f>
        <v>2.5550999999999999</v>
      </c>
      <c r="E80" s="14">
        <f>_xll.BDH("RCOM IN Equity","BPS_SEQUENTIAL_GROWTH","FY 2011","FY 2011","Currency=INR","Period=FY","BEST_FPERIOD_OVERRIDE=FY","FILING_STATUS=MR","EQY_CONSOLIDATED=Y","Sort=A","Dates=H","DateFormat=P","Fill=—","Direction=H","UseDPDF=Y")</f>
        <v>-6.5995999999999997</v>
      </c>
      <c r="F80" s="14">
        <f>_xll.BDH("RCOM IN Equity","BPS_SEQUENTIAL_GROWTH","FY 2012","FY 2012","Currency=INR","Period=FY","BEST_FPERIOD_OVERRIDE=FY","FILING_STATUS=MR","EQY_CONSOLIDATED=Y","Sort=A","Dates=H","DateFormat=P","Fill=—","Direction=H","UseDPDF=Y")</f>
        <v>-10.378</v>
      </c>
      <c r="G80" s="14">
        <f>_xll.BDH("RCOM IN Equity","BPS_SEQUENTIAL_GROWTH","FY 2013","FY 2013","Currency=INR","Period=FY","BEST_FPERIOD_OVERRIDE=FY","FILING_STATUS=MR","EQY_CONSOLIDATED=Y","Sort=A","Dates=H","DateFormat=P","Fill=—","Direction=H","UseDPDF=Y")</f>
        <v>-6.7389999999999999</v>
      </c>
      <c r="H80" s="14">
        <f>_xll.BDH("RCOM IN Equity","BPS_SEQUENTIAL_GROWTH","FY 2014","FY 2014","Currency=INR","Period=FY","BEST_FPERIOD_OVERRIDE=FY","FILING_STATUS=MR","EQY_CONSOLIDATED=Y","Sort=A","Dates=H","DateFormat=P","Fill=—","Direction=H","UseDPDF=Y")</f>
        <v>-3.1137000000000001</v>
      </c>
      <c r="I80" s="14">
        <f>_xll.BDH("RCOM IN Equity","BPS_SEQUENTIAL_GROWTH","FY 2015","FY 2015","Currency=INR","Period=FY","BEST_FPERIOD_OVERRIDE=FY","FILING_STATUS=MR","EQY_CONSOLIDATED=Y","Sort=A","Dates=H","DateFormat=P","Fill=—","Direction=H","UseDPDF=Y")</f>
        <v>-4.0766</v>
      </c>
      <c r="J80" s="14">
        <f>_xll.BDH("RCOM IN Equity","BPS_SEQUENTIAL_GROWTH","FY 2016","FY 2016","Currency=INR","Period=FY","BEST_FPERIOD_OVERRIDE=FY","FILING_STATUS=MR","EQY_CONSOLIDATED=Y","Sort=A","Dates=H","DateFormat=P","Fill=—","Direction=H","UseDPDF=Y")</f>
        <v>-16.746600000000001</v>
      </c>
      <c r="K80" s="14">
        <f>_xll.BDH("RCOM IN Equity","BPS_SEQUENTIAL_GROWTH","FY 2017","FY 2017","Currency=INR","Period=FY","BEST_FPERIOD_OVERRIDE=FY","FILING_STATUS=MR","EQY_CONSOLIDATED=Y","Sort=A","Dates=H","DateFormat=P","Fill=—","Direction=H","UseDPDF=Y")</f>
        <v>-9.5431000000000008</v>
      </c>
      <c r="L80" s="14">
        <f>_xll.BDH("RCOM IN Equity","BPS_SEQUENTIAL_GROWTH","FY 2018","FY 2018","Currency=INR","Period=FY","BEST_FPERIOD_OVERRIDE=FY","FILING_STATUS=MR","EQY_CONSOLIDATED=Y","Sort=A","Dates=H","DateFormat=P","Fill=—","Direction=H","UseDPDF=Y")</f>
        <v>-91.232799999999997</v>
      </c>
    </row>
    <row r="81" spans="1:12">
      <c r="A81" s="10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</row>
    <row r="82" spans="1:12">
      <c r="A82" s="10" t="s">
        <v>87</v>
      </c>
      <c r="B82" s="10" t="s">
        <v>1533</v>
      </c>
      <c r="C82" s="14">
        <f>_xll.BDH("RCOM IN Equity","CFO_SEQUENTIAL_GROWTH","FY 2009","FY 2009","Currency=INR","Period=FY","BEST_FPERIOD_OVERRIDE=FY","FILING_STATUS=MR","EQY_CONSOLIDATED=Y","Sort=A","Dates=H","DateFormat=P","Fill=—","Direction=H","UseDPDF=Y")</f>
        <v>22.139800000000001</v>
      </c>
      <c r="D82" s="14">
        <f>_xll.BDH("RCOM IN Equity","CFO_SEQUENTIAL_GROWTH","FY 2010","FY 2010","Currency=INR","Period=FY","BEST_FPERIOD_OVERRIDE=FY","FILING_STATUS=MR","EQY_CONSOLIDATED=Y","Sort=A","Dates=H","DateFormat=P","Fill=—","Direction=H","UseDPDF=Y")</f>
        <v>59.366399999999999</v>
      </c>
      <c r="E82" s="14">
        <f>_xll.BDH("RCOM IN Equity","CFO_SEQUENTIAL_GROWTH","FY 2011","FY 2011","Currency=INR","Period=FY","BEST_FPERIOD_OVERRIDE=FY","FILING_STATUS=MR","EQY_CONSOLIDATED=Y","Sort=A","Dates=H","DateFormat=P","Fill=—","Direction=H","UseDPDF=Y")</f>
        <v>-86.887900000000002</v>
      </c>
      <c r="F82" s="14">
        <f>_xll.BDH("RCOM IN Equity","CFO_SEQUENTIAL_GROWTH","FY 2012","FY 2012","Currency=INR","Period=FY","BEST_FPERIOD_OVERRIDE=FY","FILING_STATUS=MR","EQY_CONSOLIDATED=Y","Sort=A","Dates=H","DateFormat=P","Fill=—","Direction=H","UseDPDF=Y")</f>
        <v>279.94400000000002</v>
      </c>
      <c r="G82" s="14">
        <f>_xll.BDH("RCOM IN Equity","CFO_SEQUENTIAL_GROWTH","FY 2013","FY 2013","Currency=INR","Period=FY","BEST_FPERIOD_OVERRIDE=FY","FILING_STATUS=MR","EQY_CONSOLIDATED=Y","Sort=A","Dates=H","DateFormat=P","Fill=—","Direction=H","UseDPDF=Y")</f>
        <v>-66.363900000000001</v>
      </c>
      <c r="H82" s="14">
        <f>_xll.BDH("RCOM IN Equity","CFO_SEQUENTIAL_GROWTH","FY 2014","FY 2014","Currency=INR","Period=FY","BEST_FPERIOD_OVERRIDE=FY","FILING_STATUS=MR","EQY_CONSOLIDATED=Y","Sort=A","Dates=H","DateFormat=P","Fill=—","Direction=H","UseDPDF=Y")</f>
        <v>182.48179999999999</v>
      </c>
      <c r="I82" s="14">
        <f>_xll.BDH("RCOM IN Equity","CFO_SEQUENTIAL_GROWTH","FY 2015","FY 2015","Currency=INR","Period=FY","BEST_FPERIOD_OVERRIDE=FY","FILING_STATUS=MR","EQY_CONSOLIDATED=Y","Sort=A","Dates=H","DateFormat=P","Fill=—","Direction=H","UseDPDF=Y")</f>
        <v>-87.441900000000004</v>
      </c>
      <c r="J82" s="14">
        <f>_xll.BDH("RCOM IN Equity","CFO_SEQUENTIAL_GROWTH","FY 2016","FY 2016","Currency=INR","Period=FY","BEST_FPERIOD_OVERRIDE=FY","FILING_STATUS=MR","EQY_CONSOLIDATED=Y","Sort=A","Dates=H","DateFormat=P","Fill=—","Direction=H","UseDPDF=Y")</f>
        <v>2826.1316999999999</v>
      </c>
      <c r="K82" s="14">
        <f>_xll.BDH("RCOM IN Equity","CFO_SEQUENTIAL_GROWTH","FY 2017","FY 2017","Currency=INR","Period=FY","BEST_FPERIOD_OVERRIDE=FY","FILING_STATUS=MR","EQY_CONSOLIDATED=Y","Sort=A","Dates=H","DateFormat=P","Fill=—","Direction=H","UseDPDF=Y")</f>
        <v>-125.0334</v>
      </c>
      <c r="L82" s="14" t="str">
        <f>_xll.BDH("RCOM IN Equity","CFO_SEQUENTIAL_GROWTH","FY 2018","FY 2018","Currency=INR","Period=FY","BEST_FPERIOD_OVERRIDE=FY","FILING_STATUS=MR","EQY_CONSOLIDATED=Y","Sort=A","Dates=H","DateFormat=P","Fill=—","Direction=H","UseDPDF=Y")</f>
        <v>—</v>
      </c>
    </row>
    <row r="83" spans="1:12">
      <c r="A83" s="10" t="s">
        <v>53</v>
      </c>
      <c r="B83" s="10" t="s">
        <v>1534</v>
      </c>
      <c r="C83" s="14">
        <f>_xll.BDH("RCOM IN Equity","CAPEX_SEQUENTIAL_GROWTH","FY 2009","FY 2009","Currency=INR","Period=FY","BEST_FPERIOD_OVERRIDE=FY","FILING_STATUS=MR","EQY_CONSOLIDATED=Y","Sort=A","Dates=H","DateFormat=P","Fill=—","Direction=H","UseDPDF=Y")</f>
        <v>-29.5212</v>
      </c>
      <c r="D83" s="14">
        <f>_xll.BDH("RCOM IN Equity","CAPEX_SEQUENTIAL_GROWTH","FY 2010","FY 2010","Currency=INR","Period=FY","BEST_FPERIOD_OVERRIDE=FY","FILING_STATUS=MR","EQY_CONSOLIDATED=Y","Sort=A","Dates=H","DateFormat=P","Fill=—","Direction=H","UseDPDF=Y")</f>
        <v>-38.849800000000002</v>
      </c>
      <c r="E83" s="14">
        <f>_xll.BDH("RCOM IN Equity","CAPEX_SEQUENTIAL_GROWTH","FY 2011","FY 2011","Currency=INR","Period=FY","BEST_FPERIOD_OVERRIDE=FY","FILING_STATUS=MR","EQY_CONSOLIDATED=Y","Sort=A","Dates=H","DateFormat=P","Fill=—","Direction=H","UseDPDF=Y")</f>
        <v>37.766300000000001</v>
      </c>
      <c r="F83" s="14">
        <f>_xll.BDH("RCOM IN Equity","CAPEX_SEQUENTIAL_GROWTH","FY 2012","FY 2012","Currency=INR","Period=FY","BEST_FPERIOD_OVERRIDE=FY","FILING_STATUS=MR","EQY_CONSOLIDATED=Y","Sort=A","Dates=H","DateFormat=P","Fill=—","Direction=H","UseDPDF=Y")</f>
        <v>-53.035699999999999</v>
      </c>
      <c r="G83" s="14">
        <f>_xll.BDH("RCOM IN Equity","CAPEX_SEQUENTIAL_GROWTH","FY 2013","FY 2013","Currency=INR","Period=FY","BEST_FPERIOD_OVERRIDE=FY","FILING_STATUS=MR","EQY_CONSOLIDATED=Y","Sort=A","Dates=H","DateFormat=P","Fill=—","Direction=H","UseDPDF=Y")</f>
        <v>-56.412399999999998</v>
      </c>
      <c r="H83" s="14">
        <f>_xll.BDH("RCOM IN Equity","CAPEX_SEQUENTIAL_GROWTH","FY 2014","FY 2014","Currency=INR","Period=FY","BEST_FPERIOD_OVERRIDE=FY","FILING_STATUS=MR","EQY_CONSOLIDATED=Y","Sort=A","Dates=H","DateFormat=P","Fill=—","Direction=H","UseDPDF=Y")</f>
        <v>2.4125000000000001</v>
      </c>
      <c r="I83" s="14">
        <f>_xll.BDH("RCOM IN Equity","CAPEX_SEQUENTIAL_GROWTH","FY 2015","FY 2015","Currency=INR","Period=FY","BEST_FPERIOD_OVERRIDE=FY","FILING_STATUS=MR","EQY_CONSOLIDATED=Y","Sort=A","Dates=H","DateFormat=P","Fill=—","Direction=H","UseDPDF=Y")</f>
        <v>15.2887</v>
      </c>
      <c r="J83" s="14">
        <f>_xll.BDH("RCOM IN Equity","CAPEX_SEQUENTIAL_GROWTH","FY 2016","FY 2016","Currency=INR","Period=FY","BEST_FPERIOD_OVERRIDE=FY","FILING_STATUS=MR","EQY_CONSOLIDATED=Y","Sort=A","Dates=H","DateFormat=P","Fill=—","Direction=H","UseDPDF=Y")</f>
        <v>514.18269999999995</v>
      </c>
      <c r="K83" s="14">
        <f>_xll.BDH("RCOM IN Equity","CAPEX_SEQUENTIAL_GROWTH","FY 2017","FY 2017","Currency=INR","Period=FY","BEST_FPERIOD_OVERRIDE=FY","FILING_STATUS=MR","EQY_CONSOLIDATED=Y","Sort=A","Dates=H","DateFormat=P","Fill=—","Direction=H","UseDPDF=Y")</f>
        <v>-74.429199999999994</v>
      </c>
      <c r="L83" s="14">
        <f>_xll.BDH("RCOM IN Equity","CAPEX_SEQUENTIAL_GROWTH","FY 2018","FY 2018","Currency=INR","Period=FY","BEST_FPERIOD_OVERRIDE=FY","FILING_STATUS=MR","EQY_CONSOLIDATED=Y","Sort=A","Dates=H","DateFormat=P","Fill=—","Direction=H","UseDPDF=Y")</f>
        <v>-84.923500000000004</v>
      </c>
    </row>
    <row r="84" spans="1:12">
      <c r="A84" s="10" t="s">
        <v>1408</v>
      </c>
      <c r="B84" s="10" t="s">
        <v>1535</v>
      </c>
      <c r="C84" s="14" t="str">
        <f>_xll.BDH("RCOM IN Equity","NET_CHANGE_IN_CASH_SEQ_GROWTH","FY 2009","FY 2009","Currency=INR","Period=FY","BEST_FPERIOD_OVERRIDE=FY","FILING_STATUS=MR","EQY_CONSOLIDATED=Y","Sort=A","Dates=H","DateFormat=P","Fill=—","Direction=H","UseDPDF=Y")</f>
        <v>—</v>
      </c>
      <c r="D84" s="14">
        <f>_xll.BDH("RCOM IN Equity","NET_CHANGE_IN_CASH_SEQ_GROWTH","FY 2010","FY 2010","Currency=INR","Period=FY","BEST_FPERIOD_OVERRIDE=FY","FILING_STATUS=MR","EQY_CONSOLIDATED=Y","Sort=A","Dates=H","DateFormat=P","Fill=—","Direction=H","UseDPDF=Y")</f>
        <v>-219.62299999999999</v>
      </c>
      <c r="E84" s="14" t="str">
        <f>_xll.BDH("RCOM IN Equity","NET_CHANGE_IN_CASH_SEQ_GROWTH","FY 2011","FY 2011","Currency=INR","Period=FY","BEST_FPERIOD_OVERRIDE=FY","FILING_STATUS=MR","EQY_CONSOLIDATED=Y","Sort=A","Dates=H","DateFormat=P","Fill=—","Direction=H","UseDPDF=Y")</f>
        <v>—</v>
      </c>
      <c r="F84" s="14">
        <f>_xll.BDH("RCOM IN Equity","NET_CHANGE_IN_CASH_SEQ_GROWTH","FY 2012","FY 2012","Currency=INR","Period=FY","BEST_FPERIOD_OVERRIDE=FY","FILING_STATUS=MR","EQY_CONSOLIDATED=Y","Sort=A","Dates=H","DateFormat=P","Fill=—","Direction=H","UseDPDF=Y")</f>
        <v>-206.64689999999999</v>
      </c>
      <c r="G84" s="14" t="str">
        <f>_xll.BDH("RCOM IN Equity","NET_CHANGE_IN_CASH_SEQ_GROWTH","FY 2013","FY 2013","Currency=INR","Period=FY","BEST_FPERIOD_OVERRIDE=FY","FILING_STATUS=MR","EQY_CONSOLIDATED=Y","Sort=A","Dates=H","DateFormat=P","Fill=—","Direction=H","UseDPDF=Y")</f>
        <v>—</v>
      </c>
      <c r="H84" s="14">
        <f>_xll.BDH("RCOM IN Equity","NET_CHANGE_IN_CASH_SEQ_GROWTH","FY 2014","FY 2014","Currency=INR","Period=FY","BEST_FPERIOD_OVERRIDE=FY","FILING_STATUS=MR","EQY_CONSOLIDATED=Y","Sort=A","Dates=H","DateFormat=P","Fill=—","Direction=H","UseDPDF=Y")</f>
        <v>-225.4144</v>
      </c>
      <c r="I84" s="14" t="str">
        <f>_xll.BDH("RCOM IN Equity","NET_CHANGE_IN_CASH_SEQ_GROWTH","FY 2015","FY 2015","Currency=INR","Period=FY","BEST_FPERIOD_OVERRIDE=FY","FILING_STATUS=MR","EQY_CONSOLIDATED=Y","Sort=A","Dates=H","DateFormat=P","Fill=—","Direction=H","UseDPDF=Y")</f>
        <v>—</v>
      </c>
      <c r="J84" s="14">
        <f>_xll.BDH("RCOM IN Equity","NET_CHANGE_IN_CASH_SEQ_GROWTH","FY 2016","FY 2016","Currency=INR","Period=FY","BEST_FPERIOD_OVERRIDE=FY","FILING_STATUS=MR","EQY_CONSOLIDATED=Y","Sort=A","Dates=H","DateFormat=P","Fill=—","Direction=H","UseDPDF=Y")</f>
        <v>-147.88730000000001</v>
      </c>
      <c r="K84" s="14" t="str">
        <f>_xll.BDH("RCOM IN Equity","NET_CHANGE_IN_CASH_SEQ_GROWTH","FY 2017","FY 2017","Currency=INR","Period=FY","BEST_FPERIOD_OVERRIDE=FY","FILING_STATUS=MR","EQY_CONSOLIDATED=Y","Sort=A","Dates=H","DateFormat=P","Fill=—","Direction=H","UseDPDF=Y")</f>
        <v>—</v>
      </c>
      <c r="L84" s="14">
        <f>_xll.BDH("RCOM IN Equity","NET_CHANGE_IN_CASH_SEQ_GROWTH","FY 2018","FY 2018","Currency=INR","Period=FY","BEST_FPERIOD_OVERRIDE=FY","FILING_STATUS=MR","EQY_CONSOLIDATED=Y","Sort=A","Dates=H","DateFormat=P","Fill=—","Direction=H","UseDPDF=Y")</f>
        <v>-182.86850000000001</v>
      </c>
    </row>
    <row r="85" spans="1:12">
      <c r="A85" s="10" t="s">
        <v>55</v>
      </c>
      <c r="B85" s="10" t="s">
        <v>1536</v>
      </c>
      <c r="C85" s="14" t="str">
        <f>_xll.BDH("RCOM IN Equity","FREE_CASH_FLOW_SEQUENTIAL_GROWTH","FY 2009","FY 2009","Currency=INR","Period=FY","BEST_FPERIOD_OVERRIDE=FY","FILING_STATUS=MR","EQY_CONSOLIDATED=Y","Sort=A","Dates=H","DateFormat=P","Fill=—","Direction=H","UseDPDF=Y")</f>
        <v>—</v>
      </c>
      <c r="D85" s="14" t="str">
        <f>_xll.BDH("RCOM IN Equity","FREE_CASH_FLOW_SEQUENTIAL_GROWTH","FY 2010","FY 2010","Currency=INR","Period=FY","BEST_FPERIOD_OVERRIDE=FY","FILING_STATUS=MR","EQY_CONSOLIDATED=Y","Sort=A","Dates=H","DateFormat=P","Fill=—","Direction=H","UseDPDF=Y")</f>
        <v>—</v>
      </c>
      <c r="E85" s="14">
        <f>_xll.BDH("RCOM IN Equity","FREE_CASH_FLOW_SEQUENTIAL_GROWTH","FY 2011","FY 2011","Currency=INR","Period=FY","BEST_FPERIOD_OVERRIDE=FY","FILING_STATUS=MR","EQY_CONSOLIDATED=Y","Sort=A","Dates=H","DateFormat=P","Fill=—","Direction=H","UseDPDF=Y")</f>
        <v>-1461.8105</v>
      </c>
      <c r="F85" s="14" t="str">
        <f>_xll.BDH("RCOM IN Equity","FREE_CASH_FLOW_SEQUENTIAL_GROWTH","FY 2012","FY 2012","Currency=INR","Period=FY","BEST_FPERIOD_OVERRIDE=FY","FILING_STATUS=MR","EQY_CONSOLIDATED=Y","Sort=A","Dates=H","DateFormat=P","Fill=—","Direction=H","UseDPDF=Y")</f>
        <v>—</v>
      </c>
      <c r="G85" s="14" t="str">
        <f>_xll.BDH("RCOM IN Equity","FREE_CASH_FLOW_SEQUENTIAL_GROWTH","FY 2013","FY 2013","Currency=INR","Period=FY","BEST_FPERIOD_OVERRIDE=FY","FILING_STATUS=MR","EQY_CONSOLIDATED=Y","Sort=A","Dates=H","DateFormat=P","Fill=—","Direction=H","UseDPDF=Y")</f>
        <v>—</v>
      </c>
      <c r="H85" s="14" t="str">
        <f>_xll.BDH("RCOM IN Equity","FREE_CASH_FLOW_SEQUENTIAL_GROWTH","FY 2014","FY 2014","Currency=INR","Period=FY","BEST_FPERIOD_OVERRIDE=FY","FILING_STATUS=MR","EQY_CONSOLIDATED=Y","Sort=A","Dates=H","DateFormat=P","Fill=—","Direction=H","UseDPDF=Y")</f>
        <v>—</v>
      </c>
      <c r="I85" s="14">
        <f>_xll.BDH("RCOM IN Equity","FREE_CASH_FLOW_SEQUENTIAL_GROWTH","FY 2015","FY 2015","Currency=INR","Period=FY","BEST_FPERIOD_OVERRIDE=FY","FILING_STATUS=MR","EQY_CONSOLIDATED=Y","Sort=A","Dates=H","DateFormat=P","Fill=—","Direction=H","UseDPDF=Y")</f>
        <v>-217.8886</v>
      </c>
      <c r="J85" s="14" t="str">
        <f>_xll.BDH("RCOM IN Equity","FREE_CASH_FLOW_SEQUENTIAL_GROWTH","FY 2016","FY 2016","Currency=INR","Period=FY","BEST_FPERIOD_OVERRIDE=FY","FILING_STATUS=MR","EQY_CONSOLIDATED=Y","Sort=A","Dates=H","DateFormat=P","Fill=—","Direction=H","UseDPDF=Y")</f>
        <v>—</v>
      </c>
      <c r="K85" s="14" t="str">
        <f>_xll.BDH("RCOM IN Equity","FREE_CASH_FLOW_SEQUENTIAL_GROWTH","FY 2017","FY 2017","Currency=INR","Period=FY","BEST_FPERIOD_OVERRIDE=FY","FILING_STATUS=MR","EQY_CONSOLIDATED=Y","Sort=A","Dates=H","DateFormat=P","Fill=—","Direction=H","UseDPDF=Y")</f>
        <v>—</v>
      </c>
      <c r="L85" s="14" t="str">
        <f>_xll.BDH("RCOM IN Equity","FREE_CASH_FLOW_SEQUENTIAL_GROWTH","FY 2018","FY 2018","Currency=INR","Period=FY","BEST_FPERIOD_OVERRIDE=FY","FILING_STATUS=MR","EQY_CONSOLIDATED=Y","Sort=A","Dates=H","DateFormat=P","Fill=—","Direction=H","UseDPDF=Y")</f>
        <v>—</v>
      </c>
    </row>
    <row r="86" spans="1:12">
      <c r="A86" s="10" t="s">
        <v>1488</v>
      </c>
      <c r="B86" s="10" t="s">
        <v>1537</v>
      </c>
      <c r="C86" s="14" t="str">
        <f>_xll.BDH("RCOM IN Equity","CF_TO_FIRM_SEQUENTIAL_GROWTH","FY 2009","FY 2009","Currency=INR","Period=FY","BEST_FPERIOD_OVERRIDE=FY","FILING_STATUS=MR","EQY_CONSOLIDATED=Y","FA_ADJUSTED=GAAP","Sort=A","Dates=H","DateFormat=P","Fill=—","Direction=H","UseDPDF=Y")</f>
        <v>—</v>
      </c>
      <c r="D86" s="14" t="str">
        <f>_xll.BDH("RCOM IN Equity","CF_TO_FIRM_SEQUENTIAL_GROWTH","FY 2010","FY 2010","Currency=INR","Period=FY","BEST_FPERIOD_OVERRIDE=FY","FILING_STATUS=MR","EQY_CONSOLIDATED=Y","FA_ADJUSTED=GAAP","Sort=A","Dates=H","DateFormat=P","Fill=—","Direction=H","UseDPDF=Y")</f>
        <v>—</v>
      </c>
      <c r="E86" s="14">
        <f>_xll.BDH("RCOM IN Equity","CF_TO_FIRM_SEQUENTIAL_GROWTH","FY 2011","FY 2011","Currency=INR","Period=FY","BEST_FPERIOD_OVERRIDE=FY","FILING_STATUS=MR","EQY_CONSOLIDATED=Y","FA_ADJUSTED=GAAP","Sort=A","Dates=H","DateFormat=P","Fill=—","Direction=H","UseDPDF=Y")</f>
        <v>-79.083399999999997</v>
      </c>
      <c r="F86" s="14" t="str">
        <f>_xll.BDH("RCOM IN Equity","CF_TO_FIRM_SEQUENTIAL_GROWTH","FY 2012","FY 2012","Currency=INR","Period=FY","BEST_FPERIOD_OVERRIDE=FY","FILING_STATUS=MR","EQY_CONSOLIDATED=Y","FA_ADJUSTED=GAAP","Sort=A","Dates=H","DateFormat=P","Fill=—","Direction=H","UseDPDF=Y")</f>
        <v>—</v>
      </c>
      <c r="G86" s="14" t="str">
        <f>_xll.BDH("RCOM IN Equity","CF_TO_FIRM_SEQUENTIAL_GROWTH","FY 2013","FY 2013","Currency=INR","Period=FY","BEST_FPERIOD_OVERRIDE=FY","FILING_STATUS=MR","EQY_CONSOLIDATED=Y","FA_ADJUSTED=GAAP","Sort=A","Dates=H","DateFormat=P","Fill=—","Direction=H","UseDPDF=Y")</f>
        <v>—</v>
      </c>
      <c r="H86" s="14" t="str">
        <f>_xll.BDH("RCOM IN Equity","CF_TO_FIRM_SEQUENTIAL_GROWTH","FY 2014","FY 2014","Currency=INR","Period=FY","BEST_FPERIOD_OVERRIDE=FY","FILING_STATUS=MR","EQY_CONSOLIDATED=Y","FA_ADJUSTED=GAAP","Sort=A","Dates=H","DateFormat=P","Fill=—","Direction=H","UseDPDF=Y")</f>
        <v>—</v>
      </c>
      <c r="I86" s="14" t="str">
        <f>_xll.BDH("RCOM IN Equity","CF_TO_FIRM_SEQUENTIAL_GROWTH","FY 2015","FY 2015","Currency=INR","Period=FY","BEST_FPERIOD_OVERRIDE=FY","FILING_STATUS=MR","EQY_CONSOLIDATED=Y","FA_ADJUSTED=GAAP","Sort=A","Dates=H","DateFormat=P","Fill=—","Direction=H","UseDPDF=Y")</f>
        <v>—</v>
      </c>
      <c r="J86" s="14" t="str">
        <f>_xll.BDH("RCOM IN Equity","CF_TO_FIRM_SEQUENTIAL_GROWTH","FY 2016","FY 2016","Currency=INR","Period=FY","BEST_FPERIOD_OVERRIDE=FY","FILING_STATUS=MR","EQY_CONSOLIDATED=Y","FA_ADJUSTED=GAAP","Sort=A","Dates=H","DateFormat=P","Fill=—","Direction=H","UseDPDF=Y")</f>
        <v>—</v>
      </c>
      <c r="K86" s="14" t="str">
        <f>_xll.BDH("RCOM IN Equity","CF_TO_FIRM_SEQUENTIAL_GROWTH","FY 2017","FY 2017","Currency=INR","Period=FY","BEST_FPERIOD_OVERRIDE=FY","FILING_STATUS=MR","EQY_CONSOLIDATED=Y","FA_ADJUSTED=GAAP","Sort=A","Dates=H","DateFormat=P","Fill=—","Direction=H","UseDPDF=Y")</f>
        <v>—</v>
      </c>
      <c r="L86" s="14" t="str">
        <f>_xll.BDH("RCOM IN Equity","CF_TO_FIRM_SEQUENTIAL_GROWTH","FY 2018","FY 2018","Currency=INR","Period=FY","BEST_FPERIOD_OVERRIDE=FY","FILING_STATUS=MR","EQY_CONSOLIDATED=Y","FA_ADJUSTED=GAAP","Sort=A","Dates=H","DateFormat=P","Fill=—","Direction=H","UseDPDF=Y")</f>
        <v>—</v>
      </c>
    </row>
    <row r="87" spans="1:12">
      <c r="A87" s="10" t="s">
        <v>1296</v>
      </c>
      <c r="B87" s="10" t="s">
        <v>1538</v>
      </c>
      <c r="C87" s="14" t="str">
        <f>_xll.BDH("RCOM IN Equity","FCF_TO_FIRM_SEQUENTIAL_GROWTH","FY 2009","FY 2009","Currency=INR","Period=FY","BEST_FPERIOD_OVERRIDE=FY","FILING_STATUS=MR","EQY_CONSOLIDATED=Y","FA_ADJUSTED=GAAP","Sort=A","Dates=H","DateFormat=P","Fill=—","Direction=H","UseDPDF=Y")</f>
        <v>—</v>
      </c>
      <c r="D87" s="14" t="str">
        <f>_xll.BDH("RCOM IN Equity","FCF_TO_FIRM_SEQUENTIAL_GROWTH","FY 2010","FY 2010","Currency=INR","Period=FY","BEST_FPERIOD_OVERRIDE=FY","FILING_STATUS=MR","EQY_CONSOLIDATED=Y","FA_ADJUSTED=GAAP","Sort=A","Dates=H","DateFormat=P","Fill=—","Direction=H","UseDPDF=Y")</f>
        <v>—</v>
      </c>
      <c r="E87" s="14">
        <f>_xll.BDH("RCOM IN Equity","FCF_TO_FIRM_SEQUENTIAL_GROWTH","FY 2011","FY 2011","Currency=INR","Period=FY","BEST_FPERIOD_OVERRIDE=FY","FILING_STATUS=MR","EQY_CONSOLIDATED=Y","FA_ADJUSTED=GAAP","Sort=A","Dates=H","DateFormat=P","Fill=—","Direction=H","UseDPDF=Y")</f>
        <v>-538.31140000000005</v>
      </c>
      <c r="F87" s="14" t="str">
        <f>_xll.BDH("RCOM IN Equity","FCF_TO_FIRM_SEQUENTIAL_GROWTH","FY 2012","FY 2012","Currency=INR","Period=FY","BEST_FPERIOD_OVERRIDE=FY","FILING_STATUS=MR","EQY_CONSOLIDATED=Y","FA_ADJUSTED=GAAP","Sort=A","Dates=H","DateFormat=P","Fill=—","Direction=H","UseDPDF=Y")</f>
        <v>—</v>
      </c>
      <c r="G87" s="14" t="str">
        <f>_xll.BDH("RCOM IN Equity","FCF_TO_FIRM_SEQUENTIAL_GROWTH","FY 2013","FY 2013","Currency=INR","Period=FY","BEST_FPERIOD_OVERRIDE=FY","FILING_STATUS=MR","EQY_CONSOLIDATED=Y","FA_ADJUSTED=GAAP","Sort=A","Dates=H","DateFormat=P","Fill=—","Direction=H","UseDPDF=Y")</f>
        <v>—</v>
      </c>
      <c r="H87" s="14" t="str">
        <f>_xll.BDH("RCOM IN Equity","FCF_TO_FIRM_SEQUENTIAL_GROWTH","FY 2014","FY 2014","Currency=INR","Period=FY","BEST_FPERIOD_OVERRIDE=FY","FILING_STATUS=MR","EQY_CONSOLIDATED=Y","FA_ADJUSTED=GAAP","Sort=A","Dates=H","DateFormat=P","Fill=—","Direction=H","UseDPDF=Y")</f>
        <v>—</v>
      </c>
      <c r="I87" s="14" t="str">
        <f>_xll.BDH("RCOM IN Equity","FCF_TO_FIRM_SEQUENTIAL_GROWTH","FY 2015","FY 2015","Currency=INR","Period=FY","BEST_FPERIOD_OVERRIDE=FY","FILING_STATUS=MR","EQY_CONSOLIDATED=Y","FA_ADJUSTED=GAAP","Sort=A","Dates=H","DateFormat=P","Fill=—","Direction=H","UseDPDF=Y")</f>
        <v>—</v>
      </c>
      <c r="J87" s="14" t="str">
        <f>_xll.BDH("RCOM IN Equity","FCF_TO_FIRM_SEQUENTIAL_GROWTH","FY 2016","FY 2016","Currency=INR","Period=FY","BEST_FPERIOD_OVERRIDE=FY","FILING_STATUS=MR","EQY_CONSOLIDATED=Y","FA_ADJUSTED=GAAP","Sort=A","Dates=H","DateFormat=P","Fill=—","Direction=H","UseDPDF=Y")</f>
        <v>—</v>
      </c>
      <c r="K87" s="14" t="str">
        <f>_xll.BDH("RCOM IN Equity","FCF_TO_FIRM_SEQUENTIAL_GROWTH","FY 2017","FY 2017","Currency=INR","Period=FY","BEST_FPERIOD_OVERRIDE=FY","FILING_STATUS=MR","EQY_CONSOLIDATED=Y","FA_ADJUSTED=GAAP","Sort=A","Dates=H","DateFormat=P","Fill=—","Direction=H","UseDPDF=Y")</f>
        <v>—</v>
      </c>
      <c r="L87" s="14" t="str">
        <f>_xll.BDH("RCOM IN Equity","FCF_TO_FIRM_SEQUENTIAL_GROWTH","FY 2018","FY 2018","Currency=INR","Period=FY","BEST_FPERIOD_OVERRIDE=FY","FILING_STATUS=MR","EQY_CONSOLIDATED=Y","FA_ADJUSTED=GAAP","Sort=A","Dates=H","DateFormat=P","Fill=—","Direction=H","UseDPDF=Y")</f>
        <v>—</v>
      </c>
    </row>
    <row r="88" spans="1:12">
      <c r="A88" s="7" t="s">
        <v>57</v>
      </c>
      <c r="B88" s="7"/>
      <c r="C88" s="7" t="s">
        <v>3</v>
      </c>
      <c r="D88" s="7"/>
      <c r="E88" s="7"/>
      <c r="F88" s="7"/>
      <c r="G88" s="7"/>
      <c r="H88" s="7"/>
      <c r="I88" s="7"/>
      <c r="J88" s="7"/>
      <c r="K88" s="7"/>
      <c r="L88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L42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1539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10" t="s">
        <v>1540</v>
      </c>
      <c r="B6" s="10" t="s">
        <v>34</v>
      </c>
      <c r="C6" s="13">
        <f>_xll.BDH("RCOM IN Equity","SHORT_AND_LONG_TERM_DEBT","FY 2009","FY 2009","Currency=INR","Period=FY","BEST_FPERIOD_OVERRIDE=FY","FILING_STATUS=MR","EQY_CONSOLIDATED=Y","SCALING_FORMAT=MLN","Sort=A","Dates=H","DateFormat=P","Fill=—","Direction=H","UseDPDF=Y")</f>
        <v>391622.5</v>
      </c>
      <c r="D6" s="13">
        <f>_xll.BDH("RCOM IN Equity","SHORT_AND_LONG_TERM_DEBT","FY 2010","FY 2010","Currency=INR","Period=FY","BEST_FPERIOD_OVERRIDE=FY","FILING_STATUS=MR","EQY_CONSOLIDATED=Y","SCALING_FORMAT=MLN","Sort=A","Dates=H","DateFormat=P","Fill=—","Direction=H","UseDPDF=Y")</f>
        <v>297154.2</v>
      </c>
      <c r="E6" s="13">
        <f>_xll.BDH("RCOM IN Equity","SHORT_AND_LONG_TERM_DEBT","FY 2011","FY 2011","Currency=INR","Period=FY","BEST_FPERIOD_OVERRIDE=FY","FILING_STATUS=MR","EQY_CONSOLIDATED=Y","SCALING_FORMAT=MLN","Sort=A","Dates=H","DateFormat=P","Fill=—","Direction=H","UseDPDF=Y")</f>
        <v>390710</v>
      </c>
      <c r="F6" s="13">
        <f>_xll.BDH("RCOM IN Equity","SHORT_AND_LONG_TERM_DEBT","FY 2012","FY 2012","Currency=INR","Period=FY","BEST_FPERIOD_OVERRIDE=FY","FILING_STATUS=MR","EQY_CONSOLIDATED=Y","SCALING_FORMAT=MLN","Sort=A","Dates=H","DateFormat=P","Fill=—","Direction=H","UseDPDF=Y")</f>
        <v>383030</v>
      </c>
      <c r="G6" s="13">
        <f>_xll.BDH("RCOM IN Equity","SHORT_AND_LONG_TERM_DEBT","FY 2013","FY 2013","Currency=INR","Period=FY","BEST_FPERIOD_OVERRIDE=FY","FILING_STATUS=MR","EQY_CONSOLIDATED=Y","SCALING_FORMAT=MLN","Sort=A","Dates=H","DateFormat=P","Fill=—","Direction=H","UseDPDF=Y")</f>
        <v>415470</v>
      </c>
      <c r="H6" s="13">
        <f>_xll.BDH("RCOM IN Equity","SHORT_AND_LONG_TERM_DEBT","FY 2014","FY 2014","Currency=INR","Period=FY","BEST_FPERIOD_OVERRIDE=FY","FILING_STATUS=MR","EQY_CONSOLIDATED=Y","SCALING_FORMAT=MLN","Sort=A","Dates=H","DateFormat=P","Fill=—","Direction=H","UseDPDF=Y")</f>
        <v>422680</v>
      </c>
      <c r="I6" s="13">
        <f>_xll.BDH("RCOM IN Equity","SHORT_AND_LONG_TERM_DEBT","FY 2015","FY 2015","Currency=INR","Period=FY","BEST_FPERIOD_OVERRIDE=FY","FILING_STATUS=MR","EQY_CONSOLIDATED=Y","SCALING_FORMAT=MLN","Sort=A","Dates=H","DateFormat=P","Fill=—","Direction=H","UseDPDF=Y")</f>
        <v>399640</v>
      </c>
      <c r="J6" s="13">
        <f>_xll.BDH("RCOM IN Equity","SHORT_AND_LONG_TERM_DEBT","FY 2016","FY 2016","Currency=INR","Period=FY","BEST_FPERIOD_OVERRIDE=FY","FILING_STATUS=MR","EQY_CONSOLIDATED=Y","SCALING_FORMAT=MLN","Sort=A","Dates=H","DateFormat=P","Fill=—","Direction=H","UseDPDF=Y")</f>
        <v>436170</v>
      </c>
      <c r="K6" s="13">
        <f>_xll.BDH("RCOM IN Equity","SHORT_AND_LONG_TERM_DEBT","FY 2017","FY 2017","Currency=INR","Period=FY","BEST_FPERIOD_OVERRIDE=FY","FILING_STATUS=MR","EQY_CONSOLIDATED=Y","SCALING_FORMAT=MLN","Sort=A","Dates=H","DateFormat=P","Fill=—","Direction=H","UseDPDF=Y")</f>
        <v>457330</v>
      </c>
      <c r="L6" s="13">
        <f>_xll.BDH("RCOM IN Equity","SHORT_AND_LONG_TERM_DEBT","FY 2018","FY 2018","Currency=INR","Period=FY","BEST_FPERIOD_OVERRIDE=FY","FILING_STATUS=MR","EQY_CONSOLIDATED=Y","SCALING_FORMAT=MLN","Sort=A","Dates=H","DateFormat=P","Fill=—","Direction=H","UseDPDF=Y")</f>
        <v>472830</v>
      </c>
    </row>
    <row r="7" spans="1:12">
      <c r="A7" s="10" t="s">
        <v>1541</v>
      </c>
      <c r="B7" s="10" t="s">
        <v>764</v>
      </c>
      <c r="C7" s="13">
        <f>_xll.BDH("RCOM IN Equity","BS_ST_BORROW","FY 2009","FY 2009","Currency=INR","Period=FY","BEST_FPERIOD_OVERRIDE=FY","FILING_STATUS=MR","EQY_CONSOLIDATED=Y","SCALING_FORMAT=MLN","Sort=A","Dates=H","DateFormat=P","Fill=—","Direction=H","UseDPDF=Y")</f>
        <v>118716.2</v>
      </c>
      <c r="D7" s="13">
        <f>_xll.BDH("RCOM IN Equity","BS_ST_BORROW","FY 2010","FY 2010","Currency=INR","Period=FY","BEST_FPERIOD_OVERRIDE=FY","FILING_STATUS=MR","EQY_CONSOLIDATED=Y","SCALING_FORMAT=MLN","Sort=A","Dates=H","DateFormat=P","Fill=—","Direction=H","UseDPDF=Y")</f>
        <v>104636</v>
      </c>
      <c r="E7" s="13">
        <f>_xll.BDH("RCOM IN Equity","BS_ST_BORROW","FY 2011","FY 2011","Currency=INR","Period=FY","BEST_FPERIOD_OVERRIDE=FY","FILING_STATUS=MR","EQY_CONSOLIDATED=Y","SCALING_FORMAT=MLN","Sort=A","Dates=H","DateFormat=P","Fill=—","Direction=H","UseDPDF=Y")</f>
        <v>197580</v>
      </c>
      <c r="F7" s="13">
        <f>_xll.BDH("RCOM IN Equity","BS_ST_BORROW","FY 2012","FY 2012","Currency=INR","Period=FY","BEST_FPERIOD_OVERRIDE=FY","FILING_STATUS=MR","EQY_CONSOLIDATED=Y","SCALING_FORMAT=MLN","Sort=A","Dates=H","DateFormat=P","Fill=—","Direction=H","UseDPDF=Y")</f>
        <v>86570</v>
      </c>
      <c r="G7" s="13">
        <f>_xll.BDH("RCOM IN Equity","BS_ST_BORROW","FY 2013","FY 2013","Currency=INR","Period=FY","BEST_FPERIOD_OVERRIDE=FY","FILING_STATUS=MR","EQY_CONSOLIDATED=Y","SCALING_FORMAT=MLN","Sort=A","Dates=H","DateFormat=P","Fill=—","Direction=H","UseDPDF=Y")</f>
        <v>128690</v>
      </c>
      <c r="H7" s="13">
        <f>_xll.BDH("RCOM IN Equity","BS_ST_BORROW","FY 2014","FY 2014","Currency=INR","Period=FY","BEST_FPERIOD_OVERRIDE=FY","FILING_STATUS=MR","EQY_CONSOLIDATED=Y","SCALING_FORMAT=MLN","Sort=A","Dates=H","DateFormat=P","Fill=—","Direction=H","UseDPDF=Y")</f>
        <v>140850</v>
      </c>
      <c r="I7" s="13">
        <f>_xll.BDH("RCOM IN Equity","BS_ST_BORROW","FY 2015","FY 2015","Currency=INR","Period=FY","BEST_FPERIOD_OVERRIDE=FY","FILING_STATUS=MR","EQY_CONSOLIDATED=Y","SCALING_FORMAT=MLN","Sort=A","Dates=H","DateFormat=P","Fill=—","Direction=H","UseDPDF=Y")</f>
        <v>94830</v>
      </c>
      <c r="J7" s="13">
        <f>_xll.BDH("RCOM IN Equity","BS_ST_BORROW","FY 2016","FY 2016","Currency=INR","Period=FY","BEST_FPERIOD_OVERRIDE=FY","FILING_STATUS=MR","EQY_CONSOLIDATED=Y","SCALING_FORMAT=MLN","Sort=A","Dates=H","DateFormat=P","Fill=—","Direction=H","UseDPDF=Y")</f>
        <v>145030</v>
      </c>
      <c r="K7" s="13">
        <f>_xll.BDH("RCOM IN Equity","BS_ST_BORROW","FY 2017","FY 2017","Currency=INR","Period=FY","BEST_FPERIOD_OVERRIDE=FY","FILING_STATUS=MR","EQY_CONSOLIDATED=Y","SCALING_FORMAT=MLN","Sort=A","Dates=H","DateFormat=P","Fill=—","Direction=H","UseDPDF=Y")</f>
        <v>231830</v>
      </c>
      <c r="L7" s="13">
        <f>_xll.BDH("RCOM IN Equity","BS_ST_BORROW","FY 2018","FY 2018","Currency=INR","Period=FY","BEST_FPERIOD_OVERRIDE=FY","FILING_STATUS=MR","EQY_CONSOLIDATED=Y","SCALING_FORMAT=MLN","Sort=A","Dates=H","DateFormat=P","Fill=—","Direction=H","UseDPDF=Y")</f>
        <v>342130</v>
      </c>
    </row>
    <row r="8" spans="1:12">
      <c r="A8" s="10" t="s">
        <v>1542</v>
      </c>
      <c r="B8" s="10" t="s">
        <v>780</v>
      </c>
      <c r="C8" s="13">
        <f>_xll.BDH("RCOM IN Equity","BS_LT_BORROW","FY 2009","FY 2009","Currency=INR","Period=FY","BEST_FPERIOD_OVERRIDE=FY","FILING_STATUS=MR","EQY_CONSOLIDATED=Y","SCALING_FORMAT=MLN","Sort=A","Dates=H","DateFormat=P","Fill=—","Direction=H","UseDPDF=Y")</f>
        <v>272906.3</v>
      </c>
      <c r="D8" s="13">
        <f>_xll.BDH("RCOM IN Equity","BS_LT_BORROW","FY 2010","FY 2010","Currency=INR","Period=FY","BEST_FPERIOD_OVERRIDE=FY","FILING_STATUS=MR","EQY_CONSOLIDATED=Y","SCALING_FORMAT=MLN","Sort=A","Dates=H","DateFormat=P","Fill=—","Direction=H","UseDPDF=Y")</f>
        <v>192518.2</v>
      </c>
      <c r="E8" s="13">
        <f>_xll.BDH("RCOM IN Equity","BS_LT_BORROW","FY 2011","FY 2011","Currency=INR","Period=FY","BEST_FPERIOD_OVERRIDE=FY","FILING_STATUS=MR","EQY_CONSOLIDATED=Y","SCALING_FORMAT=MLN","Sort=A","Dates=H","DateFormat=P","Fill=—","Direction=H","UseDPDF=Y")</f>
        <v>193130</v>
      </c>
      <c r="F8" s="13">
        <f>_xll.BDH("RCOM IN Equity","BS_LT_BORROW","FY 2012","FY 2012","Currency=INR","Period=FY","BEST_FPERIOD_OVERRIDE=FY","FILING_STATUS=MR","EQY_CONSOLIDATED=Y","SCALING_FORMAT=MLN","Sort=A","Dates=H","DateFormat=P","Fill=—","Direction=H","UseDPDF=Y")</f>
        <v>296460</v>
      </c>
      <c r="G8" s="13">
        <f>_xll.BDH("RCOM IN Equity","BS_LT_BORROW","FY 2013","FY 2013","Currency=INR","Period=FY","BEST_FPERIOD_OVERRIDE=FY","FILING_STATUS=MR","EQY_CONSOLIDATED=Y","SCALING_FORMAT=MLN","Sort=A","Dates=H","DateFormat=P","Fill=—","Direction=H","UseDPDF=Y")</f>
        <v>286780</v>
      </c>
      <c r="H8" s="13">
        <f>_xll.BDH("RCOM IN Equity","BS_LT_BORROW","FY 2014","FY 2014","Currency=INR","Period=FY","BEST_FPERIOD_OVERRIDE=FY","FILING_STATUS=MR","EQY_CONSOLIDATED=Y","SCALING_FORMAT=MLN","Sort=A","Dates=H","DateFormat=P","Fill=—","Direction=H","UseDPDF=Y")</f>
        <v>281830</v>
      </c>
      <c r="I8" s="13">
        <f>_xll.BDH("RCOM IN Equity","BS_LT_BORROW","FY 2015","FY 2015","Currency=INR","Period=FY","BEST_FPERIOD_OVERRIDE=FY","FILING_STATUS=MR","EQY_CONSOLIDATED=Y","SCALING_FORMAT=MLN","Sort=A","Dates=H","DateFormat=P","Fill=—","Direction=H","UseDPDF=Y")</f>
        <v>304810</v>
      </c>
      <c r="J8" s="13">
        <f>_xll.BDH("RCOM IN Equity","BS_LT_BORROW","FY 2016","FY 2016","Currency=INR","Period=FY","BEST_FPERIOD_OVERRIDE=FY","FILING_STATUS=MR","EQY_CONSOLIDATED=Y","SCALING_FORMAT=MLN","Sort=A","Dates=H","DateFormat=P","Fill=—","Direction=H","UseDPDF=Y")</f>
        <v>291140</v>
      </c>
      <c r="K8" s="13">
        <f>_xll.BDH("RCOM IN Equity","BS_LT_BORROW","FY 2017","FY 2017","Currency=INR","Period=FY","BEST_FPERIOD_OVERRIDE=FY","FILING_STATUS=MR","EQY_CONSOLIDATED=Y","SCALING_FORMAT=MLN","Sort=A","Dates=H","DateFormat=P","Fill=—","Direction=H","UseDPDF=Y")</f>
        <v>225500</v>
      </c>
      <c r="L8" s="13">
        <f>_xll.BDH("RCOM IN Equity","BS_LT_BORROW","FY 2018","FY 2018","Currency=INR","Period=FY","BEST_FPERIOD_OVERRIDE=FY","FILING_STATUS=MR","EQY_CONSOLIDATED=Y","SCALING_FORMAT=MLN","Sort=A","Dates=H","DateFormat=P","Fill=—","Direction=H","UseDPDF=Y")</f>
        <v>130700</v>
      </c>
    </row>
    <row r="9" spans="1:12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>
      <c r="A10" s="10" t="s">
        <v>1543</v>
      </c>
      <c r="B10" s="10" t="s">
        <v>1544</v>
      </c>
      <c r="C10" s="14">
        <f>_xll.BDH("RCOM IN Equity","TOT_DEBT_TO_EBITDA","FY 2009","FY 2009","Currency=INR","Period=FY","BEST_FPERIOD_OVERRIDE=FY","FILING_STATUS=MR","EQY_CONSOLIDATED=Y","FA_ADJUSTED=GAAP","Sort=A","Dates=H","DateFormat=P","Fill=—","Direction=H","UseDPDF=Y")</f>
        <v>4.4855999999999998</v>
      </c>
      <c r="D10" s="14">
        <f>_xll.BDH("RCOM IN Equity","TOT_DEBT_TO_EBITDA","FY 2010","FY 2010","Currency=INR","Period=FY","BEST_FPERIOD_OVERRIDE=FY","FILING_STATUS=MR","EQY_CONSOLIDATED=Y","FA_ADJUSTED=GAAP","Sort=A","Dates=H","DateFormat=P","Fill=—","Direction=H","UseDPDF=Y")</f>
        <v>4.2516999999999996</v>
      </c>
      <c r="E10" s="14">
        <f>_xll.BDH("RCOM IN Equity","TOT_DEBT_TO_EBITDA","FY 2011","FY 2011","Currency=INR","Period=FY","BEST_FPERIOD_OVERRIDE=FY","FILING_STATUS=MR","EQY_CONSOLIDATED=Y","FA_ADJUSTED=GAAP","Sort=A","Dates=H","DateFormat=P","Fill=—","Direction=H","UseDPDF=Y")</f>
        <v>4.6646000000000001</v>
      </c>
      <c r="F10" s="14">
        <f>_xll.BDH("RCOM IN Equity","TOT_DEBT_TO_EBITDA","FY 2012","FY 2012","Currency=INR","Period=FY","BEST_FPERIOD_OVERRIDE=FY","FILING_STATUS=MR","EQY_CONSOLIDATED=Y","FA_ADJUSTED=GAAP","Sort=A","Dates=H","DateFormat=P","Fill=—","Direction=H","UseDPDF=Y")</f>
        <v>6.6097000000000001</v>
      </c>
      <c r="G10" s="14">
        <f>_xll.BDH("RCOM IN Equity","TOT_DEBT_TO_EBITDA","FY 2013","FY 2013","Currency=INR","Period=FY","BEST_FPERIOD_OVERRIDE=FY","FILING_STATUS=MR","EQY_CONSOLIDATED=Y","FA_ADJUSTED=GAAP","Sort=A","Dates=H","DateFormat=P","Fill=—","Direction=H","UseDPDF=Y")</f>
        <v>6.9932999999999996</v>
      </c>
      <c r="H10" s="14">
        <f>_xll.BDH("RCOM IN Equity","TOT_DEBT_TO_EBITDA","FY 2014","FY 2014","Currency=INR","Period=FY","BEST_FPERIOD_OVERRIDE=FY","FILING_STATUS=MR","EQY_CONSOLIDATED=Y","FA_ADJUSTED=GAAP","Sort=A","Dates=H","DateFormat=P","Fill=—","Direction=H","UseDPDF=Y")</f>
        <v>6.3029999999999999</v>
      </c>
      <c r="I10" s="14">
        <f>_xll.BDH("RCOM IN Equity","TOT_DEBT_TO_EBITDA","FY 2015","FY 2015","Currency=INR","Period=FY","BEST_FPERIOD_OVERRIDE=FY","FILING_STATUS=MR","EQY_CONSOLIDATED=Y","FA_ADJUSTED=GAAP","Sort=A","Dates=H","DateFormat=P","Fill=—","Direction=H","UseDPDF=Y")</f>
        <v>5.5458999999999996</v>
      </c>
      <c r="J10" s="14">
        <f>_xll.BDH("RCOM IN Equity","TOT_DEBT_TO_EBITDA","FY 2016","FY 2016","Currency=INR","Period=FY","BEST_FPERIOD_OVERRIDE=FY","FILING_STATUS=MR","EQY_CONSOLIDATED=Y","FA_ADJUSTED=GAAP","Sort=A","Dates=H","DateFormat=P","Fill=—","Direction=H","UseDPDF=Y")</f>
        <v>6.0079000000000002</v>
      </c>
      <c r="K10" s="14">
        <f>_xll.BDH("RCOM IN Equity","TOT_DEBT_TO_EBITDA","FY 2017","FY 2017","Currency=INR","Period=FY","BEST_FPERIOD_OVERRIDE=FY","FILING_STATUS=MR","EQY_CONSOLIDATED=Y","FA_ADJUSTED=GAAP","Sort=A","Dates=H","DateFormat=P","Fill=—","Direction=H","UseDPDF=Y")</f>
        <v>9.8117999999999999</v>
      </c>
      <c r="L10" s="14">
        <f>_xll.BDH("RCOM IN Equity","TOT_DEBT_TO_EBITDA","FY 2018","FY 2018","Currency=INR","Period=FY","BEST_FPERIOD_OVERRIDE=FY","FILING_STATUS=MR","EQY_CONSOLIDATED=Y","FA_ADJUSTED=GAAP","Sort=A","Dates=H","DateFormat=P","Fill=—","Direction=H","UseDPDF=Y")</f>
        <v>15.2035</v>
      </c>
    </row>
    <row r="11" spans="1:12">
      <c r="A11" s="10" t="s">
        <v>1545</v>
      </c>
      <c r="B11" s="10" t="s">
        <v>1546</v>
      </c>
      <c r="C11" s="14">
        <f>_xll.BDH("RCOM IN Equity","NET_DEBT_TO_EBITDA","FY 2009","FY 2009","Currency=INR","Period=FY","BEST_FPERIOD_OVERRIDE=FY","FILING_STATUS=MR","EQY_CONSOLIDATED=Y","FA_ADJUSTED=GAAP","Sort=A","Dates=H","DateFormat=P","Fill=—","Direction=H","UseDPDF=Y")</f>
        <v>3.2294</v>
      </c>
      <c r="D11" s="14">
        <f>_xll.BDH("RCOM IN Equity","NET_DEBT_TO_EBITDA","FY 2010","FY 2010","Currency=INR","Period=FY","BEST_FPERIOD_OVERRIDE=FY","FILING_STATUS=MR","EQY_CONSOLIDATED=Y","FA_ADJUSTED=GAAP","Sort=A","Dates=H","DateFormat=P","Fill=—","Direction=H","UseDPDF=Y")</f>
        <v>3.5566</v>
      </c>
      <c r="E11" s="14">
        <f>_xll.BDH("RCOM IN Equity","NET_DEBT_TO_EBITDA","FY 2011","FY 2011","Currency=INR","Period=FY","BEST_FPERIOD_OVERRIDE=FY","FILING_STATUS=MR","EQY_CONSOLIDATED=Y","FA_ADJUSTED=GAAP","Sort=A","Dates=H","DateFormat=P","Fill=—","Direction=H","UseDPDF=Y")</f>
        <v>4.0297000000000001</v>
      </c>
      <c r="F11" s="14">
        <f>_xll.BDH("RCOM IN Equity","NET_DEBT_TO_EBITDA","FY 2012","FY 2012","Currency=INR","Period=FY","BEST_FPERIOD_OVERRIDE=FY","FILING_STATUS=MR","EQY_CONSOLIDATED=Y","FA_ADJUSTED=GAAP","Sort=A","Dates=H","DateFormat=P","Fill=—","Direction=H","UseDPDF=Y")</f>
        <v>6.4252000000000002</v>
      </c>
      <c r="G11" s="14">
        <f>_xll.BDH("RCOM IN Equity","NET_DEBT_TO_EBITDA","FY 2013","FY 2013","Currency=INR","Period=FY","BEST_FPERIOD_OVERRIDE=FY","FILING_STATUS=MR","EQY_CONSOLIDATED=Y","FA_ADJUSTED=GAAP","Sort=A","Dates=H","DateFormat=P","Fill=—","Direction=H","UseDPDF=Y")</f>
        <v>6.7774999999999999</v>
      </c>
      <c r="H11" s="14">
        <f>_xll.BDH("RCOM IN Equity","NET_DEBT_TO_EBITDA","FY 2014","FY 2014","Currency=INR","Period=FY","BEST_FPERIOD_OVERRIDE=FY","FILING_STATUS=MR","EQY_CONSOLIDATED=Y","FA_ADJUSTED=GAAP","Sort=A","Dates=H","DateFormat=P","Fill=—","Direction=H","UseDPDF=Y")</f>
        <v>6.1375999999999999</v>
      </c>
      <c r="I11" s="14">
        <f>_xll.BDH("RCOM IN Equity","NET_DEBT_TO_EBITDA","FY 2015","FY 2015","Currency=INR","Period=FY","BEST_FPERIOD_OVERRIDE=FY","FILING_STATUS=MR","EQY_CONSOLIDATED=Y","FA_ADJUSTED=GAAP","Sort=A","Dates=H","DateFormat=P","Fill=—","Direction=H","UseDPDF=Y")</f>
        <v>5.1742999999999997</v>
      </c>
      <c r="J11" s="14">
        <f>_xll.BDH("RCOM IN Equity","NET_DEBT_TO_EBITDA","FY 2016","FY 2016","Currency=INR","Period=FY","BEST_FPERIOD_OVERRIDE=FY","FILING_STATUS=MR","EQY_CONSOLIDATED=Y","FA_ADJUSTED=GAAP","Sort=A","Dates=H","DateFormat=P","Fill=—","Direction=H","UseDPDF=Y")</f>
        <v>5.7988999999999997</v>
      </c>
      <c r="K11" s="14">
        <f>_xll.BDH("RCOM IN Equity","NET_DEBT_TO_EBITDA","FY 2017","FY 2017","Currency=INR","Period=FY","BEST_FPERIOD_OVERRIDE=FY","FILING_STATUS=MR","EQY_CONSOLIDATED=Y","FA_ADJUSTED=GAAP","Sort=A","Dates=H","DateFormat=P","Fill=—","Direction=H","UseDPDF=Y")</f>
        <v>9.5298999999999996</v>
      </c>
      <c r="L11" s="14">
        <f>_xll.BDH("RCOM IN Equity","NET_DEBT_TO_EBITDA","FY 2018","FY 2018","Currency=INR","Period=FY","BEST_FPERIOD_OVERRIDE=FY","FILING_STATUS=MR","EQY_CONSOLIDATED=Y","FA_ADJUSTED=GAAP","Sort=A","Dates=H","DateFormat=P","Fill=—","Direction=H","UseDPDF=Y")</f>
        <v>14.966900000000001</v>
      </c>
    </row>
    <row r="12" spans="1:12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>
      <c r="A13" s="10" t="s">
        <v>1547</v>
      </c>
      <c r="B13" s="10" t="s">
        <v>1548</v>
      </c>
      <c r="C13" s="14">
        <f>_xll.BDH("RCOM IN Equity","TOTAL_DEBT_TO_EBIT","FY 2009","FY 2009","Currency=INR","Period=FY","BEST_FPERIOD_OVERRIDE=FY","FILING_STATUS=MR","EQY_CONSOLIDATED=Y","FA_ADJUSTED=GAAP","Sort=A","Dates=H","DateFormat=P","Fill=—","Direction=H","UseDPDF=Y")</f>
        <v>7.6444000000000001</v>
      </c>
      <c r="D13" s="14">
        <f>_xll.BDH("RCOM IN Equity","TOTAL_DEBT_TO_EBIT","FY 2010","FY 2010","Currency=INR","Period=FY","BEST_FPERIOD_OVERRIDE=FY","FILING_STATUS=MR","EQY_CONSOLIDATED=Y","FA_ADJUSTED=GAAP","Sort=A","Dates=H","DateFormat=P","Fill=—","Direction=H","UseDPDF=Y")</f>
        <v>9.1643000000000008</v>
      </c>
      <c r="E13" s="14">
        <f>_xll.BDH("RCOM IN Equity","TOTAL_DEBT_TO_EBIT","FY 2011","FY 2011","Currency=INR","Period=FY","BEST_FPERIOD_OVERRIDE=FY","FILING_STATUS=MR","EQY_CONSOLIDATED=Y","FA_ADJUSTED=GAAP","Sort=A","Dates=H","DateFormat=P","Fill=—","Direction=H","UseDPDF=Y")</f>
        <v>20.871300000000002</v>
      </c>
      <c r="F13" s="14">
        <f>_xll.BDH("RCOM IN Equity","TOTAL_DEBT_TO_EBIT","FY 2012","FY 2012","Currency=INR","Period=FY","BEST_FPERIOD_OVERRIDE=FY","FILING_STATUS=MR","EQY_CONSOLIDATED=Y","FA_ADJUSTED=GAAP","Sort=A","Dates=H","DateFormat=P","Fill=—","Direction=H","UseDPDF=Y")</f>
        <v>21.080400000000001</v>
      </c>
      <c r="G13" s="14">
        <f>_xll.BDH("RCOM IN Equity","TOTAL_DEBT_TO_EBIT","FY 2013","FY 2013","Currency=INR","Period=FY","BEST_FPERIOD_OVERRIDE=FY","FILING_STATUS=MR","EQY_CONSOLIDATED=Y","FA_ADJUSTED=GAAP","Sort=A","Dates=H","DateFormat=P","Fill=—","Direction=H","UseDPDF=Y")</f>
        <v>19.821999999999999</v>
      </c>
      <c r="H13" s="14">
        <f>_xll.BDH("RCOM IN Equity","TOTAL_DEBT_TO_EBIT","FY 2014","FY 2014","Currency=INR","Period=FY","BEST_FPERIOD_OVERRIDE=FY","FILING_STATUS=MR","EQY_CONSOLIDATED=Y","FA_ADJUSTED=GAAP","Sort=A","Dates=H","DateFormat=P","Fill=—","Direction=H","UseDPDF=Y")</f>
        <v>19.4694</v>
      </c>
      <c r="I13" s="14">
        <f>_xll.BDH("RCOM IN Equity","TOTAL_DEBT_TO_EBIT","FY 2015","FY 2015","Currency=INR","Period=FY","BEST_FPERIOD_OVERRIDE=FY","FILING_STATUS=MR","EQY_CONSOLIDATED=Y","FA_ADJUSTED=GAAP","Sort=A","Dates=H","DateFormat=P","Fill=—","Direction=H","UseDPDF=Y")</f>
        <v>11.792300000000001</v>
      </c>
      <c r="J13" s="14">
        <f>_xll.BDH("RCOM IN Equity","TOTAL_DEBT_TO_EBIT","FY 2016","FY 2016","Currency=INR","Period=FY","BEST_FPERIOD_OVERRIDE=FY","FILING_STATUS=MR","EQY_CONSOLIDATED=Y","FA_ADJUSTED=GAAP","Sort=A","Dates=H","DateFormat=P","Fill=—","Direction=H","UseDPDF=Y")</f>
        <v>15.712199999999999</v>
      </c>
      <c r="K13" s="14">
        <f>_xll.BDH("RCOM IN Equity","TOTAL_DEBT_TO_EBIT","FY 2017","FY 2017","Currency=INR","Period=FY","BEST_FPERIOD_OVERRIDE=FY","FILING_STATUS=MR","EQY_CONSOLIDATED=Y","FA_ADJUSTED=GAAP","Sort=A","Dates=H","DateFormat=P","Fill=—","Direction=H","UseDPDF=Y")</f>
        <v>103.93859999999999</v>
      </c>
      <c r="L13" s="14">
        <f>_xll.BDH("RCOM IN Equity","TOTAL_DEBT_TO_EBIT","FY 2018","FY 2018","Currency=INR","Period=FY","BEST_FPERIOD_OVERRIDE=FY","FILING_STATUS=MR","EQY_CONSOLIDATED=Y","FA_ADJUSTED=GAAP","Sort=A","Dates=H","DateFormat=P","Fill=—","Direction=H","UseDPDF=Y")</f>
        <v>194.58019999999999</v>
      </c>
    </row>
    <row r="14" spans="1:12">
      <c r="A14" s="10" t="s">
        <v>1549</v>
      </c>
      <c r="B14" s="10" t="s">
        <v>1550</v>
      </c>
      <c r="C14" s="14">
        <f>_xll.BDH("RCOM IN Equity","NET_DEBT_TO_EBIT","FY 2009","FY 2009","Currency=INR","Period=FY","BEST_FPERIOD_OVERRIDE=FY","FILING_STATUS=MR","EQY_CONSOLIDATED=Y","FA_ADJUSTED=GAAP","Sort=A","Dates=H","DateFormat=P","Fill=—","Direction=H","UseDPDF=Y")</f>
        <v>5.5037000000000003</v>
      </c>
      <c r="D14" s="14">
        <f>_xll.BDH("RCOM IN Equity","NET_DEBT_TO_EBIT","FY 2010","FY 2010","Currency=INR","Period=FY","BEST_FPERIOD_OVERRIDE=FY","FILING_STATUS=MR","EQY_CONSOLIDATED=Y","FA_ADJUSTED=GAAP","Sort=A","Dates=H","DateFormat=P","Fill=—","Direction=H","UseDPDF=Y")</f>
        <v>7.6658999999999997</v>
      </c>
      <c r="E14" s="14">
        <f>_xll.BDH("RCOM IN Equity","NET_DEBT_TO_EBIT","FY 2011","FY 2011","Currency=INR","Period=FY","BEST_FPERIOD_OVERRIDE=FY","FILING_STATUS=MR","EQY_CONSOLIDATED=Y","FA_ADJUSTED=GAAP","Sort=A","Dates=H","DateFormat=P","Fill=—","Direction=H","UseDPDF=Y")</f>
        <v>18.0304</v>
      </c>
      <c r="F14" s="14">
        <f>_xll.BDH("RCOM IN Equity","NET_DEBT_TO_EBIT","FY 2012","FY 2012","Currency=INR","Period=FY","BEST_FPERIOD_OVERRIDE=FY","FILING_STATUS=MR","EQY_CONSOLIDATED=Y","FA_ADJUSTED=GAAP","Sort=A","Dates=H","DateFormat=P","Fill=—","Direction=H","UseDPDF=Y")</f>
        <v>20.492000000000001</v>
      </c>
      <c r="G14" s="14">
        <f>_xll.BDH("RCOM IN Equity","NET_DEBT_TO_EBIT","FY 2013","FY 2013","Currency=INR","Period=FY","BEST_FPERIOD_OVERRIDE=FY","FILING_STATUS=MR","EQY_CONSOLIDATED=Y","FA_ADJUSTED=GAAP","Sort=A","Dates=H","DateFormat=P","Fill=—","Direction=H","UseDPDF=Y")</f>
        <v>19.2104</v>
      </c>
      <c r="H14" s="14">
        <f>_xll.BDH("RCOM IN Equity","NET_DEBT_TO_EBIT","FY 2014","FY 2014","Currency=INR","Period=FY","BEST_FPERIOD_OVERRIDE=FY","FILING_STATUS=MR","EQY_CONSOLIDATED=Y","FA_ADJUSTED=GAAP","Sort=A","Dates=H","DateFormat=P","Fill=—","Direction=H","UseDPDF=Y")</f>
        <v>18.958500000000001</v>
      </c>
      <c r="I14" s="14">
        <f>_xll.BDH("RCOM IN Equity","NET_DEBT_TO_EBIT","FY 2015","FY 2015","Currency=INR","Period=FY","BEST_FPERIOD_OVERRIDE=FY","FILING_STATUS=MR","EQY_CONSOLIDATED=Y","FA_ADJUSTED=GAAP","Sort=A","Dates=H","DateFormat=P","Fill=—","Direction=H","UseDPDF=Y")</f>
        <v>11.0021</v>
      </c>
      <c r="J14" s="14">
        <f>_xll.BDH("RCOM IN Equity","NET_DEBT_TO_EBIT","FY 2016","FY 2016","Currency=INR","Period=FY","BEST_FPERIOD_OVERRIDE=FY","FILING_STATUS=MR","EQY_CONSOLIDATED=Y","FA_ADJUSTED=GAAP","Sort=A","Dates=H","DateFormat=P","Fill=—","Direction=H","UseDPDF=Y")</f>
        <v>15.165699999999999</v>
      </c>
      <c r="K14" s="14">
        <f>_xll.BDH("RCOM IN Equity","NET_DEBT_TO_EBIT","FY 2017","FY 2017","Currency=INR","Period=FY","BEST_FPERIOD_OVERRIDE=FY","FILING_STATUS=MR","EQY_CONSOLIDATED=Y","FA_ADJUSTED=GAAP","Sort=A","Dates=H","DateFormat=P","Fill=—","Direction=H","UseDPDF=Y")</f>
        <v>100.95229999999999</v>
      </c>
      <c r="L14" s="14">
        <f>_xll.BDH("RCOM IN Equity","NET_DEBT_TO_EBIT","FY 2018","FY 2018","Currency=INR","Period=FY","BEST_FPERIOD_OVERRIDE=FY","FILING_STATUS=MR","EQY_CONSOLIDATED=Y","FA_ADJUSTED=GAAP","Sort=A","Dates=H","DateFormat=P","Fill=—","Direction=H","UseDPDF=Y")</f>
        <v>191.5514</v>
      </c>
    </row>
    <row r="15" spans="1:12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>
      <c r="A16" s="10" t="s">
        <v>1551</v>
      </c>
      <c r="B16" s="10" t="s">
        <v>1552</v>
      </c>
      <c r="C16" s="14">
        <f>_xll.BDH("RCOM IN Equity","EBITDA_TO_INTEREST_EXPN","FY 2009","FY 2009","Currency=INR","Period=FY","BEST_FPERIOD_OVERRIDE=FY","FILING_STATUS=MR","EQY_CONSOLIDATED=Y","FA_ADJUSTED=GAAP","Sort=A","Dates=H","DateFormat=P","Fill=—","Direction=H","UseDPDF=Y")</f>
        <v>7.2045000000000003</v>
      </c>
      <c r="D16" s="14">
        <f>_xll.BDH("RCOM IN Equity","EBITDA_TO_INTEREST_EXPN","FY 2010","FY 2010","Currency=INR","Period=FY","BEST_FPERIOD_OVERRIDE=FY","FILING_STATUS=MR","EQY_CONSOLIDATED=Y","FA_ADJUSTED=GAAP","Sort=A","Dates=H","DateFormat=P","Fill=—","Direction=H","UseDPDF=Y")</f>
        <v>5.2072000000000003</v>
      </c>
      <c r="E16" s="14">
        <f>_xll.BDH("RCOM IN Equity","EBITDA_TO_INTEREST_EXPN","FY 2011","FY 2011","Currency=INR","Period=FY","BEST_FPERIOD_OVERRIDE=FY","FILING_STATUS=MR","EQY_CONSOLIDATED=Y","FA_ADJUSTED=GAAP","Sort=A","Dates=H","DateFormat=P","Fill=—","Direction=H","UseDPDF=Y")</f>
        <v>9.2859999999999996</v>
      </c>
      <c r="F16" s="14">
        <f>_xll.BDH("RCOM IN Equity","EBITDA_TO_INTEREST_EXPN","FY 2012","FY 2012","Currency=INR","Period=FY","BEST_FPERIOD_OVERRIDE=FY","FILING_STATUS=MR","EQY_CONSOLIDATED=Y","FA_ADJUSTED=GAAP","Sort=A","Dates=H","DateFormat=P","Fill=—","Direction=H","UseDPDF=Y")</f>
        <v>3.9234999999999998</v>
      </c>
      <c r="G16" s="14">
        <f>_xll.BDH("RCOM IN Equity","EBITDA_TO_INTEREST_EXPN","FY 2013","FY 2013","Currency=INR","Period=FY","BEST_FPERIOD_OVERRIDE=FY","FILING_STATUS=MR","EQY_CONSOLIDATED=Y","FA_ADJUSTED=GAAP","Sort=A","Dates=H","DateFormat=P","Fill=—","Direction=H","UseDPDF=Y")</f>
        <v>2.6230000000000002</v>
      </c>
      <c r="H16" s="14">
        <f>_xll.BDH("RCOM IN Equity","EBITDA_TO_INTEREST_EXPN","FY 2014","FY 2014","Currency=INR","Period=FY","BEST_FPERIOD_OVERRIDE=FY","FILING_STATUS=MR","EQY_CONSOLIDATED=Y","FA_ADJUSTED=GAAP","Sort=A","Dates=H","DateFormat=P","Fill=—","Direction=H","UseDPDF=Y")</f>
        <v>2.4036</v>
      </c>
      <c r="I16" s="14">
        <f>_xll.BDH("RCOM IN Equity","EBITDA_TO_INTEREST_EXPN","FY 2015","FY 2015","Currency=INR","Period=FY","BEST_FPERIOD_OVERRIDE=FY","FILING_STATUS=MR","EQY_CONSOLIDATED=Y","FA_ADJUSTED=GAAP","Sort=A","Dates=H","DateFormat=P","Fill=—","Direction=H","UseDPDF=Y")</f>
        <v>2.9268999999999998</v>
      </c>
      <c r="J16" s="14">
        <f>_xll.BDH("RCOM IN Equity","EBITDA_TO_INTEREST_EXPN","FY 2016","FY 2016","Currency=INR","Period=FY","BEST_FPERIOD_OVERRIDE=FY","FILING_STATUS=MR","EQY_CONSOLIDATED=Y","FA_ADJUSTED=GAAP","Sort=A","Dates=H","DateFormat=P","Fill=—","Direction=H","UseDPDF=Y")</f>
        <v>3.1347</v>
      </c>
      <c r="K16" s="14">
        <f>_xll.BDH("RCOM IN Equity","EBITDA_TO_INTEREST_EXPN","FY 2017","FY 2017","Currency=INR","Period=FY","BEST_FPERIOD_OVERRIDE=FY","FILING_STATUS=MR","EQY_CONSOLIDATED=Y","FA_ADJUSTED=GAAP","Sort=A","Dates=H","DateFormat=P","Fill=—","Direction=H","UseDPDF=Y")</f>
        <v>20.808</v>
      </c>
      <c r="L16" s="14">
        <f>_xll.BDH("RCOM IN Equity","EBITDA_TO_INTEREST_EXPN","FY 2018","FY 2018","Currency=INR","Period=FY","BEST_FPERIOD_OVERRIDE=FY","FILING_STATUS=MR","EQY_CONSOLIDATED=Y","FA_ADJUSTED=GAAP","Sort=A","Dates=H","DateFormat=P","Fill=—","Direction=H","UseDPDF=Y")</f>
        <v>18.511900000000001</v>
      </c>
    </row>
    <row r="17" spans="1:12">
      <c r="A17" s="10" t="s">
        <v>1553</v>
      </c>
      <c r="B17" s="10" t="s">
        <v>1554</v>
      </c>
      <c r="C17" s="14">
        <f>_xll.BDH("RCOM IN Equity","EBITDA_LES_CAP_EXPEND_TO_INT_EXP","FY 2009","FY 2009","Currency=INR","Period=FY","BEST_FPERIOD_OVERRIDE=FY","FILING_STATUS=MR","EQY_CONSOLIDATED=Y","FA_ADJUSTED=GAAP","Sort=A","Dates=H","DateFormat=P","Fill=—","Direction=H","UseDPDF=Y")</f>
        <v>-2.911</v>
      </c>
      <c r="D17" s="14">
        <f>_xll.BDH("RCOM IN Equity","EBITDA_LES_CAP_EXPEND_TO_INT_EXP","FY 2010","FY 2010","Currency=INR","Period=FY","BEST_FPERIOD_OVERRIDE=FY","FILING_STATUS=MR","EQY_CONSOLIDATED=Y","FA_ADJUSTED=GAAP","Sort=A","Dates=H","DateFormat=P","Fill=—","Direction=H","UseDPDF=Y")</f>
        <v>-0.37769999999999998</v>
      </c>
      <c r="E17" s="14">
        <f>_xll.BDH("RCOM IN Equity","EBITDA_LES_CAP_EXPEND_TO_INT_EXP","FY 2011","FY 2011","Currency=INR","Period=FY","BEST_FPERIOD_OVERRIDE=FY","FILING_STATUS=MR","EQY_CONSOLIDATED=Y","FA_ADJUSTED=GAAP","Sort=A","Dates=H","DateFormat=P","Fill=—","Direction=H","UseDPDF=Y")</f>
        <v>-2.1629999999999998</v>
      </c>
      <c r="F17" s="14">
        <f>_xll.BDH("RCOM IN Equity","EBITDA_LES_CAP_EXPEND_TO_INT_EXP","FY 2012","FY 2012","Currency=INR","Period=FY","BEST_FPERIOD_OVERRIDE=FY","FILING_STATUS=MR","EQY_CONSOLIDATED=Y","FA_ADJUSTED=GAAP","Sort=A","Dates=H","DateFormat=P","Fill=—","Direction=H","UseDPDF=Y")</f>
        <v>0.63980000000000004</v>
      </c>
      <c r="G17" s="14">
        <f>_xll.BDH("RCOM IN Equity","EBITDA_LES_CAP_EXPEND_TO_INT_EXP","FY 2013","FY 2013","Currency=INR","Period=FY","BEST_FPERIOD_OVERRIDE=FY","FILING_STATUS=MR","EQY_CONSOLIDATED=Y","FA_ADJUSTED=GAAP","Sort=A","Dates=H","DateFormat=P","Fill=—","Direction=H","UseDPDF=Y")</f>
        <v>1.6896</v>
      </c>
      <c r="H17" s="14">
        <f>_xll.BDH("RCOM IN Equity","EBITDA_LES_CAP_EXPEND_TO_INT_EXP","FY 2014","FY 2014","Currency=INR","Period=FY","BEST_FPERIOD_OVERRIDE=FY","FILING_STATUS=MR","EQY_CONSOLIDATED=Y","FA_ADJUSTED=GAAP","Sort=A","Dates=H","DateFormat=P","Fill=—","Direction=H","UseDPDF=Y")</f>
        <v>1.6276000000000002</v>
      </c>
      <c r="I17" s="14">
        <f>_xll.BDH("RCOM IN Equity","EBITDA_LES_CAP_EXPEND_TO_INT_EXP","FY 2015","FY 2015","Currency=INR","Period=FY","BEST_FPERIOD_OVERRIDE=FY","FILING_STATUS=MR","EQY_CONSOLIDATED=Y","FA_ADJUSTED=GAAP","Sort=A","Dates=H","DateFormat=P","Fill=—","Direction=H","UseDPDF=Y")</f>
        <v>1.9131</v>
      </c>
      <c r="J17" s="14">
        <f>_xll.BDH("RCOM IN Equity","EBITDA_LES_CAP_EXPEND_TO_INT_EXP","FY 2016","FY 2016","Currency=INR","Period=FY","BEST_FPERIOD_OVERRIDE=FY","FILING_STATUS=MR","EQY_CONSOLIDATED=Y","FA_ADJUSTED=GAAP","Sort=A","Dates=H","DateFormat=P","Fill=—","Direction=H","UseDPDF=Y")</f>
        <v>-3.4845000000000002</v>
      </c>
      <c r="K17" s="14">
        <f>_xll.BDH("RCOM IN Equity","EBITDA_LES_CAP_EXPEND_TO_INT_EXP","FY 2017","FY 2017","Currency=INR","Period=FY","BEST_FPERIOD_OVERRIDE=FY","FILING_STATUS=MR","EQY_CONSOLIDATED=Y","FA_ADJUSTED=GAAP","Sort=A","Dates=H","DateFormat=P","Fill=—","Direction=H","UseDPDF=Y")</f>
        <v>3.3079999999999998</v>
      </c>
      <c r="L17" s="14">
        <f>_xll.BDH("RCOM IN Equity","EBITDA_LES_CAP_EXPEND_TO_INT_EXP","FY 2018","FY 2018","Currency=INR","Period=FY","BEST_FPERIOD_OVERRIDE=FY","FILING_STATUS=MR","EQY_CONSOLIDATED=Y","FA_ADJUSTED=GAAP","Sort=A","Dates=H","DateFormat=P","Fill=—","Direction=H","UseDPDF=Y")</f>
        <v>14.994</v>
      </c>
    </row>
    <row r="18" spans="1:12">
      <c r="A18" s="10" t="s">
        <v>1555</v>
      </c>
      <c r="B18" s="10" t="s">
        <v>1556</v>
      </c>
      <c r="C18" s="14">
        <f>_xll.BDH("RCOM IN Equity","OPER_INC_TO_INT_EXP","FY 2009","FY 2009","Currency=INR","Period=FY","BEST_FPERIOD_OVERRIDE=FY","FILING_STATUS=MR","EQY_CONSOLIDATED=Y","FA_ADJUSTED=GAAP","Sort=A","Dates=H","DateFormat=P","Fill=—","Direction=H","UseDPDF=Y")</f>
        <v>4.2274000000000003</v>
      </c>
      <c r="D18" s="14">
        <f>_xll.BDH("RCOM IN Equity","OPER_INC_TO_INT_EXP","FY 2010","FY 2010","Currency=INR","Period=FY","BEST_FPERIOD_OVERRIDE=FY","FILING_STATUS=MR","EQY_CONSOLIDATED=Y","FA_ADJUSTED=GAAP","Sort=A","Dates=H","DateFormat=P","Fill=—","Direction=H","UseDPDF=Y")</f>
        <v>2.4157999999999999</v>
      </c>
      <c r="E18" s="14">
        <f>_xll.BDH("RCOM IN Equity","OPER_INC_TO_INT_EXP","FY 2011","FY 2011","Currency=INR","Period=FY","BEST_FPERIOD_OVERRIDE=FY","FILING_STATUS=MR","EQY_CONSOLIDATED=Y","FA_ADJUSTED=GAAP","Sort=A","Dates=H","DateFormat=P","Fill=—","Direction=H","UseDPDF=Y")</f>
        <v>2.0754000000000001</v>
      </c>
      <c r="F18" s="14">
        <f>_xll.BDH("RCOM IN Equity","OPER_INC_TO_INT_EXP","FY 2012","FY 2012","Currency=INR","Period=FY","BEST_FPERIOD_OVERRIDE=FY","FILING_STATUS=MR","EQY_CONSOLIDATED=Y","FA_ADJUSTED=GAAP","Sort=A","Dates=H","DateFormat=P","Fill=—","Direction=H","UseDPDF=Y")</f>
        <v>1.2302</v>
      </c>
      <c r="G18" s="14">
        <f>_xll.BDH("RCOM IN Equity","OPER_INC_TO_INT_EXP","FY 2013","FY 2013","Currency=INR","Period=FY","BEST_FPERIOD_OVERRIDE=FY","FILING_STATUS=MR","EQY_CONSOLIDATED=Y","FA_ADJUSTED=GAAP","Sort=A","Dates=H","DateFormat=P","Fill=—","Direction=H","UseDPDF=Y")</f>
        <v>0.9254</v>
      </c>
      <c r="H18" s="14">
        <f>_xll.BDH("RCOM IN Equity","OPER_INC_TO_INT_EXP","FY 2014","FY 2014","Currency=INR","Period=FY","BEST_FPERIOD_OVERRIDE=FY","FILING_STATUS=MR","EQY_CONSOLIDATED=Y","FA_ADJUSTED=GAAP","Sort=A","Dates=H","DateFormat=P","Fill=—","Direction=H","UseDPDF=Y")</f>
        <v>0.77810000000000001</v>
      </c>
      <c r="I18" s="14">
        <f>_xll.BDH("RCOM IN Equity","OPER_INC_TO_INT_EXP","FY 2015","FY 2015","Currency=INR","Period=FY","BEST_FPERIOD_OVERRIDE=FY","FILING_STATUS=MR","EQY_CONSOLIDATED=Y","FA_ADJUSTED=GAAP","Sort=A","Dates=H","DateFormat=P","Fill=—","Direction=H","UseDPDF=Y")</f>
        <v>1.3765000000000001</v>
      </c>
      <c r="J18" s="14">
        <f>_xll.BDH("RCOM IN Equity","OPER_INC_TO_INT_EXP","FY 2016","FY 2016","Currency=INR","Period=FY","BEST_FPERIOD_OVERRIDE=FY","FILING_STATUS=MR","EQY_CONSOLIDATED=Y","FA_ADJUSTED=GAAP","Sort=A","Dates=H","DateFormat=P","Fill=—","Direction=H","UseDPDF=Y")</f>
        <v>1.1985999999999999</v>
      </c>
      <c r="K18" s="14">
        <f>_xll.BDH("RCOM IN Equity","OPER_INC_TO_INT_EXP","FY 2017","FY 2017","Currency=INR","Period=FY","BEST_FPERIOD_OVERRIDE=FY","FILING_STATUS=MR","EQY_CONSOLIDATED=Y","FA_ADJUSTED=GAAP","Sort=A","Dates=H","DateFormat=P","Fill=—","Direction=H","UseDPDF=Y")</f>
        <v>1.9643000000000002</v>
      </c>
      <c r="L18" s="14">
        <f>_xll.BDH("RCOM IN Equity","OPER_INC_TO_INT_EXP","FY 2018","FY 2018","Currency=INR","Period=FY","BEST_FPERIOD_OVERRIDE=FY","FILING_STATUS=MR","EQY_CONSOLIDATED=Y","FA_ADJUSTED=GAAP","Sort=A","Dates=H","DateFormat=P","Fill=—","Direction=H","UseDPDF=Y")</f>
        <v>1.4464000000000001</v>
      </c>
    </row>
    <row r="19" spans="1:12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>
      <c r="A20" s="10" t="s">
        <v>1557</v>
      </c>
      <c r="B20" s="10" t="s">
        <v>1558</v>
      </c>
      <c r="C20" s="14">
        <f>_xll.BDH("RCOM IN Equity","EBITDA_TO_CASH_INTEREST_PAID","FY 2009","FY 2009","Currency=INR","Period=FY","BEST_FPERIOD_OVERRIDE=FY","FILING_STATUS=MR","EQY_CONSOLIDATED=Y","FA_ADJUSTED=GAAP","Sort=A","Dates=H","DateFormat=P","Fill=—","Direction=H","UseDPDF=Y")</f>
        <v>6.3383000000000003</v>
      </c>
      <c r="D20" s="14">
        <f>_xll.BDH("RCOM IN Equity","EBITDA_TO_CASH_INTEREST_PAID","FY 2010","FY 2010","Currency=INR","Period=FY","BEST_FPERIOD_OVERRIDE=FY","FILING_STATUS=MR","EQY_CONSOLIDATED=Y","FA_ADJUSTED=GAAP","Sort=A","Dates=H","DateFormat=P","Fill=—","Direction=H","UseDPDF=Y")</f>
        <v>4.8506999999999998</v>
      </c>
      <c r="E20" s="14">
        <f>_xll.BDH("RCOM IN Equity","EBITDA_TO_CASH_INTEREST_PAID","FY 2011","FY 2011","Currency=INR","Period=FY","BEST_FPERIOD_OVERRIDE=FY","FILING_STATUS=MR","EQY_CONSOLIDATED=Y","FA_ADJUSTED=GAAP","Sort=A","Dates=H","DateFormat=P","Fill=—","Direction=H","UseDPDF=Y")</f>
        <v>6.1497999999999999</v>
      </c>
      <c r="F20" s="14">
        <f>_xll.BDH("RCOM IN Equity","EBITDA_TO_CASH_INTEREST_PAID","FY 2012","FY 2012","Currency=INR","Period=FY","BEST_FPERIOD_OVERRIDE=FY","FILING_STATUS=MR","EQY_CONSOLIDATED=Y","FA_ADJUSTED=GAAP","Sort=A","Dates=H","DateFormat=P","Fill=—","Direction=H","UseDPDF=Y")</f>
        <v>3.3731</v>
      </c>
      <c r="G20" s="14">
        <f>_xll.BDH("RCOM IN Equity","EBITDA_TO_CASH_INTEREST_PAID","FY 2013","FY 2013","Currency=INR","Period=FY","BEST_FPERIOD_OVERRIDE=FY","FILING_STATUS=MR","EQY_CONSOLIDATED=Y","FA_ADJUSTED=GAAP","Sort=A","Dates=H","DateFormat=P","Fill=—","Direction=H","UseDPDF=Y")</f>
        <v>2.4100999999999999</v>
      </c>
      <c r="H20" s="14">
        <f>_xll.BDH("RCOM IN Equity","EBITDA_TO_CASH_INTEREST_PAID","FY 2014","FY 2014","Currency=INR","Period=FY","BEST_FPERIOD_OVERRIDE=FY","FILING_STATUS=MR","EQY_CONSOLIDATED=Y","FA_ADJUSTED=GAAP","Sort=A","Dates=H","DateFormat=P","Fill=—","Direction=H","UseDPDF=Y")</f>
        <v>2.222</v>
      </c>
      <c r="I20" s="14" t="str">
        <f>_xll.BDH("RCOM IN Equity","EBITDA_TO_CASH_INTEREST_PAID","FY 2015","FY 2015","Currency=INR","Period=FY","BEST_FPERIOD_OVERRIDE=FY","FILING_STATUS=MR","EQY_CONSOLIDATED=Y","FA_ADJUSTED=GAAP","Sort=A","Dates=H","DateFormat=P","Fill=—","Direction=H","UseDPDF=Y")</f>
        <v>—</v>
      </c>
      <c r="J20" s="14" t="str">
        <f>_xll.BDH("RCOM IN Equity","EBITDA_TO_CASH_INTEREST_PAID","FY 2016","FY 2016","Currency=INR","Period=FY","BEST_FPERIOD_OVERRIDE=FY","FILING_STATUS=MR","EQY_CONSOLIDATED=Y","FA_ADJUSTED=GAAP","Sort=A","Dates=H","DateFormat=P","Fill=—","Direction=H","UseDPDF=Y")</f>
        <v>—</v>
      </c>
      <c r="K20" s="14" t="str">
        <f>_xll.BDH("RCOM IN Equity","EBITDA_TO_CASH_INTEREST_PAID","FY 2017","FY 2017","Currency=INR","Period=FY","BEST_FPERIOD_OVERRIDE=FY","FILING_STATUS=MR","EQY_CONSOLIDATED=Y","FA_ADJUSTED=GAAP","Sort=A","Dates=H","DateFormat=P","Fill=—","Direction=H","UseDPDF=Y")</f>
        <v>—</v>
      </c>
      <c r="L20" s="14" t="str">
        <f>_xll.BDH("RCOM IN Equity","EBITDA_TO_CASH_INTEREST_PAID","FY 2018","FY 2018","Currency=INR","Period=FY","BEST_FPERIOD_OVERRIDE=FY","FILING_STATUS=MR","EQY_CONSOLIDATED=Y","FA_ADJUSTED=GAAP","Sort=A","Dates=H","DateFormat=P","Fill=—","Direction=H","UseDPDF=Y")</f>
        <v>—</v>
      </c>
    </row>
    <row r="21" spans="1:12">
      <c r="A21" s="10" t="s">
        <v>1559</v>
      </c>
      <c r="B21" s="10" t="s">
        <v>1560</v>
      </c>
      <c r="C21" s="14">
        <f>_xll.BDH("RCOM IN Equity","EBITDA_AFT_CAPEX_TO_CASH_INT_PD","FY 2009","FY 2009","Currency=INR","Period=FY","BEST_FPERIOD_OVERRIDE=FY","FILING_STATUS=MR","EQY_CONSOLIDATED=Y","FA_ADJUSTED=GAAP","Sort=A","Dates=H","DateFormat=P","Fill=—","Direction=H","UseDPDF=Y")</f>
        <v>-2.5611000000000002</v>
      </c>
      <c r="D21" s="14">
        <f>_xll.BDH("RCOM IN Equity","EBITDA_AFT_CAPEX_TO_CASH_INT_PD","FY 2010","FY 2010","Currency=INR","Period=FY","BEST_FPERIOD_OVERRIDE=FY","FILING_STATUS=MR","EQY_CONSOLIDATED=Y","FA_ADJUSTED=GAAP","Sort=A","Dates=H","DateFormat=P","Fill=—","Direction=H","UseDPDF=Y")</f>
        <v>-0.35189999999999999</v>
      </c>
      <c r="E21" s="14">
        <f>_xll.BDH("RCOM IN Equity","EBITDA_AFT_CAPEX_TO_CASH_INT_PD","FY 2011","FY 2011","Currency=INR","Period=FY","BEST_FPERIOD_OVERRIDE=FY","FILING_STATUS=MR","EQY_CONSOLIDATED=Y","FA_ADJUSTED=GAAP","Sort=A","Dates=H","DateFormat=P","Fill=—","Direction=H","UseDPDF=Y")</f>
        <v>-1.4325000000000001</v>
      </c>
      <c r="F21" s="14">
        <f>_xll.BDH("RCOM IN Equity","EBITDA_AFT_CAPEX_TO_CASH_INT_PD","FY 2012","FY 2012","Currency=INR","Period=FY","BEST_FPERIOD_OVERRIDE=FY","FILING_STATUS=MR","EQY_CONSOLIDATED=Y","FA_ADJUSTED=GAAP","Sort=A","Dates=H","DateFormat=P","Fill=—","Direction=H","UseDPDF=Y")</f>
        <v>0.55010000000000003</v>
      </c>
      <c r="G21" s="14">
        <f>_xll.BDH("RCOM IN Equity","EBITDA_AFT_CAPEX_TO_CASH_INT_PD","FY 2013","FY 2013","Currency=INR","Period=FY","BEST_FPERIOD_OVERRIDE=FY","FILING_STATUS=MR","EQY_CONSOLIDATED=Y","FA_ADJUSTED=GAAP","Sort=A","Dates=H","DateFormat=P","Fill=—","Direction=H","UseDPDF=Y")</f>
        <v>1.5525</v>
      </c>
      <c r="H21" s="14">
        <f>_xll.BDH("RCOM IN Equity","EBITDA_AFT_CAPEX_TO_CASH_INT_PD","FY 2014","FY 2014","Currency=INR","Period=FY","BEST_FPERIOD_OVERRIDE=FY","FILING_STATUS=MR","EQY_CONSOLIDATED=Y","FA_ADJUSTED=GAAP","Sort=A","Dates=H","DateFormat=P","Fill=—","Direction=H","UseDPDF=Y")</f>
        <v>1.5045999999999999</v>
      </c>
      <c r="I21" s="14" t="str">
        <f>_xll.BDH("RCOM IN Equity","EBITDA_AFT_CAPEX_TO_CASH_INT_PD","FY 2015","FY 2015","Currency=INR","Period=FY","BEST_FPERIOD_OVERRIDE=FY","FILING_STATUS=MR","EQY_CONSOLIDATED=Y","FA_ADJUSTED=GAAP","Sort=A","Dates=H","DateFormat=P","Fill=—","Direction=H","UseDPDF=Y")</f>
        <v>—</v>
      </c>
      <c r="J21" s="14" t="str">
        <f>_xll.BDH("RCOM IN Equity","EBITDA_AFT_CAPEX_TO_CASH_INT_PD","FY 2016","FY 2016","Currency=INR","Period=FY","BEST_FPERIOD_OVERRIDE=FY","FILING_STATUS=MR","EQY_CONSOLIDATED=Y","FA_ADJUSTED=GAAP","Sort=A","Dates=H","DateFormat=P","Fill=—","Direction=H","UseDPDF=Y")</f>
        <v>—</v>
      </c>
      <c r="K21" s="14" t="str">
        <f>_xll.BDH("RCOM IN Equity","EBITDA_AFT_CAPEX_TO_CASH_INT_PD","FY 2017","FY 2017","Currency=INR","Period=FY","BEST_FPERIOD_OVERRIDE=FY","FILING_STATUS=MR","EQY_CONSOLIDATED=Y","FA_ADJUSTED=GAAP","Sort=A","Dates=H","DateFormat=P","Fill=—","Direction=H","UseDPDF=Y")</f>
        <v>—</v>
      </c>
      <c r="L21" s="14" t="str">
        <f>_xll.BDH("RCOM IN Equity","EBITDA_AFT_CAPEX_TO_CASH_INT_PD","FY 2018","FY 2018","Currency=INR","Period=FY","BEST_FPERIOD_OVERRIDE=FY","FILING_STATUS=MR","EQY_CONSOLIDATED=Y","FA_ADJUSTED=GAAP","Sort=A","Dates=H","DateFormat=P","Fill=—","Direction=H","UseDPDF=Y")</f>
        <v>—</v>
      </c>
    </row>
    <row r="22" spans="1:12">
      <c r="A22" s="10" t="s">
        <v>1561</v>
      </c>
      <c r="B22" s="10" t="s">
        <v>1562</v>
      </c>
      <c r="C22" s="14">
        <f>_xll.BDH("RCOM IN Equity","EBIT_TO_CASH_INTEREST_PAID","FY 2009","FY 2009","Currency=INR","Period=FY","BEST_FPERIOD_OVERRIDE=FY","FILING_STATUS=MR","EQY_CONSOLIDATED=Y","FA_ADJUSTED=GAAP","Sort=A","Dates=H","DateFormat=P","Fill=—","Direction=H","UseDPDF=Y")</f>
        <v>3.7191999999999998</v>
      </c>
      <c r="D22" s="14">
        <f>_xll.BDH("RCOM IN Equity","EBIT_TO_CASH_INTEREST_PAID","FY 2010","FY 2010","Currency=INR","Period=FY","BEST_FPERIOD_OVERRIDE=FY","FILING_STATUS=MR","EQY_CONSOLIDATED=Y","FA_ADJUSTED=GAAP","Sort=A","Dates=H","DateFormat=P","Fill=—","Direction=H","UseDPDF=Y")</f>
        <v>2.2504</v>
      </c>
      <c r="E22" s="14">
        <f>_xll.BDH("RCOM IN Equity","EBIT_TO_CASH_INTEREST_PAID","FY 2011","FY 2011","Currency=INR","Period=FY","BEST_FPERIOD_OVERRIDE=FY","FILING_STATUS=MR","EQY_CONSOLIDATED=Y","FA_ADJUSTED=GAAP","Sort=A","Dates=H","DateFormat=P","Fill=—","Direction=H","UseDPDF=Y")</f>
        <v>1.3744000000000001</v>
      </c>
      <c r="F22" s="14">
        <f>_xll.BDH("RCOM IN Equity","EBIT_TO_CASH_INTEREST_PAID","FY 2012","FY 2012","Currency=INR","Period=FY","BEST_FPERIOD_OVERRIDE=FY","FILING_STATUS=MR","EQY_CONSOLIDATED=Y","FA_ADJUSTED=GAAP","Sort=A","Dates=H","DateFormat=P","Fill=—","Direction=H","UseDPDF=Y")</f>
        <v>1.0576000000000001</v>
      </c>
      <c r="G22" s="14">
        <f>_xll.BDH("RCOM IN Equity","EBIT_TO_CASH_INTEREST_PAID","FY 2013","FY 2013","Currency=INR","Period=FY","BEST_FPERIOD_OVERRIDE=FY","FILING_STATUS=MR","EQY_CONSOLIDATED=Y","FA_ADJUSTED=GAAP","Sort=A","Dates=H","DateFormat=P","Fill=—","Direction=H","UseDPDF=Y")</f>
        <v>0.85029999999999994</v>
      </c>
      <c r="H22" s="14">
        <f>_xll.BDH("RCOM IN Equity","EBIT_TO_CASH_INTEREST_PAID","FY 2014","FY 2014","Currency=INR","Period=FY","BEST_FPERIOD_OVERRIDE=FY","FILING_STATUS=MR","EQY_CONSOLIDATED=Y","FA_ADJUSTED=GAAP","Sort=A","Dates=H","DateFormat=P","Fill=—","Direction=H","UseDPDF=Y")</f>
        <v>0.71940000000000004</v>
      </c>
      <c r="I22" s="14" t="str">
        <f>_xll.BDH("RCOM IN Equity","EBIT_TO_CASH_INTEREST_PAID","FY 2015","FY 2015","Currency=INR","Period=FY","BEST_FPERIOD_OVERRIDE=FY","FILING_STATUS=MR","EQY_CONSOLIDATED=Y","FA_ADJUSTED=GAAP","Sort=A","Dates=H","DateFormat=P","Fill=—","Direction=H","UseDPDF=Y")</f>
        <v>—</v>
      </c>
      <c r="J22" s="14" t="str">
        <f>_xll.BDH("RCOM IN Equity","EBIT_TO_CASH_INTEREST_PAID","FY 2016","FY 2016","Currency=INR","Period=FY","BEST_FPERIOD_OVERRIDE=FY","FILING_STATUS=MR","EQY_CONSOLIDATED=Y","FA_ADJUSTED=GAAP","Sort=A","Dates=H","DateFormat=P","Fill=—","Direction=H","UseDPDF=Y")</f>
        <v>—</v>
      </c>
      <c r="K22" s="14" t="str">
        <f>_xll.BDH("RCOM IN Equity","EBIT_TO_CASH_INTEREST_PAID","FY 2017","FY 2017","Currency=INR","Period=FY","BEST_FPERIOD_OVERRIDE=FY","FILING_STATUS=MR","EQY_CONSOLIDATED=Y","FA_ADJUSTED=GAAP","Sort=A","Dates=H","DateFormat=P","Fill=—","Direction=H","UseDPDF=Y")</f>
        <v>—</v>
      </c>
      <c r="L22" s="14" t="str">
        <f>_xll.BDH("RCOM IN Equity","EBIT_TO_CASH_INTEREST_PAID","FY 2018","FY 2018","Currency=INR","Period=FY","BEST_FPERIOD_OVERRIDE=FY","FILING_STATUS=MR","EQY_CONSOLIDATED=Y","FA_ADJUSTED=GAAP","Sort=A","Dates=H","DateFormat=P","Fill=—","Direction=H","UseDPDF=Y")</f>
        <v>—</v>
      </c>
    </row>
    <row r="23" spans="1:12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>
      <c r="A24" s="10" t="s">
        <v>1563</v>
      </c>
      <c r="B24" s="10" t="s">
        <v>1292</v>
      </c>
      <c r="C24" s="13">
        <f>_xll.BDH("RCOM IN Equity","CF_ACT_CASH_PAID_FOR_INT_DEBT","FY 2009","FY 2009","Currency=INR","Period=FY","BEST_FPERIOD_OVERRIDE=FY","FILING_STATUS=MR","EQY_CONSOLIDATED=Y","SCALING_FORMAT=MLN","Sort=A","Dates=H","DateFormat=P","Fill=—","Direction=H","UseDPDF=Y")</f>
        <v>13774.4</v>
      </c>
      <c r="D24" s="13">
        <f>_xll.BDH("RCOM IN Equity","CF_ACT_CASH_PAID_FOR_INT_DEBT","FY 2010","FY 2010","Currency=INR","Period=FY","BEST_FPERIOD_OVERRIDE=FY","FILING_STATUS=MR","EQY_CONSOLIDATED=Y","SCALING_FORMAT=MLN","Sort=A","Dates=H","DateFormat=P","Fill=—","Direction=H","UseDPDF=Y")</f>
        <v>14408.4</v>
      </c>
      <c r="E24" s="13">
        <f>_xll.BDH("RCOM IN Equity","CF_ACT_CASH_PAID_FOR_INT_DEBT","FY 2011","FY 2011","Currency=INR","Period=FY","BEST_FPERIOD_OVERRIDE=FY","FILING_STATUS=MR","EQY_CONSOLIDATED=Y","SCALING_FORMAT=MLN","Sort=A","Dates=H","DateFormat=P","Fill=—","Direction=H","UseDPDF=Y")</f>
        <v>13620</v>
      </c>
      <c r="F24" s="13">
        <f>_xll.BDH("RCOM IN Equity","CF_ACT_CASH_PAID_FOR_INT_DEBT","FY 2012","FY 2012","Currency=INR","Period=FY","BEST_FPERIOD_OVERRIDE=FY","FILING_STATUS=MR","EQY_CONSOLIDATED=Y","SCALING_FORMAT=MLN","Sort=A","Dates=H","DateFormat=P","Fill=—","Direction=H","UseDPDF=Y")</f>
        <v>17180</v>
      </c>
      <c r="G24" s="13">
        <f>_xll.BDH("RCOM IN Equity","CF_ACT_CASH_PAID_FOR_INT_DEBT","FY 2013","FY 2013","Currency=INR","Period=FY","BEST_FPERIOD_OVERRIDE=FY","FILING_STATUS=MR","EQY_CONSOLIDATED=Y","SCALING_FORMAT=MLN","Sort=A","Dates=H","DateFormat=P","Fill=—","Direction=H","UseDPDF=Y")</f>
        <v>24650</v>
      </c>
      <c r="H24" s="13">
        <f>_xll.BDH("RCOM IN Equity","CF_ACT_CASH_PAID_FOR_INT_DEBT","FY 2014","FY 2014","Currency=INR","Period=FY","BEST_FPERIOD_OVERRIDE=FY","FILING_STATUS=MR","EQY_CONSOLIDATED=Y","SCALING_FORMAT=MLN","Sort=A","Dates=H","DateFormat=P","Fill=—","Direction=H","UseDPDF=Y")</f>
        <v>30180</v>
      </c>
      <c r="I24" s="13" t="str">
        <f>_xll.BDH("RCOM IN Equity","CF_ACT_CASH_PAID_FOR_INT_DEBT","FY 2015","FY 2015","Currency=INR","Period=FY","BEST_FPERIOD_OVERRIDE=FY","FILING_STATUS=MR","EQY_CONSOLIDATED=Y","SCALING_FORMAT=MLN","Sort=A","Dates=H","DateFormat=P","Fill=—","Direction=H","UseDPDF=Y")</f>
        <v>—</v>
      </c>
      <c r="J24" s="13" t="str">
        <f>_xll.BDH("RCOM IN Equity","CF_ACT_CASH_PAID_FOR_INT_DEBT","FY 2016","FY 2016","Currency=INR","Period=FY","BEST_FPERIOD_OVERRIDE=FY","FILING_STATUS=MR","EQY_CONSOLIDATED=Y","SCALING_FORMAT=MLN","Sort=A","Dates=H","DateFormat=P","Fill=—","Direction=H","UseDPDF=Y")</f>
        <v>—</v>
      </c>
      <c r="K24" s="13" t="str">
        <f>_xll.BDH("RCOM IN Equity","CF_ACT_CASH_PAID_FOR_INT_DEBT","FY 2017","FY 2017","Currency=INR","Period=FY","BEST_FPERIOD_OVERRIDE=FY","FILING_STATUS=MR","EQY_CONSOLIDATED=Y","SCALING_FORMAT=MLN","Sort=A","Dates=H","DateFormat=P","Fill=—","Direction=H","UseDPDF=Y")</f>
        <v>—</v>
      </c>
      <c r="L24" s="13" t="str">
        <f>_xll.BDH("RCOM IN Equity","CF_ACT_CASH_PAID_FOR_INT_DEBT","FY 2018","FY 2018","Currency=INR","Period=FY","BEST_FPERIOD_OVERRIDE=FY","FILING_STATUS=MR","EQY_CONSOLIDATED=Y","SCALING_FORMAT=MLN","Sort=A","Dates=H","DateFormat=P","Fill=—","Direction=H","UseDPDF=Y")</f>
        <v>—</v>
      </c>
    </row>
    <row r="25" spans="1:12">
      <c r="A25" s="10" t="s">
        <v>495</v>
      </c>
      <c r="B25" s="10" t="s">
        <v>282</v>
      </c>
      <c r="C25" s="13">
        <f>_xll.BDH("RCOM IN Equity","IS_INT_EXPENSE","FY 2009","FY 2009","Currency=INR","Period=FY","BEST_FPERIOD_OVERRIDE=FY","FILING_STATUS=MR","EQY_CONSOLIDATED=Y","SCALING_FORMAT=MLN","FA_ADJUSTED=GAAP","Sort=A","Dates=H","DateFormat=P","Fill=—","Direction=H","UseDPDF=Y")</f>
        <v>12118.4</v>
      </c>
      <c r="D25" s="13">
        <f>_xll.BDH("RCOM IN Equity","IS_INT_EXPENSE","FY 2010","FY 2010","Currency=INR","Period=FY","BEST_FPERIOD_OVERRIDE=FY","FILING_STATUS=MR","EQY_CONSOLIDATED=Y","SCALING_FORMAT=MLN","FA_ADJUSTED=GAAP","Sort=A","Dates=H","DateFormat=P","Fill=—","Direction=H","UseDPDF=Y")</f>
        <v>13422</v>
      </c>
      <c r="E25" s="13">
        <f>_xll.BDH("RCOM IN Equity","IS_INT_EXPENSE","FY 2011","FY 2011","Currency=INR","Period=FY","BEST_FPERIOD_OVERRIDE=FY","FILING_STATUS=MR","EQY_CONSOLIDATED=Y","SCALING_FORMAT=MLN","FA_ADJUSTED=GAAP","Sort=A","Dates=H","DateFormat=P","Fill=—","Direction=H","UseDPDF=Y")</f>
        <v>9020</v>
      </c>
      <c r="F25" s="13">
        <f>_xll.BDH("RCOM IN Equity","IS_INT_EXPENSE","FY 2012","FY 2012","Currency=INR","Period=FY","BEST_FPERIOD_OVERRIDE=FY","FILING_STATUS=MR","EQY_CONSOLIDATED=Y","SCALING_FORMAT=MLN","FA_ADJUSTED=GAAP","Sort=A","Dates=H","DateFormat=P","Fill=—","Direction=H","UseDPDF=Y")</f>
        <v>14770</v>
      </c>
      <c r="G25" s="13">
        <f>_xll.BDH("RCOM IN Equity","IS_INT_EXPENSE","FY 2013","FY 2013","Currency=INR","Period=FY","BEST_FPERIOD_OVERRIDE=FY","FILING_STATUS=MR","EQY_CONSOLIDATED=Y","SCALING_FORMAT=MLN","FA_ADJUSTED=GAAP","Sort=A","Dates=H","DateFormat=P","Fill=—","Direction=H","UseDPDF=Y")</f>
        <v>22650</v>
      </c>
      <c r="H25" s="13">
        <f>_xll.BDH("RCOM IN Equity","IS_INT_EXPENSE","FY 2014","FY 2014","Currency=INR","Period=FY","BEST_FPERIOD_OVERRIDE=FY","FILING_STATUS=MR","EQY_CONSOLIDATED=Y","SCALING_FORMAT=MLN","FA_ADJUSTED=GAAP","Sort=A","Dates=H","DateFormat=P","Fill=—","Direction=H","UseDPDF=Y")</f>
        <v>27900</v>
      </c>
      <c r="I25" s="13">
        <f>_xll.BDH("RCOM IN Equity","IS_INT_EXPENSE","FY 2015","FY 2015","Currency=INR","Period=FY","BEST_FPERIOD_OVERRIDE=FY","FILING_STATUS=MR","EQY_CONSOLIDATED=Y","SCALING_FORMAT=MLN","FA_ADJUSTED=GAAP","Sort=A","Dates=H","DateFormat=P","Fill=—","Direction=H","UseDPDF=Y")</f>
        <v>24620</v>
      </c>
      <c r="J25" s="13">
        <f>_xll.BDH("RCOM IN Equity","IS_INT_EXPENSE","FY 2016","FY 2016","Currency=INR","Period=FY","BEST_FPERIOD_OVERRIDE=FY","FILING_STATUS=MR","EQY_CONSOLIDATED=Y","SCALING_FORMAT=MLN","FA_ADJUSTED=GAAP","Sort=A","Dates=H","DateFormat=P","Fill=—","Direction=H","UseDPDF=Y")</f>
        <v>23160</v>
      </c>
      <c r="K25" s="13">
        <f>_xll.BDH("RCOM IN Equity","IS_INT_EXPENSE","FY 2017","FY 2017","Currency=INR","Period=FY","BEST_FPERIOD_OVERRIDE=FY","FILING_STATUS=MR","EQY_CONSOLIDATED=Y","SCALING_FORMAT=MLN","FA_ADJUSTED=GAAP","Sort=A","Dates=H","DateFormat=P","Fill=—","Direction=H","UseDPDF=Y")</f>
        <v>2240</v>
      </c>
      <c r="L25" s="13">
        <f>_xll.BDH("RCOM IN Equity","IS_INT_EXPENSE","FY 2018","FY 2018","Currency=INR","Period=FY","BEST_FPERIOD_OVERRIDE=FY","FILING_STATUS=MR","EQY_CONSOLIDATED=Y","SCALING_FORMAT=MLN","FA_ADJUSTED=GAAP","Sort=A","Dates=H","DateFormat=P","Fill=—","Direction=H","UseDPDF=Y")</f>
        <v>1680</v>
      </c>
    </row>
    <row r="26" spans="1:12">
      <c r="A26" s="1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</row>
    <row r="27" spans="1:12">
      <c r="A27" s="10" t="s">
        <v>1564</v>
      </c>
      <c r="B27" s="10" t="s">
        <v>1565</v>
      </c>
      <c r="C27" s="14">
        <f>_xll.BDH("RCOM IN Equity","COM_EQY_TO_TOT_ASSET","FY 2009","FY 2009","Currency=INR","Period=FY","BEST_FPERIOD_OVERRIDE=FY","FILING_STATUS=MR","EQY_CONSOLIDATED=Y","Sort=A","Dates=H","DateFormat=P","Fill=—","Direction=H","UseDPDF=Y")</f>
        <v>41.3673</v>
      </c>
      <c r="D27" s="14">
        <f>_xll.BDH("RCOM IN Equity","COM_EQY_TO_TOT_ASSET","FY 2010","FY 2010","Currency=INR","Period=FY","BEST_FPERIOD_OVERRIDE=FY","FILING_STATUS=MR","EQY_CONSOLIDATED=Y","Sort=A","Dates=H","DateFormat=P","Fill=—","Direction=H","UseDPDF=Y")</f>
        <v>46.8416</v>
      </c>
      <c r="E27" s="14">
        <f>_xll.BDH("RCOM IN Equity","COM_EQY_TO_TOT_ASSET","FY 2011","FY 2011","Currency=INR","Period=FY","BEST_FPERIOD_OVERRIDE=FY","FILING_STATUS=MR","EQY_CONSOLIDATED=Y","Sort=A","Dates=H","DateFormat=P","Fill=—","Direction=H","UseDPDF=Y")</f>
        <v>42.755200000000002</v>
      </c>
      <c r="F27" s="14">
        <f>_xll.BDH("RCOM IN Equity","COM_EQY_TO_TOT_ASSET","FY 2012","FY 2012","Currency=INR","Period=FY","BEST_FPERIOD_OVERRIDE=FY","FILING_STATUS=MR","EQY_CONSOLIDATED=Y","Sort=A","Dates=H","DateFormat=P","Fill=—","Direction=H","UseDPDF=Y")</f>
        <v>39.338900000000002</v>
      </c>
      <c r="G27" s="14">
        <f>_xll.BDH("RCOM IN Equity","COM_EQY_TO_TOT_ASSET","FY 2013","FY 2013","Currency=INR","Period=FY","BEST_FPERIOD_OVERRIDE=FY","FILING_STATUS=MR","EQY_CONSOLIDATED=Y","Sort=A","Dates=H","DateFormat=P","Fill=—","Direction=H","UseDPDF=Y")</f>
        <v>37.535200000000003</v>
      </c>
      <c r="H27" s="14">
        <f>_xll.BDH("RCOM IN Equity","COM_EQY_TO_TOT_ASSET","FY 2014","FY 2014","Currency=INR","Period=FY","BEST_FPERIOD_OVERRIDE=FY","FILING_STATUS=MR","EQY_CONSOLIDATED=Y","Sort=A","Dates=H","DateFormat=P","Fill=—","Direction=H","UseDPDF=Y")</f>
        <v>36.1432</v>
      </c>
      <c r="I27" s="14">
        <f>_xll.BDH("RCOM IN Equity","COM_EQY_TO_TOT_ASSET","FY 2015","FY 2015","Currency=INR","Period=FY","BEST_FPERIOD_OVERRIDE=FY","FILING_STATUS=MR","EQY_CONSOLIDATED=Y","Sort=A","Dates=H","DateFormat=P","Fill=—","Direction=H","UseDPDF=Y")</f>
        <v>40.781799999999997</v>
      </c>
      <c r="J27" s="14">
        <f>_xll.BDH("RCOM IN Equity","COM_EQY_TO_TOT_ASSET","FY 2016","FY 2016","Currency=INR","Period=FY","BEST_FPERIOD_OVERRIDE=FY","FILING_STATUS=MR","EQY_CONSOLIDATED=Y","Sort=A","Dates=H","DateFormat=P","Fill=—","Direction=H","UseDPDF=Y")</f>
        <v>30.528500000000001</v>
      </c>
      <c r="K27" s="14">
        <f>_xll.BDH("RCOM IN Equity","COM_EQY_TO_TOT_ASSET","FY 2017","FY 2017","Currency=INR","Period=FY","BEST_FPERIOD_OVERRIDE=FY","FILING_STATUS=MR","EQY_CONSOLIDATED=Y","Sort=A","Dates=H","DateFormat=P","Fill=—","Direction=H","UseDPDF=Y")</f>
        <v>28.646100000000001</v>
      </c>
      <c r="L27" s="14">
        <f>_xll.BDH("RCOM IN Equity","COM_EQY_TO_TOT_ASSET","FY 2018","FY 2018","Currency=INR","Period=FY","BEST_FPERIOD_OVERRIDE=FY","FILING_STATUS=MR","EQY_CONSOLIDATED=Y","Sort=A","Dates=H","DateFormat=P","Fill=—","Direction=H","UseDPDF=Y")</f>
        <v>3.7317</v>
      </c>
    </row>
    <row r="28" spans="1:12">
      <c r="A28" s="10" t="s">
        <v>1566</v>
      </c>
      <c r="B28" s="10" t="s">
        <v>1567</v>
      </c>
      <c r="C28" s="14">
        <f>_xll.BDH("RCOM IN Equity","LT_DEBT_TO_TOT_EQY","FY 2009","FY 2009","Currency=INR","Period=FY","BEST_FPERIOD_OVERRIDE=FY","FILING_STATUS=MR","EQY_CONSOLIDATED=Y","Sort=A","Dates=H","DateFormat=P","Fill=—","Direction=H","UseDPDF=Y")</f>
        <v>63.5623</v>
      </c>
      <c r="D28" s="14">
        <f>_xll.BDH("RCOM IN Equity","LT_DEBT_TO_TOT_EQY","FY 2010","FY 2010","Currency=INR","Period=FY","BEST_FPERIOD_OVERRIDE=FY","FILING_STATUS=MR","EQY_CONSOLIDATED=Y","Sort=A","Dates=H","DateFormat=P","Fill=—","Direction=H","UseDPDF=Y")</f>
        <v>43.735199999999999</v>
      </c>
      <c r="E28" s="14">
        <f>_xll.BDH("RCOM IN Equity","LT_DEBT_TO_TOT_EQY","FY 2011","FY 2011","Currency=INR","Period=FY","BEST_FPERIOD_OVERRIDE=FY","FILING_STATUS=MR","EQY_CONSOLIDATED=Y","Sort=A","Dates=H","DateFormat=P","Fill=—","Direction=H","UseDPDF=Y")</f>
        <v>46.736699999999999</v>
      </c>
      <c r="F28" s="14">
        <f>_xll.BDH("RCOM IN Equity","LT_DEBT_TO_TOT_EQY","FY 2012","FY 2012","Currency=INR","Period=FY","BEST_FPERIOD_OVERRIDE=FY","FILING_STATUS=MR","EQY_CONSOLIDATED=Y","Sort=A","Dates=H","DateFormat=P","Fill=—","Direction=H","UseDPDF=Y")</f>
        <v>79.787899999999993</v>
      </c>
      <c r="G28" s="14">
        <f>_xll.BDH("RCOM IN Equity","LT_DEBT_TO_TOT_EQY","FY 2013","FY 2013","Currency=INR","Period=FY","BEST_FPERIOD_OVERRIDE=FY","FILING_STATUS=MR","EQY_CONSOLIDATED=Y","Sort=A","Dates=H","DateFormat=P","Fill=—","Direction=H","UseDPDF=Y")</f>
        <v>82.944299999999998</v>
      </c>
      <c r="H28" s="14">
        <f>_xll.BDH("RCOM IN Equity","LT_DEBT_TO_TOT_EQY","FY 2014","FY 2014","Currency=INR","Period=FY","BEST_FPERIOD_OVERRIDE=FY","FILING_STATUS=MR","EQY_CONSOLIDATED=Y","Sort=A","Dates=H","DateFormat=P","Fill=—","Direction=H","UseDPDF=Y")</f>
        <v>84.030500000000004</v>
      </c>
      <c r="I28" s="14">
        <f>_xll.BDH("RCOM IN Equity","LT_DEBT_TO_TOT_EQY","FY 2015","FY 2015","Currency=INR","Period=FY","BEST_FPERIOD_OVERRIDE=FY","FILING_STATUS=MR","EQY_CONSOLIDATED=Y","Sort=A","Dates=H","DateFormat=P","Fill=—","Direction=H","UseDPDF=Y")</f>
        <v>79.278499999999994</v>
      </c>
      <c r="J28" s="14">
        <f>_xll.BDH("RCOM IN Equity","LT_DEBT_TO_TOT_EQY","FY 2016","FY 2016","Currency=INR","Period=FY","BEST_FPERIOD_OVERRIDE=FY","FILING_STATUS=MR","EQY_CONSOLIDATED=Y","Sort=A","Dates=H","DateFormat=P","Fill=—","Direction=H","UseDPDF=Y")</f>
        <v>91.366699999999994</v>
      </c>
      <c r="K28" s="14">
        <f>_xll.BDH("RCOM IN Equity","LT_DEBT_TO_TOT_EQY","FY 2017","FY 2017","Currency=INR","Period=FY","BEST_FPERIOD_OVERRIDE=FY","FILING_STATUS=MR","EQY_CONSOLIDATED=Y","Sort=A","Dates=H","DateFormat=P","Fill=—","Direction=H","UseDPDF=Y")</f>
        <v>77.841800000000006</v>
      </c>
      <c r="L28" s="14">
        <f>_xll.BDH("RCOM IN Equity","LT_DEBT_TO_TOT_EQY","FY 2018","FY 2018","Currency=INR","Period=FY","BEST_FPERIOD_OVERRIDE=FY","FILING_STATUS=MR","EQY_CONSOLIDATED=Y","Sort=A","Dates=H","DateFormat=P","Fill=—","Direction=H","UseDPDF=Y")</f>
        <v>419.58269999999999</v>
      </c>
    </row>
    <row r="29" spans="1:12">
      <c r="A29" s="10" t="s">
        <v>1568</v>
      </c>
      <c r="B29" s="10" t="s">
        <v>1569</v>
      </c>
      <c r="C29" s="14">
        <f>_xll.BDH("RCOM IN Equity","LT_DEBT_TO_TOT_CAP","FY 2009","FY 2009","Currency=INR","Period=FY","BEST_FPERIOD_OVERRIDE=FY","FILING_STATUS=MR","EQY_CONSOLIDATED=Y","Sort=A","Dates=H","DateFormat=P","Fill=—","Direction=H","UseDPDF=Y")</f>
        <v>33.241700000000002</v>
      </c>
      <c r="D29" s="14">
        <f>_xll.BDH("RCOM IN Equity","LT_DEBT_TO_TOT_CAP","FY 2010","FY 2010","Currency=INR","Period=FY","BEST_FPERIOD_OVERRIDE=FY","FILING_STATUS=MR","EQY_CONSOLIDATED=Y","Sort=A","Dates=H","DateFormat=P","Fill=—","Direction=H","UseDPDF=Y")</f>
        <v>26.1097</v>
      </c>
      <c r="E29" s="14">
        <f>_xll.BDH("RCOM IN Equity","LT_DEBT_TO_TOT_CAP","FY 2011","FY 2011","Currency=INR","Period=FY","BEST_FPERIOD_OVERRIDE=FY","FILING_STATUS=MR","EQY_CONSOLIDATED=Y","Sort=A","Dates=H","DateFormat=P","Fill=—","Direction=H","UseDPDF=Y")</f>
        <v>24.0229</v>
      </c>
      <c r="F29" s="14">
        <f>_xll.BDH("RCOM IN Equity","LT_DEBT_TO_TOT_CAP","FY 2012","FY 2012","Currency=INR","Period=FY","BEST_FPERIOD_OVERRIDE=FY","FILING_STATUS=MR","EQY_CONSOLIDATED=Y","Sort=A","Dates=H","DateFormat=P","Fill=—","Direction=H","UseDPDF=Y")</f>
        <v>39.287599999999998</v>
      </c>
      <c r="G29" s="14">
        <f>_xll.BDH("RCOM IN Equity","LT_DEBT_TO_TOT_CAP","FY 2013","FY 2013","Currency=INR","Period=FY","BEST_FPERIOD_OVERRIDE=FY","FILING_STATUS=MR","EQY_CONSOLIDATED=Y","Sort=A","Dates=H","DateFormat=P","Fill=—","Direction=H","UseDPDF=Y")</f>
        <v>37.673699999999997</v>
      </c>
      <c r="H29" s="14">
        <f>_xll.BDH("RCOM IN Equity","LT_DEBT_TO_TOT_CAP","FY 2014","FY 2014","Currency=INR","Period=FY","BEST_FPERIOD_OVERRIDE=FY","FILING_STATUS=MR","EQY_CONSOLIDATED=Y","Sort=A","Dates=H","DateFormat=P","Fill=—","Direction=H","UseDPDF=Y")</f>
        <v>37.177300000000002</v>
      </c>
      <c r="I29" s="14">
        <f>_xll.BDH("RCOM IN Equity","LT_DEBT_TO_TOT_CAP","FY 2015","FY 2015","Currency=INR","Period=FY","BEST_FPERIOD_OVERRIDE=FY","FILING_STATUS=MR","EQY_CONSOLIDATED=Y","Sort=A","Dates=H","DateFormat=P","Fill=—","Direction=H","UseDPDF=Y")</f>
        <v>38.872900000000001</v>
      </c>
      <c r="J29" s="14">
        <f>_xll.BDH("RCOM IN Equity","LT_DEBT_TO_TOT_CAP","FY 2016","FY 2016","Currency=INR","Period=FY","BEST_FPERIOD_OVERRIDE=FY","FILING_STATUS=MR","EQY_CONSOLIDATED=Y","Sort=A","Dates=H","DateFormat=P","Fill=—","Direction=H","UseDPDF=Y")</f>
        <v>38.570799999999998</v>
      </c>
      <c r="K29" s="14">
        <f>_xll.BDH("RCOM IN Equity","LT_DEBT_TO_TOT_CAP","FY 2017","FY 2017","Currency=INR","Period=FY","BEST_FPERIOD_OVERRIDE=FY","FILING_STATUS=MR","EQY_CONSOLIDATED=Y","Sort=A","Dates=H","DateFormat=P","Fill=—","Direction=H","UseDPDF=Y")</f>
        <v>30.186599999999999</v>
      </c>
      <c r="L29" s="14">
        <f>_xll.BDH("RCOM IN Equity","LT_DEBT_TO_TOT_CAP","FY 2018","FY 2018","Currency=INR","Period=FY","BEST_FPERIOD_OVERRIDE=FY","FILING_STATUS=MR","EQY_CONSOLIDATED=Y","Sort=A","Dates=H","DateFormat=P","Fill=—","Direction=H","UseDPDF=Y")</f>
        <v>25.933599999999998</v>
      </c>
    </row>
    <row r="30" spans="1:12">
      <c r="A30" s="10" t="s">
        <v>1570</v>
      </c>
      <c r="B30" s="10" t="s">
        <v>1571</v>
      </c>
      <c r="C30" s="14">
        <f>_xll.BDH("RCOM IN Equity","LT_DEBT_TO_TOT_ASSET","FY 2009","FY 2009","Currency=INR","Period=FY","BEST_FPERIOD_OVERRIDE=FY","FILING_STATUS=MR","EQY_CONSOLIDATED=Y","Sort=A","Dates=H","DateFormat=P","Fill=—","Direction=H","UseDPDF=Y")</f>
        <v>26.7013</v>
      </c>
      <c r="D30" s="14">
        <f>_xll.BDH("RCOM IN Equity","LT_DEBT_TO_TOT_ASSET","FY 2010","FY 2010","Currency=INR","Period=FY","BEST_FPERIOD_OVERRIDE=FY","FILING_STATUS=MR","EQY_CONSOLIDATED=Y","Sort=A","Dates=H","DateFormat=P","Fill=—","Direction=H","UseDPDF=Y")</f>
        <v>20.7973</v>
      </c>
      <c r="E30" s="14">
        <f>_xll.BDH("RCOM IN Equity","LT_DEBT_TO_TOT_ASSET","FY 2011","FY 2011","Currency=INR","Period=FY","BEST_FPERIOD_OVERRIDE=FY","FILING_STATUS=MR","EQY_CONSOLIDATED=Y","Sort=A","Dates=H","DateFormat=P","Fill=—","Direction=H","UseDPDF=Y")</f>
        <v>20.3889</v>
      </c>
      <c r="F30" s="14">
        <f>_xll.BDH("RCOM IN Equity","LT_DEBT_TO_TOT_ASSET","FY 2012","FY 2012","Currency=INR","Period=FY","BEST_FPERIOD_OVERRIDE=FY","FILING_STATUS=MR","EQY_CONSOLIDATED=Y","Sort=A","Dates=H","DateFormat=P","Fill=—","Direction=H","UseDPDF=Y")</f>
        <v>32.131399999999999</v>
      </c>
      <c r="G30" s="14">
        <f>_xll.BDH("RCOM IN Equity","LT_DEBT_TO_TOT_ASSET","FY 2013","FY 2013","Currency=INR","Period=FY","BEST_FPERIOD_OVERRIDE=FY","FILING_STATUS=MR","EQY_CONSOLIDATED=Y","Sort=A","Dates=H","DateFormat=P","Fill=—","Direction=H","UseDPDF=Y")</f>
        <v>31.8001</v>
      </c>
      <c r="H30" s="14">
        <f>_xll.BDH("RCOM IN Equity","LT_DEBT_TO_TOT_ASSET","FY 2014","FY 2014","Currency=INR","Period=FY","BEST_FPERIOD_OVERRIDE=FY","FILING_STATUS=MR","EQY_CONSOLIDATED=Y","Sort=A","Dates=H","DateFormat=P","Fill=—","Direction=H","UseDPDF=Y")</f>
        <v>31.0594</v>
      </c>
      <c r="I30" s="14">
        <f>_xll.BDH("RCOM IN Equity","LT_DEBT_TO_TOT_ASSET","FY 2015","FY 2015","Currency=INR","Period=FY","BEST_FPERIOD_OVERRIDE=FY","FILING_STATUS=MR","EQY_CONSOLIDATED=Y","Sort=A","Dates=H","DateFormat=P","Fill=—","Direction=H","UseDPDF=Y")</f>
        <v>32.767499999999998</v>
      </c>
      <c r="J30" s="14">
        <f>_xll.BDH("RCOM IN Equity","LT_DEBT_TO_TOT_ASSET","FY 2016","FY 2016","Currency=INR","Period=FY","BEST_FPERIOD_OVERRIDE=FY","FILING_STATUS=MR","EQY_CONSOLIDATED=Y","Sort=A","Dates=H","DateFormat=P","Fill=—","Direction=H","UseDPDF=Y")</f>
        <v>28.141999999999999</v>
      </c>
      <c r="K30" s="14">
        <f>_xll.BDH("RCOM IN Equity","LT_DEBT_TO_TOT_ASSET","FY 2017","FY 2017","Currency=INR","Period=FY","BEST_FPERIOD_OVERRIDE=FY","FILING_STATUS=MR","EQY_CONSOLIDATED=Y","Sort=A","Dates=H","DateFormat=P","Fill=—","Direction=H","UseDPDF=Y")</f>
        <v>22.610800000000001</v>
      </c>
      <c r="L30" s="14">
        <f>_xll.BDH("RCOM IN Equity","LT_DEBT_TO_TOT_ASSET","FY 2018","FY 2018","Currency=INR","Period=FY","BEST_FPERIOD_OVERRIDE=FY","FILING_STATUS=MR","EQY_CONSOLIDATED=Y","Sort=A","Dates=H","DateFormat=P","Fill=—","Direction=H","UseDPDF=Y")</f>
        <v>17.525300000000001</v>
      </c>
    </row>
    <row r="31" spans="1:12">
      <c r="A31" s="10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>
      <c r="A32" s="10" t="s">
        <v>1572</v>
      </c>
      <c r="B32" s="10" t="s">
        <v>1573</v>
      </c>
      <c r="C32" s="14">
        <f>_xll.BDH("RCOM IN Equity","TOT_DEBT_TO_TOT_EQY","FY 2009","FY 2009","Currency=INR","Period=FY","BEST_FPERIOD_OVERRIDE=FY","FILING_STATUS=MR","EQY_CONSOLIDATED=Y","Sort=A","Dates=H","DateFormat=P","Fill=—","Direction=H","UseDPDF=Y")</f>
        <v>91.212400000000002</v>
      </c>
      <c r="D32" s="14">
        <f>_xll.BDH("RCOM IN Equity","TOT_DEBT_TO_TOT_EQY","FY 2010","FY 2010","Currency=INR","Period=FY","BEST_FPERIOD_OVERRIDE=FY","FILING_STATUS=MR","EQY_CONSOLIDATED=Y","Sort=A","Dates=H","DateFormat=P","Fill=—","Direction=H","UseDPDF=Y")</f>
        <v>67.505799999999994</v>
      </c>
      <c r="E32" s="14">
        <f>_xll.BDH("RCOM IN Equity","TOT_DEBT_TO_TOT_EQY","FY 2011","FY 2011","Currency=INR","Period=FY","BEST_FPERIOD_OVERRIDE=FY","FILING_STATUS=MR","EQY_CONSOLIDATED=Y","Sort=A","Dates=H","DateFormat=P","Fill=—","Direction=H","UseDPDF=Y")</f>
        <v>94.550299999999993</v>
      </c>
      <c r="F32" s="14">
        <f>_xll.BDH("RCOM IN Equity","TOT_DEBT_TO_TOT_EQY","FY 2012","FY 2012","Currency=INR","Period=FY","BEST_FPERIOD_OVERRIDE=FY","FILING_STATUS=MR","EQY_CONSOLIDATED=Y","Sort=A","Dates=H","DateFormat=P","Fill=—","Direction=H","UseDPDF=Y")</f>
        <v>103.087</v>
      </c>
      <c r="G32" s="14">
        <f>_xll.BDH("RCOM IN Equity","TOT_DEBT_TO_TOT_EQY","FY 2013","FY 2013","Currency=INR","Period=FY","BEST_FPERIOD_OVERRIDE=FY","FILING_STATUS=MR","EQY_CONSOLIDATED=Y","Sort=A","Dates=H","DateFormat=P","Fill=—","Direction=H","UseDPDF=Y")</f>
        <v>120.1649</v>
      </c>
      <c r="H32" s="14">
        <f>_xll.BDH("RCOM IN Equity","TOT_DEBT_TO_TOT_EQY","FY 2014","FY 2014","Currency=INR","Period=FY","BEST_FPERIOD_OVERRIDE=FY","FILING_STATUS=MR","EQY_CONSOLIDATED=Y","Sort=A","Dates=H","DateFormat=P","Fill=—","Direction=H","UseDPDF=Y")</f>
        <v>126.0264</v>
      </c>
      <c r="I32" s="14">
        <f>_xll.BDH("RCOM IN Equity","TOT_DEBT_TO_TOT_EQY","FY 2015","FY 2015","Currency=INR","Period=FY","BEST_FPERIOD_OVERRIDE=FY","FILING_STATUS=MR","EQY_CONSOLIDATED=Y","Sort=A","Dates=H","DateFormat=P","Fill=—","Direction=H","UseDPDF=Y")</f>
        <v>103.943</v>
      </c>
      <c r="J32" s="14">
        <f>_xll.BDH("RCOM IN Equity","TOT_DEBT_TO_TOT_EQY","FY 2016","FY 2016","Currency=INR","Period=FY","BEST_FPERIOD_OVERRIDE=FY","FILING_STATUS=MR","EQY_CONSOLIDATED=Y","Sort=A","Dates=H","DateFormat=P","Fill=—","Direction=H","UseDPDF=Y")</f>
        <v>136.88059999999999</v>
      </c>
      <c r="K32" s="14">
        <f>_xll.BDH("RCOM IN Equity","TOT_DEBT_TO_TOT_EQY","FY 2017","FY 2017","Currency=INR","Period=FY","BEST_FPERIOD_OVERRIDE=FY","FILING_STATUS=MR","EQY_CONSOLIDATED=Y","Sort=A","Dates=H","DateFormat=P","Fill=—","Direction=H","UseDPDF=Y")</f>
        <v>157.86879999999999</v>
      </c>
      <c r="L32" s="14">
        <f>_xll.BDH("RCOM IN Equity","TOT_DEBT_TO_TOT_EQY","FY 2018","FY 2018","Currency=INR","Period=FY","BEST_FPERIOD_OVERRIDE=FY","FILING_STATUS=MR","EQY_CONSOLIDATED=Y","Sort=A","Dates=H","DateFormat=P","Fill=—","Direction=H","UseDPDF=Y")</f>
        <v>1517.9132999999999</v>
      </c>
    </row>
    <row r="33" spans="1:12">
      <c r="A33" s="10" t="s">
        <v>1574</v>
      </c>
      <c r="B33" s="10" t="s">
        <v>130</v>
      </c>
      <c r="C33" s="14">
        <f>_xll.BDH("RCOM IN Equity","TOT_DEBT_TO_TOT_CAP","FY 2009","FY 2009","Currency=INR","Period=FY","BEST_FPERIOD_OVERRIDE=FY","FILING_STATUS=MR","EQY_CONSOLIDATED=Y","Sort=A","Dates=H","DateFormat=P","Fill=—","Direction=H","UseDPDF=Y")</f>
        <v>47.702100000000002</v>
      </c>
      <c r="D33" s="14">
        <f>_xll.BDH("RCOM IN Equity","TOT_DEBT_TO_TOT_CAP","FY 2010","FY 2010","Currency=INR","Period=FY","BEST_FPERIOD_OVERRIDE=FY","FILING_STATUS=MR","EQY_CONSOLIDATED=Y","Sort=A","Dates=H","DateFormat=P","Fill=—","Direction=H","UseDPDF=Y")</f>
        <v>40.300600000000003</v>
      </c>
      <c r="E33" s="14">
        <f>_xll.BDH("RCOM IN Equity","TOT_DEBT_TO_TOT_CAP","FY 2011","FY 2011","Currency=INR","Period=FY","BEST_FPERIOD_OVERRIDE=FY","FILING_STATUS=MR","EQY_CONSOLIDATED=Y","Sort=A","Dates=H","DateFormat=P","Fill=—","Direction=H","UseDPDF=Y")</f>
        <v>48.599400000000003</v>
      </c>
      <c r="F33" s="14">
        <f>_xll.BDH("RCOM IN Equity","TOT_DEBT_TO_TOT_CAP","FY 2012","FY 2012","Currency=INR","Period=FY","BEST_FPERIOD_OVERRIDE=FY","FILING_STATUS=MR","EQY_CONSOLIDATED=Y","Sort=A","Dates=H","DateFormat=P","Fill=—","Direction=H","UseDPDF=Y")</f>
        <v>50.76</v>
      </c>
      <c r="G33" s="14">
        <f>_xll.BDH("RCOM IN Equity","TOT_DEBT_TO_TOT_CAP","FY 2013","FY 2013","Currency=INR","Period=FY","BEST_FPERIOD_OVERRIDE=FY","FILING_STATUS=MR","EQY_CONSOLIDATED=Y","Sort=A","Dates=H","DateFormat=P","Fill=—","Direction=H","UseDPDF=Y")</f>
        <v>54.579500000000003</v>
      </c>
      <c r="H33" s="14">
        <f>_xll.BDH("RCOM IN Equity","TOT_DEBT_TO_TOT_CAP","FY 2014","FY 2014","Currency=INR","Period=FY","BEST_FPERIOD_OVERRIDE=FY","FILING_STATUS=MR","EQY_CONSOLIDATED=Y","Sort=A","Dates=H","DateFormat=P","Fill=—","Direction=H","UseDPDF=Y")</f>
        <v>55.757399999999997</v>
      </c>
      <c r="I33" s="14">
        <f>_xll.BDH("RCOM IN Equity","TOT_DEBT_TO_TOT_CAP","FY 2015","FY 2015","Currency=INR","Period=FY","BEST_FPERIOD_OVERRIDE=FY","FILING_STATUS=MR","EQY_CONSOLIDATED=Y","Sort=A","Dates=H","DateFormat=P","Fill=—","Direction=H","UseDPDF=Y")</f>
        <v>50.966700000000003</v>
      </c>
      <c r="J33" s="14">
        <f>_xll.BDH("RCOM IN Equity","TOT_DEBT_TO_TOT_CAP","FY 2016","FY 2016","Currency=INR","Period=FY","BEST_FPERIOD_OVERRIDE=FY","FILING_STATUS=MR","EQY_CONSOLIDATED=Y","Sort=A","Dates=H","DateFormat=P","Fill=—","Direction=H","UseDPDF=Y")</f>
        <v>57.784599999999998</v>
      </c>
      <c r="K33" s="14">
        <f>_xll.BDH("RCOM IN Equity","TOT_DEBT_TO_TOT_CAP","FY 2017","FY 2017","Currency=INR","Period=FY","BEST_FPERIOD_OVERRIDE=FY","FILING_STATUS=MR","EQY_CONSOLIDATED=Y","Sort=A","Dates=H","DateFormat=P","Fill=—","Direction=H","UseDPDF=Y")</f>
        <v>61.220599999999997</v>
      </c>
      <c r="L33" s="14">
        <f>_xll.BDH("RCOM IN Equity","TOT_DEBT_TO_TOT_CAP","FY 2018","FY 2018","Currency=INR","Period=FY","BEST_FPERIOD_OVERRIDE=FY","FILING_STATUS=MR","EQY_CONSOLIDATED=Y","Sort=A","Dates=H","DateFormat=P","Fill=—","Direction=H","UseDPDF=Y")</f>
        <v>93.819199999999995</v>
      </c>
    </row>
    <row r="34" spans="1:12">
      <c r="A34" s="10" t="s">
        <v>1575</v>
      </c>
      <c r="B34" s="10" t="s">
        <v>1576</v>
      </c>
      <c r="C34" s="14">
        <f>_xll.BDH("RCOM IN Equity","TOT_DEBT_TO_TOT_ASSET","FY 2009","FY 2009","Currency=INR","Period=FY","BEST_FPERIOD_OVERRIDE=FY","FILING_STATUS=MR","EQY_CONSOLIDATED=Y","Sort=A","Dates=H","DateFormat=P","Fill=—","Direction=H","UseDPDF=Y")</f>
        <v>38.316600000000001</v>
      </c>
      <c r="D34" s="14">
        <f>_xll.BDH("RCOM IN Equity","TOT_DEBT_TO_TOT_ASSET","FY 2010","FY 2010","Currency=INR","Period=FY","BEST_FPERIOD_OVERRIDE=FY","FILING_STATUS=MR","EQY_CONSOLIDATED=Y","Sort=A","Dates=H","DateFormat=P","Fill=—","Direction=H","UseDPDF=Y")</f>
        <v>32.100999999999999</v>
      </c>
      <c r="E34" s="14">
        <f>_xll.BDH("RCOM IN Equity","TOT_DEBT_TO_TOT_ASSET","FY 2011","FY 2011","Currency=INR","Period=FY","BEST_FPERIOD_OVERRIDE=FY","FILING_STATUS=MR","EQY_CONSOLIDATED=Y","Sort=A","Dates=H","DateFormat=P","Fill=—","Direction=H","UseDPDF=Y")</f>
        <v>41.247599999999998</v>
      </c>
      <c r="F34" s="14">
        <f>_xll.BDH("RCOM IN Equity","TOT_DEBT_TO_TOT_ASSET","FY 2012","FY 2012","Currency=INR","Period=FY","BEST_FPERIOD_OVERRIDE=FY","FILING_STATUS=MR","EQY_CONSOLIDATED=Y","Sort=A","Dates=H","DateFormat=P","Fill=—","Direction=H","UseDPDF=Y")</f>
        <v>41.514099999999999</v>
      </c>
      <c r="G34" s="14">
        <f>_xll.BDH("RCOM IN Equity","TOT_DEBT_TO_TOT_ASSET","FY 2013","FY 2013","Currency=INR","Period=FY","BEST_FPERIOD_OVERRIDE=FY","FILING_STATUS=MR","EQY_CONSOLIDATED=Y","Sort=A","Dates=H","DateFormat=P","Fill=—","Direction=H","UseDPDF=Y")</f>
        <v>46.0702</v>
      </c>
      <c r="H34" s="14">
        <f>_xll.BDH("RCOM IN Equity","TOT_DEBT_TO_TOT_ASSET","FY 2014","FY 2014","Currency=INR","Period=FY","BEST_FPERIOD_OVERRIDE=FY","FILING_STATUS=MR","EQY_CONSOLIDATED=Y","Sort=A","Dates=H","DateFormat=P","Fill=—","Direction=H","UseDPDF=Y")</f>
        <v>46.582000000000001</v>
      </c>
      <c r="I34" s="14">
        <f>_xll.BDH("RCOM IN Equity","TOT_DEBT_TO_TOT_ASSET","FY 2015","FY 2015","Currency=INR","Period=FY","BEST_FPERIOD_OVERRIDE=FY","FILING_STATUS=MR","EQY_CONSOLIDATED=Y","Sort=A","Dates=H","DateFormat=P","Fill=—","Direction=H","UseDPDF=Y")</f>
        <v>42.9619</v>
      </c>
      <c r="J34" s="14">
        <f>_xll.BDH("RCOM IN Equity","TOT_DEBT_TO_TOT_ASSET","FY 2016","FY 2016","Currency=INR","Period=FY","BEST_FPERIOD_OVERRIDE=FY","FILING_STATUS=MR","EQY_CONSOLIDATED=Y","Sort=A","Dates=H","DateFormat=P","Fill=—","Direction=H","UseDPDF=Y")</f>
        <v>42.160800000000002</v>
      </c>
      <c r="K34" s="14">
        <f>_xll.BDH("RCOM IN Equity","TOT_DEBT_TO_TOT_ASSET","FY 2017","FY 2017","Currency=INR","Period=FY","BEST_FPERIOD_OVERRIDE=FY","FILING_STATUS=MR","EQY_CONSOLIDATED=Y","Sort=A","Dates=H","DateFormat=P","Fill=—","Direction=H","UseDPDF=Y")</f>
        <v>45.856400000000001</v>
      </c>
      <c r="L34" s="14">
        <f>_xll.BDH("RCOM IN Equity","TOT_DEBT_TO_TOT_ASSET","FY 2018","FY 2018","Currency=INR","Period=FY","BEST_FPERIOD_OVERRIDE=FY","FILING_STATUS=MR","EQY_CONSOLIDATED=Y","Sort=A","Dates=H","DateFormat=P","Fill=—","Direction=H","UseDPDF=Y")</f>
        <v>63.400700000000001</v>
      </c>
    </row>
    <row r="35" spans="1:12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</row>
    <row r="36" spans="1:12">
      <c r="A36" s="10" t="s">
        <v>1577</v>
      </c>
      <c r="B36" s="10" t="s">
        <v>843</v>
      </c>
      <c r="C36" s="14">
        <f>_xll.BDH("RCOM IN Equity","NET_DEBT_TO_SHRHLDR_EQTY","FY 2009","FY 2009","Currency=INR","Period=FY","BEST_FPERIOD_OVERRIDE=FY","FILING_STATUS=MR","EQY_CONSOLIDATED=Y","Sort=A","Dates=H","DateFormat=P","Fill=—","Direction=H","UseDPDF=Y")</f>
        <v>65.668899999999994</v>
      </c>
      <c r="D36" s="14">
        <f>_xll.BDH("RCOM IN Equity","NET_DEBT_TO_SHRHLDR_EQTY","FY 2010","FY 2010","Currency=INR","Period=FY","BEST_FPERIOD_OVERRIDE=FY","FILING_STATUS=MR","EQY_CONSOLIDATED=Y","Sort=A","Dates=H","DateFormat=P","Fill=—","Direction=H","UseDPDF=Y")</f>
        <v>56.468600000000002</v>
      </c>
      <c r="E36" s="14">
        <f>_xll.BDH("RCOM IN Equity","NET_DEBT_TO_SHRHLDR_EQTY","FY 2011","FY 2011","Currency=INR","Period=FY","BEST_FPERIOD_OVERRIDE=FY","FILING_STATUS=MR","EQY_CONSOLIDATED=Y","Sort=A","Dates=H","DateFormat=P","Fill=—","Direction=H","UseDPDF=Y")</f>
        <v>81.680899999999994</v>
      </c>
      <c r="F36" s="14">
        <f>_xll.BDH("RCOM IN Equity","NET_DEBT_TO_SHRHLDR_EQTY","FY 2012","FY 2012","Currency=INR","Period=FY","BEST_FPERIOD_OVERRIDE=FY","FILING_STATUS=MR","EQY_CONSOLIDATED=Y","Sort=A","Dates=H","DateFormat=P","Fill=—","Direction=H","UseDPDF=Y")</f>
        <v>100.2099</v>
      </c>
      <c r="G36" s="14">
        <f>_xll.BDH("RCOM IN Equity","NET_DEBT_TO_SHRHLDR_EQTY","FY 2013","FY 2013","Currency=INR","Period=FY","BEST_FPERIOD_OVERRIDE=FY","FILING_STATUS=MR","EQY_CONSOLIDATED=Y","Sort=A","Dates=H","DateFormat=P","Fill=—","Direction=H","UseDPDF=Y")</f>
        <v>116.45699999999999</v>
      </c>
      <c r="H36" s="14">
        <f>_xll.BDH("RCOM IN Equity","NET_DEBT_TO_SHRHLDR_EQTY","FY 2014","FY 2014","Currency=INR","Period=FY","BEST_FPERIOD_OVERRIDE=FY","FILING_STATUS=MR","EQY_CONSOLIDATED=Y","Sort=A","Dates=H","DateFormat=P","Fill=—","Direction=H","UseDPDF=Y")</f>
        <v>122.71980000000001</v>
      </c>
      <c r="I36" s="14">
        <f>_xll.BDH("RCOM IN Equity","NET_DEBT_TO_SHRHLDR_EQTY","FY 2015","FY 2015","Currency=INR","Period=FY","BEST_FPERIOD_OVERRIDE=FY","FILING_STATUS=MR","EQY_CONSOLIDATED=Y","Sort=A","Dates=H","DateFormat=P","Fill=—","Direction=H","UseDPDF=Y")</f>
        <v>96.977699999999999</v>
      </c>
      <c r="J36" s="14">
        <f>_xll.BDH("RCOM IN Equity","NET_DEBT_TO_SHRHLDR_EQTY","FY 2016","FY 2016","Currency=INR","Period=FY","BEST_FPERIOD_OVERRIDE=FY","FILING_STATUS=MR","EQY_CONSOLIDATED=Y","Sort=A","Dates=H","DateFormat=P","Fill=—","Direction=H","UseDPDF=Y")</f>
        <v>132.1199</v>
      </c>
      <c r="K36" s="14">
        <f>_xll.BDH("RCOM IN Equity","NET_DEBT_TO_SHRHLDR_EQTY","FY 2017","FY 2017","Currency=INR","Period=FY","BEST_FPERIOD_OVERRIDE=FY","FILING_STATUS=MR","EQY_CONSOLIDATED=Y","Sort=A","Dates=H","DateFormat=P","Fill=—","Direction=H","UseDPDF=Y")</f>
        <v>153.3329</v>
      </c>
      <c r="L36" s="14">
        <f>_xll.BDH("RCOM IN Equity","NET_DEBT_TO_SHRHLDR_EQTY","FY 2018","FY 2018","Currency=INR","Period=FY","BEST_FPERIOD_OVERRIDE=FY","FILING_STATUS=MR","EQY_CONSOLIDATED=Y","Sort=A","Dates=H","DateFormat=P","Fill=—","Direction=H","UseDPDF=Y")</f>
        <v>1494.2856999999999</v>
      </c>
    </row>
    <row r="37" spans="1:12">
      <c r="A37" s="10" t="s">
        <v>1578</v>
      </c>
      <c r="B37" s="10" t="s">
        <v>1579</v>
      </c>
      <c r="C37" s="14">
        <f>_xll.BDH("RCOM IN Equity","NET_DEBT_%_CAPITAL","FY 2009","FY 2009","Currency=INR","Period=FY","BEST_FPERIOD_OVERRIDE=FY","FILING_STATUS=MR","EQY_CONSOLIDATED=Y","Sort=A","Dates=H","DateFormat=P","Fill=—","Direction=H","UseDPDF=Y")</f>
        <v>39.6387</v>
      </c>
      <c r="D37" s="14">
        <f>_xll.BDH("RCOM IN Equity","NET_DEBT_%_CAPITAL","FY 2010","FY 2010","Currency=INR","Period=FY","BEST_FPERIOD_OVERRIDE=FY","FILING_STATUS=MR","EQY_CONSOLIDATED=Y","Sort=A","Dates=H","DateFormat=P","Fill=—","Direction=H","UseDPDF=Y")</f>
        <v>36.089399999999998</v>
      </c>
      <c r="E37" s="14">
        <f>_xll.BDH("RCOM IN Equity","NET_DEBT_%_CAPITAL","FY 2011","FY 2011","Currency=INR","Period=FY","BEST_FPERIOD_OVERRIDE=FY","FILING_STATUS=MR","EQY_CONSOLIDATED=Y","Sort=A","Dates=H","DateFormat=P","Fill=—","Direction=H","UseDPDF=Y")</f>
        <v>44.958399999999997</v>
      </c>
      <c r="F37" s="14">
        <f>_xll.BDH("RCOM IN Equity","NET_DEBT_%_CAPITAL","FY 2012","FY 2012","Currency=INR","Period=FY","BEST_FPERIOD_OVERRIDE=FY","FILING_STATUS=MR","EQY_CONSOLIDATED=Y","Sort=A","Dates=H","DateFormat=P","Fill=—","Direction=H","UseDPDF=Y")</f>
        <v>50.052399999999999</v>
      </c>
      <c r="G37" s="14">
        <f>_xll.BDH("RCOM IN Equity","NET_DEBT_%_CAPITAL","FY 2013","FY 2013","Currency=INR","Period=FY","BEST_FPERIOD_OVERRIDE=FY","FILING_STATUS=MR","EQY_CONSOLIDATED=Y","Sort=A","Dates=H","DateFormat=P","Fill=—","Direction=H","UseDPDF=Y")</f>
        <v>53.801400000000001</v>
      </c>
      <c r="H37" s="14">
        <f>_xll.BDH("RCOM IN Equity","NET_DEBT_%_CAPITAL","FY 2014","FY 2014","Currency=INR","Period=FY","BEST_FPERIOD_OVERRIDE=FY","FILING_STATUS=MR","EQY_CONSOLIDATED=Y","Sort=A","Dates=H","DateFormat=P","Fill=—","Direction=H","UseDPDF=Y")</f>
        <v>55.100499999999997</v>
      </c>
      <c r="I37" s="14">
        <f>_xll.BDH("RCOM IN Equity","NET_DEBT_%_CAPITAL","FY 2015","FY 2015","Currency=INR","Period=FY","BEST_FPERIOD_OVERRIDE=FY","FILING_STATUS=MR","EQY_CONSOLIDATED=Y","Sort=A","Dates=H","DateFormat=P","Fill=—","Direction=H","UseDPDF=Y")</f>
        <v>49.232799999999997</v>
      </c>
      <c r="J37" s="14">
        <f>_xll.BDH("RCOM IN Equity","NET_DEBT_%_CAPITAL","FY 2016","FY 2016","Currency=INR","Period=FY","BEST_FPERIOD_OVERRIDE=FY","FILING_STATUS=MR","EQY_CONSOLIDATED=Y","Sort=A","Dates=H","DateFormat=P","Fill=—","Direction=H","UseDPDF=Y")</f>
        <v>56.918799999999997</v>
      </c>
      <c r="K37" s="14">
        <f>_xll.BDH("RCOM IN Equity","NET_DEBT_%_CAPITAL","FY 2017","FY 2017","Currency=INR","Period=FY","BEST_FPERIOD_OVERRIDE=FY","FILING_STATUS=MR","EQY_CONSOLIDATED=Y","Sort=A","Dates=H","DateFormat=P","Fill=—","Direction=H","UseDPDF=Y")</f>
        <v>60.526200000000003</v>
      </c>
      <c r="L37" s="14">
        <f>_xll.BDH("RCOM IN Equity","NET_DEBT_%_CAPITAL","FY 2018","FY 2018","Currency=INR","Period=FY","BEST_FPERIOD_OVERRIDE=FY","FILING_STATUS=MR","EQY_CONSOLIDATED=Y","Sort=A","Dates=H","DateFormat=P","Fill=—","Direction=H","UseDPDF=Y")</f>
        <v>93.727599999999995</v>
      </c>
    </row>
    <row r="38" spans="1:12">
      <c r="A38" s="10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 spans="1:12">
      <c r="A39" s="10" t="s">
        <v>46</v>
      </c>
      <c r="B39" s="10" t="s">
        <v>46</v>
      </c>
      <c r="C39" s="13">
        <f>_xll.BDH("RCOM IN Equity","EBITDA","FY 2009","FY 2009","Currency=INR","Period=FY","BEST_FPERIOD_OVERRIDE=FY","FILING_STATUS=MR","EQY_CONSOLIDATED=Y","SCALING_FORMAT=MLN","FA_ADJUSTED=GAAP","Sort=A","Dates=H","DateFormat=P","Fill=—","Direction=H","UseDPDF=Y")</f>
        <v>87306.8</v>
      </c>
      <c r="D39" s="13">
        <f>_xll.BDH("RCOM IN Equity","EBITDA","FY 2010","FY 2010","Currency=INR","Period=FY","BEST_FPERIOD_OVERRIDE=FY","FILING_STATUS=MR","EQY_CONSOLIDATED=Y","SCALING_FORMAT=MLN","FA_ADJUSTED=GAAP","Sort=A","Dates=H","DateFormat=P","Fill=—","Direction=H","UseDPDF=Y")</f>
        <v>69890.399999999994</v>
      </c>
      <c r="E39" s="13">
        <f>_xll.BDH("RCOM IN Equity","EBITDA","FY 2011","FY 2011","Currency=INR","Period=FY","BEST_FPERIOD_OVERRIDE=FY","FILING_STATUS=MR","EQY_CONSOLIDATED=Y","SCALING_FORMAT=MLN","FA_ADJUSTED=GAAP","Sort=A","Dates=H","DateFormat=P","Fill=—","Direction=H","UseDPDF=Y")</f>
        <v>83760</v>
      </c>
      <c r="F39" s="13">
        <f>_xll.BDH("RCOM IN Equity","EBITDA","FY 2012","FY 2012","Currency=INR","Period=FY","BEST_FPERIOD_OVERRIDE=FY","FILING_STATUS=MR","EQY_CONSOLIDATED=Y","SCALING_FORMAT=MLN","FA_ADJUSTED=GAAP","Sort=A","Dates=H","DateFormat=P","Fill=—","Direction=H","UseDPDF=Y")</f>
        <v>57950</v>
      </c>
      <c r="G39" s="13">
        <f>_xll.BDH("RCOM IN Equity","EBITDA","FY 2013","FY 2013","Currency=INR","Period=FY","BEST_FPERIOD_OVERRIDE=FY","FILING_STATUS=MR","EQY_CONSOLIDATED=Y","SCALING_FORMAT=MLN","FA_ADJUSTED=GAAP","Sort=A","Dates=H","DateFormat=P","Fill=—","Direction=H","UseDPDF=Y")</f>
        <v>59410</v>
      </c>
      <c r="H39" s="13">
        <f>_xll.BDH("RCOM IN Equity","EBITDA","FY 2014","FY 2014","Currency=INR","Period=FY","BEST_FPERIOD_OVERRIDE=FY","FILING_STATUS=MR","EQY_CONSOLIDATED=Y","SCALING_FORMAT=MLN","FA_ADJUSTED=GAAP","Sort=A","Dates=H","DateFormat=P","Fill=—","Direction=H","UseDPDF=Y")</f>
        <v>67060</v>
      </c>
      <c r="I39" s="13">
        <f>_xll.BDH("RCOM IN Equity","EBITDA","FY 2015","FY 2015","Currency=INR","Period=FY","BEST_FPERIOD_OVERRIDE=FY","FILING_STATUS=MR","EQY_CONSOLIDATED=Y","SCALING_FORMAT=MLN","FA_ADJUSTED=GAAP","Sort=A","Dates=H","DateFormat=P","Fill=—","Direction=H","UseDPDF=Y")</f>
        <v>72060</v>
      </c>
      <c r="J39" s="13">
        <f>_xll.BDH("RCOM IN Equity","EBITDA","FY 2016","FY 2016","Currency=INR","Period=FY","BEST_FPERIOD_OVERRIDE=FY","FILING_STATUS=MR","EQY_CONSOLIDATED=Y","SCALING_FORMAT=MLN","FA_ADJUSTED=GAAP","Sort=A","Dates=H","DateFormat=P","Fill=—","Direction=H","UseDPDF=Y")</f>
        <v>72600</v>
      </c>
      <c r="K39" s="13">
        <f>_xll.BDH("RCOM IN Equity","EBITDA","FY 2017","FY 2017","Currency=INR","Period=FY","BEST_FPERIOD_OVERRIDE=FY","FILING_STATUS=MR","EQY_CONSOLIDATED=Y","SCALING_FORMAT=MLN","FA_ADJUSTED=GAAP","Sort=A","Dates=H","DateFormat=P","Fill=—","Direction=H","UseDPDF=Y")</f>
        <v>46610</v>
      </c>
      <c r="L39" s="13">
        <f>_xll.BDH("RCOM IN Equity","EBITDA","FY 2018","FY 2018","Currency=INR","Period=FY","BEST_FPERIOD_OVERRIDE=FY","FILING_STATUS=MR","EQY_CONSOLIDATED=Y","SCALING_FORMAT=MLN","FA_ADJUSTED=GAAP","Sort=A","Dates=H","DateFormat=P","Fill=—","Direction=H","UseDPDF=Y")</f>
        <v>31100</v>
      </c>
    </row>
    <row r="40" spans="1:12">
      <c r="A40" s="10" t="s">
        <v>1580</v>
      </c>
      <c r="B40" s="10" t="s">
        <v>1581</v>
      </c>
      <c r="C40" s="13">
        <f>_xll.BDH("RCOM IN Equity","EBITDA_AFTER_CAPEX","FY 2009","FY 2009","Currency=INR","Period=FY","BEST_FPERIOD_OVERRIDE=FY","FILING_STATUS=MR","EQY_CONSOLIDATED=Y","SCALING_FORMAT=MLN","FA_ADJUSTED=GAAP","Sort=A","Dates=H","DateFormat=P","Fill=—","Direction=H","UseDPDF=Y")</f>
        <v>-35277</v>
      </c>
      <c r="D40" s="13">
        <f>_xll.BDH("RCOM IN Equity","EBITDA_AFTER_CAPEX","FY 2010","FY 2010","Currency=INR","Period=FY","BEST_FPERIOD_OVERRIDE=FY","FILING_STATUS=MR","EQY_CONSOLIDATED=Y","SCALING_FORMAT=MLN","FA_ADJUSTED=GAAP","Sort=A","Dates=H","DateFormat=P","Fill=—","Direction=H","UseDPDF=Y")</f>
        <v>-5069.8999999999996</v>
      </c>
      <c r="E40" s="13">
        <f>_xll.BDH("RCOM IN Equity","EBITDA_AFTER_CAPEX","FY 2011","FY 2011","Currency=INR","Period=FY","BEST_FPERIOD_OVERRIDE=FY","FILING_STATUS=MR","EQY_CONSOLIDATED=Y","SCALING_FORMAT=MLN","FA_ADJUSTED=GAAP","Sort=A","Dates=H","DateFormat=P","Fill=—","Direction=H","UseDPDF=Y")</f>
        <v>-19510</v>
      </c>
      <c r="F40" s="13">
        <f>_xll.BDH("RCOM IN Equity","EBITDA_AFTER_CAPEX","FY 2012","FY 2012","Currency=INR","Period=FY","BEST_FPERIOD_OVERRIDE=FY","FILING_STATUS=MR","EQY_CONSOLIDATED=Y","SCALING_FORMAT=MLN","FA_ADJUSTED=GAAP","Sort=A","Dates=H","DateFormat=P","Fill=—","Direction=H","UseDPDF=Y")</f>
        <v>9450</v>
      </c>
      <c r="G40" s="13">
        <f>_xll.BDH("RCOM IN Equity","EBITDA_AFTER_CAPEX","FY 2013","FY 2013","Currency=INR","Period=FY","BEST_FPERIOD_OVERRIDE=FY","FILING_STATUS=MR","EQY_CONSOLIDATED=Y","SCALING_FORMAT=MLN","FA_ADJUSTED=GAAP","Sort=A","Dates=H","DateFormat=P","Fill=—","Direction=H","UseDPDF=Y")</f>
        <v>38270</v>
      </c>
      <c r="H40" s="13">
        <f>_xll.BDH("RCOM IN Equity","EBITDA_AFTER_CAPEX","FY 2014","FY 2014","Currency=INR","Period=FY","BEST_FPERIOD_OVERRIDE=FY","FILING_STATUS=MR","EQY_CONSOLIDATED=Y","SCALING_FORMAT=MLN","FA_ADJUSTED=GAAP","Sort=A","Dates=H","DateFormat=P","Fill=—","Direction=H","UseDPDF=Y")</f>
        <v>45410</v>
      </c>
      <c r="I40" s="13">
        <f>_xll.BDH("RCOM IN Equity","EBITDA_AFTER_CAPEX","FY 2015","FY 2015","Currency=INR","Period=FY","BEST_FPERIOD_OVERRIDE=FY","FILING_STATUS=MR","EQY_CONSOLIDATED=Y","SCALING_FORMAT=MLN","FA_ADJUSTED=GAAP","Sort=A","Dates=H","DateFormat=P","Fill=—","Direction=H","UseDPDF=Y")</f>
        <v>47100</v>
      </c>
      <c r="J40" s="13">
        <f>_xll.BDH("RCOM IN Equity","EBITDA_AFTER_CAPEX","FY 2016","FY 2016","Currency=INR","Period=FY","BEST_FPERIOD_OVERRIDE=FY","FILING_STATUS=MR","EQY_CONSOLIDATED=Y","SCALING_FORMAT=MLN","FA_ADJUSTED=GAAP","Sort=A","Dates=H","DateFormat=P","Fill=—","Direction=H","UseDPDF=Y")</f>
        <v>-80700</v>
      </c>
      <c r="K40" s="13">
        <f>_xll.BDH("RCOM IN Equity","EBITDA_AFTER_CAPEX","FY 2017","FY 2017","Currency=INR","Period=FY","BEST_FPERIOD_OVERRIDE=FY","FILING_STATUS=MR","EQY_CONSOLIDATED=Y","SCALING_FORMAT=MLN","FA_ADJUSTED=GAAP","Sort=A","Dates=H","DateFormat=P","Fill=—","Direction=H","UseDPDF=Y")</f>
        <v>7410</v>
      </c>
      <c r="L40" s="13">
        <f>_xll.BDH("RCOM IN Equity","EBITDA_AFTER_CAPEX","FY 2018","FY 2018","Currency=INR","Period=FY","BEST_FPERIOD_OVERRIDE=FY","FILING_STATUS=MR","EQY_CONSOLIDATED=Y","SCALING_FORMAT=MLN","FA_ADJUSTED=GAAP","Sort=A","Dates=H","DateFormat=P","Fill=—","Direction=H","UseDPDF=Y")</f>
        <v>25190</v>
      </c>
    </row>
    <row r="41" spans="1:12">
      <c r="A41" s="10" t="s">
        <v>102</v>
      </c>
      <c r="B41" s="10" t="s">
        <v>64</v>
      </c>
      <c r="C41" s="13">
        <f>_xll.BDH("RCOM IN Equity","IS_OPER_INC","FY 2009","FY 2009","Currency=INR","Period=FY","BEST_FPERIOD_OVERRIDE=FY","FILING_STATUS=MR","EQY_CONSOLIDATED=Y","SCALING_FORMAT=MLN","FA_ADJUSTED=GAAP","Sort=A","Dates=H","DateFormat=P","Fill=—","Direction=H","UseDPDF=Y")</f>
        <v>51229.8</v>
      </c>
      <c r="D41" s="13">
        <f>_xll.BDH("RCOM IN Equity","IS_OPER_INC","FY 2010","FY 2010","Currency=INR","Period=FY","BEST_FPERIOD_OVERRIDE=FY","FILING_STATUS=MR","EQY_CONSOLIDATED=Y","SCALING_FORMAT=MLN","FA_ADJUSTED=GAAP","Sort=A","Dates=H","DateFormat=P","Fill=—","Direction=H","UseDPDF=Y")</f>
        <v>32425.3</v>
      </c>
      <c r="E41" s="13">
        <f>_xll.BDH("RCOM IN Equity","IS_OPER_INC","FY 2011","FY 2011","Currency=INR","Period=FY","BEST_FPERIOD_OVERRIDE=FY","FILING_STATUS=MR","EQY_CONSOLIDATED=Y","SCALING_FORMAT=MLN","FA_ADJUSTED=GAAP","Sort=A","Dates=H","DateFormat=P","Fill=—","Direction=H","UseDPDF=Y")</f>
        <v>18720</v>
      </c>
      <c r="F41" s="13">
        <f>_xll.BDH("RCOM IN Equity","IS_OPER_INC","FY 2012","FY 2012","Currency=INR","Period=FY","BEST_FPERIOD_OVERRIDE=FY","FILING_STATUS=MR","EQY_CONSOLIDATED=Y","SCALING_FORMAT=MLN","FA_ADJUSTED=GAAP","Sort=A","Dates=H","DateFormat=P","Fill=—","Direction=H","UseDPDF=Y")</f>
        <v>18170</v>
      </c>
      <c r="G41" s="13">
        <f>_xll.BDH("RCOM IN Equity","IS_OPER_INC","FY 2013","FY 2013","Currency=INR","Period=FY","BEST_FPERIOD_OVERRIDE=FY","FILING_STATUS=MR","EQY_CONSOLIDATED=Y","SCALING_FORMAT=MLN","FA_ADJUSTED=GAAP","Sort=A","Dates=H","DateFormat=P","Fill=—","Direction=H","UseDPDF=Y")</f>
        <v>20960</v>
      </c>
      <c r="H41" s="13">
        <f>_xll.BDH("RCOM IN Equity","IS_OPER_INC","FY 2014","FY 2014","Currency=INR","Period=FY","BEST_FPERIOD_OVERRIDE=FY","FILING_STATUS=MR","EQY_CONSOLIDATED=Y","SCALING_FORMAT=MLN","FA_ADJUSTED=GAAP","Sort=A","Dates=H","DateFormat=P","Fill=—","Direction=H","UseDPDF=Y")</f>
        <v>21710</v>
      </c>
      <c r="I41" s="13">
        <f>_xll.BDH("RCOM IN Equity","IS_OPER_INC","FY 2015","FY 2015","Currency=INR","Period=FY","BEST_FPERIOD_OVERRIDE=FY","FILING_STATUS=MR","EQY_CONSOLIDATED=Y","SCALING_FORMAT=MLN","FA_ADJUSTED=GAAP","Sort=A","Dates=H","DateFormat=P","Fill=—","Direction=H","UseDPDF=Y")</f>
        <v>33890</v>
      </c>
      <c r="J41" s="13">
        <f>_xll.BDH("RCOM IN Equity","IS_OPER_INC","FY 2016","FY 2016","Currency=INR","Period=FY","BEST_FPERIOD_OVERRIDE=FY","FILING_STATUS=MR","EQY_CONSOLIDATED=Y","SCALING_FORMAT=MLN","FA_ADJUSTED=GAAP","Sort=A","Dates=H","DateFormat=P","Fill=—","Direction=H","UseDPDF=Y")</f>
        <v>27760</v>
      </c>
      <c r="K41" s="13">
        <f>_xll.BDH("RCOM IN Equity","IS_OPER_INC","FY 2017","FY 2017","Currency=INR","Period=FY","BEST_FPERIOD_OVERRIDE=FY","FILING_STATUS=MR","EQY_CONSOLIDATED=Y","SCALING_FORMAT=MLN","FA_ADJUSTED=GAAP","Sort=A","Dates=H","DateFormat=P","Fill=—","Direction=H","UseDPDF=Y")</f>
        <v>4400</v>
      </c>
      <c r="L41" s="13">
        <f>_xll.BDH("RCOM IN Equity","IS_OPER_INC","FY 2018","FY 2018","Currency=INR","Period=FY","BEST_FPERIOD_OVERRIDE=FY","FILING_STATUS=MR","EQY_CONSOLIDATED=Y","SCALING_FORMAT=MLN","FA_ADJUSTED=GAAP","Sort=A","Dates=H","DateFormat=P","Fill=—","Direction=H","UseDPDF=Y")</f>
        <v>2430</v>
      </c>
    </row>
    <row r="42" spans="1:12">
      <c r="A42" s="7" t="s">
        <v>57</v>
      </c>
      <c r="B42" s="7"/>
      <c r="C42" s="7" t="s">
        <v>3</v>
      </c>
      <c r="D42" s="7"/>
      <c r="E42" s="7"/>
      <c r="F42" s="7"/>
      <c r="G42" s="7"/>
      <c r="H42" s="7"/>
      <c r="I42" s="7"/>
      <c r="J42" s="7"/>
      <c r="K42" s="7"/>
      <c r="L4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L26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1582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10" t="s">
        <v>1583</v>
      </c>
      <c r="B6" s="10" t="s">
        <v>1584</v>
      </c>
      <c r="C6" s="14">
        <f>_xll.BDH("RCOM IN Equity","CASH_RATIO","FY 2009","FY 2009","Currency=INR","Period=FY","BEST_FPERIOD_OVERRIDE=FY","FILING_STATUS=MR","EQY_CONSOLIDATED=Y","Sort=A","Dates=H","DateFormat=P","Fill=—","Direction=H","UseDPDF=Y")</f>
        <v>0.34320000000000001</v>
      </c>
      <c r="D6" s="14">
        <f>_xll.BDH("RCOM IN Equity","CASH_RATIO","FY 2010","FY 2010","Currency=INR","Period=FY","BEST_FPERIOD_OVERRIDE=FY","FILING_STATUS=MR","EQY_CONSOLIDATED=Y","Sort=A","Dates=H","DateFormat=P","Fill=—","Direction=H","UseDPDF=Y")</f>
        <v>0.16639999999999999</v>
      </c>
      <c r="E6" s="14">
        <f>_xll.BDH("RCOM IN Equity","CASH_RATIO","FY 2011","FY 2011","Currency=INR","Period=FY","BEST_FPERIOD_OVERRIDE=FY","FILING_STATUS=MR","EQY_CONSOLIDATED=Y","Sort=A","Dates=H","DateFormat=P","Fill=—","Direction=H","UseDPDF=Y")</f>
        <v>0.1646</v>
      </c>
      <c r="F6" s="14">
        <f>_xll.BDH("RCOM IN Equity","CASH_RATIO","FY 2012","FY 2012","Currency=INR","Period=FY","BEST_FPERIOD_OVERRIDE=FY","FILING_STATUS=MR","EQY_CONSOLIDATED=Y","Sort=A","Dates=H","DateFormat=P","Fill=—","Direction=H","UseDPDF=Y")</f>
        <v>4.7699999999999999E-2</v>
      </c>
      <c r="G6" s="14">
        <f>_xll.BDH("RCOM IN Equity","CASH_RATIO","FY 2013","FY 2013","Currency=INR","Period=FY","BEST_FPERIOD_OVERRIDE=FY","FILING_STATUS=MR","EQY_CONSOLIDATED=Y","Sort=A","Dates=H","DateFormat=P","Fill=—","Direction=H","UseDPDF=Y")</f>
        <v>5.4699999999999999E-2</v>
      </c>
      <c r="H6" s="14">
        <f>_xll.BDH("RCOM IN Equity","CASH_RATIO","FY 2014","FY 2014","Currency=INR","Period=FY","BEST_FPERIOD_OVERRIDE=FY","FILING_STATUS=MR","EQY_CONSOLIDATED=Y","Sort=A","Dates=H","DateFormat=P","Fill=—","Direction=H","UseDPDF=Y")</f>
        <v>4.3400000000000001E-2</v>
      </c>
      <c r="I6" s="14">
        <f>_xll.BDH("RCOM IN Equity","CASH_RATIO","FY 2015","FY 2015","Currency=INR","Period=FY","BEST_FPERIOD_OVERRIDE=FY","FILING_STATUS=MR","EQY_CONSOLIDATED=Y","Sort=A","Dates=H","DateFormat=P","Fill=—","Direction=H","UseDPDF=Y")</f>
        <v>0.128</v>
      </c>
      <c r="J6" s="14">
        <f>_xll.BDH("RCOM IN Equity","CASH_RATIO","FY 2016","FY 2016","Currency=INR","Period=FY","BEST_FPERIOD_OVERRIDE=FY","FILING_STATUS=MR","EQY_CONSOLIDATED=Y","Sort=A","Dates=H","DateFormat=P","Fill=—","Direction=H","UseDPDF=Y")</f>
        <v>5.4800000000000001E-2</v>
      </c>
      <c r="K6" s="14">
        <f>_xll.BDH("RCOM IN Equity","CASH_RATIO","FY 2017","FY 2017","Currency=INR","Period=FY","BEST_FPERIOD_OVERRIDE=FY","FILING_STATUS=MR","EQY_CONSOLIDATED=Y","Sort=A","Dates=H","DateFormat=P","Fill=—","Direction=H","UseDPDF=Y")</f>
        <v>3.6499999999999998E-2</v>
      </c>
      <c r="L6" s="14">
        <f>_xll.BDH("RCOM IN Equity","CASH_RATIO","FY 2018","FY 2018","Currency=INR","Period=FY","BEST_FPERIOD_OVERRIDE=FY","FILING_STATUS=MR","EQY_CONSOLIDATED=Y","Sort=A","Dates=H","DateFormat=P","Fill=—","Direction=H","UseDPDF=Y")</f>
        <v>1.4E-2</v>
      </c>
    </row>
    <row r="7" spans="1:12">
      <c r="A7" s="10" t="s">
        <v>846</v>
      </c>
      <c r="B7" s="10" t="s">
        <v>847</v>
      </c>
      <c r="C7" s="14">
        <f>_xll.BDH("RCOM IN Equity","CUR_RATIO","FY 2009","FY 2009","Currency=INR","Period=FY","BEST_FPERIOD_OVERRIDE=FY","FILING_STATUS=MR","EQY_CONSOLIDATED=Y","Sort=A","Dates=H","DateFormat=P","Fill=—","Direction=H","UseDPDF=Y")</f>
        <v>0.75109999999999999</v>
      </c>
      <c r="D7" s="14">
        <f>_xll.BDH("RCOM IN Equity","CUR_RATIO","FY 2010","FY 2010","Currency=INR","Period=FY","BEST_FPERIOD_OVERRIDE=FY","FILING_STATUS=MR","EQY_CONSOLIDATED=Y","Sort=A","Dates=H","DateFormat=P","Fill=—","Direction=H","UseDPDF=Y")</f>
        <v>0.55469999999999997</v>
      </c>
      <c r="E7" s="14">
        <f>_xll.BDH("RCOM IN Equity","CUR_RATIO","FY 2011","FY 2011","Currency=INR","Period=FY","BEST_FPERIOD_OVERRIDE=FY","FILING_STATUS=MR","EQY_CONSOLIDATED=Y","Sort=A","Dates=H","DateFormat=P","Fill=—","Direction=H","UseDPDF=Y")</f>
        <v>0.50919999999999999</v>
      </c>
      <c r="F7" s="14">
        <f>_xll.BDH("RCOM IN Equity","CUR_RATIO","FY 2012","FY 2012","Currency=INR","Period=FY","BEST_FPERIOD_OVERRIDE=FY","FILING_STATUS=MR","EQY_CONSOLIDATED=Y","Sort=A","Dates=H","DateFormat=P","Fill=—","Direction=H","UseDPDF=Y")</f>
        <v>0.55989999999999995</v>
      </c>
      <c r="G7" s="14">
        <f>_xll.BDH("RCOM IN Equity","CUR_RATIO","FY 2013","FY 2013","Currency=INR","Period=FY","BEST_FPERIOD_OVERRIDE=FY","FILING_STATUS=MR","EQY_CONSOLIDATED=Y","Sort=A","Dates=H","DateFormat=P","Fill=—","Direction=H","UseDPDF=Y")</f>
        <v>0.52310000000000001</v>
      </c>
      <c r="H7" s="14">
        <f>_xll.BDH("RCOM IN Equity","CUR_RATIO","FY 2014","FY 2014","Currency=INR","Period=FY","BEST_FPERIOD_OVERRIDE=FY","FILING_STATUS=MR","EQY_CONSOLIDATED=Y","Sort=A","Dates=H","DateFormat=P","Fill=—","Direction=H","UseDPDF=Y")</f>
        <v>0.52380000000000004</v>
      </c>
      <c r="I7" s="14">
        <f>_xll.BDH("RCOM IN Equity","CUR_RATIO","FY 2015","FY 2015","Currency=INR","Period=FY","BEST_FPERIOD_OVERRIDE=FY","FILING_STATUS=MR","EQY_CONSOLIDATED=Y","Sort=A","Dates=H","DateFormat=P","Fill=—","Direction=H","UseDPDF=Y")</f>
        <v>0.89810000000000001</v>
      </c>
      <c r="J7" s="14">
        <f>_xll.BDH("RCOM IN Equity","CUR_RATIO","FY 2016","FY 2016","Currency=INR","Period=FY","BEST_FPERIOD_OVERRIDE=FY","FILING_STATUS=MR","EQY_CONSOLIDATED=Y","Sort=A","Dates=H","DateFormat=P","Fill=—","Direction=H","UseDPDF=Y")</f>
        <v>0.42499999999999999</v>
      </c>
      <c r="K7" s="14">
        <f>_xll.BDH("RCOM IN Equity","CUR_RATIO","FY 2017","FY 2017","Currency=INR","Period=FY","BEST_FPERIOD_OVERRIDE=FY","FILING_STATUS=MR","EQY_CONSOLIDATED=Y","Sort=A","Dates=H","DateFormat=P","Fill=—","Direction=H","UseDPDF=Y")</f>
        <v>0.36099999999999999</v>
      </c>
      <c r="L7" s="14">
        <f>_xll.BDH("RCOM IN Equity","CUR_RATIO","FY 2018","FY 2018","Currency=INR","Period=FY","BEST_FPERIOD_OVERRIDE=FY","FILING_STATUS=MR","EQY_CONSOLIDATED=Y","Sort=A","Dates=H","DateFormat=P","Fill=—","Direction=H","UseDPDF=Y")</f>
        <v>0.86619999999999997</v>
      </c>
    </row>
    <row r="8" spans="1:12">
      <c r="A8" s="10" t="s">
        <v>1585</v>
      </c>
      <c r="B8" s="10" t="s">
        <v>1586</v>
      </c>
      <c r="C8" s="14">
        <f>_xll.BDH("RCOM IN Equity","QUICK_RATIO","FY 2009","FY 2009","Currency=INR","Period=FY","BEST_FPERIOD_OVERRIDE=FY","FILING_STATUS=MR","EQY_CONSOLIDATED=Y","Sort=A","Dates=H","DateFormat=P","Fill=—","Direction=H","UseDPDF=Y")</f>
        <v>0.36990000000000001</v>
      </c>
      <c r="D8" s="14">
        <f>_xll.BDH("RCOM IN Equity","QUICK_RATIO","FY 2010","FY 2010","Currency=INR","Period=FY","BEST_FPERIOD_OVERRIDE=FY","FILING_STATUS=MR","EQY_CONSOLIDATED=Y","Sort=A","Dates=H","DateFormat=P","Fill=—","Direction=H","UseDPDF=Y")</f>
        <v>0.20030000000000001</v>
      </c>
      <c r="E8" s="14">
        <f>_xll.BDH("RCOM IN Equity","QUICK_RATIO","FY 2011","FY 2011","Currency=INR","Period=FY","BEST_FPERIOD_OVERRIDE=FY","FILING_STATUS=MR","EQY_CONSOLIDATED=Y","Sort=A","Dates=H","DateFormat=P","Fill=—","Direction=H","UseDPDF=Y")</f>
        <v>0.20610000000000001</v>
      </c>
      <c r="F8" s="14">
        <f>_xll.BDH("RCOM IN Equity","QUICK_RATIO","FY 2012","FY 2012","Currency=INR","Period=FY","BEST_FPERIOD_OVERRIDE=FY","FILING_STATUS=MR","EQY_CONSOLIDATED=Y","Sort=A","Dates=H","DateFormat=P","Fill=—","Direction=H","UseDPDF=Y")</f>
        <v>0.12989999999999999</v>
      </c>
      <c r="G8" s="14">
        <f>_xll.BDH("RCOM IN Equity","QUICK_RATIO","FY 2013","FY 2013","Currency=INR","Period=FY","BEST_FPERIOD_OVERRIDE=FY","FILING_STATUS=MR","EQY_CONSOLIDATED=Y","Sort=A","Dates=H","DateFormat=P","Fill=—","Direction=H","UseDPDF=Y")</f>
        <v>0.12180000000000001</v>
      </c>
      <c r="H8" s="14">
        <f>_xll.BDH("RCOM IN Equity","QUICK_RATIO","FY 2014","FY 2014","Currency=INR","Period=FY","BEST_FPERIOD_OVERRIDE=FY","FILING_STATUS=MR","EQY_CONSOLIDATED=Y","Sort=A","Dates=H","DateFormat=P","Fill=—","Direction=H","UseDPDF=Y")</f>
        <v>8.7599999999999997E-2</v>
      </c>
      <c r="I8" s="14">
        <f>_xll.BDH("RCOM IN Equity","QUICK_RATIO","FY 2015","FY 2015","Currency=INR","Period=FY","BEST_FPERIOD_OVERRIDE=FY","FILING_STATUS=MR","EQY_CONSOLIDATED=Y","Sort=A","Dates=H","DateFormat=P","Fill=—","Direction=H","UseDPDF=Y")</f>
        <v>0.18509999999999999</v>
      </c>
      <c r="J8" s="14">
        <f>_xll.BDH("RCOM IN Equity","QUICK_RATIO","FY 2016","FY 2016","Currency=INR","Period=FY","BEST_FPERIOD_OVERRIDE=FY","FILING_STATUS=MR","EQY_CONSOLIDATED=Y","Sort=A","Dates=H","DateFormat=P","Fill=—","Direction=H","UseDPDF=Y")</f>
        <v>0.16250000000000001</v>
      </c>
      <c r="K8" s="14">
        <f>_xll.BDH("RCOM IN Equity","QUICK_RATIO","FY 2017","FY 2017","Currency=INR","Period=FY","BEST_FPERIOD_OVERRIDE=FY","FILING_STATUS=MR","EQY_CONSOLIDATED=Y","Sort=A","Dates=H","DateFormat=P","Fill=—","Direction=H","UseDPDF=Y")</f>
        <v>0.12670000000000001</v>
      </c>
      <c r="L8" s="14">
        <f>_xll.BDH("RCOM IN Equity","QUICK_RATIO","FY 2018","FY 2018","Currency=INR","Period=FY","BEST_FPERIOD_OVERRIDE=FY","FILING_STATUS=MR","EQY_CONSOLIDATED=Y","Sort=A","Dates=H","DateFormat=P","Fill=—","Direction=H","UseDPDF=Y")</f>
        <v>5.4699999999999999E-2</v>
      </c>
    </row>
    <row r="9" spans="1:12">
      <c r="A9" s="10" t="s">
        <v>1587</v>
      </c>
      <c r="B9" s="10" t="s">
        <v>1588</v>
      </c>
      <c r="C9" s="14">
        <f>_xll.BDH("RCOM IN Equity","CFO_TO_AVG_CURRENT_LIABILITIES","FY 2009","FY 2009","Currency=INR","Period=FY","BEST_FPERIOD_OVERRIDE=FY","FILING_STATUS=MR","EQY_CONSOLIDATED=Y","Sort=A","Dates=H","DateFormat=P","Fill=—","Direction=H","UseDPDF=Y")</f>
        <v>0.161</v>
      </c>
      <c r="D9" s="14">
        <f>_xll.BDH("RCOM IN Equity","CFO_TO_AVG_CURRENT_LIABILITIES","FY 2010","FY 2010","Currency=INR","Period=FY","BEST_FPERIOD_OVERRIDE=FY","FILING_STATUS=MR","EQY_CONSOLIDATED=Y","Sort=A","Dates=H","DateFormat=P","Fill=—","Direction=H","UseDPDF=Y")</f>
        <v>0.26740000000000003</v>
      </c>
      <c r="E9" s="14">
        <f>_xll.BDH("RCOM IN Equity","CFO_TO_AVG_CURRENT_LIABILITIES","FY 2011","FY 2011","Currency=INR","Period=FY","BEST_FPERIOD_OVERRIDE=FY","FILING_STATUS=MR","EQY_CONSOLIDATED=Y","Sort=A","Dates=H","DateFormat=P","Fill=—","Direction=H","UseDPDF=Y")</f>
        <v>3.49E-2</v>
      </c>
      <c r="F9" s="14">
        <f>_xll.BDH("RCOM IN Equity","CFO_TO_AVG_CURRENT_LIABILITIES","FY 2012","FY 2012","Currency=INR","Period=FY","BEST_FPERIOD_OVERRIDE=FY","FILING_STATUS=MR","EQY_CONSOLIDATED=Y","Sort=A","Dates=H","DateFormat=P","Fill=—","Direction=H","UseDPDF=Y")</f>
        <v>0.1489</v>
      </c>
      <c r="G9" s="14">
        <f>_xll.BDH("RCOM IN Equity","CFO_TO_AVG_CURRENT_LIABILITIES","FY 2013","FY 2013","Currency=INR","Period=FY","BEST_FPERIOD_OVERRIDE=FY","FILING_STATUS=MR","EQY_CONSOLIDATED=Y","Sort=A","Dates=H","DateFormat=P","Fill=—","Direction=H","UseDPDF=Y")</f>
        <v>5.9799999999999999E-2</v>
      </c>
      <c r="H9" s="14">
        <f>_xll.BDH("RCOM IN Equity","CFO_TO_AVG_CURRENT_LIABILITIES","FY 2014","FY 2014","Currency=INR","Period=FY","BEST_FPERIOD_OVERRIDE=FY","FILING_STATUS=MR","EQY_CONSOLIDATED=Y","Sort=A","Dates=H","DateFormat=P","Fill=—","Direction=H","UseDPDF=Y")</f>
        <v>0.158</v>
      </c>
      <c r="I9" s="14">
        <f>_xll.BDH("RCOM IN Equity","CFO_TO_AVG_CURRENT_LIABILITIES","FY 2015","FY 2015","Currency=INR","Period=FY","BEST_FPERIOD_OVERRIDE=FY","FILING_STATUS=MR","EQY_CONSOLIDATED=Y","Sort=A","Dates=H","DateFormat=P","Fill=—","Direction=H","UseDPDF=Y")</f>
        <v>2.0899999999999998E-2</v>
      </c>
      <c r="J9" s="14">
        <f>_xll.BDH("RCOM IN Equity","CFO_TO_AVG_CURRENT_LIABILITIES","FY 2016","FY 2016","Currency=INR","Period=FY","BEST_FPERIOD_OVERRIDE=FY","FILING_STATUS=MR","EQY_CONSOLIDATED=Y","Sort=A","Dates=H","DateFormat=P","Fill=—","Direction=H","UseDPDF=Y")</f>
        <v>0.58520000000000005</v>
      </c>
      <c r="K9" s="14">
        <f>_xll.BDH("RCOM IN Equity","CFO_TO_AVG_CURRENT_LIABILITIES","FY 2017","FY 2017","Currency=INR","Period=FY","BEST_FPERIOD_OVERRIDE=FY","FILING_STATUS=MR","EQY_CONSOLIDATED=Y","Sort=A","Dates=H","DateFormat=P","Fill=—","Direction=H","UseDPDF=Y")</f>
        <v>-0.1118</v>
      </c>
      <c r="L9" s="14">
        <f>_xll.BDH("RCOM IN Equity","CFO_TO_AVG_CURRENT_LIABILITIES","FY 2018","FY 2018","Currency=INR","Period=FY","BEST_FPERIOD_OVERRIDE=FY","FILING_STATUS=MR","EQY_CONSOLIDATED=Y","Sort=A","Dates=H","DateFormat=P","Fill=—","Direction=H","UseDPDF=Y")</f>
        <v>-9.1999999999999998E-3</v>
      </c>
    </row>
    <row r="10" spans="1:12">
      <c r="A10" s="10" t="s">
        <v>1564</v>
      </c>
      <c r="B10" s="10" t="s">
        <v>1565</v>
      </c>
      <c r="C10" s="14">
        <f>_xll.BDH("RCOM IN Equity","COM_EQY_TO_TOT_ASSET","FY 2009","FY 2009","Currency=INR","Period=FY","BEST_FPERIOD_OVERRIDE=FY","FILING_STATUS=MR","EQY_CONSOLIDATED=Y","Sort=A","Dates=H","DateFormat=P","Fill=—","Direction=H","UseDPDF=Y")</f>
        <v>41.3673</v>
      </c>
      <c r="D10" s="14">
        <f>_xll.BDH("RCOM IN Equity","COM_EQY_TO_TOT_ASSET","FY 2010","FY 2010","Currency=INR","Period=FY","BEST_FPERIOD_OVERRIDE=FY","FILING_STATUS=MR","EQY_CONSOLIDATED=Y","Sort=A","Dates=H","DateFormat=P","Fill=—","Direction=H","UseDPDF=Y")</f>
        <v>46.8416</v>
      </c>
      <c r="E10" s="14">
        <f>_xll.BDH("RCOM IN Equity","COM_EQY_TO_TOT_ASSET","FY 2011","FY 2011","Currency=INR","Period=FY","BEST_FPERIOD_OVERRIDE=FY","FILING_STATUS=MR","EQY_CONSOLIDATED=Y","Sort=A","Dates=H","DateFormat=P","Fill=—","Direction=H","UseDPDF=Y")</f>
        <v>42.755200000000002</v>
      </c>
      <c r="F10" s="14">
        <f>_xll.BDH("RCOM IN Equity","COM_EQY_TO_TOT_ASSET","FY 2012","FY 2012","Currency=INR","Period=FY","BEST_FPERIOD_OVERRIDE=FY","FILING_STATUS=MR","EQY_CONSOLIDATED=Y","Sort=A","Dates=H","DateFormat=P","Fill=—","Direction=H","UseDPDF=Y")</f>
        <v>39.338900000000002</v>
      </c>
      <c r="G10" s="14">
        <f>_xll.BDH("RCOM IN Equity","COM_EQY_TO_TOT_ASSET","FY 2013","FY 2013","Currency=INR","Period=FY","BEST_FPERIOD_OVERRIDE=FY","FILING_STATUS=MR","EQY_CONSOLIDATED=Y","Sort=A","Dates=H","DateFormat=P","Fill=—","Direction=H","UseDPDF=Y")</f>
        <v>37.535200000000003</v>
      </c>
      <c r="H10" s="14">
        <f>_xll.BDH("RCOM IN Equity","COM_EQY_TO_TOT_ASSET","FY 2014","FY 2014","Currency=INR","Period=FY","BEST_FPERIOD_OVERRIDE=FY","FILING_STATUS=MR","EQY_CONSOLIDATED=Y","Sort=A","Dates=H","DateFormat=P","Fill=—","Direction=H","UseDPDF=Y")</f>
        <v>36.1432</v>
      </c>
      <c r="I10" s="14">
        <f>_xll.BDH("RCOM IN Equity","COM_EQY_TO_TOT_ASSET","FY 2015","FY 2015","Currency=INR","Period=FY","BEST_FPERIOD_OVERRIDE=FY","FILING_STATUS=MR","EQY_CONSOLIDATED=Y","Sort=A","Dates=H","DateFormat=P","Fill=—","Direction=H","UseDPDF=Y")</f>
        <v>40.781799999999997</v>
      </c>
      <c r="J10" s="14">
        <f>_xll.BDH("RCOM IN Equity","COM_EQY_TO_TOT_ASSET","FY 2016","FY 2016","Currency=INR","Period=FY","BEST_FPERIOD_OVERRIDE=FY","FILING_STATUS=MR","EQY_CONSOLIDATED=Y","Sort=A","Dates=H","DateFormat=P","Fill=—","Direction=H","UseDPDF=Y")</f>
        <v>30.528500000000001</v>
      </c>
      <c r="K10" s="14">
        <f>_xll.BDH("RCOM IN Equity","COM_EQY_TO_TOT_ASSET","FY 2017","FY 2017","Currency=INR","Period=FY","BEST_FPERIOD_OVERRIDE=FY","FILING_STATUS=MR","EQY_CONSOLIDATED=Y","Sort=A","Dates=H","DateFormat=P","Fill=—","Direction=H","UseDPDF=Y")</f>
        <v>28.646100000000001</v>
      </c>
      <c r="L10" s="14">
        <f>_xll.BDH("RCOM IN Equity","COM_EQY_TO_TOT_ASSET","FY 2018","FY 2018","Currency=INR","Period=FY","BEST_FPERIOD_OVERRIDE=FY","FILING_STATUS=MR","EQY_CONSOLIDATED=Y","Sort=A","Dates=H","DateFormat=P","Fill=—","Direction=H","UseDPDF=Y")</f>
        <v>3.7317</v>
      </c>
    </row>
    <row r="11" spans="1:12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>
      <c r="A12" s="10" t="s">
        <v>1566</v>
      </c>
      <c r="B12" s="10" t="s">
        <v>1567</v>
      </c>
      <c r="C12" s="14">
        <f>_xll.BDH("RCOM IN Equity","LT_DEBT_TO_TOT_EQY","FY 2009","FY 2009","Currency=INR","Period=FY","BEST_FPERIOD_OVERRIDE=FY","FILING_STATUS=MR","EQY_CONSOLIDATED=Y","Sort=A","Dates=H","DateFormat=P","Fill=—","Direction=H","UseDPDF=Y")</f>
        <v>63.5623</v>
      </c>
      <c r="D12" s="14">
        <f>_xll.BDH("RCOM IN Equity","LT_DEBT_TO_TOT_EQY","FY 2010","FY 2010","Currency=INR","Period=FY","BEST_FPERIOD_OVERRIDE=FY","FILING_STATUS=MR","EQY_CONSOLIDATED=Y","Sort=A","Dates=H","DateFormat=P","Fill=—","Direction=H","UseDPDF=Y")</f>
        <v>43.735199999999999</v>
      </c>
      <c r="E12" s="14">
        <f>_xll.BDH("RCOM IN Equity","LT_DEBT_TO_TOT_EQY","FY 2011","FY 2011","Currency=INR","Period=FY","BEST_FPERIOD_OVERRIDE=FY","FILING_STATUS=MR","EQY_CONSOLIDATED=Y","Sort=A","Dates=H","DateFormat=P","Fill=—","Direction=H","UseDPDF=Y")</f>
        <v>46.736699999999999</v>
      </c>
      <c r="F12" s="14">
        <f>_xll.BDH("RCOM IN Equity","LT_DEBT_TO_TOT_EQY","FY 2012","FY 2012","Currency=INR","Period=FY","BEST_FPERIOD_OVERRIDE=FY","FILING_STATUS=MR","EQY_CONSOLIDATED=Y","Sort=A","Dates=H","DateFormat=P","Fill=—","Direction=H","UseDPDF=Y")</f>
        <v>79.787899999999993</v>
      </c>
      <c r="G12" s="14">
        <f>_xll.BDH("RCOM IN Equity","LT_DEBT_TO_TOT_EQY","FY 2013","FY 2013","Currency=INR","Period=FY","BEST_FPERIOD_OVERRIDE=FY","FILING_STATUS=MR","EQY_CONSOLIDATED=Y","Sort=A","Dates=H","DateFormat=P","Fill=—","Direction=H","UseDPDF=Y")</f>
        <v>82.944299999999998</v>
      </c>
      <c r="H12" s="14">
        <f>_xll.BDH("RCOM IN Equity","LT_DEBT_TO_TOT_EQY","FY 2014","FY 2014","Currency=INR","Period=FY","BEST_FPERIOD_OVERRIDE=FY","FILING_STATUS=MR","EQY_CONSOLIDATED=Y","Sort=A","Dates=H","DateFormat=P","Fill=—","Direction=H","UseDPDF=Y")</f>
        <v>84.030500000000004</v>
      </c>
      <c r="I12" s="14">
        <f>_xll.BDH("RCOM IN Equity","LT_DEBT_TO_TOT_EQY","FY 2015","FY 2015","Currency=INR","Period=FY","BEST_FPERIOD_OVERRIDE=FY","FILING_STATUS=MR","EQY_CONSOLIDATED=Y","Sort=A","Dates=H","DateFormat=P","Fill=—","Direction=H","UseDPDF=Y")</f>
        <v>79.278499999999994</v>
      </c>
      <c r="J12" s="14">
        <f>_xll.BDH("RCOM IN Equity","LT_DEBT_TO_TOT_EQY","FY 2016","FY 2016","Currency=INR","Period=FY","BEST_FPERIOD_OVERRIDE=FY","FILING_STATUS=MR","EQY_CONSOLIDATED=Y","Sort=A","Dates=H","DateFormat=P","Fill=—","Direction=H","UseDPDF=Y")</f>
        <v>91.366699999999994</v>
      </c>
      <c r="K12" s="14">
        <f>_xll.BDH("RCOM IN Equity","LT_DEBT_TO_TOT_EQY","FY 2017","FY 2017","Currency=INR","Period=FY","BEST_FPERIOD_OVERRIDE=FY","FILING_STATUS=MR","EQY_CONSOLIDATED=Y","Sort=A","Dates=H","DateFormat=P","Fill=—","Direction=H","UseDPDF=Y")</f>
        <v>77.841800000000006</v>
      </c>
      <c r="L12" s="14">
        <f>_xll.BDH("RCOM IN Equity","LT_DEBT_TO_TOT_EQY","FY 2018","FY 2018","Currency=INR","Period=FY","BEST_FPERIOD_OVERRIDE=FY","FILING_STATUS=MR","EQY_CONSOLIDATED=Y","Sort=A","Dates=H","DateFormat=P","Fill=—","Direction=H","UseDPDF=Y")</f>
        <v>419.58269999999999</v>
      </c>
    </row>
    <row r="13" spans="1:12">
      <c r="A13" s="10" t="s">
        <v>1568</v>
      </c>
      <c r="B13" s="10" t="s">
        <v>1569</v>
      </c>
      <c r="C13" s="14">
        <f>_xll.BDH("RCOM IN Equity","LT_DEBT_TO_TOT_CAP","FY 2009","FY 2009","Currency=INR","Period=FY","BEST_FPERIOD_OVERRIDE=FY","FILING_STATUS=MR","EQY_CONSOLIDATED=Y","Sort=A","Dates=H","DateFormat=P","Fill=—","Direction=H","UseDPDF=Y")</f>
        <v>33.241700000000002</v>
      </c>
      <c r="D13" s="14">
        <f>_xll.BDH("RCOM IN Equity","LT_DEBT_TO_TOT_CAP","FY 2010","FY 2010","Currency=INR","Period=FY","BEST_FPERIOD_OVERRIDE=FY","FILING_STATUS=MR","EQY_CONSOLIDATED=Y","Sort=A","Dates=H","DateFormat=P","Fill=—","Direction=H","UseDPDF=Y")</f>
        <v>26.1097</v>
      </c>
      <c r="E13" s="14">
        <f>_xll.BDH("RCOM IN Equity","LT_DEBT_TO_TOT_CAP","FY 2011","FY 2011","Currency=INR","Period=FY","BEST_FPERIOD_OVERRIDE=FY","FILING_STATUS=MR","EQY_CONSOLIDATED=Y","Sort=A","Dates=H","DateFormat=P","Fill=—","Direction=H","UseDPDF=Y")</f>
        <v>24.0229</v>
      </c>
      <c r="F13" s="14">
        <f>_xll.BDH("RCOM IN Equity","LT_DEBT_TO_TOT_CAP","FY 2012","FY 2012","Currency=INR","Period=FY","BEST_FPERIOD_OVERRIDE=FY","FILING_STATUS=MR","EQY_CONSOLIDATED=Y","Sort=A","Dates=H","DateFormat=P","Fill=—","Direction=H","UseDPDF=Y")</f>
        <v>39.287599999999998</v>
      </c>
      <c r="G13" s="14">
        <f>_xll.BDH("RCOM IN Equity","LT_DEBT_TO_TOT_CAP","FY 2013","FY 2013","Currency=INR","Period=FY","BEST_FPERIOD_OVERRIDE=FY","FILING_STATUS=MR","EQY_CONSOLIDATED=Y","Sort=A","Dates=H","DateFormat=P","Fill=—","Direction=H","UseDPDF=Y")</f>
        <v>37.673699999999997</v>
      </c>
      <c r="H13" s="14">
        <f>_xll.BDH("RCOM IN Equity","LT_DEBT_TO_TOT_CAP","FY 2014","FY 2014","Currency=INR","Period=FY","BEST_FPERIOD_OVERRIDE=FY","FILING_STATUS=MR","EQY_CONSOLIDATED=Y","Sort=A","Dates=H","DateFormat=P","Fill=—","Direction=H","UseDPDF=Y")</f>
        <v>37.177300000000002</v>
      </c>
      <c r="I13" s="14">
        <f>_xll.BDH("RCOM IN Equity","LT_DEBT_TO_TOT_CAP","FY 2015","FY 2015","Currency=INR","Period=FY","BEST_FPERIOD_OVERRIDE=FY","FILING_STATUS=MR","EQY_CONSOLIDATED=Y","Sort=A","Dates=H","DateFormat=P","Fill=—","Direction=H","UseDPDF=Y")</f>
        <v>38.872900000000001</v>
      </c>
      <c r="J13" s="14">
        <f>_xll.BDH("RCOM IN Equity","LT_DEBT_TO_TOT_CAP","FY 2016","FY 2016","Currency=INR","Period=FY","BEST_FPERIOD_OVERRIDE=FY","FILING_STATUS=MR","EQY_CONSOLIDATED=Y","Sort=A","Dates=H","DateFormat=P","Fill=—","Direction=H","UseDPDF=Y")</f>
        <v>38.570799999999998</v>
      </c>
      <c r="K13" s="14">
        <f>_xll.BDH("RCOM IN Equity","LT_DEBT_TO_TOT_CAP","FY 2017","FY 2017","Currency=INR","Period=FY","BEST_FPERIOD_OVERRIDE=FY","FILING_STATUS=MR","EQY_CONSOLIDATED=Y","Sort=A","Dates=H","DateFormat=P","Fill=—","Direction=H","UseDPDF=Y")</f>
        <v>30.186599999999999</v>
      </c>
      <c r="L13" s="14">
        <f>_xll.BDH("RCOM IN Equity","LT_DEBT_TO_TOT_CAP","FY 2018","FY 2018","Currency=INR","Period=FY","BEST_FPERIOD_OVERRIDE=FY","FILING_STATUS=MR","EQY_CONSOLIDATED=Y","Sort=A","Dates=H","DateFormat=P","Fill=—","Direction=H","UseDPDF=Y")</f>
        <v>25.933599999999998</v>
      </c>
    </row>
    <row r="14" spans="1:12">
      <c r="A14" s="10" t="s">
        <v>1570</v>
      </c>
      <c r="B14" s="10" t="s">
        <v>1571</v>
      </c>
      <c r="C14" s="14">
        <f>_xll.BDH("RCOM IN Equity","LT_DEBT_TO_TOT_ASSET","FY 2009","FY 2009","Currency=INR","Period=FY","BEST_FPERIOD_OVERRIDE=FY","FILING_STATUS=MR","EQY_CONSOLIDATED=Y","Sort=A","Dates=H","DateFormat=P","Fill=—","Direction=H","UseDPDF=Y")</f>
        <v>26.7013</v>
      </c>
      <c r="D14" s="14">
        <f>_xll.BDH("RCOM IN Equity","LT_DEBT_TO_TOT_ASSET","FY 2010","FY 2010","Currency=INR","Period=FY","BEST_FPERIOD_OVERRIDE=FY","FILING_STATUS=MR","EQY_CONSOLIDATED=Y","Sort=A","Dates=H","DateFormat=P","Fill=—","Direction=H","UseDPDF=Y")</f>
        <v>20.7973</v>
      </c>
      <c r="E14" s="14">
        <f>_xll.BDH("RCOM IN Equity","LT_DEBT_TO_TOT_ASSET","FY 2011","FY 2011","Currency=INR","Period=FY","BEST_FPERIOD_OVERRIDE=FY","FILING_STATUS=MR","EQY_CONSOLIDATED=Y","Sort=A","Dates=H","DateFormat=P","Fill=—","Direction=H","UseDPDF=Y")</f>
        <v>20.3889</v>
      </c>
      <c r="F14" s="14">
        <f>_xll.BDH("RCOM IN Equity","LT_DEBT_TO_TOT_ASSET","FY 2012","FY 2012","Currency=INR","Period=FY","BEST_FPERIOD_OVERRIDE=FY","FILING_STATUS=MR","EQY_CONSOLIDATED=Y","Sort=A","Dates=H","DateFormat=P","Fill=—","Direction=H","UseDPDF=Y")</f>
        <v>32.131399999999999</v>
      </c>
      <c r="G14" s="14">
        <f>_xll.BDH("RCOM IN Equity","LT_DEBT_TO_TOT_ASSET","FY 2013","FY 2013","Currency=INR","Period=FY","BEST_FPERIOD_OVERRIDE=FY","FILING_STATUS=MR","EQY_CONSOLIDATED=Y","Sort=A","Dates=H","DateFormat=P","Fill=—","Direction=H","UseDPDF=Y")</f>
        <v>31.8001</v>
      </c>
      <c r="H14" s="14">
        <f>_xll.BDH("RCOM IN Equity","LT_DEBT_TO_TOT_ASSET","FY 2014","FY 2014","Currency=INR","Period=FY","BEST_FPERIOD_OVERRIDE=FY","FILING_STATUS=MR","EQY_CONSOLIDATED=Y","Sort=A","Dates=H","DateFormat=P","Fill=—","Direction=H","UseDPDF=Y")</f>
        <v>31.0594</v>
      </c>
      <c r="I14" s="14">
        <f>_xll.BDH("RCOM IN Equity","LT_DEBT_TO_TOT_ASSET","FY 2015","FY 2015","Currency=INR","Period=FY","BEST_FPERIOD_OVERRIDE=FY","FILING_STATUS=MR","EQY_CONSOLIDATED=Y","Sort=A","Dates=H","DateFormat=P","Fill=—","Direction=H","UseDPDF=Y")</f>
        <v>32.767499999999998</v>
      </c>
      <c r="J14" s="14">
        <f>_xll.BDH("RCOM IN Equity","LT_DEBT_TO_TOT_ASSET","FY 2016","FY 2016","Currency=INR","Period=FY","BEST_FPERIOD_OVERRIDE=FY","FILING_STATUS=MR","EQY_CONSOLIDATED=Y","Sort=A","Dates=H","DateFormat=P","Fill=—","Direction=H","UseDPDF=Y")</f>
        <v>28.141999999999999</v>
      </c>
      <c r="K14" s="14">
        <f>_xll.BDH("RCOM IN Equity","LT_DEBT_TO_TOT_ASSET","FY 2017","FY 2017","Currency=INR","Period=FY","BEST_FPERIOD_OVERRIDE=FY","FILING_STATUS=MR","EQY_CONSOLIDATED=Y","Sort=A","Dates=H","DateFormat=P","Fill=—","Direction=H","UseDPDF=Y")</f>
        <v>22.610800000000001</v>
      </c>
      <c r="L14" s="14">
        <f>_xll.BDH("RCOM IN Equity","LT_DEBT_TO_TOT_ASSET","FY 2018","FY 2018","Currency=INR","Period=FY","BEST_FPERIOD_OVERRIDE=FY","FILING_STATUS=MR","EQY_CONSOLIDATED=Y","Sort=A","Dates=H","DateFormat=P","Fill=—","Direction=H","UseDPDF=Y")</f>
        <v>17.525300000000001</v>
      </c>
    </row>
    <row r="15" spans="1:12">
      <c r="A15" s="10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>
      <c r="A16" s="10" t="s">
        <v>1572</v>
      </c>
      <c r="B16" s="10" t="s">
        <v>1573</v>
      </c>
      <c r="C16" s="14">
        <f>_xll.BDH("RCOM IN Equity","TOT_DEBT_TO_TOT_EQY","FY 2009","FY 2009","Currency=INR","Period=FY","BEST_FPERIOD_OVERRIDE=FY","FILING_STATUS=MR","EQY_CONSOLIDATED=Y","Sort=A","Dates=H","DateFormat=P","Fill=—","Direction=H","UseDPDF=Y")</f>
        <v>91.212400000000002</v>
      </c>
      <c r="D16" s="14">
        <f>_xll.BDH("RCOM IN Equity","TOT_DEBT_TO_TOT_EQY","FY 2010","FY 2010","Currency=INR","Period=FY","BEST_FPERIOD_OVERRIDE=FY","FILING_STATUS=MR","EQY_CONSOLIDATED=Y","Sort=A","Dates=H","DateFormat=P","Fill=—","Direction=H","UseDPDF=Y")</f>
        <v>67.505799999999994</v>
      </c>
      <c r="E16" s="14">
        <f>_xll.BDH("RCOM IN Equity","TOT_DEBT_TO_TOT_EQY","FY 2011","FY 2011","Currency=INR","Period=FY","BEST_FPERIOD_OVERRIDE=FY","FILING_STATUS=MR","EQY_CONSOLIDATED=Y","Sort=A","Dates=H","DateFormat=P","Fill=—","Direction=H","UseDPDF=Y")</f>
        <v>94.550299999999993</v>
      </c>
      <c r="F16" s="14">
        <f>_xll.BDH("RCOM IN Equity","TOT_DEBT_TO_TOT_EQY","FY 2012","FY 2012","Currency=INR","Period=FY","BEST_FPERIOD_OVERRIDE=FY","FILING_STATUS=MR","EQY_CONSOLIDATED=Y","Sort=A","Dates=H","DateFormat=P","Fill=—","Direction=H","UseDPDF=Y")</f>
        <v>103.087</v>
      </c>
      <c r="G16" s="14">
        <f>_xll.BDH("RCOM IN Equity","TOT_DEBT_TO_TOT_EQY","FY 2013","FY 2013","Currency=INR","Period=FY","BEST_FPERIOD_OVERRIDE=FY","FILING_STATUS=MR","EQY_CONSOLIDATED=Y","Sort=A","Dates=H","DateFormat=P","Fill=—","Direction=H","UseDPDF=Y")</f>
        <v>120.1649</v>
      </c>
      <c r="H16" s="14">
        <f>_xll.BDH("RCOM IN Equity","TOT_DEBT_TO_TOT_EQY","FY 2014","FY 2014","Currency=INR","Period=FY","BEST_FPERIOD_OVERRIDE=FY","FILING_STATUS=MR","EQY_CONSOLIDATED=Y","Sort=A","Dates=H","DateFormat=P","Fill=—","Direction=H","UseDPDF=Y")</f>
        <v>126.0264</v>
      </c>
      <c r="I16" s="14">
        <f>_xll.BDH("RCOM IN Equity","TOT_DEBT_TO_TOT_EQY","FY 2015","FY 2015","Currency=INR","Period=FY","BEST_FPERIOD_OVERRIDE=FY","FILING_STATUS=MR","EQY_CONSOLIDATED=Y","Sort=A","Dates=H","DateFormat=P","Fill=—","Direction=H","UseDPDF=Y")</f>
        <v>103.943</v>
      </c>
      <c r="J16" s="14">
        <f>_xll.BDH("RCOM IN Equity","TOT_DEBT_TO_TOT_EQY","FY 2016","FY 2016","Currency=INR","Period=FY","BEST_FPERIOD_OVERRIDE=FY","FILING_STATUS=MR","EQY_CONSOLIDATED=Y","Sort=A","Dates=H","DateFormat=P","Fill=—","Direction=H","UseDPDF=Y")</f>
        <v>136.88059999999999</v>
      </c>
      <c r="K16" s="14">
        <f>_xll.BDH("RCOM IN Equity","TOT_DEBT_TO_TOT_EQY","FY 2017","FY 2017","Currency=INR","Period=FY","BEST_FPERIOD_OVERRIDE=FY","FILING_STATUS=MR","EQY_CONSOLIDATED=Y","Sort=A","Dates=H","DateFormat=P","Fill=—","Direction=H","UseDPDF=Y")</f>
        <v>157.86879999999999</v>
      </c>
      <c r="L16" s="14">
        <f>_xll.BDH("RCOM IN Equity","TOT_DEBT_TO_TOT_EQY","FY 2018","FY 2018","Currency=INR","Period=FY","BEST_FPERIOD_OVERRIDE=FY","FILING_STATUS=MR","EQY_CONSOLIDATED=Y","Sort=A","Dates=H","DateFormat=P","Fill=—","Direction=H","UseDPDF=Y")</f>
        <v>1517.9132999999999</v>
      </c>
    </row>
    <row r="17" spans="1:12">
      <c r="A17" s="10" t="s">
        <v>1574</v>
      </c>
      <c r="B17" s="10" t="s">
        <v>130</v>
      </c>
      <c r="C17" s="14">
        <f>_xll.BDH("RCOM IN Equity","TOT_DEBT_TO_TOT_CAP","FY 2009","FY 2009","Currency=INR","Period=FY","BEST_FPERIOD_OVERRIDE=FY","FILING_STATUS=MR","EQY_CONSOLIDATED=Y","Sort=A","Dates=H","DateFormat=P","Fill=—","Direction=H","UseDPDF=Y")</f>
        <v>47.702100000000002</v>
      </c>
      <c r="D17" s="14">
        <f>_xll.BDH("RCOM IN Equity","TOT_DEBT_TO_TOT_CAP","FY 2010","FY 2010","Currency=INR","Period=FY","BEST_FPERIOD_OVERRIDE=FY","FILING_STATUS=MR","EQY_CONSOLIDATED=Y","Sort=A","Dates=H","DateFormat=P","Fill=—","Direction=H","UseDPDF=Y")</f>
        <v>40.300600000000003</v>
      </c>
      <c r="E17" s="14">
        <f>_xll.BDH("RCOM IN Equity","TOT_DEBT_TO_TOT_CAP","FY 2011","FY 2011","Currency=INR","Period=FY","BEST_FPERIOD_OVERRIDE=FY","FILING_STATUS=MR","EQY_CONSOLIDATED=Y","Sort=A","Dates=H","DateFormat=P","Fill=—","Direction=H","UseDPDF=Y")</f>
        <v>48.599400000000003</v>
      </c>
      <c r="F17" s="14">
        <f>_xll.BDH("RCOM IN Equity","TOT_DEBT_TO_TOT_CAP","FY 2012","FY 2012","Currency=INR","Period=FY","BEST_FPERIOD_OVERRIDE=FY","FILING_STATUS=MR","EQY_CONSOLIDATED=Y","Sort=A","Dates=H","DateFormat=P","Fill=—","Direction=H","UseDPDF=Y")</f>
        <v>50.76</v>
      </c>
      <c r="G17" s="14">
        <f>_xll.BDH("RCOM IN Equity","TOT_DEBT_TO_TOT_CAP","FY 2013","FY 2013","Currency=INR","Period=FY","BEST_FPERIOD_OVERRIDE=FY","FILING_STATUS=MR","EQY_CONSOLIDATED=Y","Sort=A","Dates=H","DateFormat=P","Fill=—","Direction=H","UseDPDF=Y")</f>
        <v>54.579500000000003</v>
      </c>
      <c r="H17" s="14">
        <f>_xll.BDH("RCOM IN Equity","TOT_DEBT_TO_TOT_CAP","FY 2014","FY 2014","Currency=INR","Period=FY","BEST_FPERIOD_OVERRIDE=FY","FILING_STATUS=MR","EQY_CONSOLIDATED=Y","Sort=A","Dates=H","DateFormat=P","Fill=—","Direction=H","UseDPDF=Y")</f>
        <v>55.757399999999997</v>
      </c>
      <c r="I17" s="14">
        <f>_xll.BDH("RCOM IN Equity","TOT_DEBT_TO_TOT_CAP","FY 2015","FY 2015","Currency=INR","Period=FY","BEST_FPERIOD_OVERRIDE=FY","FILING_STATUS=MR","EQY_CONSOLIDATED=Y","Sort=A","Dates=H","DateFormat=P","Fill=—","Direction=H","UseDPDF=Y")</f>
        <v>50.966700000000003</v>
      </c>
      <c r="J17" s="14">
        <f>_xll.BDH("RCOM IN Equity","TOT_DEBT_TO_TOT_CAP","FY 2016","FY 2016","Currency=INR","Period=FY","BEST_FPERIOD_OVERRIDE=FY","FILING_STATUS=MR","EQY_CONSOLIDATED=Y","Sort=A","Dates=H","DateFormat=P","Fill=—","Direction=H","UseDPDF=Y")</f>
        <v>57.784599999999998</v>
      </c>
      <c r="K17" s="14">
        <f>_xll.BDH("RCOM IN Equity","TOT_DEBT_TO_TOT_CAP","FY 2017","FY 2017","Currency=INR","Period=FY","BEST_FPERIOD_OVERRIDE=FY","FILING_STATUS=MR","EQY_CONSOLIDATED=Y","Sort=A","Dates=H","DateFormat=P","Fill=—","Direction=H","UseDPDF=Y")</f>
        <v>61.220599999999997</v>
      </c>
      <c r="L17" s="14">
        <f>_xll.BDH("RCOM IN Equity","TOT_DEBT_TO_TOT_CAP","FY 2018","FY 2018","Currency=INR","Period=FY","BEST_FPERIOD_OVERRIDE=FY","FILING_STATUS=MR","EQY_CONSOLIDATED=Y","Sort=A","Dates=H","DateFormat=P","Fill=—","Direction=H","UseDPDF=Y")</f>
        <v>93.819199999999995</v>
      </c>
    </row>
    <row r="18" spans="1:12">
      <c r="A18" s="10" t="s">
        <v>1575</v>
      </c>
      <c r="B18" s="10" t="s">
        <v>1576</v>
      </c>
      <c r="C18" s="14">
        <f>_xll.BDH("RCOM IN Equity","TOT_DEBT_TO_TOT_ASSET","FY 2009","FY 2009","Currency=INR","Period=FY","BEST_FPERIOD_OVERRIDE=FY","FILING_STATUS=MR","EQY_CONSOLIDATED=Y","Sort=A","Dates=H","DateFormat=P","Fill=—","Direction=H","UseDPDF=Y")</f>
        <v>38.316600000000001</v>
      </c>
      <c r="D18" s="14">
        <f>_xll.BDH("RCOM IN Equity","TOT_DEBT_TO_TOT_ASSET","FY 2010","FY 2010","Currency=INR","Period=FY","BEST_FPERIOD_OVERRIDE=FY","FILING_STATUS=MR","EQY_CONSOLIDATED=Y","Sort=A","Dates=H","DateFormat=P","Fill=—","Direction=H","UseDPDF=Y")</f>
        <v>32.100999999999999</v>
      </c>
      <c r="E18" s="14">
        <f>_xll.BDH("RCOM IN Equity","TOT_DEBT_TO_TOT_ASSET","FY 2011","FY 2011","Currency=INR","Period=FY","BEST_FPERIOD_OVERRIDE=FY","FILING_STATUS=MR","EQY_CONSOLIDATED=Y","Sort=A","Dates=H","DateFormat=P","Fill=—","Direction=H","UseDPDF=Y")</f>
        <v>41.247599999999998</v>
      </c>
      <c r="F18" s="14">
        <f>_xll.BDH("RCOM IN Equity","TOT_DEBT_TO_TOT_ASSET","FY 2012","FY 2012","Currency=INR","Period=FY","BEST_FPERIOD_OVERRIDE=FY","FILING_STATUS=MR","EQY_CONSOLIDATED=Y","Sort=A","Dates=H","DateFormat=P","Fill=—","Direction=H","UseDPDF=Y")</f>
        <v>41.514099999999999</v>
      </c>
      <c r="G18" s="14">
        <f>_xll.BDH("RCOM IN Equity","TOT_DEBT_TO_TOT_ASSET","FY 2013","FY 2013","Currency=INR","Period=FY","BEST_FPERIOD_OVERRIDE=FY","FILING_STATUS=MR","EQY_CONSOLIDATED=Y","Sort=A","Dates=H","DateFormat=P","Fill=—","Direction=H","UseDPDF=Y")</f>
        <v>46.0702</v>
      </c>
      <c r="H18" s="14">
        <f>_xll.BDH("RCOM IN Equity","TOT_DEBT_TO_TOT_ASSET","FY 2014","FY 2014","Currency=INR","Period=FY","BEST_FPERIOD_OVERRIDE=FY","FILING_STATUS=MR","EQY_CONSOLIDATED=Y","Sort=A","Dates=H","DateFormat=P","Fill=—","Direction=H","UseDPDF=Y")</f>
        <v>46.582000000000001</v>
      </c>
      <c r="I18" s="14">
        <f>_xll.BDH("RCOM IN Equity","TOT_DEBT_TO_TOT_ASSET","FY 2015","FY 2015","Currency=INR","Period=FY","BEST_FPERIOD_OVERRIDE=FY","FILING_STATUS=MR","EQY_CONSOLIDATED=Y","Sort=A","Dates=H","DateFormat=P","Fill=—","Direction=H","UseDPDF=Y")</f>
        <v>42.9619</v>
      </c>
      <c r="J18" s="14">
        <f>_xll.BDH("RCOM IN Equity","TOT_DEBT_TO_TOT_ASSET","FY 2016","FY 2016","Currency=INR","Period=FY","BEST_FPERIOD_OVERRIDE=FY","FILING_STATUS=MR","EQY_CONSOLIDATED=Y","Sort=A","Dates=H","DateFormat=P","Fill=—","Direction=H","UseDPDF=Y")</f>
        <v>42.160800000000002</v>
      </c>
      <c r="K18" s="14">
        <f>_xll.BDH("RCOM IN Equity","TOT_DEBT_TO_TOT_ASSET","FY 2017","FY 2017","Currency=INR","Period=FY","BEST_FPERIOD_OVERRIDE=FY","FILING_STATUS=MR","EQY_CONSOLIDATED=Y","Sort=A","Dates=H","DateFormat=P","Fill=—","Direction=H","UseDPDF=Y")</f>
        <v>45.856400000000001</v>
      </c>
      <c r="L18" s="14">
        <f>_xll.BDH("RCOM IN Equity","TOT_DEBT_TO_TOT_ASSET","FY 2018","FY 2018","Currency=INR","Period=FY","BEST_FPERIOD_OVERRIDE=FY","FILING_STATUS=MR","EQY_CONSOLIDATED=Y","Sort=A","Dates=H","DateFormat=P","Fill=—","Direction=H","UseDPDF=Y")</f>
        <v>63.400700000000001</v>
      </c>
    </row>
    <row r="19" spans="1:12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>
      <c r="A20" s="10" t="s">
        <v>1589</v>
      </c>
      <c r="B20" s="10" t="s">
        <v>1590</v>
      </c>
      <c r="C20" s="14">
        <f>_xll.BDH("RCOM IN Equity","CASH_FLOW_TO_TOT_LIAB","FY 2009","FY 2009","Currency=INR","Period=FY","BEST_FPERIOD_OVERRIDE=FY","FILING_STATUS=MR","EQY_CONSOLIDATED=Y","Sort=A","Dates=H","DateFormat=P","Fill=—","Direction=H","UseDPDF=Y")</f>
        <v>8.6552000000000007</v>
      </c>
      <c r="D20" s="14">
        <f>_xll.BDH("RCOM IN Equity","CASH_FLOW_TO_TOT_LIAB","FY 2010","FY 2010","Currency=INR","Period=FY","BEST_FPERIOD_OVERRIDE=FY","FILING_STATUS=MR","EQY_CONSOLIDATED=Y","Sort=A","Dates=H","DateFormat=P","Fill=—","Direction=H","UseDPDF=Y")</f>
        <v>16.8398</v>
      </c>
      <c r="E20" s="14">
        <f>_xll.BDH("RCOM IN Equity","CASH_FLOW_TO_TOT_LIAB","FY 2011","FY 2011","Currency=INR","Period=FY","BEST_FPERIOD_OVERRIDE=FY","FILING_STATUS=MR","EQY_CONSOLIDATED=Y","Sort=A","Dates=H","DateFormat=P","Fill=—","Direction=H","UseDPDF=Y")</f>
        <v>2.0074999999999998</v>
      </c>
      <c r="F20" s="14">
        <f>_xll.BDH("RCOM IN Equity","CASH_FLOW_TO_TOT_LIAB","FY 2012","FY 2012","Currency=INR","Period=FY","BEST_FPERIOD_OVERRIDE=FY","FILING_STATUS=MR","EQY_CONSOLIDATED=Y","Sort=A","Dates=H","DateFormat=P","Fill=—","Direction=H","UseDPDF=Y")</f>
        <v>7.3907999999999996</v>
      </c>
      <c r="G20" s="14">
        <f>_xll.BDH("RCOM IN Equity","CASH_FLOW_TO_TOT_LIAB","FY 2013","FY 2013","Currency=INR","Period=FY","BEST_FPERIOD_OVERRIDE=FY","FILING_STATUS=MR","EQY_CONSOLIDATED=Y","Sort=A","Dates=H","DateFormat=P","Fill=—","Direction=H","UseDPDF=Y")</f>
        <v>2.4637000000000002</v>
      </c>
      <c r="H20" s="14">
        <f>_xll.BDH("RCOM IN Equity","CASH_FLOW_TO_TOT_LIAB","FY 2014","FY 2014","Currency=INR","Period=FY","BEST_FPERIOD_OVERRIDE=FY","FILING_STATUS=MR","EQY_CONSOLIDATED=Y","Sort=A","Dates=H","DateFormat=P","Fill=—","Direction=H","UseDPDF=Y")</f>
        <v>6.7656999999999998</v>
      </c>
      <c r="I20" s="14">
        <f>_xll.BDH("RCOM IN Equity","CASH_FLOW_TO_TOT_LIAB","FY 2015","FY 2015","Currency=INR","Period=FY","BEST_FPERIOD_OVERRIDE=FY","FILING_STATUS=MR","EQY_CONSOLIDATED=Y","Sort=A","Dates=H","DateFormat=P","Fill=—","Direction=H","UseDPDF=Y")</f>
        <v>0.91979999999999995</v>
      </c>
      <c r="J20" s="14">
        <f>_xll.BDH("RCOM IN Equity","CASH_FLOW_TO_TOT_LIAB","FY 2016","FY 2016","Currency=INR","Period=FY","BEST_FPERIOD_OVERRIDE=FY","FILING_STATUS=MR","EQY_CONSOLIDATED=Y","Sort=A","Dates=H","DateFormat=P","Fill=—","Direction=H","UseDPDF=Y")</f>
        <v>19.864799999999999</v>
      </c>
      <c r="K20" s="14">
        <f>_xll.BDH("RCOM IN Equity","CASH_FLOW_TO_TOT_LIAB","FY 2017","FY 2017","Currency=INR","Period=FY","BEST_FPERIOD_OVERRIDE=FY","FILING_STATUS=MR","EQY_CONSOLIDATED=Y","Sort=A","Dates=H","DateFormat=P","Fill=—","Direction=H","UseDPDF=Y")</f>
        <v>-5.0308999999999999</v>
      </c>
      <c r="L20" s="14">
        <f>_xll.BDH("RCOM IN Equity","CASH_FLOW_TO_TOT_LIAB","FY 2018","FY 2018","Currency=INR","Period=FY","BEST_FPERIOD_OVERRIDE=FY","FILING_STATUS=MR","EQY_CONSOLIDATED=Y","Sort=A","Dates=H","DateFormat=P","Fill=—","Direction=H","UseDPDF=Y")</f>
        <v>-0.56950000000000001</v>
      </c>
    </row>
    <row r="21" spans="1:12">
      <c r="A21" s="10" t="s">
        <v>1591</v>
      </c>
      <c r="B21" s="10" t="s">
        <v>1592</v>
      </c>
      <c r="C21" s="14">
        <f>_xll.BDH("RCOM IN Equity","CAP_EXPEND_RATIO","FY 2009","FY 2009","Currency=INR","Period=FY","BEST_FPERIOD_OVERRIDE=FY","FILING_STATUS=MR","EQY_CONSOLIDATED=Y","Sort=A","Dates=H","DateFormat=P","Fill=—","Direction=H","UseDPDF=Y")</f>
        <v>0.41849999999999998</v>
      </c>
      <c r="D21" s="14">
        <f>_xll.BDH("RCOM IN Equity","CAP_EXPEND_RATIO","FY 2010","FY 2010","Currency=INR","Period=FY","BEST_FPERIOD_OVERRIDE=FY","FILING_STATUS=MR","EQY_CONSOLIDATED=Y","Sort=A","Dates=H","DateFormat=P","Fill=—","Direction=H","UseDPDF=Y")</f>
        <v>1.0907</v>
      </c>
      <c r="E21" s="14">
        <f>_xll.BDH("RCOM IN Equity","CAP_EXPEND_RATIO","FY 2011","FY 2011","Currency=INR","Period=FY","BEST_FPERIOD_OVERRIDE=FY","FILING_STATUS=MR","EQY_CONSOLIDATED=Y","Sort=A","Dates=H","DateFormat=P","Fill=—","Direction=H","UseDPDF=Y")</f>
        <v>0.1038</v>
      </c>
      <c r="F21" s="14">
        <f>_xll.BDH("RCOM IN Equity","CAP_EXPEND_RATIO","FY 2012","FY 2012","Currency=INR","Period=FY","BEST_FPERIOD_OVERRIDE=FY","FILING_STATUS=MR","EQY_CONSOLIDATED=Y","Sort=A","Dates=H","DateFormat=P","Fill=—","Direction=H","UseDPDF=Y")</f>
        <v>0.83979999999999999</v>
      </c>
      <c r="G21" s="14">
        <f>_xll.BDH("RCOM IN Equity","CAP_EXPEND_RATIO","FY 2013","FY 2013","Currency=INR","Period=FY","BEST_FPERIOD_OVERRIDE=FY","FILING_STATUS=MR","EQY_CONSOLIDATED=Y","Sort=A","Dates=H","DateFormat=P","Fill=—","Direction=H","UseDPDF=Y")</f>
        <v>0.64810000000000001</v>
      </c>
      <c r="H21" s="14">
        <f>_xll.BDH("RCOM IN Equity","CAP_EXPEND_RATIO","FY 2014","FY 2014","Currency=INR","Period=FY","BEST_FPERIOD_OVERRIDE=FY","FILING_STATUS=MR","EQY_CONSOLIDATED=Y","Sort=A","Dates=H","DateFormat=P","Fill=—","Direction=H","UseDPDF=Y")</f>
        <v>1.7875000000000001</v>
      </c>
      <c r="I21" s="14">
        <f>_xll.BDH("RCOM IN Equity","CAP_EXPEND_RATIO","FY 2015","FY 2015","Currency=INR","Period=FY","BEST_FPERIOD_OVERRIDE=FY","FILING_STATUS=MR","EQY_CONSOLIDATED=Y","Sort=A","Dates=H","DateFormat=P","Fill=—","Direction=H","UseDPDF=Y")</f>
        <v>0.19470000000000001</v>
      </c>
      <c r="J21" s="14">
        <f>_xll.BDH("RCOM IN Equity","CAP_EXPEND_RATIO","FY 2016","FY 2016","Currency=INR","Period=FY","BEST_FPERIOD_OVERRIDE=FY","FILING_STATUS=MR","EQY_CONSOLIDATED=Y","Sort=A","Dates=H","DateFormat=P","Fill=—","Direction=H","UseDPDF=Y")</f>
        <v>0.92769999999999997</v>
      </c>
      <c r="K21" s="14">
        <f>_xll.BDH("RCOM IN Equity","CAP_EXPEND_RATIO","FY 2017","FY 2017","Currency=INR","Period=FY","BEST_FPERIOD_OVERRIDE=FY","FILING_STATUS=MR","EQY_CONSOLIDATED=Y","Sort=A","Dates=H","DateFormat=P","Fill=—","Direction=H","UseDPDF=Y")</f>
        <v>-0.90820000000000001</v>
      </c>
      <c r="L21" s="14">
        <f>_xll.BDH("RCOM IN Equity","CAP_EXPEND_RATIO","FY 2018","FY 2018","Currency=INR","Period=FY","BEST_FPERIOD_OVERRIDE=FY","FILING_STATUS=MR","EQY_CONSOLIDATED=Y","Sort=A","Dates=H","DateFormat=P","Fill=—","Direction=H","UseDPDF=Y")</f>
        <v>-0.68869999999999998</v>
      </c>
    </row>
    <row r="22" spans="1:12">
      <c r="A22" s="10" t="s">
        <v>1593</v>
      </c>
      <c r="B22" s="10" t="s">
        <v>1594</v>
      </c>
      <c r="C22" s="14">
        <f>_xll.BDH("RCOM IN Equity","ALTMAN_Z_SCORE","FY 2009","FY 2009","Currency=INR","Period=FY","BEST_FPERIOD_OVERRIDE=FY","FILING_STATUS=MR","EQY_CONSOLIDATED=Y","Sort=A","Dates=H","DateFormat=P","Fill=—","Direction=H","UseDPDF=Y")</f>
        <v>0.83030000000000004</v>
      </c>
      <c r="D22" s="14">
        <f>_xll.BDH("RCOM IN Equity","ALTMAN_Z_SCORE","FY 2010","FY 2010","Currency=INR","Period=FY","BEST_FPERIOD_OVERRIDE=FY","FILING_STATUS=MR","EQY_CONSOLIDATED=Y","Sort=A","Dates=H","DateFormat=P","Fill=—","Direction=H","UseDPDF=Y")</f>
        <v>0.86</v>
      </c>
      <c r="E22" s="14">
        <f>_xll.BDH("RCOM IN Equity","ALTMAN_Z_SCORE","FY 2011","FY 2011","Currency=INR","Period=FY","BEST_FPERIOD_OVERRIDE=FY","FILING_STATUS=MR","EQY_CONSOLIDATED=Y","Sort=A","Dates=H","DateFormat=P","Fill=—","Direction=H","UseDPDF=Y")</f>
        <v>0.5887</v>
      </c>
      <c r="F22" s="14">
        <f>_xll.BDH("RCOM IN Equity","ALTMAN_Z_SCORE","FY 2012","FY 2012","Currency=INR","Period=FY","BEST_FPERIOD_OVERRIDE=FY","FILING_STATUS=MR","EQY_CONSOLIDATED=Y","Sort=A","Dates=H","DateFormat=P","Fill=—","Direction=H","UseDPDF=Y")</f>
        <v>0.65490000000000004</v>
      </c>
      <c r="G22" s="14">
        <f>_xll.BDH("RCOM IN Equity","ALTMAN_Z_SCORE","FY 2013","FY 2013","Currency=INR","Period=FY","BEST_FPERIOD_OVERRIDE=FY","FILING_STATUS=MR","EQY_CONSOLIDATED=Y","Sort=A","Dates=H","DateFormat=P","Fill=—","Direction=H","UseDPDF=Y")</f>
        <v>0.59789999999999999</v>
      </c>
      <c r="H22" s="14">
        <f>_xll.BDH("RCOM IN Equity","ALTMAN_Z_SCORE","FY 2014","FY 2014","Currency=INR","Period=FY","BEST_FPERIOD_OVERRIDE=FY","FILING_STATUS=MR","EQY_CONSOLIDATED=Y","Sort=A","Dates=H","DateFormat=P","Fill=—","Direction=H","UseDPDF=Y")</f>
        <v>0.76780000000000004</v>
      </c>
      <c r="I22" s="14">
        <f>_xll.BDH("RCOM IN Equity","ALTMAN_Z_SCORE","FY 2015","FY 2015","Currency=INR","Period=FY","BEST_FPERIOD_OVERRIDE=FY","FILING_STATUS=MR","EQY_CONSOLIDATED=Y","Sort=A","Dates=H","DateFormat=P","Fill=—","Direction=H","UseDPDF=Y")</f>
        <v>0.87380000000000002</v>
      </c>
      <c r="J22" s="14">
        <f>_xll.BDH("RCOM IN Equity","ALTMAN_Z_SCORE","FY 2016","FY 2016","Currency=INR","Period=FY","BEST_FPERIOD_OVERRIDE=FY","FILING_STATUS=MR","EQY_CONSOLIDATED=Y","Sort=A","Dates=H","DateFormat=P","Fill=—","Direction=H","UseDPDF=Y")</f>
        <v>0.44009999999999999</v>
      </c>
      <c r="K22" s="14">
        <f>_xll.BDH("RCOM IN Equity","ALTMAN_Z_SCORE","FY 2017","FY 2017","Currency=INR","Period=FY","BEST_FPERIOD_OVERRIDE=FY","FILING_STATUS=MR","EQY_CONSOLIDATED=Y","Sort=A","Dates=H","DateFormat=P","Fill=—","Direction=H","UseDPDF=Y")</f>
        <v>-1.8599999999999998E-2</v>
      </c>
      <c r="L22" s="14">
        <f>_xll.BDH("RCOM IN Equity","ALTMAN_Z_SCORE","FY 2018","FY 2018","Currency=INR","Period=FY","BEST_FPERIOD_OVERRIDE=FY","FILING_STATUS=MR","EQY_CONSOLIDATED=Y","Sort=A","Dates=H","DateFormat=P","Fill=—","Direction=H","UseDPDF=Y")</f>
        <v>-0.2984</v>
      </c>
    </row>
    <row r="23" spans="1:12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>
      <c r="A25" s="10" t="s">
        <v>1595</v>
      </c>
      <c r="B25" s="10" t="s">
        <v>1596</v>
      </c>
      <c r="C25" s="13">
        <f>_xll.BDH("RCOM IN Equity","BS_TOT_COM_PAPER_ISSUED","FY 2009","FY 2009","Currency=INR","Period=FY","BEST_FPERIOD_OVERRIDE=FY","FILING_STATUS=MR","EQY_CONSOLIDATED=Y","SCALING_FORMAT=MLN","Sort=A","Dates=H","DateFormat=P","Fill=—","Direction=H","UseDPDF=Y")</f>
        <v>9547.4</v>
      </c>
      <c r="D25" s="13">
        <f>_xll.BDH("RCOM IN Equity","BS_TOT_COM_PAPER_ISSUED","FY 2010","FY 2010","Currency=INR","Period=FY","BEST_FPERIOD_OVERRIDE=FY","FILING_STATUS=MR","EQY_CONSOLIDATED=Y","SCALING_FORMAT=MLN","Sort=A","Dates=H","DateFormat=P","Fill=—","Direction=H","UseDPDF=Y")</f>
        <v>12953.1</v>
      </c>
      <c r="E25" s="13">
        <f>_xll.BDH("RCOM IN Equity","BS_TOT_COM_PAPER_ISSUED","FY 2011","FY 2011","Currency=INR","Period=FY","BEST_FPERIOD_OVERRIDE=FY","FILING_STATUS=MR","EQY_CONSOLIDATED=Y","SCALING_FORMAT=MLN","Sort=A","Dates=H","DateFormat=P","Fill=—","Direction=H","UseDPDF=Y")</f>
        <v>1460</v>
      </c>
      <c r="F25" s="13">
        <f>_xll.BDH("RCOM IN Equity","BS_TOT_COM_PAPER_ISSUED","FY 2012","FY 2012","Currency=INR","Period=FY","BEST_FPERIOD_OVERRIDE=FY","FILING_STATUS=MR","EQY_CONSOLIDATED=Y","SCALING_FORMAT=MLN","Sort=A","Dates=H","DateFormat=P","Fill=—","Direction=H","UseDPDF=Y")</f>
        <v>9450</v>
      </c>
      <c r="G25" s="13">
        <f>_xll.BDH("RCOM IN Equity","BS_TOT_COM_PAPER_ISSUED","FY 2013","FY 2013","Currency=INR","Period=FY","BEST_FPERIOD_OVERRIDE=FY","FILING_STATUS=MR","EQY_CONSOLIDATED=Y","SCALING_FORMAT=MLN","Sort=A","Dates=H","DateFormat=P","Fill=—","Direction=H","UseDPDF=Y")</f>
        <v>1000</v>
      </c>
      <c r="H25" s="13">
        <f>_xll.BDH("RCOM IN Equity","BS_TOT_COM_PAPER_ISSUED","FY 2014","FY 2014","Currency=INR","Period=FY","BEST_FPERIOD_OVERRIDE=FY","FILING_STATUS=MR","EQY_CONSOLIDATED=Y","SCALING_FORMAT=MLN","Sort=A","Dates=H","DateFormat=P","Fill=—","Direction=H","UseDPDF=Y")</f>
        <v>0</v>
      </c>
      <c r="I25" s="13">
        <f>_xll.BDH("RCOM IN Equity","BS_TOT_COM_PAPER_ISSUED","FY 2015","FY 2015","Currency=INR","Period=FY","BEST_FPERIOD_OVERRIDE=FY","FILING_STATUS=MR","EQY_CONSOLIDATED=Y","SCALING_FORMAT=MLN","Sort=A","Dates=H","DateFormat=P","Fill=—","Direction=H","UseDPDF=Y")</f>
        <v>0</v>
      </c>
      <c r="J25" s="13" t="str">
        <f>_xll.BDH("RCOM IN Equity","BS_TOT_COM_PAPER_ISSUED","FY 2016","FY 2016","Currency=INR","Period=FY","BEST_FPERIOD_OVERRIDE=FY","FILING_STATUS=MR","EQY_CONSOLIDATED=Y","SCALING_FORMAT=MLN","Sort=A","Dates=H","DateFormat=P","Fill=—","Direction=H","UseDPDF=Y")</f>
        <v>—</v>
      </c>
      <c r="K25" s="13" t="str">
        <f>_xll.BDH("RCOM IN Equity","BS_TOT_COM_PAPER_ISSUED","FY 2017","FY 2017","Currency=INR","Period=FY","BEST_FPERIOD_OVERRIDE=FY","FILING_STATUS=MR","EQY_CONSOLIDATED=Y","SCALING_FORMAT=MLN","Sort=A","Dates=H","DateFormat=P","Fill=—","Direction=H","UseDPDF=Y")</f>
        <v>—</v>
      </c>
      <c r="L25" s="13" t="str">
        <f>_xll.BDH("RCOM IN Equity","BS_TOT_COM_PAPER_ISSUED","FY 2018","FY 2018","Currency=INR","Period=FY","BEST_FPERIOD_OVERRIDE=FY","FILING_STATUS=MR","EQY_CONSOLIDATED=Y","SCALING_FORMAT=MLN","Sort=A","Dates=H","DateFormat=P","Fill=—","Direction=H","UseDPDF=Y")</f>
        <v>—</v>
      </c>
    </row>
    <row r="26" spans="1:12">
      <c r="A26" s="7" t="s">
        <v>57</v>
      </c>
      <c r="B26" s="7"/>
      <c r="C26" s="7" t="s">
        <v>3</v>
      </c>
      <c r="D26" s="7"/>
      <c r="E26" s="7"/>
      <c r="F26" s="7"/>
      <c r="G26" s="7"/>
      <c r="H26" s="7"/>
      <c r="I26" s="7"/>
      <c r="J26" s="7"/>
      <c r="K26" s="7"/>
      <c r="L26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21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1597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1598</v>
      </c>
      <c r="B6" s="6" t="s">
        <v>1599</v>
      </c>
      <c r="C6" s="20">
        <f>_xll.BDH("RCOM IN Equity","ACCT_RCV_TURN","FY 2009","FY 2009","Currency=INR","Period=FY","BEST_FPERIOD_OVERRIDE=FY","FILING_STATUS=MR","EQY_CONSOLIDATED=Y","FA_ADJUSTED=GAAP","Sort=A","Dates=H","DateFormat=P","Fill=—","Direction=H","UseDPDF=Y")</f>
        <v>11.6088</v>
      </c>
      <c r="D6" s="20">
        <f>_xll.BDH("RCOM IN Equity","ACCT_RCV_TURN","FY 2010","FY 2010","Currency=INR","Period=FY","BEST_FPERIOD_OVERRIDE=FY","FILING_STATUS=MR","EQY_CONSOLIDATED=Y","FA_ADJUSTED=GAAP","Sort=A","Dates=H","DateFormat=P","Fill=—","Direction=H","UseDPDF=Y")</f>
        <v>22.462800000000001</v>
      </c>
      <c r="E6" s="20">
        <f>_xll.BDH("RCOM IN Equity","ACCT_RCV_TURN","FY 2011","FY 2011","Currency=INR","Period=FY","BEST_FPERIOD_OVERRIDE=FY","FILING_STATUS=MR","EQY_CONSOLIDATED=Y","FA_ADJUSTED=GAAP","Sort=A","Dates=H","DateFormat=P","Fill=—","Direction=H","UseDPDF=Y")</f>
        <v>18.973199999999999</v>
      </c>
      <c r="F6" s="20">
        <f>_xll.BDH("RCOM IN Equity","ACCT_RCV_TURN","FY 2012","FY 2012","Currency=INR","Period=FY","BEST_FPERIOD_OVERRIDE=FY","FILING_STATUS=MR","EQY_CONSOLIDATED=Y","FA_ADJUSTED=GAAP","Sort=A","Dates=H","DateFormat=P","Fill=—","Direction=H","UseDPDF=Y")</f>
        <v>11.771100000000001</v>
      </c>
      <c r="G6" s="20">
        <f>_xll.BDH("RCOM IN Equity","ACCT_RCV_TURN","FY 2013","FY 2013","Currency=INR","Period=FY","BEST_FPERIOD_OVERRIDE=FY","FILING_STATUS=MR","EQY_CONSOLIDATED=Y","FA_ADJUSTED=GAAP","Sort=A","Dates=H","DateFormat=P","Fill=—","Direction=H","UseDPDF=Y")</f>
        <v>11.2963</v>
      </c>
      <c r="H6" s="20">
        <f>_xll.BDH("RCOM IN Equity","ACCT_RCV_TURN","FY 2014","FY 2014","Currency=INR","Period=FY","BEST_FPERIOD_OVERRIDE=FY","FILING_STATUS=MR","EQY_CONSOLIDATED=Y","FA_ADJUSTED=GAAP","Sort=A","Dates=H","DateFormat=P","Fill=—","Direction=H","UseDPDF=Y")</f>
        <v>15.5054</v>
      </c>
      <c r="I6" s="20">
        <f>_xll.BDH("RCOM IN Equity","ACCT_RCV_TURN","FY 2015","FY 2015","Currency=INR","Period=FY","BEST_FPERIOD_OVERRIDE=FY","FILING_STATUS=MR","EQY_CONSOLIDATED=Y","FA_ADJUSTED=GAAP","Sort=A","Dates=H","DateFormat=P","Fill=—","Direction=H","UseDPDF=Y")</f>
        <v>18.460100000000001</v>
      </c>
      <c r="J6" s="20">
        <f>_xll.BDH("RCOM IN Equity","ACCT_RCV_TURN","FY 2016","FY 2016","Currency=INR","Period=FY","BEST_FPERIOD_OVERRIDE=FY","FILING_STATUS=MR","EQY_CONSOLIDATED=Y","FA_ADJUSTED=GAAP","Sort=A","Dates=H","DateFormat=P","Fill=—","Direction=H","UseDPDF=Y")</f>
        <v>10.415800000000001</v>
      </c>
      <c r="K6" s="20">
        <f>_xll.BDH("RCOM IN Equity","ACCT_RCV_TURN","FY 2017","FY 2017","Currency=INR","Period=FY","BEST_FPERIOD_OVERRIDE=FY","FILING_STATUS=MR","EQY_CONSOLIDATED=Y","FA_ADJUSTED=GAAP","Sort=A","Dates=H","DateFormat=P","Fill=—","Direction=H","UseDPDF=Y")</f>
        <v>2.1032999999999999</v>
      </c>
      <c r="L6" s="20">
        <f>_xll.BDH("RCOM IN Equity","ACCT_RCV_TURN","FY 2018","FY 2018","Currency=INR","Period=FY","BEST_FPERIOD_OVERRIDE=FY","FILING_STATUS=MR","EQY_CONSOLIDATED=Y","FA_ADJUSTED=GAAP","Sort=A","Dates=H","DateFormat=P","Fill=—","Direction=H","UseDPDF=Y")</f>
        <v>1.7061999999999999</v>
      </c>
    </row>
    <row r="7" spans="1:12">
      <c r="A7" s="10" t="s">
        <v>1600</v>
      </c>
      <c r="B7" s="10" t="s">
        <v>1601</v>
      </c>
      <c r="C7" s="14">
        <f>_xll.BDH("RCOM IN Equity","ACCT_RCV_DAYS","FY 2009","FY 2009","Currency=INR","Period=FY","BEST_FPERIOD_OVERRIDE=FY","FILING_STATUS=MR","EQY_CONSOLIDATED=Y","FA_ADJUSTED=GAAP","Sort=A","Dates=H","DateFormat=P","Fill=—","Direction=H","UseDPDF=Y")</f>
        <v>31.441600000000001</v>
      </c>
      <c r="D7" s="14">
        <f>_xll.BDH("RCOM IN Equity","ACCT_RCV_DAYS","FY 2010","FY 2010","Currency=INR","Period=FY","BEST_FPERIOD_OVERRIDE=FY","FILING_STATUS=MR","EQY_CONSOLIDATED=Y","FA_ADJUSTED=GAAP","Sort=A","Dates=H","DateFormat=P","Fill=—","Direction=H","UseDPDF=Y")</f>
        <v>16.249099999999999</v>
      </c>
      <c r="E7" s="14">
        <f>_xll.BDH("RCOM IN Equity","ACCT_RCV_DAYS","FY 2011","FY 2011","Currency=INR","Period=FY","BEST_FPERIOD_OVERRIDE=FY","FILING_STATUS=MR","EQY_CONSOLIDATED=Y","FA_ADJUSTED=GAAP","Sort=A","Dates=H","DateFormat=P","Fill=—","Direction=H","UseDPDF=Y")</f>
        <v>19.2376</v>
      </c>
      <c r="F7" s="14">
        <f>_xll.BDH("RCOM IN Equity","ACCT_RCV_DAYS","FY 2012","FY 2012","Currency=INR","Period=FY","BEST_FPERIOD_OVERRIDE=FY","FILING_STATUS=MR","EQY_CONSOLIDATED=Y","FA_ADJUSTED=GAAP","Sort=A","Dates=H","DateFormat=P","Fill=—","Direction=H","UseDPDF=Y")</f>
        <v>31.0932</v>
      </c>
      <c r="G7" s="14">
        <f>_xll.BDH("RCOM IN Equity","ACCT_RCV_DAYS","FY 2013","FY 2013","Currency=INR","Period=FY","BEST_FPERIOD_OVERRIDE=FY","FILING_STATUS=MR","EQY_CONSOLIDATED=Y","FA_ADJUSTED=GAAP","Sort=A","Dates=H","DateFormat=P","Fill=—","Direction=H","UseDPDF=Y")</f>
        <v>32.311599999999999</v>
      </c>
      <c r="H7" s="14">
        <f>_xll.BDH("RCOM IN Equity","ACCT_RCV_DAYS","FY 2014","FY 2014","Currency=INR","Period=FY","BEST_FPERIOD_OVERRIDE=FY","FILING_STATUS=MR","EQY_CONSOLIDATED=Y","FA_ADJUSTED=GAAP","Sort=A","Dates=H","DateFormat=P","Fill=—","Direction=H","UseDPDF=Y")</f>
        <v>23.540199999999999</v>
      </c>
      <c r="I7" s="14">
        <f>_xll.BDH("RCOM IN Equity","ACCT_RCV_DAYS","FY 2015","FY 2015","Currency=INR","Period=FY","BEST_FPERIOD_OVERRIDE=FY","FILING_STATUS=MR","EQY_CONSOLIDATED=Y","FA_ADJUSTED=GAAP","Sort=A","Dates=H","DateFormat=P","Fill=—","Direction=H","UseDPDF=Y")</f>
        <v>19.772300000000001</v>
      </c>
      <c r="J7" s="14">
        <f>_xll.BDH("RCOM IN Equity","ACCT_RCV_DAYS","FY 2016","FY 2016","Currency=INR","Period=FY","BEST_FPERIOD_OVERRIDE=FY","FILING_STATUS=MR","EQY_CONSOLIDATED=Y","FA_ADJUSTED=GAAP","Sort=A","Dates=H","DateFormat=P","Fill=—","Direction=H","UseDPDF=Y")</f>
        <v>35.1389</v>
      </c>
      <c r="K7" s="14">
        <f>_xll.BDH("RCOM IN Equity","ACCT_RCV_DAYS","FY 2017","FY 2017","Currency=INR","Period=FY","BEST_FPERIOD_OVERRIDE=FY","FILING_STATUS=MR","EQY_CONSOLIDATED=Y","FA_ADJUSTED=GAAP","Sort=A","Dates=H","DateFormat=P","Fill=—","Direction=H","UseDPDF=Y")</f>
        <v>173.53370000000001</v>
      </c>
      <c r="L7" s="14">
        <f>_xll.BDH("RCOM IN Equity","ACCT_RCV_DAYS","FY 2018","FY 2018","Currency=INR","Period=FY","BEST_FPERIOD_OVERRIDE=FY","FILING_STATUS=MR","EQY_CONSOLIDATED=Y","FA_ADJUSTED=GAAP","Sort=A","Dates=H","DateFormat=P","Fill=—","Direction=H","UseDPDF=Y")</f>
        <v>213.9299</v>
      </c>
    </row>
    <row r="8" spans="1:12">
      <c r="A8" s="6" t="s">
        <v>1602</v>
      </c>
      <c r="B8" s="6" t="s">
        <v>1603</v>
      </c>
      <c r="C8" s="20" t="str">
        <f>_xll.BDH("RCOM IN Equity","INVENT_TURN","FY 2009","FY 2009","Currency=INR","Period=FY","BEST_FPERIOD_OVERRIDE=FY","FILING_STATUS=MR","EQY_CONSOLIDATED=Y","FA_ADJUSTED=GAAP","Sort=A","Dates=H","DateFormat=P","Fill=—","Direction=H","UseDPDF=Y")</f>
        <v>—</v>
      </c>
      <c r="D8" s="20" t="str">
        <f>_xll.BDH("RCOM IN Equity","INVENT_TURN","FY 2010","FY 2010","Currency=INR","Period=FY","BEST_FPERIOD_OVERRIDE=FY","FILING_STATUS=MR","EQY_CONSOLIDATED=Y","FA_ADJUSTED=GAAP","Sort=A","Dates=H","DateFormat=P","Fill=—","Direction=H","UseDPDF=Y")</f>
        <v>—</v>
      </c>
      <c r="E8" s="20" t="str">
        <f>_xll.BDH("RCOM IN Equity","INVENT_TURN","FY 2011","FY 2011","Currency=INR","Period=FY","BEST_FPERIOD_OVERRIDE=FY","FILING_STATUS=MR","EQY_CONSOLIDATED=Y","FA_ADJUSTED=GAAP","Sort=A","Dates=H","DateFormat=P","Fill=—","Direction=H","UseDPDF=Y")</f>
        <v>—</v>
      </c>
      <c r="F8" s="20">
        <f>_xll.BDH("RCOM IN Equity","INVENT_TURN","FY 2012","FY 2012","Currency=INR","Period=FY","BEST_FPERIOD_OVERRIDE=FY","FILING_STATUS=MR","EQY_CONSOLIDATED=Y","FA_ADJUSTED=GAAP","Sort=A","Dates=H","DateFormat=P","Fill=—","Direction=H","UseDPDF=Y")</f>
        <v>0.17169999999999999</v>
      </c>
      <c r="G8" s="20" t="str">
        <f>_xll.BDH("RCOM IN Equity","INVENT_TURN","FY 2013","FY 2013","Currency=INR","Period=FY","BEST_FPERIOD_OVERRIDE=FY","FILING_STATUS=MR","EQY_CONSOLIDATED=Y","FA_ADJUSTED=GAAP","Sort=A","Dates=H","DateFormat=P","Fill=—","Direction=H","UseDPDF=Y")</f>
        <v>—</v>
      </c>
      <c r="H8" s="20" t="str">
        <f>_xll.BDH("RCOM IN Equity","INVENT_TURN","FY 2014","FY 2014","Currency=INR","Period=FY","BEST_FPERIOD_OVERRIDE=FY","FILING_STATUS=MR","EQY_CONSOLIDATED=Y","FA_ADJUSTED=GAAP","Sort=A","Dates=H","DateFormat=P","Fill=—","Direction=H","UseDPDF=Y")</f>
        <v>—</v>
      </c>
      <c r="I8" s="20" t="str">
        <f>_xll.BDH("RCOM IN Equity","INVENT_TURN","FY 2015","FY 2015","Currency=INR","Period=FY","BEST_FPERIOD_OVERRIDE=FY","FILING_STATUS=MR","EQY_CONSOLIDATED=Y","FA_ADJUSTED=GAAP","Sort=A","Dates=H","DateFormat=P","Fill=—","Direction=H","UseDPDF=Y")</f>
        <v>—</v>
      </c>
      <c r="J8" s="20" t="str">
        <f>_xll.BDH("RCOM IN Equity","INVENT_TURN","FY 2016","FY 2016","Currency=INR","Period=FY","BEST_FPERIOD_OVERRIDE=FY","FILING_STATUS=MR","EQY_CONSOLIDATED=Y","FA_ADJUSTED=GAAP","Sort=A","Dates=H","DateFormat=P","Fill=—","Direction=H","UseDPDF=Y")</f>
        <v>—</v>
      </c>
      <c r="K8" s="20" t="str">
        <f>_xll.BDH("RCOM IN Equity","INVENT_TURN","FY 2017","FY 2017","Currency=INR","Period=FY","BEST_FPERIOD_OVERRIDE=FY","FILING_STATUS=MR","EQY_CONSOLIDATED=Y","FA_ADJUSTED=GAAP","Sort=A","Dates=H","DateFormat=P","Fill=—","Direction=H","UseDPDF=Y")</f>
        <v>—</v>
      </c>
      <c r="L8" s="20" t="str">
        <f>_xll.BDH("RCOM IN Equity","INVENT_TURN","FY 2018","FY 2018","Currency=INR","Period=FY","BEST_FPERIOD_OVERRIDE=FY","FILING_STATUS=MR","EQY_CONSOLIDATED=Y","FA_ADJUSTED=GAAP","Sort=A","Dates=H","DateFormat=P","Fill=—","Direction=H","UseDPDF=Y")</f>
        <v>—</v>
      </c>
    </row>
    <row r="9" spans="1:12">
      <c r="A9" s="10" t="s">
        <v>1604</v>
      </c>
      <c r="B9" s="10" t="s">
        <v>1605</v>
      </c>
      <c r="C9" s="14" t="str">
        <f>_xll.BDH("RCOM IN Equity","INVENT_DAYS","FY 2009","FY 2009","Currency=INR","Period=FY","BEST_FPERIOD_OVERRIDE=FY","FILING_STATUS=MR","EQY_CONSOLIDATED=Y","FA_ADJUSTED=GAAP","Sort=A","Dates=H","DateFormat=P","Fill=—","Direction=H","UseDPDF=Y")</f>
        <v>—</v>
      </c>
      <c r="D9" s="14" t="str">
        <f>_xll.BDH("RCOM IN Equity","INVENT_DAYS","FY 2010","FY 2010","Currency=INR","Period=FY","BEST_FPERIOD_OVERRIDE=FY","FILING_STATUS=MR","EQY_CONSOLIDATED=Y","FA_ADJUSTED=GAAP","Sort=A","Dates=H","DateFormat=P","Fill=—","Direction=H","UseDPDF=Y")</f>
        <v>—</v>
      </c>
      <c r="E9" s="14" t="str">
        <f>_xll.BDH("RCOM IN Equity","INVENT_DAYS","FY 2011","FY 2011","Currency=INR","Period=FY","BEST_FPERIOD_OVERRIDE=FY","FILING_STATUS=MR","EQY_CONSOLIDATED=Y","FA_ADJUSTED=GAAP","Sort=A","Dates=H","DateFormat=P","Fill=—","Direction=H","UseDPDF=Y")</f>
        <v>—</v>
      </c>
      <c r="F9" s="14">
        <f>_xll.BDH("RCOM IN Equity","INVENT_DAYS","FY 2012","FY 2012","Currency=INR","Period=FY","BEST_FPERIOD_OVERRIDE=FY","FILING_STATUS=MR","EQY_CONSOLIDATED=Y","FA_ADJUSTED=GAAP","Sort=A","Dates=H","DateFormat=P","Fill=—","Direction=H","UseDPDF=Y")</f>
        <v>2131.0645</v>
      </c>
      <c r="G9" s="14" t="str">
        <f>_xll.BDH("RCOM IN Equity","INVENT_DAYS","FY 2013","FY 2013","Currency=INR","Period=FY","BEST_FPERIOD_OVERRIDE=FY","FILING_STATUS=MR","EQY_CONSOLIDATED=Y","FA_ADJUSTED=GAAP","Sort=A","Dates=H","DateFormat=P","Fill=—","Direction=H","UseDPDF=Y")</f>
        <v>—</v>
      </c>
      <c r="H9" s="14" t="str">
        <f>_xll.BDH("RCOM IN Equity","INVENT_DAYS","FY 2014","FY 2014","Currency=INR","Period=FY","BEST_FPERIOD_OVERRIDE=FY","FILING_STATUS=MR","EQY_CONSOLIDATED=Y","FA_ADJUSTED=GAAP","Sort=A","Dates=H","DateFormat=P","Fill=—","Direction=H","UseDPDF=Y")</f>
        <v>—</v>
      </c>
      <c r="I9" s="14" t="str">
        <f>_xll.BDH("RCOM IN Equity","INVENT_DAYS","FY 2015","FY 2015","Currency=INR","Period=FY","BEST_FPERIOD_OVERRIDE=FY","FILING_STATUS=MR","EQY_CONSOLIDATED=Y","FA_ADJUSTED=GAAP","Sort=A","Dates=H","DateFormat=P","Fill=—","Direction=H","UseDPDF=Y")</f>
        <v>—</v>
      </c>
      <c r="J9" s="14" t="str">
        <f>_xll.BDH("RCOM IN Equity","INVENT_DAYS","FY 2016","FY 2016","Currency=INR","Period=FY","BEST_FPERIOD_OVERRIDE=FY","FILING_STATUS=MR","EQY_CONSOLIDATED=Y","FA_ADJUSTED=GAAP","Sort=A","Dates=H","DateFormat=P","Fill=—","Direction=H","UseDPDF=Y")</f>
        <v>—</v>
      </c>
      <c r="K9" s="14" t="str">
        <f>_xll.BDH("RCOM IN Equity","INVENT_DAYS","FY 2017","FY 2017","Currency=INR","Period=FY","BEST_FPERIOD_OVERRIDE=FY","FILING_STATUS=MR","EQY_CONSOLIDATED=Y","FA_ADJUSTED=GAAP","Sort=A","Dates=H","DateFormat=P","Fill=—","Direction=H","UseDPDF=Y")</f>
        <v>—</v>
      </c>
      <c r="L9" s="14" t="str">
        <f>_xll.BDH("RCOM IN Equity","INVENT_DAYS","FY 2018","FY 2018","Currency=INR","Period=FY","BEST_FPERIOD_OVERRIDE=FY","FILING_STATUS=MR","EQY_CONSOLIDATED=Y","FA_ADJUSTED=GAAP","Sort=A","Dates=H","DateFormat=P","Fill=—","Direction=H","UseDPDF=Y")</f>
        <v>—</v>
      </c>
    </row>
    <row r="10" spans="1:12">
      <c r="A10" s="6" t="s">
        <v>1606</v>
      </c>
      <c r="B10" s="6" t="s">
        <v>1607</v>
      </c>
      <c r="C10" s="20" t="str">
        <f>_xll.BDH("RCOM IN Equity","ACCOUNTS_PAYABLE_TURNOVER","FY 2009","FY 2009","Currency=INR","Period=FY","BEST_FPERIOD_OVERRIDE=FY","FILING_STATUS=MR","EQY_CONSOLIDATED=Y","FA_ADJUSTED=GAAP","Sort=A","Dates=H","DateFormat=P","Fill=—","Direction=H","UseDPDF=Y")</f>
        <v>—</v>
      </c>
      <c r="D10" s="20" t="str">
        <f>_xll.BDH("RCOM IN Equity","ACCOUNTS_PAYABLE_TURNOVER","FY 2010","FY 2010","Currency=INR","Period=FY","BEST_FPERIOD_OVERRIDE=FY","FILING_STATUS=MR","EQY_CONSOLIDATED=Y","FA_ADJUSTED=GAAP","Sort=A","Dates=H","DateFormat=P","Fill=—","Direction=H","UseDPDF=Y")</f>
        <v>—</v>
      </c>
      <c r="E10" s="20" t="str">
        <f>_xll.BDH("RCOM IN Equity","ACCOUNTS_PAYABLE_TURNOVER","FY 2011","FY 2011","Currency=INR","Period=FY","BEST_FPERIOD_OVERRIDE=FY","FILING_STATUS=MR","EQY_CONSOLIDATED=Y","FA_ADJUSTED=GAAP","Sort=A","Dates=H","DateFormat=P","Fill=—","Direction=H","UseDPDF=Y")</f>
        <v>—</v>
      </c>
      <c r="F10" s="20">
        <f>_xll.BDH("RCOM IN Equity","ACCOUNTS_PAYABLE_TURNOVER","FY 2012","FY 2012","Currency=INR","Period=FY","BEST_FPERIOD_OVERRIDE=FY","FILING_STATUS=MR","EQY_CONSOLIDATED=Y","FA_ADJUSTED=GAAP","Sort=A","Dates=H","DateFormat=P","Fill=—","Direction=H","UseDPDF=Y")</f>
        <v>6.7500000000000004E-2</v>
      </c>
      <c r="G10" s="20" t="str">
        <f>_xll.BDH("RCOM IN Equity","ACCOUNTS_PAYABLE_TURNOVER","FY 2013","FY 2013","Currency=INR","Period=FY","BEST_FPERIOD_OVERRIDE=FY","FILING_STATUS=MR","EQY_CONSOLIDATED=Y","FA_ADJUSTED=GAAP","Sort=A","Dates=H","DateFormat=P","Fill=—","Direction=H","UseDPDF=Y")</f>
        <v>—</v>
      </c>
      <c r="H10" s="20" t="str">
        <f>_xll.BDH("RCOM IN Equity","ACCOUNTS_PAYABLE_TURNOVER","FY 2014","FY 2014","Currency=INR","Period=FY","BEST_FPERIOD_OVERRIDE=FY","FILING_STATUS=MR","EQY_CONSOLIDATED=Y","FA_ADJUSTED=GAAP","Sort=A","Dates=H","DateFormat=P","Fill=—","Direction=H","UseDPDF=Y")</f>
        <v>—</v>
      </c>
      <c r="I10" s="20" t="str">
        <f>_xll.BDH("RCOM IN Equity","ACCOUNTS_PAYABLE_TURNOVER","FY 2015","FY 2015","Currency=INR","Period=FY","BEST_FPERIOD_OVERRIDE=FY","FILING_STATUS=MR","EQY_CONSOLIDATED=Y","FA_ADJUSTED=GAAP","Sort=A","Dates=H","DateFormat=P","Fill=—","Direction=H","UseDPDF=Y")</f>
        <v>—</v>
      </c>
      <c r="J10" s="20" t="str">
        <f>_xll.BDH("RCOM IN Equity","ACCOUNTS_PAYABLE_TURNOVER","FY 2016","FY 2016","Currency=INR","Period=FY","BEST_FPERIOD_OVERRIDE=FY","FILING_STATUS=MR","EQY_CONSOLIDATED=Y","FA_ADJUSTED=GAAP","Sort=A","Dates=H","DateFormat=P","Fill=—","Direction=H","UseDPDF=Y")</f>
        <v>—</v>
      </c>
      <c r="K10" s="20" t="str">
        <f>_xll.BDH("RCOM IN Equity","ACCOUNTS_PAYABLE_TURNOVER","FY 2017","FY 2017","Currency=INR","Period=FY","BEST_FPERIOD_OVERRIDE=FY","FILING_STATUS=MR","EQY_CONSOLIDATED=Y","FA_ADJUSTED=GAAP","Sort=A","Dates=H","DateFormat=P","Fill=—","Direction=H","UseDPDF=Y")</f>
        <v>—</v>
      </c>
      <c r="L10" s="20" t="str">
        <f>_xll.BDH("RCOM IN Equity","ACCOUNTS_PAYABLE_TURNOVER","FY 2018","FY 2018","Currency=INR","Period=FY","BEST_FPERIOD_OVERRIDE=FY","FILING_STATUS=MR","EQY_CONSOLIDATED=Y","FA_ADJUSTED=GAAP","Sort=A","Dates=H","DateFormat=P","Fill=—","Direction=H","UseDPDF=Y")</f>
        <v>—</v>
      </c>
    </row>
    <row r="11" spans="1:12">
      <c r="A11" s="10" t="s">
        <v>1608</v>
      </c>
      <c r="B11" s="10" t="s">
        <v>1609</v>
      </c>
      <c r="C11" s="14" t="str">
        <f>_xll.BDH("RCOM IN Equity","ACCOUNTS_PAYABLE_TURNOVER_DAYS","FY 2009","FY 2009","Currency=INR","Period=FY","BEST_FPERIOD_OVERRIDE=FY","FILING_STATUS=MR","EQY_CONSOLIDATED=Y","FA_ADJUSTED=GAAP","Sort=A","Dates=H","DateFormat=P","Fill=—","Direction=H","UseDPDF=Y")</f>
        <v>—</v>
      </c>
      <c r="D11" s="14" t="str">
        <f>_xll.BDH("RCOM IN Equity","ACCOUNTS_PAYABLE_TURNOVER_DAYS","FY 2010","FY 2010","Currency=INR","Period=FY","BEST_FPERIOD_OVERRIDE=FY","FILING_STATUS=MR","EQY_CONSOLIDATED=Y","FA_ADJUSTED=GAAP","Sort=A","Dates=H","DateFormat=P","Fill=—","Direction=H","UseDPDF=Y")</f>
        <v>—</v>
      </c>
      <c r="E11" s="14" t="str">
        <f>_xll.BDH("RCOM IN Equity","ACCOUNTS_PAYABLE_TURNOVER_DAYS","FY 2011","FY 2011","Currency=INR","Period=FY","BEST_FPERIOD_OVERRIDE=FY","FILING_STATUS=MR","EQY_CONSOLIDATED=Y","FA_ADJUSTED=GAAP","Sort=A","Dates=H","DateFormat=P","Fill=—","Direction=H","UseDPDF=Y")</f>
        <v>—</v>
      </c>
      <c r="F11" s="14">
        <f>_xll.BDH("RCOM IN Equity","ACCOUNTS_PAYABLE_TURNOVER_DAYS","FY 2012","FY 2012","Currency=INR","Period=FY","BEST_FPERIOD_OVERRIDE=FY","FILING_STATUS=MR","EQY_CONSOLIDATED=Y","FA_ADJUSTED=GAAP","Sort=A","Dates=H","DateFormat=P","Fill=—","Direction=H","UseDPDF=Y")</f>
        <v>5421.6971999999996</v>
      </c>
      <c r="G11" s="14" t="str">
        <f>_xll.BDH("RCOM IN Equity","ACCOUNTS_PAYABLE_TURNOVER_DAYS","FY 2013","FY 2013","Currency=INR","Period=FY","BEST_FPERIOD_OVERRIDE=FY","FILING_STATUS=MR","EQY_CONSOLIDATED=Y","FA_ADJUSTED=GAAP","Sort=A","Dates=H","DateFormat=P","Fill=—","Direction=H","UseDPDF=Y")</f>
        <v>—</v>
      </c>
      <c r="H11" s="14" t="str">
        <f>_xll.BDH("RCOM IN Equity","ACCOUNTS_PAYABLE_TURNOVER_DAYS","FY 2014","FY 2014","Currency=INR","Period=FY","BEST_FPERIOD_OVERRIDE=FY","FILING_STATUS=MR","EQY_CONSOLIDATED=Y","FA_ADJUSTED=GAAP","Sort=A","Dates=H","DateFormat=P","Fill=—","Direction=H","UseDPDF=Y")</f>
        <v>—</v>
      </c>
      <c r="I11" s="14" t="str">
        <f>_xll.BDH("RCOM IN Equity","ACCOUNTS_PAYABLE_TURNOVER_DAYS","FY 2015","FY 2015","Currency=INR","Period=FY","BEST_FPERIOD_OVERRIDE=FY","FILING_STATUS=MR","EQY_CONSOLIDATED=Y","FA_ADJUSTED=GAAP","Sort=A","Dates=H","DateFormat=P","Fill=—","Direction=H","UseDPDF=Y")</f>
        <v>—</v>
      </c>
      <c r="J11" s="14" t="str">
        <f>_xll.BDH("RCOM IN Equity","ACCOUNTS_PAYABLE_TURNOVER_DAYS","FY 2016","FY 2016","Currency=INR","Period=FY","BEST_FPERIOD_OVERRIDE=FY","FILING_STATUS=MR","EQY_CONSOLIDATED=Y","FA_ADJUSTED=GAAP","Sort=A","Dates=H","DateFormat=P","Fill=—","Direction=H","UseDPDF=Y")</f>
        <v>—</v>
      </c>
      <c r="K11" s="14" t="str">
        <f>_xll.BDH("RCOM IN Equity","ACCOUNTS_PAYABLE_TURNOVER_DAYS","FY 2017","FY 2017","Currency=INR","Period=FY","BEST_FPERIOD_OVERRIDE=FY","FILING_STATUS=MR","EQY_CONSOLIDATED=Y","FA_ADJUSTED=GAAP","Sort=A","Dates=H","DateFormat=P","Fill=—","Direction=H","UseDPDF=Y")</f>
        <v>—</v>
      </c>
      <c r="L11" s="14" t="str">
        <f>_xll.BDH("RCOM IN Equity","ACCOUNTS_PAYABLE_TURNOVER_DAYS","FY 2018","FY 2018","Currency=INR","Period=FY","BEST_FPERIOD_OVERRIDE=FY","FILING_STATUS=MR","EQY_CONSOLIDATED=Y","FA_ADJUSTED=GAAP","Sort=A","Dates=H","DateFormat=P","Fill=—","Direction=H","UseDPDF=Y")</f>
        <v>—</v>
      </c>
    </row>
    <row r="12" spans="1:12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6" t="s">
        <v>848</v>
      </c>
      <c r="B13" s="6" t="s">
        <v>849</v>
      </c>
      <c r="C13" s="20" t="str">
        <f>_xll.BDH("RCOM IN Equity","CASH_CONVERSION_CYCLE","FY 2009","FY 2009","Currency=INR","Period=FY","BEST_FPERIOD_OVERRIDE=FY","FILING_STATUS=MR","EQY_CONSOLIDATED=Y","FA_ADJUSTED=GAAP","Sort=A","Dates=H","DateFormat=P","Fill=—","Direction=H","UseDPDF=Y")</f>
        <v>—</v>
      </c>
      <c r="D13" s="20" t="str">
        <f>_xll.BDH("RCOM IN Equity","CASH_CONVERSION_CYCLE","FY 2010","FY 2010","Currency=INR","Period=FY","BEST_FPERIOD_OVERRIDE=FY","FILING_STATUS=MR","EQY_CONSOLIDATED=Y","FA_ADJUSTED=GAAP","Sort=A","Dates=H","DateFormat=P","Fill=—","Direction=H","UseDPDF=Y")</f>
        <v>—</v>
      </c>
      <c r="E13" s="20" t="str">
        <f>_xll.BDH("RCOM IN Equity","CASH_CONVERSION_CYCLE","FY 2011","FY 2011","Currency=INR","Period=FY","BEST_FPERIOD_OVERRIDE=FY","FILING_STATUS=MR","EQY_CONSOLIDATED=Y","FA_ADJUSTED=GAAP","Sort=A","Dates=H","DateFormat=P","Fill=—","Direction=H","UseDPDF=Y")</f>
        <v>—</v>
      </c>
      <c r="F13" s="20">
        <f>_xll.BDH("RCOM IN Equity","CASH_CONVERSION_CYCLE","FY 2012","FY 2012","Currency=INR","Period=FY","BEST_FPERIOD_OVERRIDE=FY","FILING_STATUS=MR","EQY_CONSOLIDATED=Y","FA_ADJUSTED=GAAP","Sort=A","Dates=H","DateFormat=P","Fill=—","Direction=H","UseDPDF=Y")</f>
        <v>-3259.5394999999999</v>
      </c>
      <c r="G13" s="20" t="str">
        <f>_xll.BDH("RCOM IN Equity","CASH_CONVERSION_CYCLE","FY 2013","FY 2013","Currency=INR","Period=FY","BEST_FPERIOD_OVERRIDE=FY","FILING_STATUS=MR","EQY_CONSOLIDATED=Y","FA_ADJUSTED=GAAP","Sort=A","Dates=H","DateFormat=P","Fill=—","Direction=H","UseDPDF=Y")</f>
        <v>—</v>
      </c>
      <c r="H13" s="20" t="str">
        <f>_xll.BDH("RCOM IN Equity","CASH_CONVERSION_CYCLE","FY 2014","FY 2014","Currency=INR","Period=FY","BEST_FPERIOD_OVERRIDE=FY","FILING_STATUS=MR","EQY_CONSOLIDATED=Y","FA_ADJUSTED=GAAP","Sort=A","Dates=H","DateFormat=P","Fill=—","Direction=H","UseDPDF=Y")</f>
        <v>—</v>
      </c>
      <c r="I13" s="20" t="str">
        <f>_xll.BDH("RCOM IN Equity","CASH_CONVERSION_CYCLE","FY 2015","FY 2015","Currency=INR","Period=FY","BEST_FPERIOD_OVERRIDE=FY","FILING_STATUS=MR","EQY_CONSOLIDATED=Y","FA_ADJUSTED=GAAP","Sort=A","Dates=H","DateFormat=P","Fill=—","Direction=H","UseDPDF=Y")</f>
        <v>—</v>
      </c>
      <c r="J13" s="20" t="str">
        <f>_xll.BDH("RCOM IN Equity","CASH_CONVERSION_CYCLE","FY 2016","FY 2016","Currency=INR","Period=FY","BEST_FPERIOD_OVERRIDE=FY","FILING_STATUS=MR","EQY_CONSOLIDATED=Y","FA_ADJUSTED=GAAP","Sort=A","Dates=H","DateFormat=P","Fill=—","Direction=H","UseDPDF=Y")</f>
        <v>—</v>
      </c>
      <c r="K13" s="20" t="str">
        <f>_xll.BDH("RCOM IN Equity","CASH_CONVERSION_CYCLE","FY 2017","FY 2017","Currency=INR","Period=FY","BEST_FPERIOD_OVERRIDE=FY","FILING_STATUS=MR","EQY_CONSOLIDATED=Y","FA_ADJUSTED=GAAP","Sort=A","Dates=H","DateFormat=P","Fill=—","Direction=H","UseDPDF=Y")</f>
        <v>—</v>
      </c>
      <c r="L13" s="20" t="str">
        <f>_xll.BDH("RCOM IN Equity","CASH_CONVERSION_CYCLE","FY 2018","FY 2018","Currency=INR","Period=FY","BEST_FPERIOD_OVERRIDE=FY","FILING_STATUS=MR","EQY_CONSOLIDATED=Y","FA_ADJUSTED=GAAP","Sort=A","Dates=H","DateFormat=P","Fill=—","Direction=H","UseDPDF=Y")</f>
        <v>—</v>
      </c>
    </row>
    <row r="14" spans="1:12">
      <c r="A14" s="6" t="s">
        <v>1610</v>
      </c>
      <c r="B14" s="6" t="s">
        <v>1611</v>
      </c>
      <c r="C14" s="20" t="str">
        <f>_xll.BDH("RCOM IN Equity","INV_TO_CASH_DAYS","FY 2009","FY 2009","Currency=INR","Period=FY","BEST_FPERIOD_OVERRIDE=FY","FILING_STATUS=MR","EQY_CONSOLIDATED=Y","FA_ADJUSTED=GAAP","Sort=A","Dates=H","DateFormat=P","Fill=—","Direction=H","UseDPDF=Y")</f>
        <v>—</v>
      </c>
      <c r="D14" s="20" t="str">
        <f>_xll.BDH("RCOM IN Equity","INV_TO_CASH_DAYS","FY 2010","FY 2010","Currency=INR","Period=FY","BEST_FPERIOD_OVERRIDE=FY","FILING_STATUS=MR","EQY_CONSOLIDATED=Y","FA_ADJUSTED=GAAP","Sort=A","Dates=H","DateFormat=P","Fill=—","Direction=H","UseDPDF=Y")</f>
        <v>—</v>
      </c>
      <c r="E14" s="20" t="str">
        <f>_xll.BDH("RCOM IN Equity","INV_TO_CASH_DAYS","FY 2011","FY 2011","Currency=INR","Period=FY","BEST_FPERIOD_OVERRIDE=FY","FILING_STATUS=MR","EQY_CONSOLIDATED=Y","FA_ADJUSTED=GAAP","Sort=A","Dates=H","DateFormat=P","Fill=—","Direction=H","UseDPDF=Y")</f>
        <v>—</v>
      </c>
      <c r="F14" s="20">
        <f>_xll.BDH("RCOM IN Equity","INV_TO_CASH_DAYS","FY 2012","FY 2012","Currency=INR","Period=FY","BEST_FPERIOD_OVERRIDE=FY","FILING_STATUS=MR","EQY_CONSOLIDATED=Y","FA_ADJUSTED=GAAP","Sort=A","Dates=H","DateFormat=P","Fill=—","Direction=H","UseDPDF=Y")</f>
        <v>2162.1577000000002</v>
      </c>
      <c r="G14" s="20" t="str">
        <f>_xll.BDH("RCOM IN Equity","INV_TO_CASH_DAYS","FY 2013","FY 2013","Currency=INR","Period=FY","BEST_FPERIOD_OVERRIDE=FY","FILING_STATUS=MR","EQY_CONSOLIDATED=Y","FA_ADJUSTED=GAAP","Sort=A","Dates=H","DateFormat=P","Fill=—","Direction=H","UseDPDF=Y")</f>
        <v>—</v>
      </c>
      <c r="H14" s="20" t="str">
        <f>_xll.BDH("RCOM IN Equity","INV_TO_CASH_DAYS","FY 2014","FY 2014","Currency=INR","Period=FY","BEST_FPERIOD_OVERRIDE=FY","FILING_STATUS=MR","EQY_CONSOLIDATED=Y","FA_ADJUSTED=GAAP","Sort=A","Dates=H","DateFormat=P","Fill=—","Direction=H","UseDPDF=Y")</f>
        <v>—</v>
      </c>
      <c r="I14" s="20" t="str">
        <f>_xll.BDH("RCOM IN Equity","INV_TO_CASH_DAYS","FY 2015","FY 2015","Currency=INR","Period=FY","BEST_FPERIOD_OVERRIDE=FY","FILING_STATUS=MR","EQY_CONSOLIDATED=Y","FA_ADJUSTED=GAAP","Sort=A","Dates=H","DateFormat=P","Fill=—","Direction=H","UseDPDF=Y")</f>
        <v>—</v>
      </c>
      <c r="J14" s="20" t="str">
        <f>_xll.BDH("RCOM IN Equity","INV_TO_CASH_DAYS","FY 2016","FY 2016","Currency=INR","Period=FY","BEST_FPERIOD_OVERRIDE=FY","FILING_STATUS=MR","EQY_CONSOLIDATED=Y","FA_ADJUSTED=GAAP","Sort=A","Dates=H","DateFormat=P","Fill=—","Direction=H","UseDPDF=Y")</f>
        <v>—</v>
      </c>
      <c r="K14" s="20" t="str">
        <f>_xll.BDH("RCOM IN Equity","INV_TO_CASH_DAYS","FY 2017","FY 2017","Currency=INR","Period=FY","BEST_FPERIOD_OVERRIDE=FY","FILING_STATUS=MR","EQY_CONSOLIDATED=Y","FA_ADJUSTED=GAAP","Sort=A","Dates=H","DateFormat=P","Fill=—","Direction=H","UseDPDF=Y")</f>
        <v>—</v>
      </c>
      <c r="L14" s="20" t="str">
        <f>_xll.BDH("RCOM IN Equity","INV_TO_CASH_DAYS","FY 2018","FY 2018","Currency=INR","Period=FY","BEST_FPERIOD_OVERRIDE=FY","FILING_STATUS=MR","EQY_CONSOLIDATED=Y","FA_ADJUSTED=GAAP","Sort=A","Dates=H","DateFormat=P","Fill=—","Direction=H","UseDPDF=Y")</f>
        <v>—</v>
      </c>
    </row>
    <row r="15" spans="1:12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2">
      <c r="A16" s="6" t="s">
        <v>1612</v>
      </c>
      <c r="B16" s="6" t="s">
        <v>704</v>
      </c>
      <c r="C16" s="19">
        <f>_xll.BDH("RCOM IN Equity","BS_INVENTORIES","FY 2009","FY 2009","Currency=INR","Period=FY","BEST_FPERIOD_OVERRIDE=FY","FILING_STATUS=MR","EQY_CONSOLIDATED=Y","SCALING_FORMAT=MLN","Sort=A","Dates=H","DateFormat=P","Fill=—","Direction=H","UseDPDF=Y")</f>
        <v>5427.2</v>
      </c>
      <c r="D16" s="19">
        <f>_xll.BDH("RCOM IN Equity","BS_INVENTORIES","FY 2010","FY 2010","Currency=INR","Period=FY","BEST_FPERIOD_OVERRIDE=FY","FILING_STATUS=MR","EQY_CONSOLIDATED=Y","SCALING_FORMAT=MLN","Sort=A","Dates=H","DateFormat=P","Fill=—","Direction=H","UseDPDF=Y")</f>
        <v>5446.3</v>
      </c>
      <c r="E16" s="19">
        <f>_xll.BDH("RCOM IN Equity","BS_INVENTORIES","FY 2011","FY 2011","Currency=INR","Period=FY","BEST_FPERIOD_OVERRIDE=FY","FILING_STATUS=MR","EQY_CONSOLIDATED=Y","SCALING_FORMAT=MLN","Sort=A","Dates=H","DateFormat=P","Fill=—","Direction=H","UseDPDF=Y")</f>
        <v>5170</v>
      </c>
      <c r="F16" s="19">
        <f>_xll.BDH("RCOM IN Equity","BS_INVENTORIES","FY 2012","FY 2012","Currency=INR","Period=FY","BEST_FPERIOD_OVERRIDE=FY","FILING_STATUS=MR","EQY_CONSOLIDATED=Y","SCALING_FORMAT=MLN","Sort=A","Dates=H","DateFormat=P","Fill=—","Direction=H","UseDPDF=Y")</f>
        <v>5660</v>
      </c>
      <c r="G16" s="19">
        <f>_xll.BDH("RCOM IN Equity","BS_INVENTORIES","FY 2013","FY 2013","Currency=INR","Period=FY","BEST_FPERIOD_OVERRIDE=FY","FILING_STATUS=MR","EQY_CONSOLIDATED=Y","SCALING_FORMAT=MLN","Sort=A","Dates=H","DateFormat=P","Fill=—","Direction=H","UseDPDF=Y")</f>
        <v>4970</v>
      </c>
      <c r="H16" s="19">
        <f>_xll.BDH("RCOM IN Equity","BS_INVENTORIES","FY 2014","FY 2014","Currency=INR","Period=FY","BEST_FPERIOD_OVERRIDE=FY","FILING_STATUS=MR","EQY_CONSOLIDATED=Y","SCALING_FORMAT=MLN","Sort=A","Dates=H","DateFormat=P","Fill=—","Direction=H","UseDPDF=Y")</f>
        <v>4150</v>
      </c>
      <c r="I16" s="19">
        <f>_xll.BDH("RCOM IN Equity","BS_INVENTORIES","FY 2015","FY 2015","Currency=INR","Period=FY","BEST_FPERIOD_OVERRIDE=FY","FILING_STATUS=MR","EQY_CONSOLIDATED=Y","SCALING_FORMAT=MLN","Sort=A","Dates=H","DateFormat=P","Fill=—","Direction=H","UseDPDF=Y")</f>
        <v>4010</v>
      </c>
      <c r="J16" s="19">
        <f>_xll.BDH("RCOM IN Equity","BS_INVENTORIES","FY 2016","FY 2016","Currency=INR","Period=FY","BEST_FPERIOD_OVERRIDE=FY","FILING_STATUS=MR","EQY_CONSOLIDATED=Y","SCALING_FORMAT=MLN","Sort=A","Dates=H","DateFormat=P","Fill=—","Direction=H","UseDPDF=Y")</f>
        <v>2080</v>
      </c>
      <c r="K16" s="19">
        <f>_xll.BDH("RCOM IN Equity","BS_INVENTORIES","FY 2017","FY 2017","Currency=INR","Period=FY","BEST_FPERIOD_OVERRIDE=FY","FILING_STATUS=MR","EQY_CONSOLIDATED=Y","SCALING_FORMAT=MLN","Sort=A","Dates=H","DateFormat=P","Fill=—","Direction=H","UseDPDF=Y")</f>
        <v>2350</v>
      </c>
      <c r="L16" s="19">
        <f>_xll.BDH("RCOM IN Equity","BS_INVENTORIES","FY 2018","FY 2018","Currency=INR","Period=FY","BEST_FPERIOD_OVERRIDE=FY","FILING_STATUS=MR","EQY_CONSOLIDATED=Y","SCALING_FORMAT=MLN","Sort=A","Dates=H","DateFormat=P","Fill=—","Direction=H","UseDPDF=Y")</f>
        <v>790</v>
      </c>
    </row>
    <row r="17" spans="1:12">
      <c r="A17" s="10" t="s">
        <v>1613</v>
      </c>
      <c r="B17" s="10" t="s">
        <v>706</v>
      </c>
      <c r="C17" s="13" t="str">
        <f>_xll.BDH("RCOM IN Equity","INVTRY_RAW_MATERIALS","FY 2009","FY 2009","Currency=INR","Period=FY","BEST_FPERIOD_OVERRIDE=FY","FILING_STATUS=MR","EQY_CONSOLIDATED=Y","SCALING_FORMAT=MLN","Sort=A","Dates=H","DateFormat=P","Fill=—","Direction=H","UseDPDF=Y")</f>
        <v>—</v>
      </c>
      <c r="D17" s="13" t="str">
        <f>_xll.BDH("RCOM IN Equity","INVTRY_RAW_MATERIALS","FY 2010","FY 2010","Currency=INR","Period=FY","BEST_FPERIOD_OVERRIDE=FY","FILING_STATUS=MR","EQY_CONSOLIDATED=Y","SCALING_FORMAT=MLN","Sort=A","Dates=H","DateFormat=P","Fill=—","Direction=H","UseDPDF=Y")</f>
        <v>—</v>
      </c>
      <c r="E17" s="13" t="str">
        <f>_xll.BDH("RCOM IN Equity","INVTRY_RAW_MATERIALS","FY 2011","FY 2011","Currency=INR","Period=FY","BEST_FPERIOD_OVERRIDE=FY","FILING_STATUS=MR","EQY_CONSOLIDATED=Y","SCALING_FORMAT=MLN","Sort=A","Dates=H","DateFormat=P","Fill=—","Direction=H","UseDPDF=Y")</f>
        <v>—</v>
      </c>
      <c r="F17" s="13" t="str">
        <f>_xll.BDH("RCOM IN Equity","INVTRY_RAW_MATERIALS","FY 2012","FY 2012","Currency=INR","Period=FY","BEST_FPERIOD_OVERRIDE=FY","FILING_STATUS=MR","EQY_CONSOLIDATED=Y","SCALING_FORMAT=MLN","Sort=A","Dates=H","DateFormat=P","Fill=—","Direction=H","UseDPDF=Y")</f>
        <v>—</v>
      </c>
      <c r="G17" s="13" t="str">
        <f>_xll.BDH("RCOM IN Equity","INVTRY_RAW_MATERIALS","FY 2013","FY 2013","Currency=INR","Period=FY","BEST_FPERIOD_OVERRIDE=FY","FILING_STATUS=MR","EQY_CONSOLIDATED=Y","SCALING_FORMAT=MLN","Sort=A","Dates=H","DateFormat=P","Fill=—","Direction=H","UseDPDF=Y")</f>
        <v>—</v>
      </c>
      <c r="H17" s="13" t="str">
        <f>_xll.BDH("RCOM IN Equity","INVTRY_RAW_MATERIALS","FY 2014","FY 2014","Currency=INR","Period=FY","BEST_FPERIOD_OVERRIDE=FY","FILING_STATUS=MR","EQY_CONSOLIDATED=Y","SCALING_FORMAT=MLN","Sort=A","Dates=H","DateFormat=P","Fill=—","Direction=H","UseDPDF=Y")</f>
        <v>—</v>
      </c>
      <c r="I17" s="13">
        <f>_xll.BDH("RCOM IN Equity","INVTRY_RAW_MATERIALS","FY 2015","FY 2015","Currency=INR","Period=FY","BEST_FPERIOD_OVERRIDE=FY","FILING_STATUS=MR","EQY_CONSOLIDATED=Y","SCALING_FORMAT=MLN","Sort=A","Dates=H","DateFormat=P","Fill=—","Direction=H","UseDPDF=Y")</f>
        <v>0</v>
      </c>
      <c r="J17" s="13">
        <f>_xll.BDH("RCOM IN Equity","INVTRY_RAW_MATERIALS","FY 2016","FY 2016","Currency=INR","Period=FY","BEST_FPERIOD_OVERRIDE=FY","FILING_STATUS=MR","EQY_CONSOLIDATED=Y","SCALING_FORMAT=MLN","Sort=A","Dates=H","DateFormat=P","Fill=—","Direction=H","UseDPDF=Y")</f>
        <v>0</v>
      </c>
      <c r="K17" s="13">
        <f>_xll.BDH("RCOM IN Equity","INVTRY_RAW_MATERIALS","FY 2017","FY 2017","Currency=INR","Period=FY","BEST_FPERIOD_OVERRIDE=FY","FILING_STATUS=MR","EQY_CONSOLIDATED=Y","SCALING_FORMAT=MLN","Sort=A","Dates=H","DateFormat=P","Fill=—","Direction=H","UseDPDF=Y")</f>
        <v>0</v>
      </c>
      <c r="L17" s="13">
        <f>_xll.BDH("RCOM IN Equity","INVTRY_RAW_MATERIALS","FY 2018","FY 2018","Currency=INR","Period=FY","BEST_FPERIOD_OVERRIDE=FY","FILING_STATUS=MR","EQY_CONSOLIDATED=Y","SCALING_FORMAT=MLN","Sort=A","Dates=H","DateFormat=P","Fill=—","Direction=H","UseDPDF=Y")</f>
        <v>0</v>
      </c>
    </row>
    <row r="18" spans="1:12">
      <c r="A18" s="10" t="s">
        <v>1614</v>
      </c>
      <c r="B18" s="10" t="s">
        <v>708</v>
      </c>
      <c r="C18" s="13" t="str">
        <f>_xll.BDH("RCOM IN Equity","INVTRY_IN_PROGRESS","FY 2009","FY 2009","Currency=INR","Period=FY","BEST_FPERIOD_OVERRIDE=FY","FILING_STATUS=MR","EQY_CONSOLIDATED=Y","SCALING_FORMAT=MLN","Sort=A","Dates=H","DateFormat=P","Fill=—","Direction=H","UseDPDF=Y")</f>
        <v>—</v>
      </c>
      <c r="D18" s="13" t="str">
        <f>_xll.BDH("RCOM IN Equity","INVTRY_IN_PROGRESS","FY 2010","FY 2010","Currency=INR","Period=FY","BEST_FPERIOD_OVERRIDE=FY","FILING_STATUS=MR","EQY_CONSOLIDATED=Y","SCALING_FORMAT=MLN","Sort=A","Dates=H","DateFormat=P","Fill=—","Direction=H","UseDPDF=Y")</f>
        <v>—</v>
      </c>
      <c r="E18" s="13" t="str">
        <f>_xll.BDH("RCOM IN Equity","INVTRY_IN_PROGRESS","FY 2011","FY 2011","Currency=INR","Period=FY","BEST_FPERIOD_OVERRIDE=FY","FILING_STATUS=MR","EQY_CONSOLIDATED=Y","SCALING_FORMAT=MLN","Sort=A","Dates=H","DateFormat=P","Fill=—","Direction=H","UseDPDF=Y")</f>
        <v>—</v>
      </c>
      <c r="F18" s="13" t="str">
        <f>_xll.BDH("RCOM IN Equity","INVTRY_IN_PROGRESS","FY 2012","FY 2012","Currency=INR","Period=FY","BEST_FPERIOD_OVERRIDE=FY","FILING_STATUS=MR","EQY_CONSOLIDATED=Y","SCALING_FORMAT=MLN","Sort=A","Dates=H","DateFormat=P","Fill=—","Direction=H","UseDPDF=Y")</f>
        <v>—</v>
      </c>
      <c r="G18" s="13" t="str">
        <f>_xll.BDH("RCOM IN Equity","INVTRY_IN_PROGRESS","FY 2013","FY 2013","Currency=INR","Period=FY","BEST_FPERIOD_OVERRIDE=FY","FILING_STATUS=MR","EQY_CONSOLIDATED=Y","SCALING_FORMAT=MLN","Sort=A","Dates=H","DateFormat=P","Fill=—","Direction=H","UseDPDF=Y")</f>
        <v>—</v>
      </c>
      <c r="H18" s="13" t="str">
        <f>_xll.BDH("RCOM IN Equity","INVTRY_IN_PROGRESS","FY 2014","FY 2014","Currency=INR","Period=FY","BEST_FPERIOD_OVERRIDE=FY","FILING_STATUS=MR","EQY_CONSOLIDATED=Y","SCALING_FORMAT=MLN","Sort=A","Dates=H","DateFormat=P","Fill=—","Direction=H","UseDPDF=Y")</f>
        <v>—</v>
      </c>
      <c r="I18" s="13">
        <f>_xll.BDH("RCOM IN Equity","INVTRY_IN_PROGRESS","FY 2015","FY 2015","Currency=INR","Period=FY","BEST_FPERIOD_OVERRIDE=FY","FILING_STATUS=MR","EQY_CONSOLIDATED=Y","SCALING_FORMAT=MLN","Sort=A","Dates=H","DateFormat=P","Fill=—","Direction=H","UseDPDF=Y")</f>
        <v>0</v>
      </c>
      <c r="J18" s="13">
        <f>_xll.BDH("RCOM IN Equity","INVTRY_IN_PROGRESS","FY 2016","FY 2016","Currency=INR","Period=FY","BEST_FPERIOD_OVERRIDE=FY","FILING_STATUS=MR","EQY_CONSOLIDATED=Y","SCALING_FORMAT=MLN","Sort=A","Dates=H","DateFormat=P","Fill=—","Direction=H","UseDPDF=Y")</f>
        <v>0</v>
      </c>
      <c r="K18" s="13">
        <f>_xll.BDH("RCOM IN Equity","INVTRY_IN_PROGRESS","FY 2017","FY 2017","Currency=INR","Period=FY","BEST_FPERIOD_OVERRIDE=FY","FILING_STATUS=MR","EQY_CONSOLIDATED=Y","SCALING_FORMAT=MLN","Sort=A","Dates=H","DateFormat=P","Fill=—","Direction=H","UseDPDF=Y")</f>
        <v>0</v>
      </c>
      <c r="L18" s="13">
        <f>_xll.BDH("RCOM IN Equity","INVTRY_IN_PROGRESS","FY 2018","FY 2018","Currency=INR","Period=FY","BEST_FPERIOD_OVERRIDE=FY","FILING_STATUS=MR","EQY_CONSOLIDATED=Y","SCALING_FORMAT=MLN","Sort=A","Dates=H","DateFormat=P","Fill=—","Direction=H","UseDPDF=Y")</f>
        <v>0</v>
      </c>
    </row>
    <row r="19" spans="1:12">
      <c r="A19" s="10" t="s">
        <v>1615</v>
      </c>
      <c r="B19" s="10" t="s">
        <v>710</v>
      </c>
      <c r="C19" s="13" t="str">
        <f>_xll.BDH("RCOM IN Equity","INVTRY_FINISHED_GOODS","FY 2009","FY 2009","Currency=INR","Period=FY","BEST_FPERIOD_OVERRIDE=FY","FILING_STATUS=MR","EQY_CONSOLIDATED=Y","SCALING_FORMAT=MLN","Sort=A","Dates=H","DateFormat=P","Fill=—","Direction=H","UseDPDF=Y")</f>
        <v>—</v>
      </c>
      <c r="D19" s="13" t="str">
        <f>_xll.BDH("RCOM IN Equity","INVTRY_FINISHED_GOODS","FY 2010","FY 2010","Currency=INR","Period=FY","BEST_FPERIOD_OVERRIDE=FY","FILING_STATUS=MR","EQY_CONSOLIDATED=Y","SCALING_FORMAT=MLN","Sort=A","Dates=H","DateFormat=P","Fill=—","Direction=H","UseDPDF=Y")</f>
        <v>—</v>
      </c>
      <c r="E19" s="13" t="str">
        <f>_xll.BDH("RCOM IN Equity","INVTRY_FINISHED_GOODS","FY 2011","FY 2011","Currency=INR","Period=FY","BEST_FPERIOD_OVERRIDE=FY","FILING_STATUS=MR","EQY_CONSOLIDATED=Y","SCALING_FORMAT=MLN","Sort=A","Dates=H","DateFormat=P","Fill=—","Direction=H","UseDPDF=Y")</f>
        <v>—</v>
      </c>
      <c r="F19" s="13" t="str">
        <f>_xll.BDH("RCOM IN Equity","INVTRY_FINISHED_GOODS","FY 2012","FY 2012","Currency=INR","Period=FY","BEST_FPERIOD_OVERRIDE=FY","FILING_STATUS=MR","EQY_CONSOLIDATED=Y","SCALING_FORMAT=MLN","Sort=A","Dates=H","DateFormat=P","Fill=—","Direction=H","UseDPDF=Y")</f>
        <v>—</v>
      </c>
      <c r="G19" s="13" t="str">
        <f>_xll.BDH("RCOM IN Equity","INVTRY_FINISHED_GOODS","FY 2013","FY 2013","Currency=INR","Period=FY","BEST_FPERIOD_OVERRIDE=FY","FILING_STATUS=MR","EQY_CONSOLIDATED=Y","SCALING_FORMAT=MLN","Sort=A","Dates=H","DateFormat=P","Fill=—","Direction=H","UseDPDF=Y")</f>
        <v>—</v>
      </c>
      <c r="H19" s="13" t="str">
        <f>_xll.BDH("RCOM IN Equity","INVTRY_FINISHED_GOODS","FY 2014","FY 2014","Currency=INR","Period=FY","BEST_FPERIOD_OVERRIDE=FY","FILING_STATUS=MR","EQY_CONSOLIDATED=Y","SCALING_FORMAT=MLN","Sort=A","Dates=H","DateFormat=P","Fill=—","Direction=H","UseDPDF=Y")</f>
        <v>—</v>
      </c>
      <c r="I19" s="13">
        <f>_xll.BDH("RCOM IN Equity","INVTRY_FINISHED_GOODS","FY 2015","FY 2015","Currency=INR","Period=FY","BEST_FPERIOD_OVERRIDE=FY","FILING_STATUS=MR","EQY_CONSOLIDATED=Y","SCALING_FORMAT=MLN","Sort=A","Dates=H","DateFormat=P","Fill=—","Direction=H","UseDPDF=Y")</f>
        <v>1560</v>
      </c>
      <c r="J19" s="13">
        <f>_xll.BDH("RCOM IN Equity","INVTRY_FINISHED_GOODS","FY 2016","FY 2016","Currency=INR","Period=FY","BEST_FPERIOD_OVERRIDE=FY","FILING_STATUS=MR","EQY_CONSOLIDATED=Y","SCALING_FORMAT=MLN","Sort=A","Dates=H","DateFormat=P","Fill=—","Direction=H","UseDPDF=Y")</f>
        <v>520</v>
      </c>
      <c r="K19" s="13">
        <f>_xll.BDH("RCOM IN Equity","INVTRY_FINISHED_GOODS","FY 2017","FY 2017","Currency=INR","Period=FY","BEST_FPERIOD_OVERRIDE=FY","FILING_STATUS=MR","EQY_CONSOLIDATED=Y","SCALING_FORMAT=MLN","Sort=A","Dates=H","DateFormat=P","Fill=—","Direction=H","UseDPDF=Y")</f>
        <v>1120</v>
      </c>
      <c r="L19" s="13">
        <f>_xll.BDH("RCOM IN Equity","INVTRY_FINISHED_GOODS","FY 2018","FY 2018","Currency=INR","Period=FY","BEST_FPERIOD_OVERRIDE=FY","FILING_STATUS=MR","EQY_CONSOLIDATED=Y","SCALING_FORMAT=MLN","Sort=A","Dates=H","DateFormat=P","Fill=—","Direction=H","UseDPDF=Y")</f>
        <v>20</v>
      </c>
    </row>
    <row r="20" spans="1:12">
      <c r="A20" s="10" t="s">
        <v>1616</v>
      </c>
      <c r="B20" s="10" t="s">
        <v>712</v>
      </c>
      <c r="C20" s="13" t="str">
        <f>_xll.BDH("RCOM IN Equity","BS_OTHER_INV","FY 2009","FY 2009","Currency=INR","Period=FY","BEST_FPERIOD_OVERRIDE=FY","FILING_STATUS=MR","EQY_CONSOLIDATED=Y","SCALING_FORMAT=MLN","Sort=A","Dates=H","DateFormat=P","Fill=—","Direction=H","UseDPDF=Y")</f>
        <v>—</v>
      </c>
      <c r="D20" s="13" t="str">
        <f>_xll.BDH("RCOM IN Equity","BS_OTHER_INV","FY 2010","FY 2010","Currency=INR","Period=FY","BEST_FPERIOD_OVERRIDE=FY","FILING_STATUS=MR","EQY_CONSOLIDATED=Y","SCALING_FORMAT=MLN","Sort=A","Dates=H","DateFormat=P","Fill=—","Direction=H","UseDPDF=Y")</f>
        <v>—</v>
      </c>
      <c r="E20" s="13" t="str">
        <f>_xll.BDH("RCOM IN Equity","BS_OTHER_INV","FY 2011","FY 2011","Currency=INR","Period=FY","BEST_FPERIOD_OVERRIDE=FY","FILING_STATUS=MR","EQY_CONSOLIDATED=Y","SCALING_FORMAT=MLN","Sort=A","Dates=H","DateFormat=P","Fill=—","Direction=H","UseDPDF=Y")</f>
        <v>—</v>
      </c>
      <c r="F20" s="13" t="str">
        <f>_xll.BDH("RCOM IN Equity","BS_OTHER_INV","FY 2012","FY 2012","Currency=INR","Period=FY","BEST_FPERIOD_OVERRIDE=FY","FILING_STATUS=MR","EQY_CONSOLIDATED=Y","SCALING_FORMAT=MLN","Sort=A","Dates=H","DateFormat=P","Fill=—","Direction=H","UseDPDF=Y")</f>
        <v>—</v>
      </c>
      <c r="G20" s="13" t="str">
        <f>_xll.BDH("RCOM IN Equity","BS_OTHER_INV","FY 2013","FY 2013","Currency=INR","Period=FY","BEST_FPERIOD_OVERRIDE=FY","FILING_STATUS=MR","EQY_CONSOLIDATED=Y","SCALING_FORMAT=MLN","Sort=A","Dates=H","DateFormat=P","Fill=—","Direction=H","UseDPDF=Y")</f>
        <v>—</v>
      </c>
      <c r="H20" s="13" t="str">
        <f>_xll.BDH("RCOM IN Equity","BS_OTHER_INV","FY 2014","FY 2014","Currency=INR","Period=FY","BEST_FPERIOD_OVERRIDE=FY","FILING_STATUS=MR","EQY_CONSOLIDATED=Y","SCALING_FORMAT=MLN","Sort=A","Dates=H","DateFormat=P","Fill=—","Direction=H","UseDPDF=Y")</f>
        <v>—</v>
      </c>
      <c r="I20" s="13">
        <f>_xll.BDH("RCOM IN Equity","BS_OTHER_INV","FY 2015","FY 2015","Currency=INR","Period=FY","BEST_FPERIOD_OVERRIDE=FY","FILING_STATUS=MR","EQY_CONSOLIDATED=Y","SCALING_FORMAT=MLN","Sort=A","Dates=H","DateFormat=P","Fill=—","Direction=H","UseDPDF=Y")</f>
        <v>2450</v>
      </c>
      <c r="J20" s="13">
        <f>_xll.BDH("RCOM IN Equity","BS_OTHER_INV","FY 2016","FY 2016","Currency=INR","Period=FY","BEST_FPERIOD_OVERRIDE=FY","FILING_STATUS=MR","EQY_CONSOLIDATED=Y","SCALING_FORMAT=MLN","Sort=A","Dates=H","DateFormat=P","Fill=—","Direction=H","UseDPDF=Y")</f>
        <v>1560</v>
      </c>
      <c r="K20" s="13">
        <f>_xll.BDH("RCOM IN Equity","BS_OTHER_INV","FY 2017","FY 2017","Currency=INR","Period=FY","BEST_FPERIOD_OVERRIDE=FY","FILING_STATUS=MR","EQY_CONSOLIDATED=Y","SCALING_FORMAT=MLN","Sort=A","Dates=H","DateFormat=P","Fill=—","Direction=H","UseDPDF=Y")</f>
        <v>1230</v>
      </c>
      <c r="L20" s="13">
        <f>_xll.BDH("RCOM IN Equity","BS_OTHER_INV","FY 2018","FY 2018","Currency=INR","Period=FY","BEST_FPERIOD_OVERRIDE=FY","FILING_STATUS=MR","EQY_CONSOLIDATED=Y","SCALING_FORMAT=MLN","Sort=A","Dates=H","DateFormat=P","Fill=—","Direction=H","UseDPDF=Y")</f>
        <v>770</v>
      </c>
    </row>
    <row r="21" spans="1:12">
      <c r="A21" s="7" t="s">
        <v>57</v>
      </c>
      <c r="B21" s="7"/>
      <c r="C21" s="7" t="s">
        <v>3</v>
      </c>
      <c r="D21" s="7"/>
      <c r="E21" s="7"/>
      <c r="F21" s="7"/>
      <c r="G21" s="7"/>
      <c r="H21" s="7"/>
      <c r="I21" s="7"/>
      <c r="J21" s="7"/>
      <c r="K21" s="7"/>
      <c r="L21" s="7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44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1617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1618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0" t="s">
        <v>1619</v>
      </c>
      <c r="B7" s="10" t="s">
        <v>1620</v>
      </c>
      <c r="C7" s="13">
        <f>_xll.BDH("RCOM IN Equity","TRAIL_12M_CASH_FROM_OPER","FY 2009","FY 2009","Currency=INR","Period=FY","BEST_FPERIOD_OVERRIDE=FY","FILING_STATUS=MR","EQY_CONSOLIDATED=Y","SCALING_FORMAT=MLN","Sort=A","Dates=H","DateFormat=P","Fill=—","Direction=H","UseDPDF=Y")</f>
        <v>51300.9</v>
      </c>
      <c r="D7" s="13">
        <f>_xll.BDH("RCOM IN Equity","TRAIL_12M_CASH_FROM_OPER","FY 2010","FY 2010","Currency=INR","Period=FY","BEST_FPERIOD_OVERRIDE=FY","FILING_STATUS=MR","EQY_CONSOLIDATED=Y","SCALING_FORMAT=MLN","Sort=A","Dates=H","DateFormat=P","Fill=—","Direction=H","UseDPDF=Y")</f>
        <v>81756.399999999994</v>
      </c>
      <c r="E7" s="13">
        <f>_xll.BDH("RCOM IN Equity","TRAIL_12M_CASH_FROM_OPER","FY 2011","FY 2011","Currency=INR","Period=FY","BEST_FPERIOD_OVERRIDE=FY","FILING_STATUS=MR","EQY_CONSOLIDATED=Y","SCALING_FORMAT=MLN","Sort=A","Dates=H","DateFormat=P","Fill=—","Direction=H","UseDPDF=Y")</f>
        <v>10720</v>
      </c>
      <c r="F7" s="13">
        <f>_xll.BDH("RCOM IN Equity","TRAIL_12M_CASH_FROM_OPER","FY 2012","FY 2012","Currency=INR","Period=FY","BEST_FPERIOD_OVERRIDE=FY","FILING_STATUS=MR","EQY_CONSOLIDATED=Y","SCALING_FORMAT=MLN","Sort=A","Dates=H","DateFormat=P","Fill=—","Direction=H","UseDPDF=Y")</f>
        <v>40730</v>
      </c>
      <c r="G7" s="13">
        <f>_xll.BDH("RCOM IN Equity","TRAIL_12M_CASH_FROM_OPER","FY 2013","FY 2013","Currency=INR","Period=FY","BEST_FPERIOD_OVERRIDE=FY","FILING_STATUS=MR","EQY_CONSOLIDATED=Y","SCALING_FORMAT=MLN","Sort=A","Dates=H","DateFormat=P","Fill=—","Direction=H","UseDPDF=Y")</f>
        <v>13700</v>
      </c>
      <c r="H7" s="13">
        <f>_xll.BDH("RCOM IN Equity","TRAIL_12M_CASH_FROM_OPER","FY 2014","FY 2014","Currency=INR","Period=FY","BEST_FPERIOD_OVERRIDE=FY","FILING_STATUS=MR","EQY_CONSOLIDATED=Y","SCALING_FORMAT=MLN","Sort=A","Dates=H","DateFormat=P","Fill=—","Direction=H","UseDPDF=Y")</f>
        <v>38700</v>
      </c>
      <c r="I7" s="13">
        <f>_xll.BDH("RCOM IN Equity","TRAIL_12M_CASH_FROM_OPER","FY 2015","FY 2015","Currency=INR","Period=FY","BEST_FPERIOD_OVERRIDE=FY","FILING_STATUS=MR","EQY_CONSOLIDATED=Y","SCALING_FORMAT=MLN","Sort=A","Dates=H","DateFormat=P","Fill=—","Direction=H","UseDPDF=Y")</f>
        <v>4860</v>
      </c>
      <c r="J7" s="13">
        <f>_xll.BDH("RCOM IN Equity","TRAIL_12M_CASH_FROM_OPER","FY 2016","FY 2016","Currency=INR","Period=FY","BEST_FPERIOD_OVERRIDE=FY","FILING_STATUS=MR","EQY_CONSOLIDATED=Y","SCALING_FORMAT=MLN","Sort=A","Dates=H","DateFormat=P","Fill=—","Direction=H","UseDPDF=Y")</f>
        <v>142210</v>
      </c>
      <c r="K7" s="13">
        <f>_xll.BDH("RCOM IN Equity","TRAIL_12M_CASH_FROM_OPER","FY 2017","FY 2017","Currency=INR","Period=FY","BEST_FPERIOD_OVERRIDE=FY","FILING_STATUS=MR","EQY_CONSOLIDATED=Y","SCALING_FORMAT=MLN","Sort=A","Dates=H","DateFormat=P","Fill=—","Direction=H","UseDPDF=Y")</f>
        <v>-35600</v>
      </c>
      <c r="L7" s="13">
        <f>_xll.BDH("RCOM IN Equity","TRAIL_12M_CASH_FROM_OPER","FY 2018","FY 2018","Currency=INR","Period=FY","BEST_FPERIOD_OVERRIDE=FY","FILING_STATUS=MR","EQY_CONSOLIDATED=Y","SCALING_FORMAT=MLN","Sort=A","Dates=H","DateFormat=P","Fill=—","Direction=H","UseDPDF=Y")</f>
        <v>-4070</v>
      </c>
    </row>
    <row r="8" spans="1:12">
      <c r="A8" s="10" t="s">
        <v>1621</v>
      </c>
      <c r="B8" s="10" t="s">
        <v>1622</v>
      </c>
      <c r="C8" s="13">
        <f>_xll.BDH("RCOM IN Equity","TRAIL_12M_CAP_EXPEND","FY 2009","FY 2009","Currency=INR","Period=FY","BEST_FPERIOD_OVERRIDE=FY","FILING_STATUS=MR","EQY_CONSOLIDATED=Y","SCALING_FORMAT=MLN","Sort=A","Dates=H","DateFormat=P","Fill=—","Direction=H","UseDPDF=Y")</f>
        <v>-122583.8</v>
      </c>
      <c r="D8" s="13">
        <f>_xll.BDH("RCOM IN Equity","TRAIL_12M_CAP_EXPEND","FY 2010","FY 2010","Currency=INR","Period=FY","BEST_FPERIOD_OVERRIDE=FY","FILING_STATUS=MR","EQY_CONSOLIDATED=Y","SCALING_FORMAT=MLN","Sort=A","Dates=H","DateFormat=P","Fill=—","Direction=H","UseDPDF=Y")</f>
        <v>-74960.3</v>
      </c>
      <c r="E8" s="13">
        <f>_xll.BDH("RCOM IN Equity","TRAIL_12M_CAP_EXPEND","FY 2011","FY 2011","Currency=INR","Period=FY","BEST_FPERIOD_OVERRIDE=FY","FILING_STATUS=MR","EQY_CONSOLIDATED=Y","SCALING_FORMAT=MLN","Sort=A","Dates=H","DateFormat=P","Fill=—","Direction=H","UseDPDF=Y")</f>
        <v>-103270</v>
      </c>
      <c r="F8" s="13">
        <f>_xll.BDH("RCOM IN Equity","TRAIL_12M_CAP_EXPEND","FY 2012","FY 2012","Currency=INR","Period=FY","BEST_FPERIOD_OVERRIDE=FY","FILING_STATUS=MR","EQY_CONSOLIDATED=Y","SCALING_FORMAT=MLN","Sort=A","Dates=H","DateFormat=P","Fill=—","Direction=H","UseDPDF=Y")</f>
        <v>-48500</v>
      </c>
      <c r="G8" s="13">
        <f>_xll.BDH("RCOM IN Equity","TRAIL_12M_CAP_EXPEND","FY 2013","FY 2013","Currency=INR","Period=FY","BEST_FPERIOD_OVERRIDE=FY","FILING_STATUS=MR","EQY_CONSOLIDATED=Y","SCALING_FORMAT=MLN","Sort=A","Dates=H","DateFormat=P","Fill=—","Direction=H","UseDPDF=Y")</f>
        <v>-21140</v>
      </c>
      <c r="H8" s="13">
        <f>_xll.BDH("RCOM IN Equity","TRAIL_12M_CAP_EXPEND","FY 2014","FY 2014","Currency=INR","Period=FY","BEST_FPERIOD_OVERRIDE=FY","FILING_STATUS=MR","EQY_CONSOLIDATED=Y","SCALING_FORMAT=MLN","Sort=A","Dates=H","DateFormat=P","Fill=—","Direction=H","UseDPDF=Y")</f>
        <v>-21650</v>
      </c>
      <c r="I8" s="13">
        <f>_xll.BDH("RCOM IN Equity","TRAIL_12M_CAP_EXPEND","FY 2015","FY 2015","Currency=INR","Period=FY","BEST_FPERIOD_OVERRIDE=FY","FILING_STATUS=MR","EQY_CONSOLIDATED=Y","SCALING_FORMAT=MLN","Sort=A","Dates=H","DateFormat=P","Fill=—","Direction=H","UseDPDF=Y")</f>
        <v>-24960</v>
      </c>
      <c r="J8" s="13">
        <f>_xll.BDH("RCOM IN Equity","TRAIL_12M_CAP_EXPEND","FY 2016","FY 2016","Currency=INR","Period=FY","BEST_FPERIOD_OVERRIDE=FY","FILING_STATUS=MR","EQY_CONSOLIDATED=Y","SCALING_FORMAT=MLN","Sort=A","Dates=H","DateFormat=P","Fill=—","Direction=H","UseDPDF=Y")</f>
        <v>-153300</v>
      </c>
      <c r="K8" s="13">
        <f>_xll.BDH("RCOM IN Equity","TRAIL_12M_CAP_EXPEND","FY 2017","FY 2017","Currency=INR","Period=FY","BEST_FPERIOD_OVERRIDE=FY","FILING_STATUS=MR","EQY_CONSOLIDATED=Y","SCALING_FORMAT=MLN","Sort=A","Dates=H","DateFormat=P","Fill=—","Direction=H","UseDPDF=Y")</f>
        <v>-39200</v>
      </c>
      <c r="L8" s="13">
        <f>_xll.BDH("RCOM IN Equity","TRAIL_12M_CAP_EXPEND","FY 2018","FY 2018","Currency=INR","Period=FY","BEST_FPERIOD_OVERRIDE=FY","FILING_STATUS=MR","EQY_CONSOLIDATED=Y","SCALING_FORMAT=MLN","Sort=A","Dates=H","DateFormat=P","Fill=—","Direction=H","UseDPDF=Y")</f>
        <v>-5910</v>
      </c>
    </row>
    <row r="9" spans="1:12">
      <c r="A9" s="6" t="s">
        <v>55</v>
      </c>
      <c r="B9" s="6" t="s">
        <v>1623</v>
      </c>
      <c r="C9" s="19">
        <f>_xll.BDH("RCOM IN Equity","TRAIL_12M_FREE_CASH_FLOW","FY 2009","FY 2009","Currency=INR","Period=FY","BEST_FPERIOD_OVERRIDE=FY","FILING_STATUS=MR","EQY_CONSOLIDATED=Y","SCALING_FORMAT=MLN","Sort=A","Dates=H","DateFormat=P","Fill=—","Direction=H","UseDPDF=Y")</f>
        <v>-71282.899999999994</v>
      </c>
      <c r="D9" s="19">
        <f>_xll.BDH("RCOM IN Equity","TRAIL_12M_FREE_CASH_FLOW","FY 2010","FY 2010","Currency=INR","Period=FY","BEST_FPERIOD_OVERRIDE=FY","FILING_STATUS=MR","EQY_CONSOLIDATED=Y","SCALING_FORMAT=MLN","Sort=A","Dates=H","DateFormat=P","Fill=—","Direction=H","UseDPDF=Y")</f>
        <v>6796.1</v>
      </c>
      <c r="E9" s="19">
        <f>_xll.BDH("RCOM IN Equity","TRAIL_12M_FREE_CASH_FLOW","FY 2011","FY 2011","Currency=INR","Period=FY","BEST_FPERIOD_OVERRIDE=FY","FILING_STATUS=MR","EQY_CONSOLIDATED=Y","SCALING_FORMAT=MLN","Sort=A","Dates=H","DateFormat=P","Fill=—","Direction=H","UseDPDF=Y")</f>
        <v>-92550</v>
      </c>
      <c r="F9" s="19">
        <f>_xll.BDH("RCOM IN Equity","TRAIL_12M_FREE_CASH_FLOW","FY 2012","FY 2012","Currency=INR","Period=FY","BEST_FPERIOD_OVERRIDE=FY","FILING_STATUS=MR","EQY_CONSOLIDATED=Y","SCALING_FORMAT=MLN","Sort=A","Dates=H","DateFormat=P","Fill=—","Direction=H","UseDPDF=Y")</f>
        <v>-7770</v>
      </c>
      <c r="G9" s="19">
        <f>_xll.BDH("RCOM IN Equity","TRAIL_12M_FREE_CASH_FLOW","FY 2013","FY 2013","Currency=INR","Period=FY","BEST_FPERIOD_OVERRIDE=FY","FILING_STATUS=MR","EQY_CONSOLIDATED=Y","SCALING_FORMAT=MLN","Sort=A","Dates=H","DateFormat=P","Fill=—","Direction=H","UseDPDF=Y")</f>
        <v>-7440</v>
      </c>
      <c r="H9" s="19">
        <f>_xll.BDH("RCOM IN Equity","TRAIL_12M_FREE_CASH_FLOW","FY 2014","FY 2014","Currency=INR","Period=FY","BEST_FPERIOD_OVERRIDE=FY","FILING_STATUS=MR","EQY_CONSOLIDATED=Y","SCALING_FORMAT=MLN","Sort=A","Dates=H","DateFormat=P","Fill=—","Direction=H","UseDPDF=Y")</f>
        <v>17050</v>
      </c>
      <c r="I9" s="19">
        <f>_xll.BDH("RCOM IN Equity","TRAIL_12M_FREE_CASH_FLOW","FY 2015","FY 2015","Currency=INR","Period=FY","BEST_FPERIOD_OVERRIDE=FY","FILING_STATUS=MR","EQY_CONSOLIDATED=Y","SCALING_FORMAT=MLN","Sort=A","Dates=H","DateFormat=P","Fill=—","Direction=H","UseDPDF=Y")</f>
        <v>-20100</v>
      </c>
      <c r="J9" s="19">
        <f>_xll.BDH("RCOM IN Equity","TRAIL_12M_FREE_CASH_FLOW","FY 2016","FY 2016","Currency=INR","Period=FY","BEST_FPERIOD_OVERRIDE=FY","FILING_STATUS=MR","EQY_CONSOLIDATED=Y","SCALING_FORMAT=MLN","Sort=A","Dates=H","DateFormat=P","Fill=—","Direction=H","UseDPDF=Y")</f>
        <v>-11090</v>
      </c>
      <c r="K9" s="19">
        <f>_xll.BDH("RCOM IN Equity","TRAIL_12M_FREE_CASH_FLOW","FY 2017","FY 2017","Currency=INR","Period=FY","BEST_FPERIOD_OVERRIDE=FY","FILING_STATUS=MR","EQY_CONSOLIDATED=Y","SCALING_FORMAT=MLN","Sort=A","Dates=H","DateFormat=P","Fill=—","Direction=H","UseDPDF=Y")</f>
        <v>-74800</v>
      </c>
      <c r="L9" s="19">
        <f>_xll.BDH("RCOM IN Equity","TRAIL_12M_FREE_CASH_FLOW","FY 2018","FY 2018","Currency=INR","Period=FY","BEST_FPERIOD_OVERRIDE=FY","FILING_STATUS=MR","EQY_CONSOLIDATED=Y","SCALING_FORMAT=MLN","Sort=A","Dates=H","DateFormat=P","Fill=—","Direction=H","UseDPDF=Y")</f>
        <v>-9980</v>
      </c>
    </row>
    <row r="10" spans="1:12">
      <c r="A10" s="11" t="s">
        <v>27</v>
      </c>
      <c r="B10" s="11" t="s">
        <v>28</v>
      </c>
      <c r="C10" s="25">
        <f>_xll.BDH("RCOM IN Equity","HISTORICAL_MARKET_CAP","FY 2009","FY 2009","Currency=INR","Period=FY","BEST_FPERIOD_OVERRIDE=FY","FILING_STATUS=MR","EQY_CONSOLIDATED=Y","SCALING_FORMAT=MLN","Sort=A","Dates=H","DateFormat=P","Fill=—","Direction=H","UseDPDF=Y")</f>
        <v>360895.10009999998</v>
      </c>
      <c r="D10" s="25">
        <f>_xll.BDH("RCOM IN Equity","HISTORICAL_MARKET_CAP","FY 2010","FY 2010","Currency=INR","Period=FY","BEST_FPERIOD_OVERRIDE=FY","FILING_STATUS=MR","EQY_CONSOLIDATED=Y","SCALING_FORMAT=MLN","Sort=A","Dates=H","DateFormat=P","Fill=—","Direction=H","UseDPDF=Y")</f>
        <v>350781.36839999998</v>
      </c>
      <c r="E10" s="25">
        <f>_xll.BDH("RCOM IN Equity","HISTORICAL_MARKET_CAP","FY 2011","FY 2011","Currency=INR","Period=FY","BEST_FPERIOD_OVERRIDE=FY","FILING_STATUS=MR","EQY_CONSOLIDATED=Y","SCALING_FORMAT=MLN","Sort=A","Dates=H","DateFormat=P","Fill=—","Direction=H","UseDPDF=Y")</f>
        <v>222192.49369999999</v>
      </c>
      <c r="F10" s="25">
        <f>_xll.BDH("RCOM IN Equity","HISTORICAL_MARKET_CAP","FY 2012","FY 2012","Currency=INR","Period=FY","BEST_FPERIOD_OVERRIDE=FY","FILING_STATUS=MR","EQY_CONSOLIDATED=Y","SCALING_FORMAT=MLN","Sort=A","Dates=H","DateFormat=P","Fill=—","Direction=H","UseDPDF=Y")</f>
        <v>173481.45929999999</v>
      </c>
      <c r="G10" s="25">
        <f>_xll.BDH("RCOM IN Equity","HISTORICAL_MARKET_CAP","FY 2013","FY 2013","Currency=INR","Period=FY","BEST_FPERIOD_OVERRIDE=FY","FILING_STATUS=MR","EQY_CONSOLIDATED=Y","SCALING_FORMAT=MLN","Sort=A","Dates=H","DateFormat=P","Fill=—","Direction=H","UseDPDF=Y")</f>
        <v>114140.6865</v>
      </c>
      <c r="H10" s="25">
        <f>_xll.BDH("RCOM IN Equity","HISTORICAL_MARKET_CAP","FY 2014","FY 2014","Currency=INR","Period=FY","BEST_FPERIOD_OVERRIDE=FY","FILING_STATUS=MR","EQY_CONSOLIDATED=Y","SCALING_FORMAT=MLN","Sort=A","Dates=H","DateFormat=P","Fill=—","Direction=H","UseDPDF=Y")</f>
        <v>266053.065</v>
      </c>
      <c r="I10" s="25">
        <f>_xll.BDH("RCOM IN Equity","HISTORICAL_MARKET_CAP","FY 2015","FY 2015","Currency=INR","Period=FY","BEST_FPERIOD_OVERRIDE=FY","FILING_STATUS=MR","EQY_CONSOLIDATED=Y","SCALING_FORMAT=MLN","Sort=A","Dates=H","DateFormat=P","Fill=—","Direction=H","UseDPDF=Y")</f>
        <v>147472.04990000001</v>
      </c>
      <c r="J10" s="25">
        <f>_xll.BDH("RCOM IN Equity","HISTORICAL_MARKET_CAP","FY 2016","FY 2016","Currency=INR","Period=FY","BEST_FPERIOD_OVERRIDE=FY","FILING_STATUS=MR","EQY_CONSOLIDATED=Y","SCALING_FORMAT=MLN","Sort=A","Dates=H","DateFormat=P","Fill=—","Direction=H","UseDPDF=Y")</f>
        <v>124448.98729999999</v>
      </c>
      <c r="K10" s="25">
        <f>_xll.BDH("RCOM IN Equity","HISTORICAL_MARKET_CAP","FY 2017","FY 2017","Currency=INR","Period=FY","BEST_FPERIOD_OVERRIDE=FY","FILING_STATUS=MR","EQY_CONSOLIDATED=Y","SCALING_FORMAT=MLN","Sort=A","Dates=H","DateFormat=P","Fill=—","Direction=H","UseDPDF=Y")</f>
        <v>95327.924199999994</v>
      </c>
      <c r="L10" s="25">
        <f>_xll.BDH("RCOM IN Equity","HISTORICAL_MARKET_CAP","FY 2018","FY 2018","Currency=INR","Period=FY","BEST_FPERIOD_OVERRIDE=FY","FILING_STATUS=MR","EQY_CONSOLIDATED=Y","SCALING_FORMAT=MLN","Sort=A","Dates=H","DateFormat=P","Fill=—","Direction=H","UseDPDF=Y")</f>
        <v>60150.343800000002</v>
      </c>
    </row>
    <row r="11" spans="1:12">
      <c r="A11" s="6" t="s">
        <v>1624</v>
      </c>
      <c r="B11" s="6" t="s">
        <v>1625</v>
      </c>
      <c r="C11" s="20">
        <f>_xll.BDH("RCOM IN Equity","FREE_CASH_FLOW_YIELD","FY 2009","FY 2009","Currency=INR","Period=FY","BEST_FPERIOD_OVERRIDE=FY","FILING_STATUS=MR","EQY_CONSOLIDATED=Y","Sort=A","Dates=H","DateFormat=P","Fill=—","Direction=H","UseDPDF=Y")</f>
        <v>-19.7517</v>
      </c>
      <c r="D11" s="20">
        <f>_xll.BDH("RCOM IN Equity","FREE_CASH_FLOW_YIELD","FY 2010","FY 2010","Currency=INR","Period=FY","BEST_FPERIOD_OVERRIDE=FY","FILING_STATUS=MR","EQY_CONSOLIDATED=Y","Sort=A","Dates=H","DateFormat=P","Fill=—","Direction=H","UseDPDF=Y")</f>
        <v>1.9374</v>
      </c>
      <c r="E11" s="20">
        <f>_xll.BDH("RCOM IN Equity","FREE_CASH_FLOW_YIELD","FY 2011","FY 2011","Currency=INR","Period=FY","BEST_FPERIOD_OVERRIDE=FY","FILING_STATUS=MR","EQY_CONSOLIDATED=Y","Sort=A","Dates=H","DateFormat=P","Fill=—","Direction=H","UseDPDF=Y")</f>
        <v>-41.653100000000002</v>
      </c>
      <c r="F11" s="20">
        <f>_xll.BDH("RCOM IN Equity","FREE_CASH_FLOW_YIELD","FY 2012","FY 2012","Currency=INR","Period=FY","BEST_FPERIOD_OVERRIDE=FY","FILING_STATUS=MR","EQY_CONSOLIDATED=Y","Sort=A","Dates=H","DateFormat=P","Fill=—","Direction=H","UseDPDF=Y")</f>
        <v>-4.4789000000000003</v>
      </c>
      <c r="G11" s="20">
        <f>_xll.BDH("RCOM IN Equity","FREE_CASH_FLOW_YIELD","FY 2013","FY 2013","Currency=INR","Period=FY","BEST_FPERIOD_OVERRIDE=FY","FILING_STATUS=MR","EQY_CONSOLIDATED=Y","Sort=A","Dates=H","DateFormat=P","Fill=—","Direction=H","UseDPDF=Y")</f>
        <v>-6.5183</v>
      </c>
      <c r="H11" s="20">
        <f>_xll.BDH("RCOM IN Equity","FREE_CASH_FLOW_YIELD","FY 2014","FY 2014","Currency=INR","Period=FY","BEST_FPERIOD_OVERRIDE=FY","FILING_STATUS=MR","EQY_CONSOLIDATED=Y","Sort=A","Dates=H","DateFormat=P","Fill=—","Direction=H","UseDPDF=Y")</f>
        <v>6.4085000000000001</v>
      </c>
      <c r="I11" s="20">
        <f>_xll.BDH("RCOM IN Equity","FREE_CASH_FLOW_YIELD","FY 2015","FY 2015","Currency=INR","Period=FY","BEST_FPERIOD_OVERRIDE=FY","FILING_STATUS=MR","EQY_CONSOLIDATED=Y","Sort=A","Dates=H","DateFormat=P","Fill=—","Direction=H","UseDPDF=Y")</f>
        <v>-14.535299999999999</v>
      </c>
      <c r="J11" s="20">
        <f>_xll.BDH("RCOM IN Equity","FREE_CASH_FLOW_YIELD","FY 2016","FY 2016","Currency=INR","Period=FY","BEST_FPERIOD_OVERRIDE=FY","FILING_STATUS=MR","EQY_CONSOLIDATED=Y","Sort=A","Dates=H","DateFormat=P","Fill=—","Direction=H","UseDPDF=Y")</f>
        <v>-8.9880999999999993</v>
      </c>
      <c r="K11" s="20">
        <f>_xll.BDH("RCOM IN Equity","FREE_CASH_FLOW_YIELD","FY 2017","FY 2017","Currency=INR","Period=FY","BEST_FPERIOD_OVERRIDE=FY","FILING_STATUS=MR","EQY_CONSOLIDATED=Y","Sort=A","Dates=H","DateFormat=P","Fill=—","Direction=H","UseDPDF=Y")</f>
        <v>-79.142600000000002</v>
      </c>
      <c r="L11" s="20">
        <f>_xll.BDH("RCOM IN Equity","FREE_CASH_FLOW_YIELD","FY 2018","FY 2018","Currency=INR","Period=FY","BEST_FPERIOD_OVERRIDE=FY","FILING_STATUS=MR","EQY_CONSOLIDATED=Y","Sort=A","Dates=H","DateFormat=P","Fill=—","Direction=H","UseDPDF=Y")</f>
        <v>-17.7652</v>
      </c>
    </row>
    <row r="12" spans="1:12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10" t="s">
        <v>1390</v>
      </c>
      <c r="B13" s="10" t="s">
        <v>1626</v>
      </c>
      <c r="C13" s="13">
        <f>_xll.BDH("RCOM IN Equity","T12M_DVDS_PAID","FY 2009","FY 2009","Currency=INR","Period=FY","BEST_FPERIOD_OVERRIDE=FY","FILING_STATUS=MR","EQY_CONSOLIDATED=Y","SCALING_FORMAT=MLN","Sort=A","Dates=H","DateFormat=P","Fill=—","Direction=H","UseDPDF=Y")</f>
        <v>-1792.3</v>
      </c>
      <c r="D13" s="13">
        <f>_xll.BDH("RCOM IN Equity","T12M_DVDS_PAID","FY 2010","FY 2010","Currency=INR","Period=FY","BEST_FPERIOD_OVERRIDE=FY","FILING_STATUS=MR","EQY_CONSOLIDATED=Y","SCALING_FORMAT=MLN","Sort=A","Dates=H","DateFormat=P","Fill=—","Direction=H","UseDPDF=Y")</f>
        <v>-1910.6</v>
      </c>
      <c r="E13" s="13">
        <f>_xll.BDH("RCOM IN Equity","T12M_DVDS_PAID","FY 2011","FY 2011","Currency=INR","Period=FY","BEST_FPERIOD_OVERRIDE=FY","FILING_STATUS=MR","EQY_CONSOLIDATED=Y","SCALING_FORMAT=MLN","Sort=A","Dates=H","DateFormat=P","Fill=—","Direction=H","UseDPDF=Y")</f>
        <v>-2020</v>
      </c>
      <c r="F13" s="13">
        <f>_xll.BDH("RCOM IN Equity","T12M_DVDS_PAID","FY 2012","FY 2012","Currency=INR","Period=FY","BEST_FPERIOD_OVERRIDE=FY","FILING_STATUS=MR","EQY_CONSOLIDATED=Y","SCALING_FORMAT=MLN","Sort=A","Dates=H","DateFormat=P","Fill=—","Direction=H","UseDPDF=Y")</f>
        <v>-1190</v>
      </c>
      <c r="G13" s="13">
        <f>_xll.BDH("RCOM IN Equity","T12M_DVDS_PAID","FY 2013","FY 2013","Currency=INR","Period=FY","BEST_FPERIOD_OVERRIDE=FY","FILING_STATUS=MR","EQY_CONSOLIDATED=Y","SCALING_FORMAT=MLN","Sort=A","Dates=H","DateFormat=P","Fill=—","Direction=H","UseDPDF=Y")</f>
        <v>-600</v>
      </c>
      <c r="H13" s="13">
        <f>_xll.BDH("RCOM IN Equity","T12M_DVDS_PAID","FY 2014","FY 2014","Currency=INR","Period=FY","BEST_FPERIOD_OVERRIDE=FY","FILING_STATUS=MR","EQY_CONSOLIDATED=Y","SCALING_FORMAT=MLN","Sort=A","Dates=H","DateFormat=P","Fill=—","Direction=H","UseDPDF=Y")</f>
        <v>-610</v>
      </c>
      <c r="I13" s="13">
        <f>_xll.BDH("RCOM IN Equity","T12M_DVDS_PAID","FY 2015","FY 2015","Currency=INR","Period=FY","BEST_FPERIOD_OVERRIDE=FY","FILING_STATUS=MR","EQY_CONSOLIDATED=Y","SCALING_FORMAT=MLN","Sort=A","Dates=H","DateFormat=P","Fill=—","Direction=H","UseDPDF=Y")</f>
        <v>-10</v>
      </c>
      <c r="J13" s="13">
        <f>_xll.BDH("RCOM IN Equity","T12M_DVDS_PAID","FY 2016","FY 2016","Currency=INR","Period=FY","BEST_FPERIOD_OVERRIDE=FY","FILING_STATUS=MR","EQY_CONSOLIDATED=Y","SCALING_FORMAT=MLN","Sort=A","Dates=H","DateFormat=P","Fill=—","Direction=H","UseDPDF=Y")</f>
        <v>-20</v>
      </c>
      <c r="K13" s="13">
        <f>_xll.BDH("RCOM IN Equity","T12M_DVDS_PAID","FY 2017","FY 2017","Currency=INR","Period=FY","BEST_FPERIOD_OVERRIDE=FY","FILING_STATUS=MR","EQY_CONSOLIDATED=Y","SCALING_FORMAT=MLN","Sort=A","Dates=H","DateFormat=P","Fill=—","Direction=H","UseDPDF=Y")</f>
        <v>-20</v>
      </c>
      <c r="L13" s="13">
        <f>_xll.BDH("RCOM IN Equity","T12M_DVDS_PAID","FY 2018","FY 2018","Currency=INR","Period=FY","BEST_FPERIOD_OVERRIDE=FY","FILING_STATUS=MR","EQY_CONSOLIDATED=Y","SCALING_FORMAT=MLN","Sort=A","Dates=H","DateFormat=P","Fill=—","Direction=H","UseDPDF=Y")</f>
        <v>0</v>
      </c>
    </row>
    <row r="14" spans="1:12">
      <c r="A14" s="10" t="s">
        <v>1627</v>
      </c>
      <c r="B14" s="10" t="s">
        <v>1628</v>
      </c>
      <c r="C14" s="13">
        <f>_xll.BDH("RCOM IN Equity","T12M_NET_CAPITAL_STOCK","FY 2009","FY 2009","Currency=INR","Period=FY","BEST_FPERIOD_OVERRIDE=FY","FILING_STATUS=MR","EQY_CONSOLIDATED=Y","SCALING_FORMAT=MLN","Sort=A","Dates=H","DateFormat=P","Fill=—","Direction=H","UseDPDF=Y")</f>
        <v>0</v>
      </c>
      <c r="D14" s="13">
        <f>_xll.BDH("RCOM IN Equity","T12M_NET_CAPITAL_STOCK","FY 2010","FY 2010","Currency=INR","Period=FY","BEST_FPERIOD_OVERRIDE=FY","FILING_STATUS=MR","EQY_CONSOLIDATED=Y","SCALING_FORMAT=MLN","Sort=A","Dates=H","DateFormat=P","Fill=—","Direction=H","UseDPDF=Y")</f>
        <v>0</v>
      </c>
      <c r="E14" s="13">
        <f>_xll.BDH("RCOM IN Equity","T12M_NET_CAPITAL_STOCK","FY 2011","FY 2011","Currency=INR","Period=FY","BEST_FPERIOD_OVERRIDE=FY","FILING_STATUS=MR","EQY_CONSOLIDATED=Y","SCALING_FORMAT=MLN","Sort=A","Dates=H","DateFormat=P","Fill=—","Direction=H","UseDPDF=Y")</f>
        <v>0</v>
      </c>
      <c r="F14" s="13">
        <f>_xll.BDH("RCOM IN Equity","T12M_NET_CAPITAL_STOCK","FY 2012","FY 2012","Currency=INR","Period=FY","BEST_FPERIOD_OVERRIDE=FY","FILING_STATUS=MR","EQY_CONSOLIDATED=Y","SCALING_FORMAT=MLN","Sort=A","Dates=H","DateFormat=P","Fill=—","Direction=H","UseDPDF=Y")</f>
        <v>0</v>
      </c>
      <c r="G14" s="13">
        <f>_xll.BDH("RCOM IN Equity","T12M_NET_CAPITAL_STOCK","FY 2013","FY 2013","Currency=INR","Period=FY","BEST_FPERIOD_OVERRIDE=FY","FILING_STATUS=MR","EQY_CONSOLIDATED=Y","SCALING_FORMAT=MLN","Sort=A","Dates=H","DateFormat=P","Fill=—","Direction=H","UseDPDF=Y")</f>
        <v>0</v>
      </c>
      <c r="H14" s="13">
        <f>_xll.BDH("RCOM IN Equity","T12M_NET_CAPITAL_STOCK","FY 2014","FY 2014","Currency=INR","Period=FY","BEST_FPERIOD_OVERRIDE=FY","FILING_STATUS=MR","EQY_CONSOLIDATED=Y","SCALING_FORMAT=MLN","Sort=A","Dates=H","DateFormat=P","Fill=—","Direction=H","UseDPDF=Y")</f>
        <v>0</v>
      </c>
      <c r="I14" s="13">
        <f>_xll.BDH("RCOM IN Equity","T12M_NET_CAPITAL_STOCK","FY 2015","FY 2015","Currency=INR","Period=FY","BEST_FPERIOD_OVERRIDE=FY","FILING_STATUS=MR","EQY_CONSOLIDATED=Y","SCALING_FORMAT=MLN","Sort=A","Dates=H","DateFormat=P","Fill=—","Direction=H","UseDPDF=Y")</f>
        <v>60710</v>
      </c>
      <c r="J14" s="13">
        <f>_xll.BDH("RCOM IN Equity","T12M_NET_CAPITAL_STOCK","FY 2016","FY 2016","Currency=INR","Period=FY","BEST_FPERIOD_OVERRIDE=FY","FILING_STATUS=MR","EQY_CONSOLIDATED=Y","SCALING_FORMAT=MLN","Sort=A","Dates=H","DateFormat=P","Fill=—","Direction=H","UseDPDF=Y")</f>
        <v>0</v>
      </c>
      <c r="K14" s="13">
        <f>_xll.BDH("RCOM IN Equity","T12M_NET_CAPITAL_STOCK","FY 2017","FY 2017","Currency=INR","Period=FY","BEST_FPERIOD_OVERRIDE=FY","FILING_STATUS=MR","EQY_CONSOLIDATED=Y","SCALING_FORMAT=MLN","Sort=A","Dates=H","DateFormat=P","Fill=—","Direction=H","UseDPDF=Y")</f>
        <v>0</v>
      </c>
      <c r="L14" s="13">
        <f>_xll.BDH("RCOM IN Equity","T12M_NET_CAPITAL_STOCK","FY 2018","FY 2018","Currency=INR","Period=FY","BEST_FPERIOD_OVERRIDE=FY","FILING_STATUS=MR","EQY_CONSOLIDATED=Y","SCALING_FORMAT=MLN","Sort=A","Dates=H","DateFormat=P","Fill=—","Direction=H","UseDPDF=Y")</f>
        <v>0</v>
      </c>
    </row>
    <row r="15" spans="1:12">
      <c r="A15" s="10" t="s">
        <v>1629</v>
      </c>
      <c r="B15" s="10" t="s">
        <v>1630</v>
      </c>
      <c r="C15" s="13">
        <f>_xll.BDH("RCOM IN Equity","T12M_CHG_ST_BORROWINGS","FY 2009","FY 2009","Currency=INR","Period=FY","BEST_FPERIOD_OVERRIDE=FY","FILING_STATUS=MR","EQY_CONSOLIDATED=Y","SCALING_FORMAT=MLN","Sort=A","Dates=H","DateFormat=P","Fill=—","Direction=H","UseDPDF=Y")</f>
        <v>-14207.7</v>
      </c>
      <c r="D15" s="13">
        <f>_xll.BDH("RCOM IN Equity","T12M_CHG_ST_BORROWINGS","FY 2010","FY 2010","Currency=INR","Period=FY","BEST_FPERIOD_OVERRIDE=FY","FILING_STATUS=MR","EQY_CONSOLIDATED=Y","SCALING_FORMAT=MLN","Sort=A","Dates=H","DateFormat=P","Fill=—","Direction=H","UseDPDF=Y")</f>
        <v>-32632.400000000001</v>
      </c>
      <c r="E15" s="13">
        <f>_xll.BDH("RCOM IN Equity","T12M_CHG_ST_BORROWINGS","FY 2011","FY 2011","Currency=INR","Period=FY","BEST_FPERIOD_OVERRIDE=FY","FILING_STATUS=MR","EQY_CONSOLIDATED=Y","SCALING_FORMAT=MLN","Sort=A","Dates=H","DateFormat=P","Fill=—","Direction=H","UseDPDF=Y")</f>
        <v>26840</v>
      </c>
      <c r="F15" s="13">
        <f>_xll.BDH("RCOM IN Equity","T12M_CHG_ST_BORROWINGS","FY 2012","FY 2012","Currency=INR","Period=FY","BEST_FPERIOD_OVERRIDE=FY","FILING_STATUS=MR","EQY_CONSOLIDATED=Y","SCALING_FORMAT=MLN","Sort=A","Dates=H","DateFormat=P","Fill=—","Direction=H","UseDPDF=Y")</f>
        <v>-52110</v>
      </c>
      <c r="G15" s="13">
        <f>_xll.BDH("RCOM IN Equity","T12M_CHG_ST_BORROWINGS","FY 2013","FY 2013","Currency=INR","Period=FY","BEST_FPERIOD_OVERRIDE=FY","FILING_STATUS=MR","EQY_CONSOLIDATED=Y","SCALING_FORMAT=MLN","Sort=A","Dates=H","DateFormat=P","Fill=—","Direction=H","UseDPDF=Y")</f>
        <v>32680</v>
      </c>
      <c r="H15" s="13">
        <f>_xll.BDH("RCOM IN Equity","T12M_CHG_ST_BORROWINGS","FY 2014","FY 2014","Currency=INR","Period=FY","BEST_FPERIOD_OVERRIDE=FY","FILING_STATUS=MR","EQY_CONSOLIDATED=Y","SCALING_FORMAT=MLN","Sort=A","Dates=H","DateFormat=P","Fill=—","Direction=H","UseDPDF=Y")</f>
        <v>1320</v>
      </c>
      <c r="I15" s="13">
        <f>_xll.BDH("RCOM IN Equity","T12M_CHG_ST_BORROWINGS","FY 2015","FY 2015","Currency=INR","Period=FY","BEST_FPERIOD_OVERRIDE=FY","FILING_STATUS=MR","EQY_CONSOLIDATED=Y","SCALING_FORMAT=MLN","Sort=A","Dates=H","DateFormat=P","Fill=—","Direction=H","UseDPDF=Y")</f>
        <v>-35150</v>
      </c>
      <c r="J15" s="13">
        <f>_xll.BDH("RCOM IN Equity","T12M_CHG_ST_BORROWINGS","FY 2016","FY 2016","Currency=INR","Period=FY","BEST_FPERIOD_OVERRIDE=FY","FILING_STATUS=MR","EQY_CONSOLIDATED=Y","SCALING_FORMAT=MLN","Sort=A","Dates=H","DateFormat=P","Fill=—","Direction=H","UseDPDF=Y")</f>
        <v>28010</v>
      </c>
      <c r="K15" s="13">
        <f>_xll.BDH("RCOM IN Equity","T12M_CHG_ST_BORROWINGS","FY 2017","FY 2017","Currency=INR","Period=FY","BEST_FPERIOD_OVERRIDE=FY","FILING_STATUS=MR","EQY_CONSOLIDATED=Y","SCALING_FORMAT=MLN","Sort=A","Dates=H","DateFormat=P","Fill=—","Direction=H","UseDPDF=Y")</f>
        <v>51580</v>
      </c>
      <c r="L15" s="13">
        <f>_xll.BDH("RCOM IN Equity","T12M_CHG_ST_BORROWINGS","FY 2018","FY 2018","Currency=INR","Period=FY","BEST_FPERIOD_OVERRIDE=FY","FILING_STATUS=MR","EQY_CONSOLIDATED=Y","SCALING_FORMAT=MLN","Sort=A","Dates=H","DateFormat=P","Fill=—","Direction=H","UseDPDF=Y")</f>
        <v>12600</v>
      </c>
    </row>
    <row r="16" spans="1:12">
      <c r="A16" s="10" t="s">
        <v>1631</v>
      </c>
      <c r="B16" s="10" t="s">
        <v>1632</v>
      </c>
      <c r="C16" s="13">
        <f>_xll.BDH("RCOM IN Equity","T12M_CHG_LT_DEBT","FY 2009","FY 2009","Currency=INR","Period=FY","BEST_FPERIOD_OVERRIDE=FY","FILING_STATUS=MR","EQY_CONSOLIDATED=Y","SCALING_FORMAT=MLN","Sort=A","Dates=H","DateFormat=P","Fill=—","Direction=H","UseDPDF=Y")</f>
        <v>89291.8</v>
      </c>
      <c r="D16" s="13">
        <f>_xll.BDH("RCOM IN Equity","T12M_CHG_LT_DEBT","FY 2010","FY 2010","Currency=INR","Period=FY","BEST_FPERIOD_OVERRIDE=FY","FILING_STATUS=MR","EQY_CONSOLIDATED=Y","SCALING_FORMAT=MLN","Sort=A","Dates=H","DateFormat=P","Fill=—","Direction=H","UseDPDF=Y")</f>
        <v>-37265.9</v>
      </c>
      <c r="E16" s="13">
        <f>_xll.BDH("RCOM IN Equity","T12M_CHG_LT_DEBT","FY 2011","FY 2011","Currency=INR","Period=FY","BEST_FPERIOD_OVERRIDE=FY","FILING_STATUS=MR","EQY_CONSOLIDATED=Y","SCALING_FORMAT=MLN","Sort=A","Dates=H","DateFormat=P","Fill=—","Direction=H","UseDPDF=Y")</f>
        <v>69510</v>
      </c>
      <c r="F16" s="13">
        <f>_xll.BDH("RCOM IN Equity","T12M_CHG_LT_DEBT","FY 2012","FY 2012","Currency=INR","Period=FY","BEST_FPERIOD_OVERRIDE=FY","FILING_STATUS=MR","EQY_CONSOLIDATED=Y","SCALING_FORMAT=MLN","Sort=A","Dates=H","DateFormat=P","Fill=—","Direction=H","UseDPDF=Y")</f>
        <v>18950</v>
      </c>
      <c r="G16" s="13">
        <f>_xll.BDH("RCOM IN Equity","T12M_CHG_LT_DEBT","FY 2013","FY 2013","Currency=INR","Period=FY","BEST_FPERIOD_OVERRIDE=FY","FILING_STATUS=MR","EQY_CONSOLIDATED=Y","SCALING_FORMAT=MLN","Sort=A","Dates=H","DateFormat=P","Fill=—","Direction=H","UseDPDF=Y")</f>
        <v>-10530</v>
      </c>
      <c r="H16" s="13">
        <f>_xll.BDH("RCOM IN Equity","T12M_CHG_LT_DEBT","FY 2014","FY 2014","Currency=INR","Period=FY","BEST_FPERIOD_OVERRIDE=FY","FILING_STATUS=MR","EQY_CONSOLIDATED=Y","SCALING_FORMAT=MLN","Sort=A","Dates=H","DateFormat=P","Fill=—","Direction=H","UseDPDF=Y")</f>
        <v>-14960</v>
      </c>
      <c r="I16" s="13">
        <f>_xll.BDH("RCOM IN Equity","T12M_CHG_LT_DEBT","FY 2015","FY 2015","Currency=INR","Period=FY","BEST_FPERIOD_OVERRIDE=FY","FILING_STATUS=MR","EQY_CONSOLIDATED=Y","SCALING_FORMAT=MLN","Sort=A","Dates=H","DateFormat=P","Fill=—","Direction=H","UseDPDF=Y")</f>
        <v>10780</v>
      </c>
      <c r="J16" s="13">
        <f>_xll.BDH("RCOM IN Equity","T12M_CHG_LT_DEBT","FY 2016","FY 2016","Currency=INR","Period=FY","BEST_FPERIOD_OVERRIDE=FY","FILING_STATUS=MR","EQY_CONSOLIDATED=Y","SCALING_FORMAT=MLN","Sort=A","Dates=H","DateFormat=P","Fill=—","Direction=H","UseDPDF=Y")</f>
        <v>9340</v>
      </c>
      <c r="K16" s="13">
        <f>_xll.BDH("RCOM IN Equity","T12M_CHG_LT_DEBT","FY 2017","FY 2017","Currency=INR","Period=FY","BEST_FPERIOD_OVERRIDE=FY","FILING_STATUS=MR","EQY_CONSOLIDATED=Y","SCALING_FORMAT=MLN","Sort=A","Dates=H","DateFormat=P","Fill=—","Direction=H","UseDPDF=Y")</f>
        <v>-18440</v>
      </c>
      <c r="L16" s="13">
        <f>_xll.BDH("RCOM IN Equity","T12M_CHG_LT_DEBT","FY 2018","FY 2018","Currency=INR","Period=FY","BEST_FPERIOD_OVERRIDE=FY","FILING_STATUS=MR","EQY_CONSOLIDATED=Y","SCALING_FORMAT=MLN","Sort=A","Dates=H","DateFormat=P","Fill=—","Direction=H","UseDPDF=Y")</f>
        <v>-6290</v>
      </c>
    </row>
    <row r="17" spans="1:12">
      <c r="A17" s="10" t="s">
        <v>1404</v>
      </c>
      <c r="B17" s="10" t="s">
        <v>1633</v>
      </c>
      <c r="C17" s="13">
        <f>_xll.BDH("RCOM IN Equity","T12_OTHER_CFF","FY 2009","FY 2009","Currency=INR","Period=FY","BEST_FPERIOD_OVERRIDE=FY","FILING_STATUS=MR","EQY_CONSOLIDATED=Y","SCALING_FORMAT=MLN","Sort=A","Dates=H","DateFormat=P","Fill=—","Direction=H","UseDPDF=Y")</f>
        <v>-17287.599999999999</v>
      </c>
      <c r="D17" s="13">
        <f>_xll.BDH("RCOM IN Equity","T12_OTHER_CFF","FY 2010","FY 2010","Currency=INR","Period=FY","BEST_FPERIOD_OVERRIDE=FY","FILING_STATUS=MR","EQY_CONSOLIDATED=Y","SCALING_FORMAT=MLN","Sort=A","Dates=H","DateFormat=P","Fill=—","Direction=H","UseDPDF=Y")</f>
        <v>9.4</v>
      </c>
      <c r="E17" s="13">
        <f>_xll.BDH("RCOM IN Equity","T12_OTHER_CFF","FY 2011","FY 2011","Currency=INR","Period=FY","BEST_FPERIOD_OVERRIDE=FY","FILING_STATUS=MR","EQY_CONSOLIDATED=Y","SCALING_FORMAT=MLN","Sort=A","Dates=H","DateFormat=P","Fill=—","Direction=H","UseDPDF=Y")</f>
        <v>0</v>
      </c>
      <c r="F17" s="13">
        <f>_xll.BDH("RCOM IN Equity","T12_OTHER_CFF","FY 2012","FY 2012","Currency=INR","Period=FY","BEST_FPERIOD_OVERRIDE=FY","FILING_STATUS=MR","EQY_CONSOLIDATED=Y","SCALING_FORMAT=MLN","Sort=A","Dates=H","DateFormat=P","Fill=—","Direction=H","UseDPDF=Y")</f>
        <v>-3430</v>
      </c>
      <c r="G17" s="13">
        <f>_xll.BDH("RCOM IN Equity","T12_OTHER_CFF","FY 2013","FY 2013","Currency=INR","Period=FY","BEST_FPERIOD_OVERRIDE=FY","FILING_STATUS=MR","EQY_CONSOLIDATED=Y","SCALING_FORMAT=MLN","Sort=A","Dates=H","DateFormat=P","Fill=—","Direction=H","UseDPDF=Y")</f>
        <v>-12650</v>
      </c>
      <c r="H17" s="13">
        <f>_xll.BDH("RCOM IN Equity","T12_OTHER_CFF","FY 2014","FY 2014","Currency=INR","Period=FY","BEST_FPERIOD_OVERRIDE=FY","FILING_STATUS=MR","EQY_CONSOLIDATED=Y","SCALING_FORMAT=MLN","Sort=A","Dates=H","DateFormat=P","Fill=—","Direction=H","UseDPDF=Y")</f>
        <v>-5230</v>
      </c>
      <c r="I17" s="13">
        <f>_xll.BDH("RCOM IN Equity","T12_OTHER_CFF","FY 2015","FY 2015","Currency=INR","Period=FY","BEST_FPERIOD_OVERRIDE=FY","FILING_STATUS=MR","EQY_CONSOLIDATED=Y","SCALING_FORMAT=MLN","Sort=A","Dates=H","DateFormat=P","Fill=—","Direction=H","UseDPDF=Y")</f>
        <v>-1110</v>
      </c>
      <c r="J17" s="13">
        <f>_xll.BDH("RCOM IN Equity","T12_OTHER_CFF","FY 2016","FY 2016","Currency=INR","Period=FY","BEST_FPERIOD_OVERRIDE=FY","FILING_STATUS=MR","EQY_CONSOLIDATED=Y","SCALING_FORMAT=MLN","Sort=A","Dates=H","DateFormat=P","Fill=—","Direction=H","UseDPDF=Y")</f>
        <v>-32970</v>
      </c>
      <c r="K17" s="13">
        <f>_xll.BDH("RCOM IN Equity","T12_OTHER_CFF","FY 2017","FY 2017","Currency=INR","Period=FY","BEST_FPERIOD_OVERRIDE=FY","FILING_STATUS=MR","EQY_CONSOLIDATED=Y","SCALING_FORMAT=MLN","Sort=A","Dates=H","DateFormat=P","Fill=—","Direction=H","UseDPDF=Y")</f>
        <v>-1640</v>
      </c>
      <c r="L17" s="13">
        <f>_xll.BDH("RCOM IN Equity","T12_OTHER_CFF","FY 2018","FY 2018","Currency=INR","Period=FY","BEST_FPERIOD_OVERRIDE=FY","FILING_STATUS=MR","EQY_CONSOLIDATED=Y","SCALING_FORMAT=MLN","Sort=A","Dates=H","DateFormat=P","Fill=—","Direction=H","UseDPDF=Y")</f>
        <v>-720</v>
      </c>
    </row>
    <row r="18" spans="1:12">
      <c r="A18" s="6" t="s">
        <v>1634</v>
      </c>
      <c r="B18" s="6" t="s">
        <v>1635</v>
      </c>
      <c r="C18" s="19">
        <f>_xll.BDH("RCOM IN Equity","T12_CFF","FY 2009","FY 2009","Currency=INR","Period=FY","BEST_FPERIOD_OVERRIDE=FY","FILING_STATUS=MR","EQY_CONSOLIDATED=Y","SCALING_FORMAT=MLN","Sort=A","Dates=H","DateFormat=P","Fill=—","Direction=H","UseDPDF=Y")</f>
        <v>56004.2</v>
      </c>
      <c r="D18" s="19">
        <f>_xll.BDH("RCOM IN Equity","T12_CFF","FY 2010","FY 2010","Currency=INR","Period=FY","BEST_FPERIOD_OVERRIDE=FY","FILING_STATUS=MR","EQY_CONSOLIDATED=Y","SCALING_FORMAT=MLN","Sort=A","Dates=H","DateFormat=P","Fill=—","Direction=H","UseDPDF=Y")</f>
        <v>-71799.5</v>
      </c>
      <c r="E18" s="19">
        <f>_xll.BDH("RCOM IN Equity","T12_CFF","FY 2011","FY 2011","Currency=INR","Period=FY","BEST_FPERIOD_OVERRIDE=FY","FILING_STATUS=MR","EQY_CONSOLIDATED=Y","SCALING_FORMAT=MLN","Sort=A","Dates=H","DateFormat=P","Fill=—","Direction=H","UseDPDF=Y")</f>
        <v>94330</v>
      </c>
      <c r="F18" s="19">
        <f>_xll.BDH("RCOM IN Equity","T12_CFF","FY 2012","FY 2012","Currency=INR","Period=FY","BEST_FPERIOD_OVERRIDE=FY","FILING_STATUS=MR","EQY_CONSOLIDATED=Y","SCALING_FORMAT=MLN","Sort=A","Dates=H","DateFormat=P","Fill=—","Direction=H","UseDPDF=Y")</f>
        <v>-37780</v>
      </c>
      <c r="G18" s="19">
        <f>_xll.BDH("RCOM IN Equity","T12_CFF","FY 2013","FY 2013","Currency=INR","Period=FY","BEST_FPERIOD_OVERRIDE=FY","FILING_STATUS=MR","EQY_CONSOLIDATED=Y","SCALING_FORMAT=MLN","Sort=A","Dates=H","DateFormat=P","Fill=—","Direction=H","UseDPDF=Y")</f>
        <v>8900</v>
      </c>
      <c r="H18" s="19">
        <f>_xll.BDH("RCOM IN Equity","T12_CFF","FY 2014","FY 2014","Currency=INR","Period=FY","BEST_FPERIOD_OVERRIDE=FY","FILING_STATUS=MR","EQY_CONSOLIDATED=Y","SCALING_FORMAT=MLN","Sort=A","Dates=H","DateFormat=P","Fill=—","Direction=H","UseDPDF=Y")</f>
        <v>-19480</v>
      </c>
      <c r="I18" s="19">
        <f>_xll.BDH("RCOM IN Equity","T12_CFF","FY 2015","FY 2015","Currency=INR","Period=FY","BEST_FPERIOD_OVERRIDE=FY","FILING_STATUS=MR","EQY_CONSOLIDATED=Y","SCALING_FORMAT=MLN","Sort=A","Dates=H","DateFormat=P","Fill=—","Direction=H","UseDPDF=Y")</f>
        <v>35220</v>
      </c>
      <c r="J18" s="19">
        <f>_xll.BDH("RCOM IN Equity","T12_CFF","FY 2016","FY 2016","Currency=INR","Period=FY","BEST_FPERIOD_OVERRIDE=FY","FILING_STATUS=MR","EQY_CONSOLIDATED=Y","SCALING_FORMAT=MLN","Sort=A","Dates=H","DateFormat=P","Fill=—","Direction=H","UseDPDF=Y")</f>
        <v>4360</v>
      </c>
      <c r="K18" s="19">
        <f>_xll.BDH("RCOM IN Equity","T12_CFF","FY 2017","FY 2017","Currency=INR","Period=FY","BEST_FPERIOD_OVERRIDE=FY","FILING_STATUS=MR","EQY_CONSOLIDATED=Y","SCALING_FORMAT=MLN","Sort=A","Dates=H","DateFormat=P","Fill=—","Direction=H","UseDPDF=Y")</f>
        <v>31480</v>
      </c>
      <c r="L18" s="19">
        <f>_xll.BDH("RCOM IN Equity","T12_CFF","FY 2018","FY 2018","Currency=INR","Period=FY","BEST_FPERIOD_OVERRIDE=FY","FILING_STATUS=MR","EQY_CONSOLIDATED=Y","SCALING_FORMAT=MLN","Sort=A","Dates=H","DateFormat=P","Fill=—","Direction=H","UseDPDF=Y")</f>
        <v>5590</v>
      </c>
    </row>
    <row r="19" spans="1:12">
      <c r="A19" s="11" t="s">
        <v>27</v>
      </c>
      <c r="B19" s="11" t="s">
        <v>28</v>
      </c>
      <c r="C19" s="25">
        <f>_xll.BDH("RCOM IN Equity","HISTORICAL_MARKET_CAP","FY 2009","FY 2009","Currency=INR","Period=FY","BEST_FPERIOD_OVERRIDE=FY","FILING_STATUS=MR","EQY_CONSOLIDATED=Y","SCALING_FORMAT=MLN","Sort=A","Dates=H","DateFormat=P","Fill=—","Direction=H","UseDPDF=Y")</f>
        <v>360895.10009999998</v>
      </c>
      <c r="D19" s="25">
        <f>_xll.BDH("RCOM IN Equity","HISTORICAL_MARKET_CAP","FY 2010","FY 2010","Currency=INR","Period=FY","BEST_FPERIOD_OVERRIDE=FY","FILING_STATUS=MR","EQY_CONSOLIDATED=Y","SCALING_FORMAT=MLN","Sort=A","Dates=H","DateFormat=P","Fill=—","Direction=H","UseDPDF=Y")</f>
        <v>350781.36839999998</v>
      </c>
      <c r="E19" s="25">
        <f>_xll.BDH("RCOM IN Equity","HISTORICAL_MARKET_CAP","FY 2011","FY 2011","Currency=INR","Period=FY","BEST_FPERIOD_OVERRIDE=FY","FILING_STATUS=MR","EQY_CONSOLIDATED=Y","SCALING_FORMAT=MLN","Sort=A","Dates=H","DateFormat=P","Fill=—","Direction=H","UseDPDF=Y")</f>
        <v>222192.49369999999</v>
      </c>
      <c r="F19" s="25">
        <f>_xll.BDH("RCOM IN Equity","HISTORICAL_MARKET_CAP","FY 2012","FY 2012","Currency=INR","Period=FY","BEST_FPERIOD_OVERRIDE=FY","FILING_STATUS=MR","EQY_CONSOLIDATED=Y","SCALING_FORMAT=MLN","Sort=A","Dates=H","DateFormat=P","Fill=—","Direction=H","UseDPDF=Y")</f>
        <v>173481.45929999999</v>
      </c>
      <c r="G19" s="25">
        <f>_xll.BDH("RCOM IN Equity","HISTORICAL_MARKET_CAP","FY 2013","FY 2013","Currency=INR","Period=FY","BEST_FPERIOD_OVERRIDE=FY","FILING_STATUS=MR","EQY_CONSOLIDATED=Y","SCALING_FORMAT=MLN","Sort=A","Dates=H","DateFormat=P","Fill=—","Direction=H","UseDPDF=Y")</f>
        <v>114140.6865</v>
      </c>
      <c r="H19" s="25">
        <f>_xll.BDH("RCOM IN Equity","HISTORICAL_MARKET_CAP","FY 2014","FY 2014","Currency=INR","Period=FY","BEST_FPERIOD_OVERRIDE=FY","FILING_STATUS=MR","EQY_CONSOLIDATED=Y","SCALING_FORMAT=MLN","Sort=A","Dates=H","DateFormat=P","Fill=—","Direction=H","UseDPDF=Y")</f>
        <v>266053.065</v>
      </c>
      <c r="I19" s="25">
        <f>_xll.BDH("RCOM IN Equity","HISTORICAL_MARKET_CAP","FY 2015","FY 2015","Currency=INR","Period=FY","BEST_FPERIOD_OVERRIDE=FY","FILING_STATUS=MR","EQY_CONSOLIDATED=Y","SCALING_FORMAT=MLN","Sort=A","Dates=H","DateFormat=P","Fill=—","Direction=H","UseDPDF=Y")</f>
        <v>147472.04990000001</v>
      </c>
      <c r="J19" s="25">
        <f>_xll.BDH("RCOM IN Equity","HISTORICAL_MARKET_CAP","FY 2016","FY 2016","Currency=INR","Period=FY","BEST_FPERIOD_OVERRIDE=FY","FILING_STATUS=MR","EQY_CONSOLIDATED=Y","SCALING_FORMAT=MLN","Sort=A","Dates=H","DateFormat=P","Fill=—","Direction=H","UseDPDF=Y")</f>
        <v>124448.98729999999</v>
      </c>
      <c r="K19" s="25">
        <f>_xll.BDH("RCOM IN Equity","HISTORICAL_MARKET_CAP","FY 2017","FY 2017","Currency=INR","Period=FY","BEST_FPERIOD_OVERRIDE=FY","FILING_STATUS=MR","EQY_CONSOLIDATED=Y","SCALING_FORMAT=MLN","Sort=A","Dates=H","DateFormat=P","Fill=—","Direction=H","UseDPDF=Y")</f>
        <v>95327.924199999994</v>
      </c>
      <c r="L19" s="25">
        <f>_xll.BDH("RCOM IN Equity","HISTORICAL_MARKET_CAP","FY 2018","FY 2018","Currency=INR","Period=FY","BEST_FPERIOD_OVERRIDE=FY","FILING_STATUS=MR","EQY_CONSOLIDATED=Y","SCALING_FORMAT=MLN","Sort=A","Dates=H","DateFormat=P","Fill=—","Direction=H","UseDPDF=Y")</f>
        <v>60150.343800000002</v>
      </c>
    </row>
    <row r="20" spans="1:12">
      <c r="A20" s="6" t="s">
        <v>1636</v>
      </c>
      <c r="B20" s="6" t="s">
        <v>1637</v>
      </c>
      <c r="C20" s="20">
        <f>_xll.BDH("RCOM IN Equity","SHAREHOLDER_YIELD_CFF","FY 2009","FY 2009","Currency=INR","Period=FY","BEST_FPERIOD_OVERRIDE=FY","FILING_STATUS=MR","EQY_CONSOLIDATED=Y","Sort=A","Dates=H","DateFormat=P","Fill=—","Direction=H","UseDPDF=Y")</f>
        <v>-15.5181</v>
      </c>
      <c r="D20" s="20">
        <f>_xll.BDH("RCOM IN Equity","SHAREHOLDER_YIELD_CFF","FY 2010","FY 2010","Currency=INR","Period=FY","BEST_FPERIOD_OVERRIDE=FY","FILING_STATUS=MR","EQY_CONSOLIDATED=Y","Sort=A","Dates=H","DateFormat=P","Fill=—","Direction=H","UseDPDF=Y")</f>
        <v>20.468399999999999</v>
      </c>
      <c r="E20" s="20">
        <f>_xll.BDH("RCOM IN Equity","SHAREHOLDER_YIELD_CFF","FY 2011","FY 2011","Currency=INR","Period=FY","BEST_FPERIOD_OVERRIDE=FY","FILING_STATUS=MR","EQY_CONSOLIDATED=Y","Sort=A","Dates=H","DateFormat=P","Fill=—","Direction=H","UseDPDF=Y")</f>
        <v>-42.4542</v>
      </c>
      <c r="F20" s="20">
        <f>_xll.BDH("RCOM IN Equity","SHAREHOLDER_YIELD_CFF","FY 2012","FY 2012","Currency=INR","Period=FY","BEST_FPERIOD_OVERRIDE=FY","FILING_STATUS=MR","EQY_CONSOLIDATED=Y","Sort=A","Dates=H","DateFormat=P","Fill=—","Direction=H","UseDPDF=Y")</f>
        <v>21.7775</v>
      </c>
      <c r="G20" s="20">
        <f>_xll.BDH("RCOM IN Equity","SHAREHOLDER_YIELD_CFF","FY 2013","FY 2013","Currency=INR","Period=FY","BEST_FPERIOD_OVERRIDE=FY","FILING_STATUS=MR","EQY_CONSOLIDATED=Y","Sort=A","Dates=H","DateFormat=P","Fill=—","Direction=H","UseDPDF=Y")</f>
        <v>-7.7973999999999997</v>
      </c>
      <c r="H20" s="20">
        <f>_xll.BDH("RCOM IN Equity","SHAREHOLDER_YIELD_CFF","FY 2014","FY 2014","Currency=INR","Period=FY","BEST_FPERIOD_OVERRIDE=FY","FILING_STATUS=MR","EQY_CONSOLIDATED=Y","Sort=A","Dates=H","DateFormat=P","Fill=—","Direction=H","UseDPDF=Y")</f>
        <v>7.3217999999999996</v>
      </c>
      <c r="I20" s="20">
        <f>_xll.BDH("RCOM IN Equity","SHAREHOLDER_YIELD_CFF","FY 2015","FY 2015","Currency=INR","Period=FY","BEST_FPERIOD_OVERRIDE=FY","FILING_STATUS=MR","EQY_CONSOLIDATED=Y","Sort=A","Dates=H","DateFormat=P","Fill=—","Direction=H","UseDPDF=Y")</f>
        <v>-23.8825</v>
      </c>
      <c r="J20" s="20">
        <f>_xll.BDH("RCOM IN Equity","SHAREHOLDER_YIELD_CFF","FY 2016","FY 2016","Currency=INR","Period=FY","BEST_FPERIOD_OVERRIDE=FY","FILING_STATUS=MR","EQY_CONSOLIDATED=Y","Sort=A","Dates=H","DateFormat=P","Fill=—","Direction=H","UseDPDF=Y")</f>
        <v>-3.5034000000000001</v>
      </c>
      <c r="K20" s="20">
        <f>_xll.BDH("RCOM IN Equity","SHAREHOLDER_YIELD_CFF","FY 2017","FY 2017","Currency=INR","Period=FY","BEST_FPERIOD_OVERRIDE=FY","FILING_STATUS=MR","EQY_CONSOLIDATED=Y","Sort=A","Dates=H","DateFormat=P","Fill=—","Direction=H","UseDPDF=Y")</f>
        <v>-33.0229</v>
      </c>
      <c r="L20" s="20">
        <f>_xll.BDH("RCOM IN Equity","SHAREHOLDER_YIELD_CFF","FY 2018","FY 2018","Currency=INR","Period=FY","BEST_FPERIOD_OVERRIDE=FY","FILING_STATUS=MR","EQY_CONSOLIDATED=Y","Sort=A","Dates=H","DateFormat=P","Fill=—","Direction=H","UseDPDF=Y")</f>
        <v>-9.2934000000000001</v>
      </c>
    </row>
    <row r="21" spans="1:12">
      <c r="A21" s="6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>
      <c r="A22" s="10" t="s">
        <v>1638</v>
      </c>
      <c r="B22" s="10" t="s">
        <v>1626</v>
      </c>
      <c r="C22" s="13">
        <f>_xll.BDH("RCOM IN Equity","T12M_DVDS_PAID","FY 2009","FY 2009","Currency=INR","Period=FY","BEST_FPERIOD_OVERRIDE=FY","FILING_STATUS=MR","EQY_CONSOLIDATED=Y","SCALING_FORMAT=MLN","Sort=A","Dates=H","DateFormat=P","Fill=—","Direction=H","UseDPDF=Y")</f>
        <v>-1792.3</v>
      </c>
      <c r="D22" s="13">
        <f>_xll.BDH("RCOM IN Equity","T12M_DVDS_PAID","FY 2010","FY 2010","Currency=INR","Period=FY","BEST_FPERIOD_OVERRIDE=FY","FILING_STATUS=MR","EQY_CONSOLIDATED=Y","SCALING_FORMAT=MLN","Sort=A","Dates=H","DateFormat=P","Fill=—","Direction=H","UseDPDF=Y")</f>
        <v>-1910.6</v>
      </c>
      <c r="E22" s="13">
        <f>_xll.BDH("RCOM IN Equity","T12M_DVDS_PAID","FY 2011","FY 2011","Currency=INR","Period=FY","BEST_FPERIOD_OVERRIDE=FY","FILING_STATUS=MR","EQY_CONSOLIDATED=Y","SCALING_FORMAT=MLN","Sort=A","Dates=H","DateFormat=P","Fill=—","Direction=H","UseDPDF=Y")</f>
        <v>-2020</v>
      </c>
      <c r="F22" s="13">
        <f>_xll.BDH("RCOM IN Equity","T12M_DVDS_PAID","FY 2012","FY 2012","Currency=INR","Period=FY","BEST_FPERIOD_OVERRIDE=FY","FILING_STATUS=MR","EQY_CONSOLIDATED=Y","SCALING_FORMAT=MLN","Sort=A","Dates=H","DateFormat=P","Fill=—","Direction=H","UseDPDF=Y")</f>
        <v>-1190</v>
      </c>
      <c r="G22" s="13">
        <f>_xll.BDH("RCOM IN Equity","T12M_DVDS_PAID","FY 2013","FY 2013","Currency=INR","Period=FY","BEST_FPERIOD_OVERRIDE=FY","FILING_STATUS=MR","EQY_CONSOLIDATED=Y","SCALING_FORMAT=MLN","Sort=A","Dates=H","DateFormat=P","Fill=—","Direction=H","UseDPDF=Y")</f>
        <v>-600</v>
      </c>
      <c r="H22" s="13">
        <f>_xll.BDH("RCOM IN Equity","T12M_DVDS_PAID","FY 2014","FY 2014","Currency=INR","Period=FY","BEST_FPERIOD_OVERRIDE=FY","FILING_STATUS=MR","EQY_CONSOLIDATED=Y","SCALING_FORMAT=MLN","Sort=A","Dates=H","DateFormat=P","Fill=—","Direction=H","UseDPDF=Y")</f>
        <v>-610</v>
      </c>
      <c r="I22" s="13">
        <f>_xll.BDH("RCOM IN Equity","T12M_DVDS_PAID","FY 2015","FY 2015","Currency=INR","Period=FY","BEST_FPERIOD_OVERRIDE=FY","FILING_STATUS=MR","EQY_CONSOLIDATED=Y","SCALING_FORMAT=MLN","Sort=A","Dates=H","DateFormat=P","Fill=—","Direction=H","UseDPDF=Y")</f>
        <v>-10</v>
      </c>
      <c r="J22" s="13">
        <f>_xll.BDH("RCOM IN Equity","T12M_DVDS_PAID","FY 2016","FY 2016","Currency=INR","Period=FY","BEST_FPERIOD_OVERRIDE=FY","FILING_STATUS=MR","EQY_CONSOLIDATED=Y","SCALING_FORMAT=MLN","Sort=A","Dates=H","DateFormat=P","Fill=—","Direction=H","UseDPDF=Y")</f>
        <v>-20</v>
      </c>
      <c r="K22" s="13">
        <f>_xll.BDH("RCOM IN Equity","T12M_DVDS_PAID","FY 2017","FY 2017","Currency=INR","Period=FY","BEST_FPERIOD_OVERRIDE=FY","FILING_STATUS=MR","EQY_CONSOLIDATED=Y","SCALING_FORMAT=MLN","Sort=A","Dates=H","DateFormat=P","Fill=—","Direction=H","UseDPDF=Y")</f>
        <v>-20</v>
      </c>
      <c r="L22" s="13">
        <f>_xll.BDH("RCOM IN Equity","T12M_DVDS_PAID","FY 2018","FY 2018","Currency=INR","Period=FY","BEST_FPERIOD_OVERRIDE=FY","FILING_STATUS=MR","EQY_CONSOLIDATED=Y","SCALING_FORMAT=MLN","Sort=A","Dates=H","DateFormat=P","Fill=—","Direction=H","UseDPDF=Y")</f>
        <v>0</v>
      </c>
    </row>
    <row r="23" spans="1:12">
      <c r="A23" s="10" t="s">
        <v>1639</v>
      </c>
      <c r="B23" s="10" t="s">
        <v>1628</v>
      </c>
      <c r="C23" s="13">
        <f>_xll.BDH("RCOM IN Equity","T12M_NET_CAPITAL_STOCK","FY 2009","FY 2009","Currency=INR","Period=FY","BEST_FPERIOD_OVERRIDE=FY","FILING_STATUS=MR","EQY_CONSOLIDATED=Y","SCALING_FORMAT=MLN","Sort=A","Dates=H","DateFormat=P","Fill=—","Direction=H","UseDPDF=Y")</f>
        <v>0</v>
      </c>
      <c r="D23" s="13">
        <f>_xll.BDH("RCOM IN Equity","T12M_NET_CAPITAL_STOCK","FY 2010","FY 2010","Currency=INR","Period=FY","BEST_FPERIOD_OVERRIDE=FY","FILING_STATUS=MR","EQY_CONSOLIDATED=Y","SCALING_FORMAT=MLN","Sort=A","Dates=H","DateFormat=P","Fill=—","Direction=H","UseDPDF=Y")</f>
        <v>0</v>
      </c>
      <c r="E23" s="13">
        <f>_xll.BDH("RCOM IN Equity","T12M_NET_CAPITAL_STOCK","FY 2011","FY 2011","Currency=INR","Period=FY","BEST_FPERIOD_OVERRIDE=FY","FILING_STATUS=MR","EQY_CONSOLIDATED=Y","SCALING_FORMAT=MLN","Sort=A","Dates=H","DateFormat=P","Fill=—","Direction=H","UseDPDF=Y")</f>
        <v>0</v>
      </c>
      <c r="F23" s="13">
        <f>_xll.BDH("RCOM IN Equity","T12M_NET_CAPITAL_STOCK","FY 2012","FY 2012","Currency=INR","Period=FY","BEST_FPERIOD_OVERRIDE=FY","FILING_STATUS=MR","EQY_CONSOLIDATED=Y","SCALING_FORMAT=MLN","Sort=A","Dates=H","DateFormat=P","Fill=—","Direction=H","UseDPDF=Y")</f>
        <v>0</v>
      </c>
      <c r="G23" s="13">
        <f>_xll.BDH("RCOM IN Equity","T12M_NET_CAPITAL_STOCK","FY 2013","FY 2013","Currency=INR","Period=FY","BEST_FPERIOD_OVERRIDE=FY","FILING_STATUS=MR","EQY_CONSOLIDATED=Y","SCALING_FORMAT=MLN","Sort=A","Dates=H","DateFormat=P","Fill=—","Direction=H","UseDPDF=Y")</f>
        <v>0</v>
      </c>
      <c r="H23" s="13">
        <f>_xll.BDH("RCOM IN Equity","T12M_NET_CAPITAL_STOCK","FY 2014","FY 2014","Currency=INR","Period=FY","BEST_FPERIOD_OVERRIDE=FY","FILING_STATUS=MR","EQY_CONSOLIDATED=Y","SCALING_FORMAT=MLN","Sort=A","Dates=H","DateFormat=P","Fill=—","Direction=H","UseDPDF=Y")</f>
        <v>0</v>
      </c>
      <c r="I23" s="13">
        <f>_xll.BDH("RCOM IN Equity","T12M_NET_CAPITAL_STOCK","FY 2015","FY 2015","Currency=INR","Period=FY","BEST_FPERIOD_OVERRIDE=FY","FILING_STATUS=MR","EQY_CONSOLIDATED=Y","SCALING_FORMAT=MLN","Sort=A","Dates=H","DateFormat=P","Fill=—","Direction=H","UseDPDF=Y")</f>
        <v>60710</v>
      </c>
      <c r="J23" s="13">
        <f>_xll.BDH("RCOM IN Equity","T12M_NET_CAPITAL_STOCK","FY 2016","FY 2016","Currency=INR","Period=FY","BEST_FPERIOD_OVERRIDE=FY","FILING_STATUS=MR","EQY_CONSOLIDATED=Y","SCALING_FORMAT=MLN","Sort=A","Dates=H","DateFormat=P","Fill=—","Direction=H","UseDPDF=Y")</f>
        <v>0</v>
      </c>
      <c r="K23" s="13">
        <f>_xll.BDH("RCOM IN Equity","T12M_NET_CAPITAL_STOCK","FY 2017","FY 2017","Currency=INR","Period=FY","BEST_FPERIOD_OVERRIDE=FY","FILING_STATUS=MR","EQY_CONSOLIDATED=Y","SCALING_FORMAT=MLN","Sort=A","Dates=H","DateFormat=P","Fill=—","Direction=H","UseDPDF=Y")</f>
        <v>0</v>
      </c>
      <c r="L23" s="13">
        <f>_xll.BDH("RCOM IN Equity","T12M_NET_CAPITAL_STOCK","FY 2018","FY 2018","Currency=INR","Period=FY","BEST_FPERIOD_OVERRIDE=FY","FILING_STATUS=MR","EQY_CONSOLIDATED=Y","SCALING_FORMAT=MLN","Sort=A","Dates=H","DateFormat=P","Fill=—","Direction=H","UseDPDF=Y")</f>
        <v>0</v>
      </c>
    </row>
    <row r="24" spans="1:12">
      <c r="A24" s="6" t="s">
        <v>1640</v>
      </c>
      <c r="B24" s="6" t="s">
        <v>1641</v>
      </c>
      <c r="C24" s="19">
        <f>_xll.BDH("RCOM IN Equity","RETURNED_CAPITAL_EX_DEBT","FY 2009","FY 2009","Currency=INR","Period=FY","BEST_FPERIOD_OVERRIDE=FY","FILING_STATUS=MR","EQY_CONSOLIDATED=Y","SCALING_FORMAT=MLN","Sort=A","Dates=H","DateFormat=P","Fill=—","Direction=H","UseDPDF=Y")</f>
        <v>1792.3</v>
      </c>
      <c r="D24" s="19">
        <f>_xll.BDH("RCOM IN Equity","RETURNED_CAPITAL_EX_DEBT","FY 2010","FY 2010","Currency=INR","Period=FY","BEST_FPERIOD_OVERRIDE=FY","FILING_STATUS=MR","EQY_CONSOLIDATED=Y","SCALING_FORMAT=MLN","Sort=A","Dates=H","DateFormat=P","Fill=—","Direction=H","UseDPDF=Y")</f>
        <v>1910.6</v>
      </c>
      <c r="E24" s="19">
        <f>_xll.BDH("RCOM IN Equity","RETURNED_CAPITAL_EX_DEBT","FY 2011","FY 2011","Currency=INR","Period=FY","BEST_FPERIOD_OVERRIDE=FY","FILING_STATUS=MR","EQY_CONSOLIDATED=Y","SCALING_FORMAT=MLN","Sort=A","Dates=H","DateFormat=P","Fill=—","Direction=H","UseDPDF=Y")</f>
        <v>2020</v>
      </c>
      <c r="F24" s="19">
        <f>_xll.BDH("RCOM IN Equity","RETURNED_CAPITAL_EX_DEBT","FY 2012","FY 2012","Currency=INR","Period=FY","BEST_FPERIOD_OVERRIDE=FY","FILING_STATUS=MR","EQY_CONSOLIDATED=Y","SCALING_FORMAT=MLN","Sort=A","Dates=H","DateFormat=P","Fill=—","Direction=H","UseDPDF=Y")</f>
        <v>1190</v>
      </c>
      <c r="G24" s="19">
        <f>_xll.BDH("RCOM IN Equity","RETURNED_CAPITAL_EX_DEBT","FY 2013","FY 2013","Currency=INR","Period=FY","BEST_FPERIOD_OVERRIDE=FY","FILING_STATUS=MR","EQY_CONSOLIDATED=Y","SCALING_FORMAT=MLN","Sort=A","Dates=H","DateFormat=P","Fill=—","Direction=H","UseDPDF=Y")</f>
        <v>600</v>
      </c>
      <c r="H24" s="19">
        <f>_xll.BDH("RCOM IN Equity","RETURNED_CAPITAL_EX_DEBT","FY 2014","FY 2014","Currency=INR","Period=FY","BEST_FPERIOD_OVERRIDE=FY","FILING_STATUS=MR","EQY_CONSOLIDATED=Y","SCALING_FORMAT=MLN","Sort=A","Dates=H","DateFormat=P","Fill=—","Direction=H","UseDPDF=Y")</f>
        <v>610</v>
      </c>
      <c r="I24" s="19">
        <f>_xll.BDH("RCOM IN Equity","RETURNED_CAPITAL_EX_DEBT","FY 2015","FY 2015","Currency=INR","Period=FY","BEST_FPERIOD_OVERRIDE=FY","FILING_STATUS=MR","EQY_CONSOLIDATED=Y","SCALING_FORMAT=MLN","Sort=A","Dates=H","DateFormat=P","Fill=—","Direction=H","UseDPDF=Y")</f>
        <v>-60700</v>
      </c>
      <c r="J24" s="19">
        <f>_xll.BDH("RCOM IN Equity","RETURNED_CAPITAL_EX_DEBT","FY 2016","FY 2016","Currency=INR","Period=FY","BEST_FPERIOD_OVERRIDE=FY","FILING_STATUS=MR","EQY_CONSOLIDATED=Y","SCALING_FORMAT=MLN","Sort=A","Dates=H","DateFormat=P","Fill=—","Direction=H","UseDPDF=Y")</f>
        <v>20</v>
      </c>
      <c r="K24" s="19">
        <f>_xll.BDH("RCOM IN Equity","RETURNED_CAPITAL_EX_DEBT","FY 2017","FY 2017","Currency=INR","Period=FY","BEST_FPERIOD_OVERRIDE=FY","FILING_STATUS=MR","EQY_CONSOLIDATED=Y","SCALING_FORMAT=MLN","Sort=A","Dates=H","DateFormat=P","Fill=—","Direction=H","UseDPDF=Y")</f>
        <v>20</v>
      </c>
      <c r="L24" s="19" t="str">
        <f>_xll.BDH("RCOM IN Equity","RETURNED_CAPITAL_EX_DEBT","FY 2018","FY 2018","Currency=INR","Period=FY","BEST_FPERIOD_OVERRIDE=FY","FILING_STATUS=MR","EQY_CONSOLIDATED=Y","SCALING_FORMAT=MLN","Sort=A","Dates=H","DateFormat=P","Fill=—","Direction=H","UseDPDF=Y")</f>
        <v>—</v>
      </c>
    </row>
    <row r="25" spans="1:12">
      <c r="A25" s="11" t="s">
        <v>27</v>
      </c>
      <c r="B25" s="11" t="s">
        <v>28</v>
      </c>
      <c r="C25" s="25">
        <f>_xll.BDH("RCOM IN Equity","HISTORICAL_MARKET_CAP","FY 2009","FY 2009","Currency=INR","Period=FY","BEST_FPERIOD_OVERRIDE=FY","FILING_STATUS=MR","EQY_CONSOLIDATED=Y","SCALING_FORMAT=MLN","Sort=A","Dates=H","DateFormat=P","Fill=—","Direction=H","UseDPDF=Y")</f>
        <v>360895.10009999998</v>
      </c>
      <c r="D25" s="25">
        <f>_xll.BDH("RCOM IN Equity","HISTORICAL_MARKET_CAP","FY 2010","FY 2010","Currency=INR","Period=FY","BEST_FPERIOD_OVERRIDE=FY","FILING_STATUS=MR","EQY_CONSOLIDATED=Y","SCALING_FORMAT=MLN","Sort=A","Dates=H","DateFormat=P","Fill=—","Direction=H","UseDPDF=Y")</f>
        <v>350781.36839999998</v>
      </c>
      <c r="E25" s="25">
        <f>_xll.BDH("RCOM IN Equity","HISTORICAL_MARKET_CAP","FY 2011","FY 2011","Currency=INR","Period=FY","BEST_FPERIOD_OVERRIDE=FY","FILING_STATUS=MR","EQY_CONSOLIDATED=Y","SCALING_FORMAT=MLN","Sort=A","Dates=H","DateFormat=P","Fill=—","Direction=H","UseDPDF=Y")</f>
        <v>222192.49369999999</v>
      </c>
      <c r="F25" s="25">
        <f>_xll.BDH("RCOM IN Equity","HISTORICAL_MARKET_CAP","FY 2012","FY 2012","Currency=INR","Period=FY","BEST_FPERIOD_OVERRIDE=FY","FILING_STATUS=MR","EQY_CONSOLIDATED=Y","SCALING_FORMAT=MLN","Sort=A","Dates=H","DateFormat=P","Fill=—","Direction=H","UseDPDF=Y")</f>
        <v>173481.45929999999</v>
      </c>
      <c r="G25" s="25">
        <f>_xll.BDH("RCOM IN Equity","HISTORICAL_MARKET_CAP","FY 2013","FY 2013","Currency=INR","Period=FY","BEST_FPERIOD_OVERRIDE=FY","FILING_STATUS=MR","EQY_CONSOLIDATED=Y","SCALING_FORMAT=MLN","Sort=A","Dates=H","DateFormat=P","Fill=—","Direction=H","UseDPDF=Y")</f>
        <v>114140.6865</v>
      </c>
      <c r="H25" s="25">
        <f>_xll.BDH("RCOM IN Equity","HISTORICAL_MARKET_CAP","FY 2014","FY 2014","Currency=INR","Period=FY","BEST_FPERIOD_OVERRIDE=FY","FILING_STATUS=MR","EQY_CONSOLIDATED=Y","SCALING_FORMAT=MLN","Sort=A","Dates=H","DateFormat=P","Fill=—","Direction=H","UseDPDF=Y")</f>
        <v>266053.065</v>
      </c>
      <c r="I25" s="25">
        <f>_xll.BDH("RCOM IN Equity","HISTORICAL_MARKET_CAP","FY 2015","FY 2015","Currency=INR","Period=FY","BEST_FPERIOD_OVERRIDE=FY","FILING_STATUS=MR","EQY_CONSOLIDATED=Y","SCALING_FORMAT=MLN","Sort=A","Dates=H","DateFormat=P","Fill=—","Direction=H","UseDPDF=Y")</f>
        <v>147472.04990000001</v>
      </c>
      <c r="J25" s="25">
        <f>_xll.BDH("RCOM IN Equity","HISTORICAL_MARKET_CAP","FY 2016","FY 2016","Currency=INR","Period=FY","BEST_FPERIOD_OVERRIDE=FY","FILING_STATUS=MR","EQY_CONSOLIDATED=Y","SCALING_FORMAT=MLN","Sort=A","Dates=H","DateFormat=P","Fill=—","Direction=H","UseDPDF=Y")</f>
        <v>124448.98729999999</v>
      </c>
      <c r="K25" s="25">
        <f>_xll.BDH("RCOM IN Equity","HISTORICAL_MARKET_CAP","FY 2017","FY 2017","Currency=INR","Period=FY","BEST_FPERIOD_OVERRIDE=FY","FILING_STATUS=MR","EQY_CONSOLIDATED=Y","SCALING_FORMAT=MLN","Sort=A","Dates=H","DateFormat=P","Fill=—","Direction=H","UseDPDF=Y")</f>
        <v>95327.924199999994</v>
      </c>
      <c r="L25" s="25">
        <f>_xll.BDH("RCOM IN Equity","HISTORICAL_MARKET_CAP","FY 2018","FY 2018","Currency=INR","Period=FY","BEST_FPERIOD_OVERRIDE=FY","FILING_STATUS=MR","EQY_CONSOLIDATED=Y","SCALING_FORMAT=MLN","Sort=A","Dates=H","DateFormat=P","Fill=—","Direction=H","UseDPDF=Y")</f>
        <v>60150.343800000002</v>
      </c>
    </row>
    <row r="26" spans="1:12">
      <c r="A26" s="6" t="s">
        <v>1642</v>
      </c>
      <c r="B26" s="6" t="s">
        <v>1643</v>
      </c>
      <c r="C26" s="20">
        <f>_xll.BDH("RCOM IN Equity","SHAREHOLDER_YIELD_EX_DEBT","FY 2009","FY 2009","Currency=INR","Period=FY","BEST_FPERIOD_OVERRIDE=FY","FILING_STATUS=MR","EQY_CONSOLIDATED=Y","Sort=A","Dates=H","DateFormat=P","Fill=—","Direction=H","UseDPDF=Y")</f>
        <v>0.49659999999999999</v>
      </c>
      <c r="D26" s="20">
        <f>_xll.BDH("RCOM IN Equity","SHAREHOLDER_YIELD_EX_DEBT","FY 2010","FY 2010","Currency=INR","Period=FY","BEST_FPERIOD_OVERRIDE=FY","FILING_STATUS=MR","EQY_CONSOLIDATED=Y","Sort=A","Dates=H","DateFormat=P","Fill=—","Direction=H","UseDPDF=Y")</f>
        <v>0.54469999999999996</v>
      </c>
      <c r="E26" s="20">
        <f>_xll.BDH("RCOM IN Equity","SHAREHOLDER_YIELD_EX_DEBT","FY 2011","FY 2011","Currency=INR","Period=FY","BEST_FPERIOD_OVERRIDE=FY","FILING_STATUS=MR","EQY_CONSOLIDATED=Y","Sort=A","Dates=H","DateFormat=P","Fill=—","Direction=H","UseDPDF=Y")</f>
        <v>0.90910000000000002</v>
      </c>
      <c r="F26" s="20">
        <f>_xll.BDH("RCOM IN Equity","SHAREHOLDER_YIELD_EX_DEBT","FY 2012","FY 2012","Currency=INR","Period=FY","BEST_FPERIOD_OVERRIDE=FY","FILING_STATUS=MR","EQY_CONSOLIDATED=Y","Sort=A","Dates=H","DateFormat=P","Fill=—","Direction=H","UseDPDF=Y")</f>
        <v>0.68600000000000005</v>
      </c>
      <c r="G26" s="20">
        <f>_xll.BDH("RCOM IN Equity","SHAREHOLDER_YIELD_EX_DEBT","FY 2013","FY 2013","Currency=INR","Period=FY","BEST_FPERIOD_OVERRIDE=FY","FILING_STATUS=MR","EQY_CONSOLIDATED=Y","Sort=A","Dates=H","DateFormat=P","Fill=—","Direction=H","UseDPDF=Y")</f>
        <v>0.52569999999999995</v>
      </c>
      <c r="H26" s="20">
        <f>_xll.BDH("RCOM IN Equity","SHAREHOLDER_YIELD_EX_DEBT","FY 2014","FY 2014","Currency=INR","Period=FY","BEST_FPERIOD_OVERRIDE=FY","FILING_STATUS=MR","EQY_CONSOLIDATED=Y","Sort=A","Dates=H","DateFormat=P","Fill=—","Direction=H","UseDPDF=Y")</f>
        <v>0.2293</v>
      </c>
      <c r="I26" s="20">
        <f>_xll.BDH("RCOM IN Equity","SHAREHOLDER_YIELD_EX_DEBT","FY 2015","FY 2015","Currency=INR","Period=FY","BEST_FPERIOD_OVERRIDE=FY","FILING_STATUS=MR","EQY_CONSOLIDATED=Y","Sort=A","Dates=H","DateFormat=P","Fill=—","Direction=H","UseDPDF=Y")</f>
        <v>-41.160299999999999</v>
      </c>
      <c r="J26" s="20">
        <f>_xll.BDH("RCOM IN Equity","SHAREHOLDER_YIELD_EX_DEBT","FY 2016","FY 2016","Currency=INR","Period=FY","BEST_FPERIOD_OVERRIDE=FY","FILING_STATUS=MR","EQY_CONSOLIDATED=Y","Sort=A","Dates=H","DateFormat=P","Fill=—","Direction=H","UseDPDF=Y")</f>
        <v>1.61E-2</v>
      </c>
      <c r="K26" s="20">
        <f>_xll.BDH("RCOM IN Equity","SHAREHOLDER_YIELD_EX_DEBT","FY 2017","FY 2017","Currency=INR","Period=FY","BEST_FPERIOD_OVERRIDE=FY","FILING_STATUS=MR","EQY_CONSOLIDATED=Y","Sort=A","Dates=H","DateFormat=P","Fill=—","Direction=H","UseDPDF=Y")</f>
        <v>2.1000000000000001E-2</v>
      </c>
      <c r="L26" s="20" t="str">
        <f>_xll.BDH("RCOM IN Equity","SHAREHOLDER_YIELD_EX_DEBT","FY 2018","FY 2018","Currency=INR","Period=FY","BEST_FPERIOD_OVERRIDE=FY","FILING_STATUS=MR","EQY_CONSOLIDATED=Y","Sort=A","Dates=H","DateFormat=P","Fill=—","Direction=H","UseDPDF=Y")</f>
        <v>—</v>
      </c>
    </row>
    <row r="27" spans="1:12">
      <c r="A27" s="6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>
      <c r="A28" s="6" t="s">
        <v>1644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>
      <c r="A29" s="10" t="s">
        <v>1619</v>
      </c>
      <c r="B29" s="10" t="s">
        <v>1620</v>
      </c>
      <c r="C29" s="13">
        <f>_xll.BDH("RCOM IN Equity","TRAIL_12M_CASH_FROM_OPER","FY 2009","FY 2009","Currency=INR","Period=FY","BEST_FPERIOD_OVERRIDE=FY","FILING_STATUS=MR","EQY_CONSOLIDATED=Y","SCALING_FORMAT=MLN","Sort=A","Dates=H","DateFormat=P","Fill=—","Direction=H","UseDPDF=Y")</f>
        <v>51300.9</v>
      </c>
      <c r="D29" s="13">
        <f>_xll.BDH("RCOM IN Equity","TRAIL_12M_CASH_FROM_OPER","FY 2010","FY 2010","Currency=INR","Period=FY","BEST_FPERIOD_OVERRIDE=FY","FILING_STATUS=MR","EQY_CONSOLIDATED=Y","SCALING_FORMAT=MLN","Sort=A","Dates=H","DateFormat=P","Fill=—","Direction=H","UseDPDF=Y")</f>
        <v>81756.399999999994</v>
      </c>
      <c r="E29" s="13">
        <f>_xll.BDH("RCOM IN Equity","TRAIL_12M_CASH_FROM_OPER","FY 2011","FY 2011","Currency=INR","Period=FY","BEST_FPERIOD_OVERRIDE=FY","FILING_STATUS=MR","EQY_CONSOLIDATED=Y","SCALING_FORMAT=MLN","Sort=A","Dates=H","DateFormat=P","Fill=—","Direction=H","UseDPDF=Y")</f>
        <v>10720</v>
      </c>
      <c r="F29" s="13">
        <f>_xll.BDH("RCOM IN Equity","TRAIL_12M_CASH_FROM_OPER","FY 2012","FY 2012","Currency=INR","Period=FY","BEST_FPERIOD_OVERRIDE=FY","FILING_STATUS=MR","EQY_CONSOLIDATED=Y","SCALING_FORMAT=MLN","Sort=A","Dates=H","DateFormat=P","Fill=—","Direction=H","UseDPDF=Y")</f>
        <v>40730</v>
      </c>
      <c r="G29" s="13">
        <f>_xll.BDH("RCOM IN Equity","TRAIL_12M_CASH_FROM_OPER","FY 2013","FY 2013","Currency=INR","Period=FY","BEST_FPERIOD_OVERRIDE=FY","FILING_STATUS=MR","EQY_CONSOLIDATED=Y","SCALING_FORMAT=MLN","Sort=A","Dates=H","DateFormat=P","Fill=—","Direction=H","UseDPDF=Y")</f>
        <v>13700</v>
      </c>
      <c r="H29" s="13">
        <f>_xll.BDH("RCOM IN Equity","TRAIL_12M_CASH_FROM_OPER","FY 2014","FY 2014","Currency=INR","Period=FY","BEST_FPERIOD_OVERRIDE=FY","FILING_STATUS=MR","EQY_CONSOLIDATED=Y","SCALING_FORMAT=MLN","Sort=A","Dates=H","DateFormat=P","Fill=—","Direction=H","UseDPDF=Y")</f>
        <v>38700</v>
      </c>
      <c r="I29" s="13">
        <f>_xll.BDH("RCOM IN Equity","TRAIL_12M_CASH_FROM_OPER","FY 2015","FY 2015","Currency=INR","Period=FY","BEST_FPERIOD_OVERRIDE=FY","FILING_STATUS=MR","EQY_CONSOLIDATED=Y","SCALING_FORMAT=MLN","Sort=A","Dates=H","DateFormat=P","Fill=—","Direction=H","UseDPDF=Y")</f>
        <v>4860</v>
      </c>
      <c r="J29" s="13">
        <f>_xll.BDH("RCOM IN Equity","TRAIL_12M_CASH_FROM_OPER","FY 2016","FY 2016","Currency=INR","Period=FY","BEST_FPERIOD_OVERRIDE=FY","FILING_STATUS=MR","EQY_CONSOLIDATED=Y","SCALING_FORMAT=MLN","Sort=A","Dates=H","DateFormat=P","Fill=—","Direction=H","UseDPDF=Y")</f>
        <v>142210</v>
      </c>
      <c r="K29" s="13">
        <f>_xll.BDH("RCOM IN Equity","TRAIL_12M_CASH_FROM_OPER","FY 2017","FY 2017","Currency=INR","Period=FY","BEST_FPERIOD_OVERRIDE=FY","FILING_STATUS=MR","EQY_CONSOLIDATED=Y","SCALING_FORMAT=MLN","Sort=A","Dates=H","DateFormat=P","Fill=—","Direction=H","UseDPDF=Y")</f>
        <v>-35600</v>
      </c>
      <c r="L29" s="13">
        <f>_xll.BDH("RCOM IN Equity","TRAIL_12M_CASH_FROM_OPER","FY 2018","FY 2018","Currency=INR","Period=FY","BEST_FPERIOD_OVERRIDE=FY","FILING_STATUS=MR","EQY_CONSOLIDATED=Y","SCALING_FORMAT=MLN","Sort=A","Dates=H","DateFormat=P","Fill=—","Direction=H","UseDPDF=Y")</f>
        <v>-4070</v>
      </c>
    </row>
    <row r="30" spans="1:12">
      <c r="A30" s="10" t="s">
        <v>1621</v>
      </c>
      <c r="B30" s="10" t="s">
        <v>1622</v>
      </c>
      <c r="C30" s="13">
        <f>_xll.BDH("RCOM IN Equity","TRAIL_12M_CAP_EXPEND","FY 2009","FY 2009","Currency=INR","Period=FY","BEST_FPERIOD_OVERRIDE=FY","FILING_STATUS=MR","EQY_CONSOLIDATED=Y","SCALING_FORMAT=MLN","Sort=A","Dates=H","DateFormat=P","Fill=—","Direction=H","UseDPDF=Y")</f>
        <v>-122583.8</v>
      </c>
      <c r="D30" s="13">
        <f>_xll.BDH("RCOM IN Equity","TRAIL_12M_CAP_EXPEND","FY 2010","FY 2010","Currency=INR","Period=FY","BEST_FPERIOD_OVERRIDE=FY","FILING_STATUS=MR","EQY_CONSOLIDATED=Y","SCALING_FORMAT=MLN","Sort=A","Dates=H","DateFormat=P","Fill=—","Direction=H","UseDPDF=Y")</f>
        <v>-74960.3</v>
      </c>
      <c r="E30" s="13">
        <f>_xll.BDH("RCOM IN Equity","TRAIL_12M_CAP_EXPEND","FY 2011","FY 2011","Currency=INR","Period=FY","BEST_FPERIOD_OVERRIDE=FY","FILING_STATUS=MR","EQY_CONSOLIDATED=Y","SCALING_FORMAT=MLN","Sort=A","Dates=H","DateFormat=P","Fill=—","Direction=H","UseDPDF=Y")</f>
        <v>-103270</v>
      </c>
      <c r="F30" s="13">
        <f>_xll.BDH("RCOM IN Equity","TRAIL_12M_CAP_EXPEND","FY 2012","FY 2012","Currency=INR","Period=FY","BEST_FPERIOD_OVERRIDE=FY","FILING_STATUS=MR","EQY_CONSOLIDATED=Y","SCALING_FORMAT=MLN","Sort=A","Dates=H","DateFormat=P","Fill=—","Direction=H","UseDPDF=Y")</f>
        <v>-48500</v>
      </c>
      <c r="G30" s="13">
        <f>_xll.BDH("RCOM IN Equity","TRAIL_12M_CAP_EXPEND","FY 2013","FY 2013","Currency=INR","Period=FY","BEST_FPERIOD_OVERRIDE=FY","FILING_STATUS=MR","EQY_CONSOLIDATED=Y","SCALING_FORMAT=MLN","Sort=A","Dates=H","DateFormat=P","Fill=—","Direction=H","UseDPDF=Y")</f>
        <v>-21140</v>
      </c>
      <c r="H30" s="13">
        <f>_xll.BDH("RCOM IN Equity","TRAIL_12M_CAP_EXPEND","FY 2014","FY 2014","Currency=INR","Period=FY","BEST_FPERIOD_OVERRIDE=FY","FILING_STATUS=MR","EQY_CONSOLIDATED=Y","SCALING_FORMAT=MLN","Sort=A","Dates=H","DateFormat=P","Fill=—","Direction=H","UseDPDF=Y")</f>
        <v>-21650</v>
      </c>
      <c r="I30" s="13">
        <f>_xll.BDH("RCOM IN Equity","TRAIL_12M_CAP_EXPEND","FY 2015","FY 2015","Currency=INR","Period=FY","BEST_FPERIOD_OVERRIDE=FY","FILING_STATUS=MR","EQY_CONSOLIDATED=Y","SCALING_FORMAT=MLN","Sort=A","Dates=H","DateFormat=P","Fill=—","Direction=H","UseDPDF=Y")</f>
        <v>-24960</v>
      </c>
      <c r="J30" s="13">
        <f>_xll.BDH("RCOM IN Equity","TRAIL_12M_CAP_EXPEND","FY 2016","FY 2016","Currency=INR","Period=FY","BEST_FPERIOD_OVERRIDE=FY","FILING_STATUS=MR","EQY_CONSOLIDATED=Y","SCALING_FORMAT=MLN","Sort=A","Dates=H","DateFormat=P","Fill=—","Direction=H","UseDPDF=Y")</f>
        <v>-153300</v>
      </c>
      <c r="K30" s="13">
        <f>_xll.BDH("RCOM IN Equity","TRAIL_12M_CAP_EXPEND","FY 2017","FY 2017","Currency=INR","Period=FY","BEST_FPERIOD_OVERRIDE=FY","FILING_STATUS=MR","EQY_CONSOLIDATED=Y","SCALING_FORMAT=MLN","Sort=A","Dates=H","DateFormat=P","Fill=—","Direction=H","UseDPDF=Y")</f>
        <v>-39200</v>
      </c>
      <c r="L30" s="13">
        <f>_xll.BDH("RCOM IN Equity","TRAIL_12M_CAP_EXPEND","FY 2018","FY 2018","Currency=INR","Period=FY","BEST_FPERIOD_OVERRIDE=FY","FILING_STATUS=MR","EQY_CONSOLIDATED=Y","SCALING_FORMAT=MLN","Sort=A","Dates=H","DateFormat=P","Fill=—","Direction=H","UseDPDF=Y")</f>
        <v>-5910</v>
      </c>
    </row>
    <row r="31" spans="1:12">
      <c r="A31" s="10" t="s">
        <v>1645</v>
      </c>
      <c r="B31" s="10" t="s">
        <v>1646</v>
      </c>
      <c r="C31" s="13" t="str">
        <f>_xll.BDH("RCOM IN Equity","AFTER_TAX_INTEREST_EXPENSE","FY 2009","FY 2009","Currency=INR","Period=FY","BEST_FPERIOD_OVERRIDE=FY","FILING_STATUS=MR","EQY_CONSOLIDATED=Y","SCALING_FORMAT=MLN","FA_ADJUSTED=GAAP","Sort=A","Dates=H","DateFormat=P","Fill=—","Direction=H","UseDPDF=Y")</f>
        <v>—</v>
      </c>
      <c r="D31" s="13">
        <f>_xll.BDH("RCOM IN Equity","AFTER_TAX_INTEREST_EXPENSE","FY 2010","FY 2010","Currency=INR","Period=FY","BEST_FPERIOD_OVERRIDE=FY","FILING_STATUS=MR","EQY_CONSOLIDATED=Y","SCALING_FORMAT=MLN","FA_ADJUSTED=GAAP","Sort=A","Dates=H","DateFormat=P","Fill=—","Direction=H","UseDPDF=Y")</f>
        <v>12277.4051</v>
      </c>
      <c r="E31" s="13">
        <f>_xll.BDH("RCOM IN Equity","AFTER_TAX_INTEREST_EXPENSE","FY 2011","FY 2011","Currency=INR","Period=FY","BEST_FPERIOD_OVERRIDE=FY","FILING_STATUS=MR","EQY_CONSOLIDATED=Y","SCALING_FORMAT=MLN","FA_ADJUSTED=GAAP","Sort=A","Dates=H","DateFormat=P","Fill=—","Direction=H","UseDPDF=Y")</f>
        <v>8948.6486000000004</v>
      </c>
      <c r="F31" s="13" t="str">
        <f>_xll.BDH("RCOM IN Equity","AFTER_TAX_INTEREST_EXPENSE","FY 2012","FY 2012","Currency=INR","Period=FY","BEST_FPERIOD_OVERRIDE=FY","FILING_STATUS=MR","EQY_CONSOLIDATED=Y","SCALING_FORMAT=MLN","FA_ADJUSTED=GAAP","Sort=A","Dates=H","DateFormat=P","Fill=—","Direction=H","UseDPDF=Y")</f>
        <v>—</v>
      </c>
      <c r="G31" s="13">
        <f>_xll.BDH("RCOM IN Equity","AFTER_TAX_INTEREST_EXPENSE","FY 2013","FY 2013","Currency=INR","Period=FY","BEST_FPERIOD_OVERRIDE=FY","FILING_STATUS=MR","EQY_CONSOLIDATED=Y","SCALING_FORMAT=MLN","FA_ADJUSTED=GAAP","Sort=A","Dates=H","DateFormat=P","Fill=—","Direction=H","UseDPDF=Y")</f>
        <v>20676.809799999999</v>
      </c>
      <c r="H31" s="13" t="str">
        <f>_xll.BDH("RCOM IN Equity","AFTER_TAX_INTEREST_EXPENSE","FY 2014","FY 2014","Currency=INR","Period=FY","BEST_FPERIOD_OVERRIDE=FY","FILING_STATUS=MR","EQY_CONSOLIDATED=Y","SCALING_FORMAT=MLN","FA_ADJUSTED=GAAP","Sort=A","Dates=H","DateFormat=P","Fill=—","Direction=H","UseDPDF=Y")</f>
        <v>—</v>
      </c>
      <c r="I31" s="13">
        <f>_xll.BDH("RCOM IN Equity","AFTER_TAX_INTEREST_EXPENSE","FY 2015","FY 2015","Currency=INR","Period=FY","BEST_FPERIOD_OVERRIDE=FY","FILING_STATUS=MR","EQY_CONSOLIDATED=Y","SCALING_FORMAT=MLN","FA_ADJUSTED=GAAP","Sort=A","Dates=H","DateFormat=P","Fill=—","Direction=H","UseDPDF=Y")</f>
        <v>16135.7294</v>
      </c>
      <c r="J31" s="13" t="str">
        <f>_xll.BDH("RCOM IN Equity","AFTER_TAX_INTEREST_EXPENSE","FY 2016","FY 2016","Currency=INR","Period=FY","BEST_FPERIOD_OVERRIDE=FY","FILING_STATUS=MR","EQY_CONSOLIDATED=Y","SCALING_FORMAT=MLN","FA_ADJUSTED=GAAP","Sort=A","Dates=H","DateFormat=P","Fill=—","Direction=H","UseDPDF=Y")</f>
        <v>—</v>
      </c>
      <c r="K31" s="13" t="str">
        <f>_xll.BDH("RCOM IN Equity","AFTER_TAX_INTEREST_EXPENSE","FY 2017","FY 2017","Currency=INR","Period=FY","BEST_FPERIOD_OVERRIDE=FY","FILING_STATUS=MR","EQY_CONSOLIDATED=Y","SCALING_FORMAT=MLN","FA_ADJUSTED=GAAP","Sort=A","Dates=H","DateFormat=P","Fill=—","Direction=H","UseDPDF=Y")</f>
        <v>—</v>
      </c>
      <c r="L31" s="13" t="str">
        <f>_xll.BDH("RCOM IN Equity","AFTER_TAX_INTEREST_EXPENSE","FY 2018","FY 2018","Currency=INR","Period=FY","BEST_FPERIOD_OVERRIDE=FY","FILING_STATUS=MR","EQY_CONSOLIDATED=Y","SCALING_FORMAT=MLN","FA_ADJUSTED=GAAP","Sort=A","Dates=H","DateFormat=P","Fill=—","Direction=H","UseDPDF=Y")</f>
        <v>—</v>
      </c>
    </row>
    <row r="32" spans="1:12">
      <c r="A32" s="6" t="s">
        <v>1647</v>
      </c>
      <c r="B32" s="6" t="s">
        <v>157</v>
      </c>
      <c r="C32" s="19" t="str">
        <f>_xll.BDH("RCOM IN Equity","TRAIL_12M_FREE_CASH_FLOW_FIRM","FY 2009","FY 2009","Currency=INR","Period=FY","BEST_FPERIOD_OVERRIDE=FY","FILING_STATUS=MR","EQY_CONSOLIDATED=Y","SCALING_FORMAT=MLN","FA_ADJUSTED=GAAP","Sort=A","Dates=H","DateFormat=P","Fill=—","Direction=H","UseDPDF=Y")</f>
        <v>—</v>
      </c>
      <c r="D32" s="19">
        <f>_xll.BDH("RCOM IN Equity","TRAIL_12M_FREE_CASH_FLOW_FIRM","FY 2010","FY 2010","Currency=INR","Period=FY","BEST_FPERIOD_OVERRIDE=FY","FILING_STATUS=MR","EQY_CONSOLIDATED=Y","SCALING_FORMAT=MLN","FA_ADJUSTED=GAAP","Sort=A","Dates=H","DateFormat=P","Fill=—","Direction=H","UseDPDF=Y")</f>
        <v>19073.505099999998</v>
      </c>
      <c r="E32" s="19">
        <f>_xll.BDH("RCOM IN Equity","TRAIL_12M_FREE_CASH_FLOW_FIRM","FY 2011","FY 2011","Currency=INR","Period=FY","BEST_FPERIOD_OVERRIDE=FY","FILING_STATUS=MR","EQY_CONSOLIDATED=Y","SCALING_FORMAT=MLN","FA_ADJUSTED=GAAP","Sort=A","Dates=H","DateFormat=P","Fill=—","Direction=H","UseDPDF=Y")</f>
        <v>-83601.3514</v>
      </c>
      <c r="F32" s="19" t="str">
        <f>_xll.BDH("RCOM IN Equity","TRAIL_12M_FREE_CASH_FLOW_FIRM","FY 2012","FY 2012","Currency=INR","Period=FY","BEST_FPERIOD_OVERRIDE=FY","FILING_STATUS=MR","EQY_CONSOLIDATED=Y","SCALING_FORMAT=MLN","FA_ADJUSTED=GAAP","Sort=A","Dates=H","DateFormat=P","Fill=—","Direction=H","UseDPDF=Y")</f>
        <v>—</v>
      </c>
      <c r="G32" s="19">
        <f>_xll.BDH("RCOM IN Equity","TRAIL_12M_FREE_CASH_FLOW_FIRM","FY 2013","FY 2013","Currency=INR","Period=FY","BEST_FPERIOD_OVERRIDE=FY","FILING_STATUS=MR","EQY_CONSOLIDATED=Y","SCALING_FORMAT=MLN","FA_ADJUSTED=GAAP","Sort=A","Dates=H","DateFormat=P","Fill=—","Direction=H","UseDPDF=Y")</f>
        <v>13236.809800000001</v>
      </c>
      <c r="H32" s="19" t="str">
        <f>_xll.BDH("RCOM IN Equity","TRAIL_12M_FREE_CASH_FLOW_FIRM","FY 2014","FY 2014","Currency=INR","Period=FY","BEST_FPERIOD_OVERRIDE=FY","FILING_STATUS=MR","EQY_CONSOLIDATED=Y","SCALING_FORMAT=MLN","FA_ADJUSTED=GAAP","Sort=A","Dates=H","DateFormat=P","Fill=—","Direction=H","UseDPDF=Y")</f>
        <v>—</v>
      </c>
      <c r="I32" s="19">
        <f>_xll.BDH("RCOM IN Equity","TRAIL_12M_FREE_CASH_FLOW_FIRM","FY 2015","FY 2015","Currency=INR","Period=FY","BEST_FPERIOD_OVERRIDE=FY","FILING_STATUS=MR","EQY_CONSOLIDATED=Y","SCALING_FORMAT=MLN","FA_ADJUSTED=GAAP","Sort=A","Dates=H","DateFormat=P","Fill=—","Direction=H","UseDPDF=Y")</f>
        <v>-3964.2705999999998</v>
      </c>
      <c r="J32" s="19" t="str">
        <f>_xll.BDH("RCOM IN Equity","TRAIL_12M_FREE_CASH_FLOW_FIRM","FY 2016","FY 2016","Currency=INR","Period=FY","BEST_FPERIOD_OVERRIDE=FY","FILING_STATUS=MR","EQY_CONSOLIDATED=Y","SCALING_FORMAT=MLN","FA_ADJUSTED=GAAP","Sort=A","Dates=H","DateFormat=P","Fill=—","Direction=H","UseDPDF=Y")</f>
        <v>—</v>
      </c>
      <c r="K32" s="19" t="str">
        <f>_xll.BDH("RCOM IN Equity","TRAIL_12M_FREE_CASH_FLOW_FIRM","FY 2017","FY 2017","Currency=INR","Period=FY","BEST_FPERIOD_OVERRIDE=FY","FILING_STATUS=MR","EQY_CONSOLIDATED=Y","SCALING_FORMAT=MLN","FA_ADJUSTED=GAAP","Sort=A","Dates=H","DateFormat=P","Fill=—","Direction=H","UseDPDF=Y")</f>
        <v>—</v>
      </c>
      <c r="L32" s="19" t="str">
        <f>_xll.BDH("RCOM IN Equity","TRAIL_12M_FREE_CASH_FLOW_FIRM","FY 2018","FY 2018","Currency=INR","Period=FY","BEST_FPERIOD_OVERRIDE=FY","FILING_STATUS=MR","EQY_CONSOLIDATED=Y","SCALING_FORMAT=MLN","FA_ADJUSTED=GAAP","Sort=A","Dates=H","DateFormat=P","Fill=—","Direction=H","UseDPDF=Y")</f>
        <v>—</v>
      </c>
    </row>
    <row r="33" spans="1:12">
      <c r="A33" s="11" t="s">
        <v>1648</v>
      </c>
      <c r="B33" s="11" t="s">
        <v>36</v>
      </c>
      <c r="C33" s="25">
        <f>_xll.BDH("RCOM IN Equity","ENTERPRISE_VALUE","FY 2009","FY 2009","Currency=INR","Period=FY","BEST_FPERIOD_OVERRIDE=FY","FILING_STATUS=MR","EQY_CONSOLIDATED=Y","SCALING_FORMAT=MLN","Sort=A","Dates=H","DateFormat=P","Fill=—","Direction=H","UseDPDF=Y")</f>
        <v>649395.50009999995</v>
      </c>
      <c r="D33" s="25">
        <f>_xll.BDH("RCOM IN Equity","ENTERPRISE_VALUE","FY 2010","FY 2010","Currency=INR","Period=FY","BEST_FPERIOD_OVERRIDE=FY","FILING_STATUS=MR","EQY_CONSOLIDATED=Y","SCALING_FORMAT=MLN","Sort=A","Dates=H","DateFormat=P","Fill=—","Direction=H","UseDPDF=Y")</f>
        <v>605934.66839999997</v>
      </c>
      <c r="E33" s="25">
        <f>_xll.BDH("RCOM IN Equity","ENTERPRISE_VALUE","FY 2011","FY 2011","Currency=INR","Period=FY","BEST_FPERIOD_OVERRIDE=FY","FILING_STATUS=MR","EQY_CONSOLIDATED=Y","SCALING_FORMAT=MLN","Sort=A","Dates=H","DateFormat=P","Fill=—","Direction=H","UseDPDF=Y")</f>
        <v>567962.49369999999</v>
      </c>
      <c r="F33" s="25">
        <f>_xll.BDH("RCOM IN Equity","ENTERPRISE_VALUE","FY 2012","FY 2012","Currency=INR","Period=FY","BEST_FPERIOD_OVERRIDE=FY","FILING_STATUS=MR","EQY_CONSOLIDATED=Y","SCALING_FORMAT=MLN","Sort=A","Dates=H","DateFormat=P","Fill=—","Direction=H","UseDPDF=Y")</f>
        <v>554421.45929999999</v>
      </c>
      <c r="G33" s="25">
        <f>_xll.BDH("RCOM IN Equity","ENTERPRISE_VALUE","FY 2013","FY 2013","Currency=INR","Period=FY","BEST_FPERIOD_OVERRIDE=FY","FILING_STATUS=MR","EQY_CONSOLIDATED=Y","SCALING_FORMAT=MLN","Sort=A","Dates=H","DateFormat=P","Fill=—","Direction=H","UseDPDF=Y")</f>
        <v>524040.68650000001</v>
      </c>
      <c r="H33" s="25">
        <f>_xll.BDH("RCOM IN Equity","ENTERPRISE_VALUE","FY 2014","FY 2014","Currency=INR","Period=FY","BEST_FPERIOD_OVERRIDE=FY","FILING_STATUS=MR","EQY_CONSOLIDATED=Y","SCALING_FORMAT=MLN","Sort=A","Dates=H","DateFormat=P","Fill=—","Direction=H","UseDPDF=Y")</f>
        <v>685073.06499999994</v>
      </c>
      <c r="I33" s="25">
        <f>_xll.BDH("RCOM IN Equity","ENTERPRISE_VALUE","FY 2015","FY 2015","Currency=INR","Period=FY","BEST_FPERIOD_OVERRIDE=FY","FILING_STATUS=MR","EQY_CONSOLIDATED=Y","SCALING_FORMAT=MLN","Sort=A","Dates=H","DateFormat=P","Fill=—","Direction=H","UseDPDF=Y")</f>
        <v>525452.04989999998</v>
      </c>
      <c r="J33" s="25">
        <f>_xll.BDH("RCOM IN Equity","ENTERPRISE_VALUE","FY 2016","FY 2016","Currency=INR","Period=FY","BEST_FPERIOD_OVERRIDE=FY","FILING_STATUS=MR","EQY_CONSOLIDATED=Y","SCALING_FORMAT=MLN","Sort=A","Dates=H","DateFormat=P","Fill=—","Direction=H","UseDPDF=Y")</f>
        <v>548268.98730000004</v>
      </c>
      <c r="K33" s="25">
        <f>_xll.BDH("RCOM IN Equity","ENTERPRISE_VALUE","FY 2017","FY 2017","Currency=INR","Period=FY","BEST_FPERIOD_OVERRIDE=FY","FILING_STATUS=MR","EQY_CONSOLIDATED=Y","SCALING_FORMAT=MLN","Sort=A","Dates=H","DateFormat=P","Fill=—","Direction=H","UseDPDF=Y")</f>
        <v>543517.92420000001</v>
      </c>
      <c r="L33" s="25">
        <f>_xll.BDH("RCOM IN Equity","ENTERPRISE_VALUE","FY 2018","FY 2018","Currency=INR","Period=FY","BEST_FPERIOD_OVERRIDE=FY","FILING_STATUS=MR","EQY_CONSOLIDATED=Y","SCALING_FORMAT=MLN","Sort=A","Dates=H","DateFormat=P","Fill=—","Direction=H","UseDPDF=Y")</f>
        <v>528940.34380000003</v>
      </c>
    </row>
    <row r="34" spans="1:12">
      <c r="A34" s="6" t="s">
        <v>1649</v>
      </c>
      <c r="B34" s="6" t="s">
        <v>1650</v>
      </c>
      <c r="C34" s="20" t="str">
        <f>_xll.BDH("RCOM IN Equity","T12M_FCF_TO_FIRM_YIELD","FY 2009","FY 2009","Currency=INR","Period=FY","BEST_FPERIOD_OVERRIDE=FY","FILING_STATUS=MR","EQY_CONSOLIDATED=Y","FA_ADJUSTED=GAAP","Sort=A","Dates=H","DateFormat=P","Fill=—","Direction=H","UseDPDF=Y")</f>
        <v>—</v>
      </c>
      <c r="D34" s="20">
        <f>_xll.BDH("RCOM IN Equity","T12M_FCF_TO_FIRM_YIELD","FY 2010","FY 2010","Currency=INR","Period=FY","BEST_FPERIOD_OVERRIDE=FY","FILING_STATUS=MR","EQY_CONSOLIDATED=Y","FA_ADJUSTED=GAAP","Sort=A","Dates=H","DateFormat=P","Fill=—","Direction=H","UseDPDF=Y")</f>
        <v>3.1478000000000002</v>
      </c>
      <c r="E34" s="20">
        <f>_xll.BDH("RCOM IN Equity","T12M_FCF_TO_FIRM_YIELD","FY 2011","FY 2011","Currency=INR","Period=FY","BEST_FPERIOD_OVERRIDE=FY","FILING_STATUS=MR","EQY_CONSOLIDATED=Y","FA_ADJUSTED=GAAP","Sort=A","Dates=H","DateFormat=P","Fill=—","Direction=H","UseDPDF=Y")</f>
        <v>-14.7195</v>
      </c>
      <c r="F34" s="20" t="str">
        <f>_xll.BDH("RCOM IN Equity","T12M_FCF_TO_FIRM_YIELD","FY 2012","FY 2012","Currency=INR","Period=FY","BEST_FPERIOD_OVERRIDE=FY","FILING_STATUS=MR","EQY_CONSOLIDATED=Y","FA_ADJUSTED=GAAP","Sort=A","Dates=H","DateFormat=P","Fill=—","Direction=H","UseDPDF=Y")</f>
        <v>—</v>
      </c>
      <c r="G34" s="20">
        <f>_xll.BDH("RCOM IN Equity","T12M_FCF_TO_FIRM_YIELD","FY 2013","FY 2013","Currency=INR","Period=FY","BEST_FPERIOD_OVERRIDE=FY","FILING_STATUS=MR","EQY_CONSOLIDATED=Y","FA_ADJUSTED=GAAP","Sort=A","Dates=H","DateFormat=P","Fill=—","Direction=H","UseDPDF=Y")</f>
        <v>2.5259</v>
      </c>
      <c r="H34" s="20" t="str">
        <f>_xll.BDH("RCOM IN Equity","T12M_FCF_TO_FIRM_YIELD","FY 2014","FY 2014","Currency=INR","Period=FY","BEST_FPERIOD_OVERRIDE=FY","FILING_STATUS=MR","EQY_CONSOLIDATED=Y","FA_ADJUSTED=GAAP","Sort=A","Dates=H","DateFormat=P","Fill=—","Direction=H","UseDPDF=Y")</f>
        <v>—</v>
      </c>
      <c r="I34" s="20">
        <f>_xll.BDH("RCOM IN Equity","T12M_FCF_TO_FIRM_YIELD","FY 2015","FY 2015","Currency=INR","Period=FY","BEST_FPERIOD_OVERRIDE=FY","FILING_STATUS=MR","EQY_CONSOLIDATED=Y","FA_ADJUSTED=GAAP","Sort=A","Dates=H","DateFormat=P","Fill=—","Direction=H","UseDPDF=Y")</f>
        <v>-0.75439999999999996</v>
      </c>
      <c r="J34" s="20" t="str">
        <f>_xll.BDH("RCOM IN Equity","T12M_FCF_TO_FIRM_YIELD","FY 2016","FY 2016","Currency=INR","Period=FY","BEST_FPERIOD_OVERRIDE=FY","FILING_STATUS=MR","EQY_CONSOLIDATED=Y","FA_ADJUSTED=GAAP","Sort=A","Dates=H","DateFormat=P","Fill=—","Direction=H","UseDPDF=Y")</f>
        <v>—</v>
      </c>
      <c r="K34" s="20" t="str">
        <f>_xll.BDH("RCOM IN Equity","T12M_FCF_TO_FIRM_YIELD","FY 2017","FY 2017","Currency=INR","Period=FY","BEST_FPERIOD_OVERRIDE=FY","FILING_STATUS=MR","EQY_CONSOLIDATED=Y","FA_ADJUSTED=GAAP","Sort=A","Dates=H","DateFormat=P","Fill=—","Direction=H","UseDPDF=Y")</f>
        <v>—</v>
      </c>
      <c r="L34" s="20" t="str">
        <f>_xll.BDH("RCOM IN Equity","T12M_FCF_TO_FIRM_YIELD","FY 2018","FY 2018","Currency=INR","Period=FY","BEST_FPERIOD_OVERRIDE=FY","FILING_STATUS=MR","EQY_CONSOLIDATED=Y","FA_ADJUSTED=GAAP","Sort=A","Dates=H","DateFormat=P","Fill=—","Direction=H","UseDPDF=Y")</f>
        <v>—</v>
      </c>
    </row>
    <row r="35" spans="1:12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>
      <c r="A36" s="10" t="s">
        <v>1638</v>
      </c>
      <c r="B36" s="10" t="s">
        <v>1626</v>
      </c>
      <c r="C36" s="13">
        <f>_xll.BDH("RCOM IN Equity","T12M_DVDS_PAID","FY 2009","FY 2009","Currency=INR","Period=FY","BEST_FPERIOD_OVERRIDE=FY","FILING_STATUS=MR","EQY_CONSOLIDATED=Y","SCALING_FORMAT=MLN","Sort=A","Dates=H","DateFormat=P","Fill=—","Direction=H","UseDPDF=Y")</f>
        <v>-1792.3</v>
      </c>
      <c r="D36" s="13">
        <f>_xll.BDH("RCOM IN Equity","T12M_DVDS_PAID","FY 2010","FY 2010","Currency=INR","Period=FY","BEST_FPERIOD_OVERRIDE=FY","FILING_STATUS=MR","EQY_CONSOLIDATED=Y","SCALING_FORMAT=MLN","Sort=A","Dates=H","DateFormat=P","Fill=—","Direction=H","UseDPDF=Y")</f>
        <v>-1910.6</v>
      </c>
      <c r="E36" s="13">
        <f>_xll.BDH("RCOM IN Equity","T12M_DVDS_PAID","FY 2011","FY 2011","Currency=INR","Period=FY","BEST_FPERIOD_OVERRIDE=FY","FILING_STATUS=MR","EQY_CONSOLIDATED=Y","SCALING_FORMAT=MLN","Sort=A","Dates=H","DateFormat=P","Fill=—","Direction=H","UseDPDF=Y")</f>
        <v>-2020</v>
      </c>
      <c r="F36" s="13">
        <f>_xll.BDH("RCOM IN Equity","T12M_DVDS_PAID","FY 2012","FY 2012","Currency=INR","Period=FY","BEST_FPERIOD_OVERRIDE=FY","FILING_STATUS=MR","EQY_CONSOLIDATED=Y","SCALING_FORMAT=MLN","Sort=A","Dates=H","DateFormat=P","Fill=—","Direction=H","UseDPDF=Y")</f>
        <v>-1190</v>
      </c>
      <c r="G36" s="13">
        <f>_xll.BDH("RCOM IN Equity","T12M_DVDS_PAID","FY 2013","FY 2013","Currency=INR","Period=FY","BEST_FPERIOD_OVERRIDE=FY","FILING_STATUS=MR","EQY_CONSOLIDATED=Y","SCALING_FORMAT=MLN","Sort=A","Dates=H","DateFormat=P","Fill=—","Direction=H","UseDPDF=Y")</f>
        <v>-600</v>
      </c>
      <c r="H36" s="13">
        <f>_xll.BDH("RCOM IN Equity","T12M_DVDS_PAID","FY 2014","FY 2014","Currency=INR","Period=FY","BEST_FPERIOD_OVERRIDE=FY","FILING_STATUS=MR","EQY_CONSOLIDATED=Y","SCALING_FORMAT=MLN","Sort=A","Dates=H","DateFormat=P","Fill=—","Direction=H","UseDPDF=Y")</f>
        <v>-610</v>
      </c>
      <c r="I36" s="13">
        <f>_xll.BDH("RCOM IN Equity","T12M_DVDS_PAID","FY 2015","FY 2015","Currency=INR","Period=FY","BEST_FPERIOD_OVERRIDE=FY","FILING_STATUS=MR","EQY_CONSOLIDATED=Y","SCALING_FORMAT=MLN","Sort=A","Dates=H","DateFormat=P","Fill=—","Direction=H","UseDPDF=Y")</f>
        <v>-10</v>
      </c>
      <c r="J36" s="13">
        <f>_xll.BDH("RCOM IN Equity","T12M_DVDS_PAID","FY 2016","FY 2016","Currency=INR","Period=FY","BEST_FPERIOD_OVERRIDE=FY","FILING_STATUS=MR","EQY_CONSOLIDATED=Y","SCALING_FORMAT=MLN","Sort=A","Dates=H","DateFormat=P","Fill=—","Direction=H","UseDPDF=Y")</f>
        <v>-20</v>
      </c>
      <c r="K36" s="13">
        <f>_xll.BDH("RCOM IN Equity","T12M_DVDS_PAID","FY 2017","FY 2017","Currency=INR","Period=FY","BEST_FPERIOD_OVERRIDE=FY","FILING_STATUS=MR","EQY_CONSOLIDATED=Y","SCALING_FORMAT=MLN","Sort=A","Dates=H","DateFormat=P","Fill=—","Direction=H","UseDPDF=Y")</f>
        <v>-20</v>
      </c>
      <c r="L36" s="13">
        <f>_xll.BDH("RCOM IN Equity","T12M_DVDS_PAID","FY 2018","FY 2018","Currency=INR","Period=FY","BEST_FPERIOD_OVERRIDE=FY","FILING_STATUS=MR","EQY_CONSOLIDATED=Y","SCALING_FORMAT=MLN","Sort=A","Dates=H","DateFormat=P","Fill=—","Direction=H","UseDPDF=Y")</f>
        <v>0</v>
      </c>
    </row>
    <row r="37" spans="1:12">
      <c r="A37" s="10" t="s">
        <v>1639</v>
      </c>
      <c r="B37" s="10" t="s">
        <v>1628</v>
      </c>
      <c r="C37" s="13">
        <f>_xll.BDH("RCOM IN Equity","T12M_NET_CAPITAL_STOCK","FY 2009","FY 2009","Currency=INR","Period=FY","BEST_FPERIOD_OVERRIDE=FY","FILING_STATUS=MR","EQY_CONSOLIDATED=Y","SCALING_FORMAT=MLN","Sort=A","Dates=H","DateFormat=P","Fill=—","Direction=H","UseDPDF=Y")</f>
        <v>0</v>
      </c>
      <c r="D37" s="13">
        <f>_xll.BDH("RCOM IN Equity","T12M_NET_CAPITAL_STOCK","FY 2010","FY 2010","Currency=INR","Period=FY","BEST_FPERIOD_OVERRIDE=FY","FILING_STATUS=MR","EQY_CONSOLIDATED=Y","SCALING_FORMAT=MLN","Sort=A","Dates=H","DateFormat=P","Fill=—","Direction=H","UseDPDF=Y")</f>
        <v>0</v>
      </c>
      <c r="E37" s="13">
        <f>_xll.BDH("RCOM IN Equity","T12M_NET_CAPITAL_STOCK","FY 2011","FY 2011","Currency=INR","Period=FY","BEST_FPERIOD_OVERRIDE=FY","FILING_STATUS=MR","EQY_CONSOLIDATED=Y","SCALING_FORMAT=MLN","Sort=A","Dates=H","DateFormat=P","Fill=—","Direction=H","UseDPDF=Y")</f>
        <v>0</v>
      </c>
      <c r="F37" s="13">
        <f>_xll.BDH("RCOM IN Equity","T12M_NET_CAPITAL_STOCK","FY 2012","FY 2012","Currency=INR","Period=FY","BEST_FPERIOD_OVERRIDE=FY","FILING_STATUS=MR","EQY_CONSOLIDATED=Y","SCALING_FORMAT=MLN","Sort=A","Dates=H","DateFormat=P","Fill=—","Direction=H","UseDPDF=Y")</f>
        <v>0</v>
      </c>
      <c r="G37" s="13">
        <f>_xll.BDH("RCOM IN Equity","T12M_NET_CAPITAL_STOCK","FY 2013","FY 2013","Currency=INR","Period=FY","BEST_FPERIOD_OVERRIDE=FY","FILING_STATUS=MR","EQY_CONSOLIDATED=Y","SCALING_FORMAT=MLN","Sort=A","Dates=H","DateFormat=P","Fill=—","Direction=H","UseDPDF=Y")</f>
        <v>0</v>
      </c>
      <c r="H37" s="13">
        <f>_xll.BDH("RCOM IN Equity","T12M_NET_CAPITAL_STOCK","FY 2014","FY 2014","Currency=INR","Period=FY","BEST_FPERIOD_OVERRIDE=FY","FILING_STATUS=MR","EQY_CONSOLIDATED=Y","SCALING_FORMAT=MLN","Sort=A","Dates=H","DateFormat=P","Fill=—","Direction=H","UseDPDF=Y")</f>
        <v>0</v>
      </c>
      <c r="I37" s="13">
        <f>_xll.BDH("RCOM IN Equity","T12M_NET_CAPITAL_STOCK","FY 2015","FY 2015","Currency=INR","Period=FY","BEST_FPERIOD_OVERRIDE=FY","FILING_STATUS=MR","EQY_CONSOLIDATED=Y","SCALING_FORMAT=MLN","Sort=A","Dates=H","DateFormat=P","Fill=—","Direction=H","UseDPDF=Y")</f>
        <v>60710</v>
      </c>
      <c r="J37" s="13">
        <f>_xll.BDH("RCOM IN Equity","T12M_NET_CAPITAL_STOCK","FY 2016","FY 2016","Currency=INR","Period=FY","BEST_FPERIOD_OVERRIDE=FY","FILING_STATUS=MR","EQY_CONSOLIDATED=Y","SCALING_FORMAT=MLN","Sort=A","Dates=H","DateFormat=P","Fill=—","Direction=H","UseDPDF=Y")</f>
        <v>0</v>
      </c>
      <c r="K37" s="13">
        <f>_xll.BDH("RCOM IN Equity","T12M_NET_CAPITAL_STOCK","FY 2017","FY 2017","Currency=INR","Period=FY","BEST_FPERIOD_OVERRIDE=FY","FILING_STATUS=MR","EQY_CONSOLIDATED=Y","SCALING_FORMAT=MLN","Sort=A","Dates=H","DateFormat=P","Fill=—","Direction=H","UseDPDF=Y")</f>
        <v>0</v>
      </c>
      <c r="L37" s="13">
        <f>_xll.BDH("RCOM IN Equity","T12M_NET_CAPITAL_STOCK","FY 2018","FY 2018","Currency=INR","Period=FY","BEST_FPERIOD_OVERRIDE=FY","FILING_STATUS=MR","EQY_CONSOLIDATED=Y","SCALING_FORMAT=MLN","Sort=A","Dates=H","DateFormat=P","Fill=—","Direction=H","UseDPDF=Y")</f>
        <v>0</v>
      </c>
    </row>
    <row r="38" spans="1:12">
      <c r="A38" s="10" t="s">
        <v>1651</v>
      </c>
      <c r="B38" s="10" t="s">
        <v>1630</v>
      </c>
      <c r="C38" s="13">
        <f>_xll.BDH("RCOM IN Equity","T12M_CHG_ST_BORROWINGS","FY 2009","FY 2009","Currency=INR","Period=FY","BEST_FPERIOD_OVERRIDE=FY","FILING_STATUS=MR","EQY_CONSOLIDATED=Y","SCALING_FORMAT=MLN","Sort=A","Dates=H","DateFormat=P","Fill=—","Direction=H","UseDPDF=Y")</f>
        <v>-14207.7</v>
      </c>
      <c r="D38" s="13">
        <f>_xll.BDH("RCOM IN Equity","T12M_CHG_ST_BORROWINGS","FY 2010","FY 2010","Currency=INR","Period=FY","BEST_FPERIOD_OVERRIDE=FY","FILING_STATUS=MR","EQY_CONSOLIDATED=Y","SCALING_FORMAT=MLN","Sort=A","Dates=H","DateFormat=P","Fill=—","Direction=H","UseDPDF=Y")</f>
        <v>-32632.400000000001</v>
      </c>
      <c r="E38" s="13">
        <f>_xll.BDH("RCOM IN Equity","T12M_CHG_ST_BORROWINGS","FY 2011","FY 2011","Currency=INR","Period=FY","BEST_FPERIOD_OVERRIDE=FY","FILING_STATUS=MR","EQY_CONSOLIDATED=Y","SCALING_FORMAT=MLN","Sort=A","Dates=H","DateFormat=P","Fill=—","Direction=H","UseDPDF=Y")</f>
        <v>26840</v>
      </c>
      <c r="F38" s="13">
        <f>_xll.BDH("RCOM IN Equity","T12M_CHG_ST_BORROWINGS","FY 2012","FY 2012","Currency=INR","Period=FY","BEST_FPERIOD_OVERRIDE=FY","FILING_STATUS=MR","EQY_CONSOLIDATED=Y","SCALING_FORMAT=MLN","Sort=A","Dates=H","DateFormat=P","Fill=—","Direction=H","UseDPDF=Y")</f>
        <v>-52110</v>
      </c>
      <c r="G38" s="13">
        <f>_xll.BDH("RCOM IN Equity","T12M_CHG_ST_BORROWINGS","FY 2013","FY 2013","Currency=INR","Period=FY","BEST_FPERIOD_OVERRIDE=FY","FILING_STATUS=MR","EQY_CONSOLIDATED=Y","SCALING_FORMAT=MLN","Sort=A","Dates=H","DateFormat=P","Fill=—","Direction=H","UseDPDF=Y")</f>
        <v>32680</v>
      </c>
      <c r="H38" s="13">
        <f>_xll.BDH("RCOM IN Equity","T12M_CHG_ST_BORROWINGS","FY 2014","FY 2014","Currency=INR","Period=FY","BEST_FPERIOD_OVERRIDE=FY","FILING_STATUS=MR","EQY_CONSOLIDATED=Y","SCALING_FORMAT=MLN","Sort=A","Dates=H","DateFormat=P","Fill=—","Direction=H","UseDPDF=Y")</f>
        <v>1320</v>
      </c>
      <c r="I38" s="13">
        <f>_xll.BDH("RCOM IN Equity","T12M_CHG_ST_BORROWINGS","FY 2015","FY 2015","Currency=INR","Period=FY","BEST_FPERIOD_OVERRIDE=FY","FILING_STATUS=MR","EQY_CONSOLIDATED=Y","SCALING_FORMAT=MLN","Sort=A","Dates=H","DateFormat=P","Fill=—","Direction=H","UseDPDF=Y")</f>
        <v>-35150</v>
      </c>
      <c r="J38" s="13">
        <f>_xll.BDH("RCOM IN Equity","T12M_CHG_ST_BORROWINGS","FY 2016","FY 2016","Currency=INR","Period=FY","BEST_FPERIOD_OVERRIDE=FY","FILING_STATUS=MR","EQY_CONSOLIDATED=Y","SCALING_FORMAT=MLN","Sort=A","Dates=H","DateFormat=P","Fill=—","Direction=H","UseDPDF=Y")</f>
        <v>28010</v>
      </c>
      <c r="K38" s="13">
        <f>_xll.BDH("RCOM IN Equity","T12M_CHG_ST_BORROWINGS","FY 2017","FY 2017","Currency=INR","Period=FY","BEST_FPERIOD_OVERRIDE=FY","FILING_STATUS=MR","EQY_CONSOLIDATED=Y","SCALING_FORMAT=MLN","Sort=A","Dates=H","DateFormat=P","Fill=—","Direction=H","UseDPDF=Y")</f>
        <v>51580</v>
      </c>
      <c r="L38" s="13">
        <f>_xll.BDH("RCOM IN Equity","T12M_CHG_ST_BORROWINGS","FY 2018","FY 2018","Currency=INR","Period=FY","BEST_FPERIOD_OVERRIDE=FY","FILING_STATUS=MR","EQY_CONSOLIDATED=Y","SCALING_FORMAT=MLN","Sort=A","Dates=H","DateFormat=P","Fill=—","Direction=H","UseDPDF=Y")</f>
        <v>12600</v>
      </c>
    </row>
    <row r="39" spans="1:12">
      <c r="A39" s="10" t="s">
        <v>1652</v>
      </c>
      <c r="B39" s="10" t="s">
        <v>1632</v>
      </c>
      <c r="C39" s="13">
        <f>_xll.BDH("RCOM IN Equity","T12M_CHG_LT_DEBT","FY 2009","FY 2009","Currency=INR","Period=FY","BEST_FPERIOD_OVERRIDE=FY","FILING_STATUS=MR","EQY_CONSOLIDATED=Y","SCALING_FORMAT=MLN","Sort=A","Dates=H","DateFormat=P","Fill=—","Direction=H","UseDPDF=Y")</f>
        <v>89291.8</v>
      </c>
      <c r="D39" s="13">
        <f>_xll.BDH("RCOM IN Equity","T12M_CHG_LT_DEBT","FY 2010","FY 2010","Currency=INR","Period=FY","BEST_FPERIOD_OVERRIDE=FY","FILING_STATUS=MR","EQY_CONSOLIDATED=Y","SCALING_FORMAT=MLN","Sort=A","Dates=H","DateFormat=P","Fill=—","Direction=H","UseDPDF=Y")</f>
        <v>-37265.9</v>
      </c>
      <c r="E39" s="13">
        <f>_xll.BDH("RCOM IN Equity","T12M_CHG_LT_DEBT","FY 2011","FY 2011","Currency=INR","Period=FY","BEST_FPERIOD_OVERRIDE=FY","FILING_STATUS=MR","EQY_CONSOLIDATED=Y","SCALING_FORMAT=MLN","Sort=A","Dates=H","DateFormat=P","Fill=—","Direction=H","UseDPDF=Y")</f>
        <v>69510</v>
      </c>
      <c r="F39" s="13">
        <f>_xll.BDH("RCOM IN Equity","T12M_CHG_LT_DEBT","FY 2012","FY 2012","Currency=INR","Period=FY","BEST_FPERIOD_OVERRIDE=FY","FILING_STATUS=MR","EQY_CONSOLIDATED=Y","SCALING_FORMAT=MLN","Sort=A","Dates=H","DateFormat=P","Fill=—","Direction=H","UseDPDF=Y")</f>
        <v>18950</v>
      </c>
      <c r="G39" s="13">
        <f>_xll.BDH("RCOM IN Equity","T12M_CHG_LT_DEBT","FY 2013","FY 2013","Currency=INR","Period=FY","BEST_FPERIOD_OVERRIDE=FY","FILING_STATUS=MR","EQY_CONSOLIDATED=Y","SCALING_FORMAT=MLN","Sort=A","Dates=H","DateFormat=P","Fill=—","Direction=H","UseDPDF=Y")</f>
        <v>-10530</v>
      </c>
      <c r="H39" s="13">
        <f>_xll.BDH("RCOM IN Equity","T12M_CHG_LT_DEBT","FY 2014","FY 2014","Currency=INR","Period=FY","BEST_FPERIOD_OVERRIDE=FY","FILING_STATUS=MR","EQY_CONSOLIDATED=Y","SCALING_FORMAT=MLN","Sort=A","Dates=H","DateFormat=P","Fill=—","Direction=H","UseDPDF=Y")</f>
        <v>-14960</v>
      </c>
      <c r="I39" s="13">
        <f>_xll.BDH("RCOM IN Equity","T12M_CHG_LT_DEBT","FY 2015","FY 2015","Currency=INR","Period=FY","BEST_FPERIOD_OVERRIDE=FY","FILING_STATUS=MR","EQY_CONSOLIDATED=Y","SCALING_FORMAT=MLN","Sort=A","Dates=H","DateFormat=P","Fill=—","Direction=H","UseDPDF=Y")</f>
        <v>10780</v>
      </c>
      <c r="J39" s="13">
        <f>_xll.BDH("RCOM IN Equity","T12M_CHG_LT_DEBT","FY 2016","FY 2016","Currency=INR","Period=FY","BEST_FPERIOD_OVERRIDE=FY","FILING_STATUS=MR","EQY_CONSOLIDATED=Y","SCALING_FORMAT=MLN","Sort=A","Dates=H","DateFormat=P","Fill=—","Direction=H","UseDPDF=Y")</f>
        <v>9340</v>
      </c>
      <c r="K39" s="13">
        <f>_xll.BDH("RCOM IN Equity","T12M_CHG_LT_DEBT","FY 2017","FY 2017","Currency=INR","Period=FY","BEST_FPERIOD_OVERRIDE=FY","FILING_STATUS=MR","EQY_CONSOLIDATED=Y","SCALING_FORMAT=MLN","Sort=A","Dates=H","DateFormat=P","Fill=—","Direction=H","UseDPDF=Y")</f>
        <v>-18440</v>
      </c>
      <c r="L39" s="13">
        <f>_xll.BDH("RCOM IN Equity","T12M_CHG_LT_DEBT","FY 2018","FY 2018","Currency=INR","Period=FY","BEST_FPERIOD_OVERRIDE=FY","FILING_STATUS=MR","EQY_CONSOLIDATED=Y","SCALING_FORMAT=MLN","Sort=A","Dates=H","DateFormat=P","Fill=—","Direction=H","UseDPDF=Y")</f>
        <v>-6290</v>
      </c>
    </row>
    <row r="40" spans="1:12">
      <c r="A40" s="10" t="s">
        <v>1653</v>
      </c>
      <c r="B40" s="10" t="s">
        <v>1633</v>
      </c>
      <c r="C40" s="13">
        <f>_xll.BDH("RCOM IN Equity","T12_OTHER_CFF","FY 2009","FY 2009","Currency=INR","Period=FY","BEST_FPERIOD_OVERRIDE=FY","FILING_STATUS=MR","EQY_CONSOLIDATED=Y","SCALING_FORMAT=MLN","Sort=A","Dates=H","DateFormat=P","Fill=—","Direction=H","UseDPDF=Y")</f>
        <v>-17287.599999999999</v>
      </c>
      <c r="D40" s="13">
        <f>_xll.BDH("RCOM IN Equity","T12_OTHER_CFF","FY 2010","FY 2010","Currency=INR","Period=FY","BEST_FPERIOD_OVERRIDE=FY","FILING_STATUS=MR","EQY_CONSOLIDATED=Y","SCALING_FORMAT=MLN","Sort=A","Dates=H","DateFormat=P","Fill=—","Direction=H","UseDPDF=Y")</f>
        <v>9.4</v>
      </c>
      <c r="E40" s="13">
        <f>_xll.BDH("RCOM IN Equity","T12_OTHER_CFF","FY 2011","FY 2011","Currency=INR","Period=FY","BEST_FPERIOD_OVERRIDE=FY","FILING_STATUS=MR","EQY_CONSOLIDATED=Y","SCALING_FORMAT=MLN","Sort=A","Dates=H","DateFormat=P","Fill=—","Direction=H","UseDPDF=Y")</f>
        <v>0</v>
      </c>
      <c r="F40" s="13">
        <f>_xll.BDH("RCOM IN Equity","T12_OTHER_CFF","FY 2012","FY 2012","Currency=INR","Period=FY","BEST_FPERIOD_OVERRIDE=FY","FILING_STATUS=MR","EQY_CONSOLIDATED=Y","SCALING_FORMAT=MLN","Sort=A","Dates=H","DateFormat=P","Fill=—","Direction=H","UseDPDF=Y")</f>
        <v>-3430</v>
      </c>
      <c r="G40" s="13">
        <f>_xll.BDH("RCOM IN Equity","T12_OTHER_CFF","FY 2013","FY 2013","Currency=INR","Period=FY","BEST_FPERIOD_OVERRIDE=FY","FILING_STATUS=MR","EQY_CONSOLIDATED=Y","SCALING_FORMAT=MLN","Sort=A","Dates=H","DateFormat=P","Fill=—","Direction=H","UseDPDF=Y")</f>
        <v>-12650</v>
      </c>
      <c r="H40" s="13">
        <f>_xll.BDH("RCOM IN Equity","T12_OTHER_CFF","FY 2014","FY 2014","Currency=INR","Period=FY","BEST_FPERIOD_OVERRIDE=FY","FILING_STATUS=MR","EQY_CONSOLIDATED=Y","SCALING_FORMAT=MLN","Sort=A","Dates=H","DateFormat=P","Fill=—","Direction=H","UseDPDF=Y")</f>
        <v>-5230</v>
      </c>
      <c r="I40" s="13">
        <f>_xll.BDH("RCOM IN Equity","T12_OTHER_CFF","FY 2015","FY 2015","Currency=INR","Period=FY","BEST_FPERIOD_OVERRIDE=FY","FILING_STATUS=MR","EQY_CONSOLIDATED=Y","SCALING_FORMAT=MLN","Sort=A","Dates=H","DateFormat=P","Fill=—","Direction=H","UseDPDF=Y")</f>
        <v>-1110</v>
      </c>
      <c r="J40" s="13">
        <f>_xll.BDH("RCOM IN Equity","T12_OTHER_CFF","FY 2016","FY 2016","Currency=INR","Period=FY","BEST_FPERIOD_OVERRIDE=FY","FILING_STATUS=MR","EQY_CONSOLIDATED=Y","SCALING_FORMAT=MLN","Sort=A","Dates=H","DateFormat=P","Fill=—","Direction=H","UseDPDF=Y")</f>
        <v>-32970</v>
      </c>
      <c r="K40" s="13">
        <f>_xll.BDH("RCOM IN Equity","T12_OTHER_CFF","FY 2017","FY 2017","Currency=INR","Period=FY","BEST_FPERIOD_OVERRIDE=FY","FILING_STATUS=MR","EQY_CONSOLIDATED=Y","SCALING_FORMAT=MLN","Sort=A","Dates=H","DateFormat=P","Fill=—","Direction=H","UseDPDF=Y")</f>
        <v>-1640</v>
      </c>
      <c r="L40" s="13">
        <f>_xll.BDH("RCOM IN Equity","T12_OTHER_CFF","FY 2018","FY 2018","Currency=INR","Period=FY","BEST_FPERIOD_OVERRIDE=FY","FILING_STATUS=MR","EQY_CONSOLIDATED=Y","SCALING_FORMAT=MLN","Sort=A","Dates=H","DateFormat=P","Fill=—","Direction=H","UseDPDF=Y")</f>
        <v>-720</v>
      </c>
    </row>
    <row r="41" spans="1:12">
      <c r="A41" s="6" t="s">
        <v>1634</v>
      </c>
      <c r="B41" s="6" t="s">
        <v>1635</v>
      </c>
      <c r="C41" s="19">
        <f>_xll.BDH("RCOM IN Equity","T12_CFF","FY 2009","FY 2009","Currency=INR","Period=FY","BEST_FPERIOD_OVERRIDE=FY","FILING_STATUS=MR","EQY_CONSOLIDATED=Y","SCALING_FORMAT=MLN","Sort=A","Dates=H","DateFormat=P","Fill=—","Direction=H","UseDPDF=Y")</f>
        <v>56004.2</v>
      </c>
      <c r="D41" s="19">
        <f>_xll.BDH("RCOM IN Equity","T12_CFF","FY 2010","FY 2010","Currency=INR","Period=FY","BEST_FPERIOD_OVERRIDE=FY","FILING_STATUS=MR","EQY_CONSOLIDATED=Y","SCALING_FORMAT=MLN","Sort=A","Dates=H","DateFormat=P","Fill=—","Direction=H","UseDPDF=Y")</f>
        <v>-71799.5</v>
      </c>
      <c r="E41" s="19">
        <f>_xll.BDH("RCOM IN Equity","T12_CFF","FY 2011","FY 2011","Currency=INR","Period=FY","BEST_FPERIOD_OVERRIDE=FY","FILING_STATUS=MR","EQY_CONSOLIDATED=Y","SCALING_FORMAT=MLN","Sort=A","Dates=H","DateFormat=P","Fill=—","Direction=H","UseDPDF=Y")</f>
        <v>94330</v>
      </c>
      <c r="F41" s="19">
        <f>_xll.BDH("RCOM IN Equity","T12_CFF","FY 2012","FY 2012","Currency=INR","Period=FY","BEST_FPERIOD_OVERRIDE=FY","FILING_STATUS=MR","EQY_CONSOLIDATED=Y","SCALING_FORMAT=MLN","Sort=A","Dates=H","DateFormat=P","Fill=—","Direction=H","UseDPDF=Y")</f>
        <v>-37780</v>
      </c>
      <c r="G41" s="19">
        <f>_xll.BDH("RCOM IN Equity","T12_CFF","FY 2013","FY 2013","Currency=INR","Period=FY","BEST_FPERIOD_OVERRIDE=FY","FILING_STATUS=MR","EQY_CONSOLIDATED=Y","SCALING_FORMAT=MLN","Sort=A","Dates=H","DateFormat=P","Fill=—","Direction=H","UseDPDF=Y")</f>
        <v>8900</v>
      </c>
      <c r="H41" s="19">
        <f>_xll.BDH("RCOM IN Equity","T12_CFF","FY 2014","FY 2014","Currency=INR","Period=FY","BEST_FPERIOD_OVERRIDE=FY","FILING_STATUS=MR","EQY_CONSOLIDATED=Y","SCALING_FORMAT=MLN","Sort=A","Dates=H","DateFormat=P","Fill=—","Direction=H","UseDPDF=Y")</f>
        <v>-19480</v>
      </c>
      <c r="I41" s="19">
        <f>_xll.BDH("RCOM IN Equity","T12_CFF","FY 2015","FY 2015","Currency=INR","Period=FY","BEST_FPERIOD_OVERRIDE=FY","FILING_STATUS=MR","EQY_CONSOLIDATED=Y","SCALING_FORMAT=MLN","Sort=A","Dates=H","DateFormat=P","Fill=—","Direction=H","UseDPDF=Y")</f>
        <v>35220</v>
      </c>
      <c r="J41" s="19">
        <f>_xll.BDH("RCOM IN Equity","T12_CFF","FY 2016","FY 2016","Currency=INR","Period=FY","BEST_FPERIOD_OVERRIDE=FY","FILING_STATUS=MR","EQY_CONSOLIDATED=Y","SCALING_FORMAT=MLN","Sort=A","Dates=H","DateFormat=P","Fill=—","Direction=H","UseDPDF=Y")</f>
        <v>4360</v>
      </c>
      <c r="K41" s="19">
        <f>_xll.BDH("RCOM IN Equity","T12_CFF","FY 2017","FY 2017","Currency=INR","Period=FY","BEST_FPERIOD_OVERRIDE=FY","FILING_STATUS=MR","EQY_CONSOLIDATED=Y","SCALING_FORMAT=MLN","Sort=A","Dates=H","DateFormat=P","Fill=—","Direction=H","UseDPDF=Y")</f>
        <v>31480</v>
      </c>
      <c r="L41" s="19">
        <f>_xll.BDH("RCOM IN Equity","T12_CFF","FY 2018","FY 2018","Currency=INR","Period=FY","BEST_FPERIOD_OVERRIDE=FY","FILING_STATUS=MR","EQY_CONSOLIDATED=Y","SCALING_FORMAT=MLN","Sort=A","Dates=H","DateFormat=P","Fill=—","Direction=H","UseDPDF=Y")</f>
        <v>5590</v>
      </c>
    </row>
    <row r="42" spans="1:12">
      <c r="A42" s="11" t="s">
        <v>1648</v>
      </c>
      <c r="B42" s="11" t="s">
        <v>36</v>
      </c>
      <c r="C42" s="25">
        <f>_xll.BDH("RCOM IN Equity","ENTERPRISE_VALUE","FY 2009","FY 2009","Currency=INR","Period=FY","BEST_FPERIOD_OVERRIDE=FY","FILING_STATUS=MR","EQY_CONSOLIDATED=Y","SCALING_FORMAT=MLN","Sort=A","Dates=H","DateFormat=P","Fill=—","Direction=H","UseDPDF=Y")</f>
        <v>649395.50009999995</v>
      </c>
      <c r="D42" s="25">
        <f>_xll.BDH("RCOM IN Equity","ENTERPRISE_VALUE","FY 2010","FY 2010","Currency=INR","Period=FY","BEST_FPERIOD_OVERRIDE=FY","FILING_STATUS=MR","EQY_CONSOLIDATED=Y","SCALING_FORMAT=MLN","Sort=A","Dates=H","DateFormat=P","Fill=—","Direction=H","UseDPDF=Y")</f>
        <v>605934.66839999997</v>
      </c>
      <c r="E42" s="25">
        <f>_xll.BDH("RCOM IN Equity","ENTERPRISE_VALUE","FY 2011","FY 2011","Currency=INR","Period=FY","BEST_FPERIOD_OVERRIDE=FY","FILING_STATUS=MR","EQY_CONSOLIDATED=Y","SCALING_FORMAT=MLN","Sort=A","Dates=H","DateFormat=P","Fill=—","Direction=H","UseDPDF=Y")</f>
        <v>567962.49369999999</v>
      </c>
      <c r="F42" s="25">
        <f>_xll.BDH("RCOM IN Equity","ENTERPRISE_VALUE","FY 2012","FY 2012","Currency=INR","Period=FY","BEST_FPERIOD_OVERRIDE=FY","FILING_STATUS=MR","EQY_CONSOLIDATED=Y","SCALING_FORMAT=MLN","Sort=A","Dates=H","DateFormat=P","Fill=—","Direction=H","UseDPDF=Y")</f>
        <v>554421.45929999999</v>
      </c>
      <c r="G42" s="25">
        <f>_xll.BDH("RCOM IN Equity","ENTERPRISE_VALUE","FY 2013","FY 2013","Currency=INR","Period=FY","BEST_FPERIOD_OVERRIDE=FY","FILING_STATUS=MR","EQY_CONSOLIDATED=Y","SCALING_FORMAT=MLN","Sort=A","Dates=H","DateFormat=P","Fill=—","Direction=H","UseDPDF=Y")</f>
        <v>524040.68650000001</v>
      </c>
      <c r="H42" s="25">
        <f>_xll.BDH("RCOM IN Equity","ENTERPRISE_VALUE","FY 2014","FY 2014","Currency=INR","Period=FY","BEST_FPERIOD_OVERRIDE=FY","FILING_STATUS=MR","EQY_CONSOLIDATED=Y","SCALING_FORMAT=MLN","Sort=A","Dates=H","DateFormat=P","Fill=—","Direction=H","UseDPDF=Y")</f>
        <v>685073.06499999994</v>
      </c>
      <c r="I42" s="25">
        <f>_xll.BDH("RCOM IN Equity","ENTERPRISE_VALUE","FY 2015","FY 2015","Currency=INR","Period=FY","BEST_FPERIOD_OVERRIDE=FY","FILING_STATUS=MR","EQY_CONSOLIDATED=Y","SCALING_FORMAT=MLN","Sort=A","Dates=H","DateFormat=P","Fill=—","Direction=H","UseDPDF=Y")</f>
        <v>525452.04989999998</v>
      </c>
      <c r="J42" s="25">
        <f>_xll.BDH("RCOM IN Equity","ENTERPRISE_VALUE","FY 2016","FY 2016","Currency=INR","Period=FY","BEST_FPERIOD_OVERRIDE=FY","FILING_STATUS=MR","EQY_CONSOLIDATED=Y","SCALING_FORMAT=MLN","Sort=A","Dates=H","DateFormat=P","Fill=—","Direction=H","UseDPDF=Y")</f>
        <v>548268.98730000004</v>
      </c>
      <c r="K42" s="25">
        <f>_xll.BDH("RCOM IN Equity","ENTERPRISE_VALUE","FY 2017","FY 2017","Currency=INR","Period=FY","BEST_FPERIOD_OVERRIDE=FY","FILING_STATUS=MR","EQY_CONSOLIDATED=Y","SCALING_FORMAT=MLN","Sort=A","Dates=H","DateFormat=P","Fill=—","Direction=H","UseDPDF=Y")</f>
        <v>543517.92420000001</v>
      </c>
      <c r="L42" s="25">
        <f>_xll.BDH("RCOM IN Equity","ENTERPRISE_VALUE","FY 2018","FY 2018","Currency=INR","Period=FY","BEST_FPERIOD_OVERRIDE=FY","FILING_STATUS=MR","EQY_CONSOLIDATED=Y","SCALING_FORMAT=MLN","Sort=A","Dates=H","DateFormat=P","Fill=—","Direction=H","UseDPDF=Y")</f>
        <v>528940.34380000003</v>
      </c>
    </row>
    <row r="43" spans="1:12">
      <c r="A43" s="6" t="s">
        <v>1654</v>
      </c>
      <c r="B43" s="6" t="s">
        <v>1655</v>
      </c>
      <c r="C43" s="20">
        <f>_xll.BDH("RCOM IN Equity","CAPITAL_YIELD","FY 2009","FY 2009","Currency=INR","Period=FY","BEST_FPERIOD_OVERRIDE=FY","FILING_STATUS=MR","EQY_CONSOLIDATED=Y","Sort=A","Dates=H","DateFormat=P","Fill=—","Direction=H","UseDPDF=Y")</f>
        <v>-8.6241000000000003</v>
      </c>
      <c r="D43" s="20">
        <f>_xll.BDH("RCOM IN Equity","CAPITAL_YIELD","FY 2010","FY 2010","Currency=INR","Period=FY","BEST_FPERIOD_OVERRIDE=FY","FILING_STATUS=MR","EQY_CONSOLIDATED=Y","Sort=A","Dates=H","DateFormat=P","Fill=—","Direction=H","UseDPDF=Y")</f>
        <v>11.849399999999999</v>
      </c>
      <c r="E43" s="20">
        <f>_xll.BDH("RCOM IN Equity","CAPITAL_YIELD","FY 2011","FY 2011","Currency=INR","Period=FY","BEST_FPERIOD_OVERRIDE=FY","FILING_STATUS=MR","EQY_CONSOLIDATED=Y","Sort=A","Dates=H","DateFormat=P","Fill=—","Direction=H","UseDPDF=Y")</f>
        <v>-16.608499999999999</v>
      </c>
      <c r="F43" s="20">
        <f>_xll.BDH("RCOM IN Equity","CAPITAL_YIELD","FY 2012","FY 2012","Currency=INR","Period=FY","BEST_FPERIOD_OVERRIDE=FY","FILING_STATUS=MR","EQY_CONSOLIDATED=Y","Sort=A","Dates=H","DateFormat=P","Fill=—","Direction=H","UseDPDF=Y")</f>
        <v>6.8143000000000002</v>
      </c>
      <c r="G43" s="20">
        <f>_xll.BDH("RCOM IN Equity","CAPITAL_YIELD","FY 2013","FY 2013","Currency=INR","Period=FY","BEST_FPERIOD_OVERRIDE=FY","FILING_STATUS=MR","EQY_CONSOLIDATED=Y","Sort=A","Dates=H","DateFormat=P","Fill=—","Direction=H","UseDPDF=Y")</f>
        <v>-1.6983000000000001</v>
      </c>
      <c r="H43" s="20">
        <f>_xll.BDH("RCOM IN Equity","CAPITAL_YIELD","FY 2014","FY 2014","Currency=INR","Period=FY","BEST_FPERIOD_OVERRIDE=FY","FILING_STATUS=MR","EQY_CONSOLIDATED=Y","Sort=A","Dates=H","DateFormat=P","Fill=—","Direction=H","UseDPDF=Y")</f>
        <v>2.8435000000000001</v>
      </c>
      <c r="I43" s="20">
        <f>_xll.BDH("RCOM IN Equity","CAPITAL_YIELD","FY 2015","FY 2015","Currency=INR","Period=FY","BEST_FPERIOD_OVERRIDE=FY","FILING_STATUS=MR","EQY_CONSOLIDATED=Y","Sort=A","Dates=H","DateFormat=P","Fill=—","Direction=H","UseDPDF=Y")</f>
        <v>-6.7027999999999999</v>
      </c>
      <c r="J43" s="20">
        <f>_xll.BDH("RCOM IN Equity","CAPITAL_YIELD","FY 2016","FY 2016","Currency=INR","Period=FY","BEST_FPERIOD_OVERRIDE=FY","FILING_STATUS=MR","EQY_CONSOLIDATED=Y","Sort=A","Dates=H","DateFormat=P","Fill=—","Direction=H","UseDPDF=Y")</f>
        <v>-0.79520000000000002</v>
      </c>
      <c r="K43" s="20">
        <f>_xll.BDH("RCOM IN Equity","CAPITAL_YIELD","FY 2017","FY 2017","Currency=INR","Period=FY","BEST_FPERIOD_OVERRIDE=FY","FILING_STATUS=MR","EQY_CONSOLIDATED=Y","Sort=A","Dates=H","DateFormat=P","Fill=—","Direction=H","UseDPDF=Y")</f>
        <v>-5.7919</v>
      </c>
      <c r="L43" s="20">
        <f>_xll.BDH("RCOM IN Equity","CAPITAL_YIELD","FY 2018","FY 2018","Currency=INR","Period=FY","BEST_FPERIOD_OVERRIDE=FY","FILING_STATUS=MR","EQY_CONSOLIDATED=Y","Sort=A","Dates=H","DateFormat=P","Fill=—","Direction=H","UseDPDF=Y")</f>
        <v>-1.0568</v>
      </c>
    </row>
    <row r="44" spans="1:12">
      <c r="A44" s="7" t="s">
        <v>57</v>
      </c>
      <c r="B44" s="7"/>
      <c r="C44" s="7" t="s">
        <v>3</v>
      </c>
      <c r="D44" s="7"/>
      <c r="E44" s="7"/>
      <c r="F44" s="7"/>
      <c r="G44" s="7"/>
      <c r="H44" s="7"/>
      <c r="I44" s="7"/>
      <c r="J44" s="7"/>
      <c r="K44" s="7"/>
      <c r="L44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4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1656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1657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0" t="s">
        <v>1658</v>
      </c>
      <c r="B7" s="10" t="s">
        <v>1659</v>
      </c>
      <c r="C7" s="14">
        <f>_xll.BDH("RCOM IN Equity","TAX_EFFICIENCY","FY 2009","FY 2009","Currency=INR","Period=FY","BEST_FPERIOD_OVERRIDE=FY","FILING_STATUS=MR","EQY_CONSOLIDATED=Y","FA_ADJUSTED=GAAP","Sort=A","Dates=H","DateFormat=P","Fill=—","Direction=H","UseDPDF=Y")</f>
        <v>97.5505</v>
      </c>
      <c r="D7" s="14">
        <f>_xll.BDH("RCOM IN Equity","TAX_EFFICIENCY","FY 2010","FY 2010","Currency=INR","Period=FY","BEST_FPERIOD_OVERRIDE=FY","FILING_STATUS=MR","EQY_CONSOLIDATED=Y","FA_ADJUSTED=GAAP","Sort=A","Dates=H","DateFormat=P","Fill=—","Direction=H","UseDPDF=Y")</f>
        <v>89.127899999999997</v>
      </c>
      <c r="E7" s="14">
        <f>_xll.BDH("RCOM IN Equity","TAX_EFFICIENCY","FY 2011","FY 2011","Currency=INR","Period=FY","BEST_FPERIOD_OVERRIDE=FY","FILING_STATUS=MR","EQY_CONSOLIDATED=Y","FA_ADJUSTED=GAAP","Sort=A","Dates=H","DateFormat=P","Fill=—","Direction=H","UseDPDF=Y")</f>
        <v>88.661799999999999</v>
      </c>
      <c r="F7" s="14">
        <f>_xll.BDH("RCOM IN Equity","TAX_EFFICIENCY","FY 2012","FY 2012","Currency=INR","Period=FY","BEST_FPERIOD_OVERRIDE=FY","FILING_STATUS=MR","EQY_CONSOLIDATED=Y","FA_ADJUSTED=GAAP","Sort=A","Dates=H","DateFormat=P","Fill=—","Direction=H","UseDPDF=Y")</f>
        <v>105.2154</v>
      </c>
      <c r="G7" s="14">
        <f>_xll.BDH("RCOM IN Equity","TAX_EFFICIENCY","FY 2013","FY 2013","Currency=INR","Period=FY","BEST_FPERIOD_OVERRIDE=FY","FILING_STATUS=MR","EQY_CONSOLIDATED=Y","FA_ADJUSTED=GAAP","Sort=A","Dates=H","DateFormat=P","Fill=—","Direction=H","UseDPDF=Y")</f>
        <v>82.453999999999994</v>
      </c>
      <c r="H7" s="14">
        <f>_xll.BDH("RCOM IN Equity","TAX_EFFICIENCY","FY 2014","FY 2014","Currency=INR","Period=FY","BEST_FPERIOD_OVERRIDE=FY","FILING_STATUS=MR","EQY_CONSOLIDATED=Y","FA_ADJUSTED=GAAP","Sort=A","Dates=H","DateFormat=P","Fill=—","Direction=H","UseDPDF=Y")</f>
        <v>902.58619999999996</v>
      </c>
      <c r="I7" s="14">
        <f>_xll.BDH("RCOM IN Equity","TAX_EFFICIENCY","FY 2015","FY 2015","Currency=INR","Period=FY","BEST_FPERIOD_OVERRIDE=FY","FILING_STATUS=MR","EQY_CONSOLIDATED=Y","FA_ADJUSTED=GAAP","Sort=A","Dates=H","DateFormat=P","Fill=—","Direction=H","UseDPDF=Y")</f>
        <v>75.475700000000003</v>
      </c>
      <c r="J7" s="14">
        <f>_xll.BDH("RCOM IN Equity","TAX_EFFICIENCY","FY 2016","FY 2016","Currency=INR","Period=FY","BEST_FPERIOD_OVERRIDE=FY","FILING_STATUS=MR","EQY_CONSOLIDATED=Y","FA_ADJUSTED=GAAP","Sort=A","Dates=H","DateFormat=P","Fill=—","Direction=H","UseDPDF=Y")</f>
        <v>275.43099999999998</v>
      </c>
      <c r="K7" s="14">
        <f>_xll.BDH("RCOM IN Equity","TAX_EFFICIENCY","FY 2017","FY 2017","Currency=INR","Period=FY","BEST_FPERIOD_OVERRIDE=FY","FILING_STATUS=MR","EQY_CONSOLIDATED=Y","FA_ADJUSTED=GAAP","Sort=A","Dates=H","DateFormat=P","Fill=—","Direction=H","UseDPDF=Y")</f>
        <v>-905.16129999999998</v>
      </c>
      <c r="L7" s="14">
        <f>_xll.BDH("RCOM IN Equity","TAX_EFFICIENCY","FY 2018","FY 2018","Currency=INR","Period=FY","BEST_FPERIOD_OVERRIDE=FY","FILING_STATUS=MR","EQY_CONSOLIDATED=Y","FA_ADJUSTED=GAAP","Sort=A","Dates=H","DateFormat=P","Fill=—","Direction=H","UseDPDF=Y")</f>
        <v>794633.33330000006</v>
      </c>
    </row>
    <row r="8" spans="1:12">
      <c r="A8" s="6" t="s">
        <v>1660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10" t="s">
        <v>1661</v>
      </c>
      <c r="B9" s="10" t="s">
        <v>1662</v>
      </c>
      <c r="C9" s="14">
        <f>_xll.BDH("RCOM IN Equity","NORM_NET_INC_TO_NET_INC_FO_COM","FY 2009","FY 2009","Currency=INR","Period=FY","BEST_FPERIOD_OVERRIDE=FY","FILING_STATUS=MR","EQY_CONSOLIDATED=Y","FA_ADJUSTED=GAAP","Sort=A","Dates=H","DateFormat=P","Fill=—","Direction=H","UseDPDF=Y")</f>
        <v>0.96419999999999995</v>
      </c>
      <c r="D9" s="14">
        <f>_xll.BDH("RCOM IN Equity","NORM_NET_INC_TO_NET_INC_FO_COM","FY 2010","FY 2010","Currency=INR","Period=FY","BEST_FPERIOD_OVERRIDE=FY","FILING_STATUS=MR","EQY_CONSOLIDATED=Y","FA_ADJUSTED=GAAP","Sort=A","Dates=H","DateFormat=P","Fill=—","Direction=H","UseDPDF=Y")</f>
        <v>1.0138</v>
      </c>
      <c r="E9" s="14">
        <f>_xll.BDH("RCOM IN Equity","NORM_NET_INC_TO_NET_INC_FO_COM","FY 2011","FY 2011","Currency=INR","Period=FY","BEST_FPERIOD_OVERRIDE=FY","FILING_STATUS=MR","EQY_CONSOLIDATED=Y","FA_ADJUSTED=GAAP","Sort=A","Dates=H","DateFormat=P","Fill=—","Direction=H","UseDPDF=Y")</f>
        <v>0.80510000000000004</v>
      </c>
      <c r="F9" s="14">
        <f>_xll.BDH("RCOM IN Equity","NORM_NET_INC_TO_NET_INC_FO_COM","FY 2012","FY 2012","Currency=INR","Period=FY","BEST_FPERIOD_OVERRIDE=FY","FILING_STATUS=MR","EQY_CONSOLIDATED=Y","FA_ADJUSTED=GAAP","Sort=A","Dates=H","DateFormat=P","Fill=—","Direction=H","UseDPDF=Y")</f>
        <v>1.2475000000000001</v>
      </c>
      <c r="G9" s="14">
        <f>_xll.BDH("RCOM IN Equity","NORM_NET_INC_TO_NET_INC_FO_COM","FY 2013","FY 2013","Currency=INR","Period=FY","BEST_FPERIOD_OVERRIDE=FY","FILING_STATUS=MR","EQY_CONSOLIDATED=Y","FA_ADJUSTED=GAAP","Sort=A","Dates=H","DateFormat=P","Fill=—","Direction=H","UseDPDF=Y")</f>
        <v>0.99509999999999998</v>
      </c>
      <c r="H9" s="14">
        <f>_xll.BDH("RCOM IN Equity","NORM_NET_INC_TO_NET_INC_FO_COM","FY 2014","FY 2014","Currency=INR","Period=FY","BEST_FPERIOD_OVERRIDE=FY","FILING_STATUS=MR","EQY_CONSOLIDATED=Y","FA_ADJUSTED=GAAP","Sort=A","Dates=H","DateFormat=P","Fill=—","Direction=H","UseDPDF=Y")</f>
        <v>1.0068999999999999</v>
      </c>
      <c r="I9" s="14">
        <f>_xll.BDH("RCOM IN Equity","NORM_NET_INC_TO_NET_INC_FO_COM","FY 2015","FY 2015","Currency=INR","Period=FY","BEST_FPERIOD_OVERRIDE=FY","FILING_STATUS=MR","EQY_CONSOLIDATED=Y","FA_ADJUSTED=GAAP","Sort=A","Dates=H","DateFormat=P","Fill=—","Direction=H","UseDPDF=Y")</f>
        <v>0.97070000000000001</v>
      </c>
      <c r="J9" s="14">
        <f>_xll.BDH("RCOM IN Equity","NORM_NET_INC_TO_NET_INC_FO_COM","FY 2016","FY 2016","Currency=INR","Period=FY","BEST_FPERIOD_OVERRIDE=FY","FILING_STATUS=MR","EQY_CONSOLIDATED=Y","FA_ADJUSTED=GAAP","Sort=A","Dates=H","DateFormat=P","Fill=—","Direction=H","UseDPDF=Y")</f>
        <v>0.78</v>
      </c>
      <c r="K9" s="14" t="str">
        <f>_xll.BDH("RCOM IN Equity","NORM_NET_INC_TO_NET_INC_FO_COM","FY 2017","FY 2017","Currency=INR","Period=FY","BEST_FPERIOD_OVERRIDE=FY","FILING_STATUS=MR","EQY_CONSOLIDATED=Y","FA_ADJUSTED=GAAP","Sort=A","Dates=H","DateFormat=P","Fill=—","Direction=H","UseDPDF=Y")</f>
        <v>—</v>
      </c>
      <c r="L9" s="14" t="str">
        <f>_xll.BDH("RCOM IN Equity","NORM_NET_INC_TO_NET_INC_FO_COM","FY 2018","FY 2018","Currency=INR","Period=FY","BEST_FPERIOD_OVERRIDE=FY","FILING_STATUS=MR","EQY_CONSOLIDATED=Y","FA_ADJUSTED=GAAP","Sort=A","Dates=H","DateFormat=P","Fill=—","Direction=H","UseDPDF=Y")</f>
        <v>—</v>
      </c>
    </row>
    <row r="10" spans="1:12">
      <c r="A10" s="6" t="s">
        <v>1663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>
      <c r="A11" s="10" t="s">
        <v>1664</v>
      </c>
      <c r="B11" s="10" t="s">
        <v>1665</v>
      </c>
      <c r="C11" s="14">
        <f>_xll.BDH("RCOM IN Equity","INT_BURDEN","FY 2009","FY 2009","Currency=INR","Period=FY","BEST_FPERIOD_OVERRIDE=FY","FILING_STATUS=MR","EQY_CONSOLIDATED=Y","FA_ADJUSTED=GAAP","Sort=A","Dates=H","DateFormat=P","Fill=—","Direction=H","UseDPDF=Y")</f>
        <v>83.624799999999993</v>
      </c>
      <c r="D11" s="14">
        <f>_xll.BDH("RCOM IN Equity","INT_BURDEN","FY 2010","FY 2010","Currency=INR","Period=FY","BEST_FPERIOD_OVERRIDE=FY","FILING_STATUS=MR","EQY_CONSOLIDATED=Y","FA_ADJUSTED=GAAP","Sort=A","Dates=H","DateFormat=P","Fill=—","Direction=H","UseDPDF=Y")</f>
        <v>79.593999999999994</v>
      </c>
      <c r="E11" s="14">
        <f>_xll.BDH("RCOM IN Equity","INT_BURDEN","FY 2011","FY 2011","Currency=INR","Period=FY","BEST_FPERIOD_OVERRIDE=FY","FILING_STATUS=MR","EQY_CONSOLIDATED=Y","FA_ADJUSTED=GAAP","Sort=A","Dates=H","DateFormat=P","Fill=—","Direction=H","UseDPDF=Y")</f>
        <v>62.972200000000001</v>
      </c>
      <c r="F11" s="14">
        <f>_xll.BDH("RCOM IN Equity","INT_BURDEN","FY 2012","FY 2012","Currency=INR","Period=FY","BEST_FPERIOD_OVERRIDE=FY","FILING_STATUS=MR","EQY_CONSOLIDATED=Y","FA_ADJUSTED=GAAP","Sort=A","Dates=H","DateFormat=P","Fill=—","Direction=H","UseDPDF=Y")</f>
        <v>37.372900000000001</v>
      </c>
      <c r="G11" s="14">
        <f>_xll.BDH("RCOM IN Equity","INT_BURDEN","FY 2013","FY 2013","Currency=INR","Period=FY","BEST_FPERIOD_OVERRIDE=FY","FILING_STATUS=MR","EQY_CONSOLIDATED=Y","FA_ADJUSTED=GAAP","Sort=A","Dates=H","DateFormat=P","Fill=—","Direction=H","UseDPDF=Y")</f>
        <v>26.452500000000001</v>
      </c>
      <c r="H11" s="14">
        <f>_xll.BDH("RCOM IN Equity","INT_BURDEN","FY 2014","FY 2014","Currency=INR","Period=FY","BEST_FPERIOD_OVERRIDE=FY","FILING_STATUS=MR","EQY_CONSOLIDATED=Y","FA_ADJUSTED=GAAP","Sort=A","Dates=H","DateFormat=P","Fill=—","Direction=H","UseDPDF=Y")</f>
        <v>3.9889999999999999</v>
      </c>
      <c r="I11" s="14">
        <f>_xll.BDH("RCOM IN Equity","INT_BURDEN","FY 2015","FY 2015","Currency=INR","Period=FY","BEST_FPERIOD_OVERRIDE=FY","FILING_STATUS=MR","EQY_CONSOLIDATED=Y","FA_ADJUSTED=GAAP","Sort=A","Dates=H","DateFormat=P","Fill=—","Direction=H","UseDPDF=Y")</f>
        <v>27.733799999999999</v>
      </c>
      <c r="J11" s="14">
        <f>_xll.BDH("RCOM IN Equity","INT_BURDEN","FY 2016","FY 2016","Currency=INR","Period=FY","BEST_FPERIOD_OVERRIDE=FY","FILING_STATUS=MR","EQY_CONSOLIDATED=Y","FA_ADJUSTED=GAAP","Sort=A","Dates=H","DateFormat=P","Fill=—","Direction=H","UseDPDF=Y")</f>
        <v>9.1052</v>
      </c>
      <c r="K11" s="14">
        <f>_xll.BDH("RCOM IN Equity","INT_BURDEN","FY 2017","FY 2017","Currency=INR","Period=FY","BEST_FPERIOD_OVERRIDE=FY","FILING_STATUS=MR","EQY_CONSOLIDATED=Y","FA_ADJUSTED=GAAP","Sort=A","Dates=H","DateFormat=P","Fill=—","Direction=H","UseDPDF=Y")</f>
        <v>40.897100000000002</v>
      </c>
      <c r="L11" s="14">
        <f>_xll.BDH("RCOM IN Equity","INT_BURDEN","FY 2018","FY 2018","Currency=INR","Period=FY","BEST_FPERIOD_OVERRIDE=FY","FILING_STATUS=MR","EQY_CONSOLIDATED=Y","FA_ADJUSTED=GAAP","Sort=A","Dates=H","DateFormat=P","Fill=—","Direction=H","UseDPDF=Y")</f>
        <v>-1.8182</v>
      </c>
    </row>
    <row r="12" spans="1:12">
      <c r="A12" s="6" t="s">
        <v>358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>
      <c r="A13" s="10" t="s">
        <v>1666</v>
      </c>
      <c r="B13" s="10" t="s">
        <v>1667</v>
      </c>
      <c r="C13" s="14">
        <f>_xll.BDH("RCOM IN Equity","T12_EBIT_TO_REVENUE","FY 2009","FY 2009","Currency=INR","Period=FY","BEST_FPERIOD_OVERRIDE=FY","FILING_STATUS=MR","EQY_CONSOLIDATED=Y","FA_ADJUSTED=GAAP","Sort=A","Dates=H","DateFormat=P","Fill=—","Direction=H","UseDPDF=Y")</f>
        <v>35.723799999999997</v>
      </c>
      <c r="D13" s="14">
        <f>_xll.BDH("RCOM IN Equity","T12_EBIT_TO_REVENUE","FY 2010","FY 2010","Currency=INR","Period=FY","BEST_FPERIOD_OVERRIDE=FY","FILING_STATUS=MR","EQY_CONSOLIDATED=Y","FA_ADJUSTED=GAAP","Sort=A","Dates=H","DateFormat=P","Fill=—","Direction=H","UseDPDF=Y")</f>
        <v>31.7226</v>
      </c>
      <c r="E13" s="14">
        <f>_xll.BDH("RCOM IN Equity","T12_EBIT_TO_REVENUE","FY 2011","FY 2011","Currency=INR","Period=FY","BEST_FPERIOD_OVERRIDE=FY","FILING_STATUS=MR","EQY_CONSOLIDATED=Y","FA_ADJUSTED=GAAP","Sort=A","Dates=H","DateFormat=P","Fill=—","Direction=H","UseDPDF=Y")</f>
        <v>10.905900000000001</v>
      </c>
      <c r="F13" s="14">
        <f>_xll.BDH("RCOM IN Equity","T12_EBIT_TO_REVENUE","FY 2012","FY 2012","Currency=INR","Period=FY","BEST_FPERIOD_OVERRIDE=FY","FILING_STATUS=MR","EQY_CONSOLIDATED=Y","FA_ADJUSTED=GAAP","Sort=A","Dates=H","DateFormat=P","Fill=—","Direction=H","UseDPDF=Y")</f>
        <v>12.609500000000001</v>
      </c>
      <c r="G13" s="14">
        <f>_xll.BDH("RCOM IN Equity","T12_EBIT_TO_REVENUE","FY 2013","FY 2013","Currency=INR","Period=FY","BEST_FPERIOD_OVERRIDE=FY","FILING_STATUS=MR","EQY_CONSOLIDATED=Y","FA_ADJUSTED=GAAP","Sort=A","Dates=H","DateFormat=P","Fill=—","Direction=H","UseDPDF=Y")</f>
        <v>15.9687</v>
      </c>
      <c r="H13" s="14">
        <f>_xll.BDH("RCOM IN Equity","T12_EBIT_TO_REVENUE","FY 2014","FY 2014","Currency=INR","Period=FY","BEST_FPERIOD_OVERRIDE=FY","FILING_STATUS=MR","EQY_CONSOLIDATED=Y","FA_ADJUSTED=GAAP","Sort=A","Dates=H","DateFormat=P","Fill=—","Direction=H","UseDPDF=Y")</f>
        <v>13.8873</v>
      </c>
      <c r="I13" s="14">
        <f>_xll.BDH("RCOM IN Equity","T12_EBIT_TO_REVENUE","FY 2015","FY 2015","Currency=INR","Period=FY","BEST_FPERIOD_OVERRIDE=FY","FILING_STATUS=MR","EQY_CONSOLIDATED=Y","FA_ADJUSTED=GAAP","Sort=A","Dates=H","DateFormat=P","Fill=—","Direction=H","UseDPDF=Y")</f>
        <v>15.9221</v>
      </c>
      <c r="J13" s="14">
        <f>_xll.BDH("RCOM IN Equity","T12_EBIT_TO_REVENUE","FY 2016","FY 2016","Currency=INR","Period=FY","BEST_FPERIOD_OVERRIDE=FY","FILING_STATUS=MR","EQY_CONSOLIDATED=Y","FA_ADJUSTED=GAAP","Sort=A","Dates=H","DateFormat=P","Fill=—","Direction=H","UseDPDF=Y")</f>
        <v>11.7187</v>
      </c>
      <c r="K13" s="14">
        <f>_xll.BDH("RCOM IN Equity","T12_EBIT_TO_REVENUE","FY 2017","FY 2017","Currency=INR","Period=FY","BEST_FPERIOD_OVERRIDE=FY","FILING_STATUS=MR","EQY_CONSOLIDATED=Y","FA_ADJUSTED=GAAP","Sort=A","Dates=H","DateFormat=P","Fill=—","Direction=H","UseDPDF=Y")</f>
        <v>5.7827000000000002</v>
      </c>
      <c r="L13" s="14">
        <f>_xll.BDH("RCOM IN Equity","T12_EBIT_TO_REVENUE","FY 2018","FY 2018","Currency=INR","Period=FY","BEST_FPERIOD_OVERRIDE=FY","FILING_STATUS=MR","EQY_CONSOLIDATED=Y","FA_ADJUSTED=GAAP","Sort=A","Dates=H","DateFormat=P","Fill=—","Direction=H","UseDPDF=Y")</f>
        <v>3.5924</v>
      </c>
    </row>
    <row r="14" spans="1:12">
      <c r="A14" s="6" t="s">
        <v>1668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>
      <c r="A15" s="10" t="s">
        <v>1669</v>
      </c>
      <c r="B15" s="10" t="s">
        <v>1670</v>
      </c>
      <c r="C15" s="14">
        <f>_xll.BDH("RCOM IN Equity","ASSET_TURNOVER","FY 2009","FY 2009","Currency=INR","Period=FY","BEST_FPERIOD_OVERRIDE=FY","FILING_STATUS=MR","EQY_CONSOLIDATED=Y","FA_ADJUSTED=GAAP","Sort=A","Dates=H","DateFormat=P","Fill=—","Direction=H","UseDPDF=Y")</f>
        <v>0.23089999999999999</v>
      </c>
      <c r="D15" s="14">
        <f>_xll.BDH("RCOM IN Equity","ASSET_TURNOVER","FY 2010","FY 2010","Currency=INR","Period=FY","BEST_FPERIOD_OVERRIDE=FY","FILING_STATUS=MR","EQY_CONSOLIDATED=Y","FA_ADJUSTED=GAAP","Sort=A","Dates=H","DateFormat=P","Fill=—","Direction=H","UseDPDF=Y")</f>
        <v>0.21240000000000001</v>
      </c>
      <c r="E15" s="14">
        <f>_xll.BDH("RCOM IN Equity","ASSET_TURNOVER","FY 2011","FY 2011","Currency=INR","Period=FY","BEST_FPERIOD_OVERRIDE=FY","FILING_STATUS=MR","EQY_CONSOLIDATED=Y","FA_ADJUSTED=GAAP","Sort=A","Dates=H","DateFormat=P","Fill=—","Direction=H","UseDPDF=Y")</f>
        <v>0.2359</v>
      </c>
      <c r="F15" s="14">
        <f>_xll.BDH("RCOM IN Equity","ASSET_TURNOVER","FY 2012","FY 2012","Currency=INR","Period=FY","BEST_FPERIOD_OVERRIDE=FY","FILING_STATUS=MR","EQY_CONSOLIDATED=Y","FA_ADJUSTED=GAAP","Sort=A","Dates=H","DateFormat=P","Fill=—","Direction=H","UseDPDF=Y")</f>
        <v>0.20019999999999999</v>
      </c>
      <c r="G15" s="14">
        <f>_xll.BDH("RCOM IN Equity","ASSET_TURNOVER","FY 2013","FY 2013","Currency=INR","Period=FY","BEST_FPERIOD_OVERRIDE=FY","FILING_STATUS=MR","EQY_CONSOLIDATED=Y","FA_ADJUSTED=GAAP","Sort=A","Dates=H","DateFormat=P","Fill=—","Direction=H","UseDPDF=Y")</f>
        <v>0.21149999999999999</v>
      </c>
      <c r="H15" s="14">
        <f>_xll.BDH("RCOM IN Equity","ASSET_TURNOVER","FY 2014","FY 2014","Currency=INR","Period=FY","BEST_FPERIOD_OVERRIDE=FY","FILING_STATUS=MR","EQY_CONSOLIDATED=Y","FA_ADJUSTED=GAAP","Sort=A","Dates=H","DateFormat=P","Fill=—","Direction=H","UseDPDF=Y")</f>
        <v>0.23150000000000001</v>
      </c>
      <c r="I15" s="14">
        <f>_xll.BDH("RCOM IN Equity","ASSET_TURNOVER","FY 2015","FY 2015","Currency=INR","Period=FY","BEST_FPERIOD_OVERRIDE=FY","FILING_STATUS=MR","EQY_CONSOLIDATED=Y","FA_ADJUSTED=GAAP","Sort=A","Dates=H","DateFormat=P","Fill=—","Direction=H","UseDPDF=Y")</f>
        <v>0.23319999999999999</v>
      </c>
      <c r="J15" s="14">
        <f>_xll.BDH("RCOM IN Equity","ASSET_TURNOVER","FY 2016","FY 2016","Currency=INR","Period=FY","BEST_FPERIOD_OVERRIDE=FY","FILING_STATUS=MR","EQY_CONSOLIDATED=Y","FA_ADJUSTED=GAAP","Sort=A","Dates=H","DateFormat=P","Fill=—","Direction=H","UseDPDF=Y")</f>
        <v>0.2213</v>
      </c>
      <c r="K15" s="14">
        <f>_xll.BDH("RCOM IN Equity","ASSET_TURNOVER","FY 2017","FY 2017","Currency=INR","Period=FY","BEST_FPERIOD_OVERRIDE=FY","FILING_STATUS=MR","EQY_CONSOLIDATED=Y","FA_ADJUSTED=GAAP","Sort=A","Dates=H","DateFormat=P","Fill=—","Direction=H","UseDPDF=Y")</f>
        <v>6.4500000000000002E-2</v>
      </c>
      <c r="L15" s="14">
        <f>_xll.BDH("RCOM IN Equity","ASSET_TURNOVER","FY 2018","FY 2018","Currency=INR","Period=FY","BEST_FPERIOD_OVERRIDE=FY","FILING_STATUS=MR","EQY_CONSOLIDATED=Y","FA_ADJUSTED=GAAP","Sort=A","Dates=H","DateFormat=P","Fill=—","Direction=H","UseDPDF=Y")</f>
        <v>5.2699999999999997E-2</v>
      </c>
    </row>
    <row r="16" spans="1:12">
      <c r="A16" s="6" t="s">
        <v>1671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10" t="s">
        <v>1672</v>
      </c>
      <c r="B17" s="10" t="s">
        <v>1673</v>
      </c>
      <c r="C17" s="14">
        <f>_xll.BDH("RCOM IN Equity","FNCL_LVRG","FY 2009","FY 2009","Currency=INR","Period=FY","BEST_FPERIOD_OVERRIDE=FY","FILING_STATUS=MR","EQY_CONSOLIDATED=Y","Sort=A","Dates=H","DateFormat=P","Fill=—","Direction=H","UseDPDF=Y")</f>
        <v>2.5196000000000001</v>
      </c>
      <c r="D17" s="14">
        <f>_xll.BDH("RCOM IN Equity","FNCL_LVRG","FY 2010","FY 2010","Currency=INR","Period=FY","BEST_FPERIOD_OVERRIDE=FY","FILING_STATUS=MR","EQY_CONSOLIDATED=Y","Sort=A","Dates=H","DateFormat=P","Fill=—","Direction=H","UseDPDF=Y")</f>
        <v>2.2743000000000002</v>
      </c>
      <c r="E17" s="14">
        <f>_xll.BDH("RCOM IN Equity","FNCL_LVRG","FY 2011","FY 2011","Currency=INR","Period=FY","BEST_FPERIOD_OVERRIDE=FY","FILING_STATUS=MR","EQY_CONSOLIDATED=Y","Sort=A","Dates=H","DateFormat=P","Fill=—","Direction=H","UseDPDF=Y")</f>
        <v>2.2334000000000001</v>
      </c>
      <c r="F17" s="14">
        <f>_xll.BDH("RCOM IN Equity","FNCL_LVRG","FY 2012","FY 2012","Currency=INR","Period=FY","BEST_FPERIOD_OVERRIDE=FY","FILING_STATUS=MR","EQY_CONSOLIDATED=Y","Sort=A","Dates=H","DateFormat=P","Fill=—","Direction=H","UseDPDF=Y")</f>
        <v>2.4348999999999998</v>
      </c>
      <c r="G17" s="14">
        <f>_xll.BDH("RCOM IN Equity","FNCL_LVRG","FY 2013","FY 2013","Currency=INR","Period=FY","BEST_FPERIOD_OVERRIDE=FY","FILING_STATUS=MR","EQY_CONSOLIDATED=Y","Sort=A","Dates=H","DateFormat=P","Fill=—","Direction=H","UseDPDF=Y")</f>
        <v>2.601</v>
      </c>
      <c r="H17" s="14">
        <f>_xll.BDH("RCOM IN Equity","FNCL_LVRG","FY 2014","FY 2014","Currency=INR","Period=FY","BEST_FPERIOD_OVERRIDE=FY","FILING_STATUS=MR","EQY_CONSOLIDATED=Y","Sort=A","Dates=H","DateFormat=P","Fill=—","Direction=H","UseDPDF=Y")</f>
        <v>2.7147000000000001</v>
      </c>
      <c r="I17" s="14">
        <f>_xll.BDH("RCOM IN Equity","FNCL_LVRG","FY 2015","FY 2015","Currency=INR","Period=FY","BEST_FPERIOD_OVERRIDE=FY","FILING_STATUS=MR","EQY_CONSOLIDATED=Y","Sort=A","Dates=H","DateFormat=P","Fill=—","Direction=H","UseDPDF=Y")</f>
        <v>2.5979999999999999</v>
      </c>
      <c r="J17" s="14">
        <f>_xll.BDH("RCOM IN Equity","FNCL_LVRG","FY 2016","FY 2016","Currency=INR","Period=FY","BEST_FPERIOD_OVERRIDE=FY","FILING_STATUS=MR","EQY_CONSOLIDATED=Y","Sort=A","Dates=H","DateFormat=P","Fill=—","Direction=H","UseDPDF=Y")</f>
        <v>2.8262</v>
      </c>
      <c r="K17" s="14">
        <f>_xll.BDH("RCOM IN Equity","FNCL_LVRG","FY 2017","FY 2017","Currency=INR","Period=FY","BEST_FPERIOD_OVERRIDE=FY","FILING_STATUS=MR","EQY_CONSOLIDATED=Y","Sort=A","Dates=H","DateFormat=P","Fill=—","Direction=H","UseDPDF=Y")</f>
        <v>3.3778999999999999</v>
      </c>
      <c r="L17" s="14">
        <f>_xll.BDH("RCOM IN Equity","FNCL_LVRG","FY 2018","FY 2018","Currency=INR","Period=FY","BEST_FPERIOD_OVERRIDE=FY","FILING_STATUS=MR","EQY_CONSOLIDATED=Y","Sort=A","Dates=H","DateFormat=P","Fill=—","Direction=H","UseDPDF=Y")</f>
        <v>5.5597000000000003</v>
      </c>
    </row>
    <row r="18" spans="1:12">
      <c r="A18" s="10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0" t="s">
        <v>1674</v>
      </c>
      <c r="B19" s="10" t="s">
        <v>1675</v>
      </c>
      <c r="C19" s="14">
        <f>_xll.BDH("RCOM IN Equity","NORMALIZED_ROE","FY 2009","FY 2009","Currency=INR","Period=FY","BEST_FPERIOD_OVERRIDE=FY","FILING_STATUS=MR","EQY_CONSOLIDATED=Y","FA_ADJUSTED=GAAP","Sort=A","Dates=H","DateFormat=P","Fill=—","Direction=H","UseDPDF=Y")</f>
        <v>16.3476</v>
      </c>
      <c r="D19" s="14">
        <f>_xll.BDH("RCOM IN Equity","NORMALIZED_ROE","FY 2010","FY 2010","Currency=INR","Period=FY","BEST_FPERIOD_OVERRIDE=FY","FILING_STATUS=MR","EQY_CONSOLIDATED=Y","FA_ADJUSTED=GAAP","Sort=A","Dates=H","DateFormat=P","Fill=—","Direction=H","UseDPDF=Y")</f>
        <v>11.0205</v>
      </c>
      <c r="E19" s="14">
        <f>_xll.BDH("RCOM IN Equity","NORMALIZED_ROE","FY 2011","FY 2011","Currency=INR","Period=FY","BEST_FPERIOD_OVERRIDE=FY","FILING_STATUS=MR","EQY_CONSOLIDATED=Y","FA_ADJUSTED=GAAP","Sort=A","Dates=H","DateFormat=P","Fill=—","Direction=H","UseDPDF=Y")</f>
        <v>2.5827</v>
      </c>
      <c r="F19" s="14">
        <f>_xll.BDH("RCOM IN Equity","NORMALIZED_ROE","FY 2012","FY 2012","Currency=INR","Period=FY","BEST_FPERIOD_OVERRIDE=FY","FILING_STATUS=MR","EQY_CONSOLIDATED=Y","FA_ADJUSTED=GAAP","Sort=A","Dates=H","DateFormat=P","Fill=—","Direction=H","UseDPDF=Y")</f>
        <v>3.0150000000000001</v>
      </c>
      <c r="G19" s="14">
        <f>_xll.BDH("RCOM IN Equity","NORMALIZED_ROE","FY 2013","FY 2013","Currency=INR","Period=FY","BEST_FPERIOD_OVERRIDE=FY","FILING_STATUS=MR","EQY_CONSOLIDATED=Y","FA_ADJUSTED=GAAP","Sort=A","Dates=H","DateFormat=P","Fill=—","Direction=H","UseDPDF=Y")</f>
        <v>1.9066000000000001</v>
      </c>
      <c r="H19" s="14">
        <f>_xll.BDH("RCOM IN Equity","NORMALIZED_ROE","FY 2014","FY 2014","Currency=INR","Period=FY","BEST_FPERIOD_OVERRIDE=FY","FILING_STATUS=MR","EQY_CONSOLIDATED=Y","FA_ADJUSTED=GAAP","Sort=A","Dates=H","DateFormat=P","Fill=—","Direction=H","UseDPDF=Y")</f>
        <v>3.1638000000000002</v>
      </c>
      <c r="I19" s="14">
        <f>_xll.BDH("RCOM IN Equity","NORMALIZED_ROE","FY 2015","FY 2015","Currency=INR","Period=FY","BEST_FPERIOD_OVERRIDE=FY","FILING_STATUS=MR","EQY_CONSOLIDATED=Y","FA_ADJUSTED=GAAP","Sort=A","Dates=H","DateFormat=P","Fill=—","Direction=H","UseDPDF=Y")</f>
        <v>1.9597</v>
      </c>
      <c r="J19" s="14">
        <f>_xll.BDH("RCOM IN Equity","NORMALIZED_ROE","FY 2016","FY 2016","Currency=INR","Period=FY","BEST_FPERIOD_OVERRIDE=FY","FILING_STATUS=MR","EQY_CONSOLIDATED=Y","FA_ADJUSTED=GAAP","Sort=A","Dates=H","DateFormat=P","Fill=—","Direction=H","UseDPDF=Y")</f>
        <v>1.4339</v>
      </c>
      <c r="K19" s="14">
        <f>_xll.BDH("RCOM IN Equity","NORMALIZED_ROE","FY 2017","FY 2017","Currency=INR","Period=FY","BEST_FPERIOD_OVERRIDE=FY","FILING_STATUS=MR","EQY_CONSOLIDATED=Y","FA_ADJUSTED=GAAP","Sort=A","Dates=H","DateFormat=P","Fill=—","Direction=H","UseDPDF=Y")</f>
        <v>0.41560000000000002</v>
      </c>
      <c r="L19" s="14">
        <f>_xll.BDH("RCOM IN Equity","NORMALIZED_ROE","FY 2018","FY 2018","Currency=INR","Period=FY","BEST_FPERIOD_OVERRIDE=FY","FILING_STATUS=MR","EQY_CONSOLIDATED=Y","FA_ADJUSTED=GAAP","Sort=A","Dates=H","DateFormat=P","Fill=—","Direction=H","UseDPDF=Y")</f>
        <v>0.31259999999999999</v>
      </c>
    </row>
    <row r="20" spans="1:12">
      <c r="A20" s="10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>
      <c r="A21" s="10" t="s">
        <v>1676</v>
      </c>
      <c r="B21" s="10" t="s">
        <v>1677</v>
      </c>
      <c r="C21" s="14" t="str">
        <f>_xll.BDH("RCOM IN Equity","5_YEAR_AVERAGE_ADJUSTED_ROE","FY 2009","FY 2009","Currency=INR","Period=FY","BEST_FPERIOD_OVERRIDE=FY","FILING_STATUS=MR","EQY_CONSOLIDATED=Y","FA_ADJUSTED=GAAP","Sort=A","Dates=H","DateFormat=P","Fill=—","Direction=H","UseDPDF=Y")</f>
        <v>—</v>
      </c>
      <c r="D21" s="14" t="str">
        <f>_xll.BDH("RCOM IN Equity","5_YEAR_AVERAGE_ADJUSTED_ROE","FY 2010","FY 2010","Currency=INR","Period=FY","BEST_FPERIOD_OVERRIDE=FY","FILING_STATUS=MR","EQY_CONSOLIDATED=Y","FA_ADJUSTED=GAAP","Sort=A","Dates=H","DateFormat=P","Fill=—","Direction=H","UseDPDF=Y")</f>
        <v>—</v>
      </c>
      <c r="E21" s="14" t="str">
        <f>_xll.BDH("RCOM IN Equity","5_YEAR_AVERAGE_ADJUSTED_ROE","FY 2011","FY 2011","Currency=INR","Period=FY","BEST_FPERIOD_OVERRIDE=FY","FILING_STATUS=MR","EQY_CONSOLIDATED=Y","FA_ADJUSTED=GAAP","Sort=A","Dates=H","DateFormat=P","Fill=—","Direction=H","UseDPDF=Y")</f>
        <v>—</v>
      </c>
      <c r="F21" s="14" t="str">
        <f>_xll.BDH("RCOM IN Equity","5_YEAR_AVERAGE_ADJUSTED_ROE","FY 2012","FY 2012","Currency=INR","Period=FY","BEST_FPERIOD_OVERRIDE=FY","FILING_STATUS=MR","EQY_CONSOLIDATED=Y","FA_ADJUSTED=GAAP","Sort=A","Dates=H","DateFormat=P","Fill=—","Direction=H","UseDPDF=Y")</f>
        <v>—</v>
      </c>
      <c r="G21" s="14">
        <f>_xll.BDH("RCOM IN Equity","5_YEAR_AVERAGE_ADJUSTED_ROE","FY 2013","FY 2013","Currency=INR","Period=FY","BEST_FPERIOD_OVERRIDE=FY","FILING_STATUS=MR","EQY_CONSOLIDATED=Y","FA_ADJUSTED=GAAP","Sort=A","Dates=H","DateFormat=P","Fill=—","Direction=H","UseDPDF=Y")</f>
        <v>6.9744999999999999</v>
      </c>
      <c r="H21" s="14">
        <f>_xll.BDH("RCOM IN Equity","5_YEAR_AVERAGE_ADJUSTED_ROE","FY 2014","FY 2014","Currency=INR","Period=FY","BEST_FPERIOD_OVERRIDE=FY","FILING_STATUS=MR","EQY_CONSOLIDATED=Y","FA_ADJUSTED=GAAP","Sort=A","Dates=H","DateFormat=P","Fill=—","Direction=H","UseDPDF=Y")</f>
        <v>4.3376999999999999</v>
      </c>
      <c r="I21" s="14">
        <f>_xll.BDH("RCOM IN Equity","5_YEAR_AVERAGE_ADJUSTED_ROE","FY 2015","FY 2015","Currency=INR","Period=FY","BEST_FPERIOD_OVERRIDE=FY","FILING_STATUS=MR","EQY_CONSOLIDATED=Y","FA_ADJUSTED=GAAP","Sort=A","Dates=H","DateFormat=P","Fill=—","Direction=H","UseDPDF=Y")</f>
        <v>2.5255000000000001</v>
      </c>
      <c r="J21" s="14">
        <f>_xll.BDH("RCOM IN Equity","5_YEAR_AVERAGE_ADJUSTED_ROE","FY 2016","FY 2016","Currency=INR","Period=FY","BEST_FPERIOD_OVERRIDE=FY","FILING_STATUS=MR","EQY_CONSOLIDATED=Y","FA_ADJUSTED=GAAP","Sort=A","Dates=H","DateFormat=P","Fill=—","Direction=H","UseDPDF=Y")</f>
        <v>2.2957999999999998</v>
      </c>
      <c r="K21" s="14">
        <f>_xll.BDH("RCOM IN Equity","5_YEAR_AVERAGE_ADJUSTED_ROE","FY 2017","FY 2017","Currency=INR","Period=FY","BEST_FPERIOD_OVERRIDE=FY","FILING_STATUS=MR","EQY_CONSOLIDATED=Y","FA_ADJUSTED=GAAP","Sort=A","Dates=H","DateFormat=P","Fill=—","Direction=H","UseDPDF=Y")</f>
        <v>1.7759</v>
      </c>
      <c r="L21" s="14">
        <f>_xll.BDH("RCOM IN Equity","5_YEAR_AVERAGE_ADJUSTED_ROE","FY 2018","FY 2018","Currency=INR","Period=FY","BEST_FPERIOD_OVERRIDE=FY","FILING_STATUS=MR","EQY_CONSOLIDATED=Y","FA_ADJUSTED=GAAP","Sort=A","Dates=H","DateFormat=P","Fill=—","Direction=H","UseDPDF=Y")</f>
        <v>1.4571000000000001</v>
      </c>
    </row>
    <row r="22" spans="1:12">
      <c r="A22" s="10" t="s">
        <v>1678</v>
      </c>
      <c r="B22" s="10" t="s">
        <v>1445</v>
      </c>
      <c r="C22" s="14">
        <f>_xll.BDH("RCOM IN Equity","DVD_PAYOUT_RATIO","FY 2009","FY 2009","Currency=INR","Period=FY","BEST_FPERIOD_OVERRIDE=FY","FILING_STATUS=MR","EQY_CONSOLIDATED=Y","FA_ADJUSTED=GAAP","Sort=A","Dates=H","DateFormat=P","Fill=—","Direction=H","UseDPDF=Y")</f>
        <v>2.7315</v>
      </c>
      <c r="D22" s="14">
        <f>_xll.BDH("RCOM IN Equity","DVD_PAYOUT_RATIO","FY 2010","FY 2010","Currency=INR","Period=FY","BEST_FPERIOD_OVERRIDE=FY","FILING_STATUS=MR","EQY_CONSOLIDATED=Y","FA_ADJUSTED=GAAP","Sort=A","Dates=H","DateFormat=P","Fill=—","Direction=H","UseDPDF=Y")</f>
        <v>3.7688999999999999</v>
      </c>
      <c r="E22" s="14">
        <f>_xll.BDH("RCOM IN Equity","DVD_PAYOUT_RATIO","FY 2011","FY 2011","Currency=INR","Period=FY","BEST_FPERIOD_OVERRIDE=FY","FILING_STATUS=MR","EQY_CONSOLIDATED=Y","FA_ADJUSTED=GAAP","Sort=A","Dates=H","DateFormat=P","Fill=—","Direction=H","UseDPDF=Y")</f>
        <v>7.6580000000000004</v>
      </c>
      <c r="F22" s="14">
        <f>_xll.BDH("RCOM IN Equity","DVD_PAYOUT_RATIO","FY 2012","FY 2012","Currency=INR","Period=FY","BEST_FPERIOD_OVERRIDE=FY","FILING_STATUS=MR","EQY_CONSOLIDATED=Y","FA_ADJUSTED=GAAP","Sort=A","Dates=H","DateFormat=P","Fill=—","Direction=H","UseDPDF=Y")</f>
        <v>5.6033999999999997</v>
      </c>
      <c r="G22" s="14">
        <f>_xll.BDH("RCOM IN Equity","DVD_PAYOUT_RATIO","FY 2013","FY 2013","Currency=INR","Period=FY","BEST_FPERIOD_OVERRIDE=FY","FILING_STATUS=MR","EQY_CONSOLIDATED=Y","FA_ADJUSTED=GAAP","Sort=A","Dates=H","DateFormat=P","Fill=—","Direction=H","UseDPDF=Y")</f>
        <v>7.7381000000000002</v>
      </c>
      <c r="H22" s="14">
        <f>_xll.BDH("RCOM IN Equity","DVD_PAYOUT_RATIO","FY 2014","FY 2014","Currency=INR","Period=FY","BEST_FPERIOD_OVERRIDE=FY","FILING_STATUS=MR","EQY_CONSOLIDATED=Y","FA_ADJUSTED=GAAP","Sort=A","Dates=H","DateFormat=P","Fill=—","Direction=H","UseDPDF=Y")</f>
        <v>0</v>
      </c>
      <c r="I22" s="14">
        <f>_xll.BDH("RCOM IN Equity","DVD_PAYOUT_RATIO","FY 2015","FY 2015","Currency=INR","Period=FY","BEST_FPERIOD_OVERRIDE=FY","FILING_STATUS=MR","EQY_CONSOLIDATED=Y","FA_ADJUSTED=GAAP","Sort=A","Dates=H","DateFormat=P","Fill=—","Direction=H","UseDPDF=Y")</f>
        <v>0</v>
      </c>
      <c r="J22" s="14">
        <f>_xll.BDH("RCOM IN Equity","DVD_PAYOUT_RATIO","FY 2016","FY 2016","Currency=INR","Period=FY","BEST_FPERIOD_OVERRIDE=FY","FILING_STATUS=MR","EQY_CONSOLIDATED=Y","FA_ADJUSTED=GAAP","Sort=A","Dates=H","DateFormat=P","Fill=—","Direction=H","UseDPDF=Y")</f>
        <v>0</v>
      </c>
      <c r="K22" s="14">
        <f>_xll.BDH("RCOM IN Equity","DVD_PAYOUT_RATIO","FY 2017","FY 2017","Currency=INR","Period=FY","BEST_FPERIOD_OVERRIDE=FY","FILING_STATUS=MR","EQY_CONSOLIDATED=Y","FA_ADJUSTED=GAAP","Sort=A","Dates=H","DateFormat=P","Fill=—","Direction=H","UseDPDF=Y")</f>
        <v>0</v>
      </c>
      <c r="L22" s="14">
        <f>_xll.BDH("RCOM IN Equity","DVD_PAYOUT_RATIO","FY 2018","FY 2018","Currency=INR","Period=FY","BEST_FPERIOD_OVERRIDE=FY","FILING_STATUS=MR","EQY_CONSOLIDATED=Y","FA_ADJUSTED=GAAP","Sort=A","Dates=H","DateFormat=P","Fill=—","Direction=H","UseDPDF=Y")</f>
        <v>0</v>
      </c>
    </row>
    <row r="23" spans="1:12">
      <c r="A23" s="10" t="s">
        <v>1446</v>
      </c>
      <c r="B23" s="10" t="s">
        <v>1447</v>
      </c>
      <c r="C23" s="14">
        <f>_xll.BDH("RCOM IN Equity","SUSTAIN_GROWTH_RT","FY 2009","FY 2009","Currency=INR","Period=FY","BEST_FPERIOD_OVERRIDE=FY","FILING_STATUS=MR","EQY_CONSOLIDATED=Y","FA_ADJUSTED=GAAP","Sort=A","Dates=H","DateFormat=P","Fill=—","Direction=H","UseDPDF=Y")</f>
        <v>16.491599999999998</v>
      </c>
      <c r="D23" s="14">
        <f>_xll.BDH("RCOM IN Equity","SUSTAIN_GROWTH_RT","FY 2010","FY 2010","Currency=INR","Period=FY","BEST_FPERIOD_OVERRIDE=FY","FILING_STATUS=MR","EQY_CONSOLIDATED=Y","FA_ADJUSTED=GAAP","Sort=A","Dates=H","DateFormat=P","Fill=—","Direction=H","UseDPDF=Y")</f>
        <v>10.4613</v>
      </c>
      <c r="E23" s="14">
        <f>_xll.BDH("RCOM IN Equity","SUSTAIN_GROWTH_RT","FY 2011","FY 2011","Currency=INR","Period=FY","BEST_FPERIOD_OVERRIDE=FY","FILING_STATUS=MR","EQY_CONSOLIDATED=Y","FA_ADJUSTED=GAAP","Sort=A","Dates=H","DateFormat=P","Fill=—","Direction=H","UseDPDF=Y")</f>
        <v>2.9621</v>
      </c>
      <c r="F23" s="14">
        <f>_xll.BDH("RCOM IN Equity","SUSTAIN_GROWTH_RT","FY 2012","FY 2012","Currency=INR","Period=FY","BEST_FPERIOD_OVERRIDE=FY","FILING_STATUS=MR","EQY_CONSOLIDATED=Y","FA_ADJUSTED=GAAP","Sort=A","Dates=H","DateFormat=P","Fill=—","Direction=H","UseDPDF=Y")</f>
        <v>2.2814000000000001</v>
      </c>
      <c r="G23" s="14">
        <f>_xll.BDH("RCOM IN Equity","SUSTAIN_GROWTH_RT","FY 2013","FY 2013","Currency=INR","Period=FY","BEST_FPERIOD_OVERRIDE=FY","FILING_STATUS=MR","EQY_CONSOLIDATED=Y","FA_ADJUSTED=GAAP","Sort=A","Dates=H","DateFormat=P","Fill=—","Direction=H","UseDPDF=Y")</f>
        <v>1.7677</v>
      </c>
      <c r="H23" s="14">
        <f>_xll.BDH("RCOM IN Equity","SUSTAIN_GROWTH_RT","FY 2014","FY 2014","Currency=INR","Period=FY","BEST_FPERIOD_OVERRIDE=FY","FILING_STATUS=MR","EQY_CONSOLIDATED=Y","FA_ADJUSTED=GAAP","Sort=A","Dates=H","DateFormat=P","Fill=—","Direction=H","UseDPDF=Y")</f>
        <v>3.1419999999999999</v>
      </c>
      <c r="I23" s="14">
        <f>_xll.BDH("RCOM IN Equity","SUSTAIN_GROWTH_RT","FY 2015","FY 2015","Currency=INR","Period=FY","BEST_FPERIOD_OVERRIDE=FY","FILING_STATUS=MR","EQY_CONSOLIDATED=Y","FA_ADJUSTED=GAAP","Sort=A","Dates=H","DateFormat=P","Fill=—","Direction=H","UseDPDF=Y")</f>
        <v>2.0188999999999999</v>
      </c>
      <c r="J23" s="14">
        <f>_xll.BDH("RCOM IN Equity","SUSTAIN_GROWTH_RT","FY 2016","FY 2016","Currency=INR","Period=FY","BEST_FPERIOD_OVERRIDE=FY","FILING_STATUS=MR","EQY_CONSOLIDATED=Y","FA_ADJUSTED=GAAP","Sort=A","Dates=H","DateFormat=P","Fill=—","Direction=H","UseDPDF=Y")</f>
        <v>1.8383</v>
      </c>
      <c r="K23" s="14">
        <f>_xll.BDH("RCOM IN Equity","SUSTAIN_GROWTH_RT","FY 2017","FY 2017","Currency=INR","Period=FY","BEST_FPERIOD_OVERRIDE=FY","FILING_STATUS=MR","EQY_CONSOLIDATED=Y","FA_ADJUSTED=GAAP","Sort=A","Dates=H","DateFormat=P","Fill=—","Direction=H","UseDPDF=Y")</f>
        <v>-4.6647999999999996</v>
      </c>
      <c r="L23" s="14">
        <f>_xll.BDH("RCOM IN Equity","SUSTAIN_GROWTH_RT","FY 2018","FY 2018","Currency=INR","Period=FY","BEST_FPERIOD_OVERRIDE=FY","FILING_STATUS=MR","EQY_CONSOLIDATED=Y","FA_ADJUSTED=GAAP","Sort=A","Dates=H","DateFormat=P","Fill=—","Direction=H","UseDPDF=Y")</f>
        <v>-152.07320000000001</v>
      </c>
    </row>
    <row r="24" spans="1:12">
      <c r="A24" s="7" t="s">
        <v>57</v>
      </c>
      <c r="B24" s="7"/>
      <c r="C24" s="7" t="s">
        <v>3</v>
      </c>
      <c r="D24" s="7"/>
      <c r="E24" s="7"/>
      <c r="F24" s="7"/>
      <c r="G24" s="7"/>
      <c r="H24" s="7"/>
      <c r="I24" s="7"/>
      <c r="J24" s="7"/>
      <c r="K24" s="7"/>
      <c r="L24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1679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10" t="s">
        <v>1680</v>
      </c>
      <c r="B6" s="10" t="s">
        <v>372</v>
      </c>
      <c r="C6" s="13">
        <f>_xll.BDH("RCOM IN Equity","IS_DEPR_EXP","FY 2009","FY 2009","Currency=INR","Period=FY","BEST_FPERIOD_OVERRIDE=FY","FILING_STATUS=MR","EQY_CONSOLIDATED=Y","SCALING_FORMAT=MLN","Sort=A","Dates=H","DateFormat=P","Fill=—","Direction=H","UseDPDF=Y")</f>
        <v>32737</v>
      </c>
      <c r="D6" s="13">
        <f>_xll.BDH("RCOM IN Equity","IS_DEPR_EXP","FY 2010","FY 2010","Currency=INR","Period=FY","BEST_FPERIOD_OVERRIDE=FY","FILING_STATUS=MR","EQY_CONSOLIDATED=Y","SCALING_FORMAT=MLN","Sort=A","Dates=H","DateFormat=P","Fill=—","Direction=H","UseDPDF=Y")</f>
        <v>28646</v>
      </c>
      <c r="E6" s="13">
        <f>_xll.BDH("RCOM IN Equity","IS_DEPR_EXP","FY 2011","FY 2011","Currency=INR","Period=FY","BEST_FPERIOD_OVERRIDE=FY","FILING_STATUS=MR","EQY_CONSOLIDATED=Y","SCALING_FORMAT=MLN","Sort=A","Dates=H","DateFormat=P","Fill=—","Direction=H","UseDPDF=Y")</f>
        <v>37440</v>
      </c>
      <c r="F6" s="13">
        <f>_xll.BDH("RCOM IN Equity","IS_DEPR_EXP","FY 2012","FY 2012","Currency=INR","Period=FY","BEST_FPERIOD_OVERRIDE=FY","FILING_STATUS=MR","EQY_CONSOLIDATED=Y","SCALING_FORMAT=MLN","Sort=A","Dates=H","DateFormat=P","Fill=—","Direction=H","UseDPDF=Y")</f>
        <v>16370</v>
      </c>
      <c r="G6" s="13">
        <f>_xll.BDH("RCOM IN Equity","IS_DEPR_EXP","FY 2013","FY 2013","Currency=INR","Period=FY","BEST_FPERIOD_OVERRIDE=FY","FILING_STATUS=MR","EQY_CONSOLIDATED=Y","SCALING_FORMAT=MLN","Sort=A","Dates=H","DateFormat=P","Fill=—","Direction=H","UseDPDF=Y")</f>
        <v>19080</v>
      </c>
      <c r="H6" s="13" t="str">
        <f>_xll.BDH("RCOM IN Equity","IS_DEPR_EXP","FY 2014","FY 2014","Currency=INR","Period=FY","BEST_FPERIOD_OVERRIDE=FY","FILING_STATUS=MR","EQY_CONSOLIDATED=Y","SCALING_FORMAT=MLN","Sort=A","Dates=H","DateFormat=P","Fill=—","Direction=H","UseDPDF=Y")</f>
        <v>—</v>
      </c>
      <c r="I6" s="13" t="str">
        <f>_xll.BDH("RCOM IN Equity","IS_DEPR_EXP","FY 2015","FY 2015","Currency=INR","Period=FY","BEST_FPERIOD_OVERRIDE=FY","FILING_STATUS=MR","EQY_CONSOLIDATED=Y","SCALING_FORMAT=MLN","Sort=A","Dates=H","DateFormat=P","Fill=—","Direction=H","UseDPDF=Y")</f>
        <v>—</v>
      </c>
      <c r="J6" s="13" t="str">
        <f>_xll.BDH("RCOM IN Equity","IS_DEPR_EXP","FY 2016","FY 2016","Currency=INR","Period=FY","BEST_FPERIOD_OVERRIDE=FY","FILING_STATUS=MR","EQY_CONSOLIDATED=Y","SCALING_FORMAT=MLN","Sort=A","Dates=H","DateFormat=P","Fill=—","Direction=H","UseDPDF=Y")</f>
        <v>—</v>
      </c>
      <c r="K6" s="13" t="str">
        <f>_xll.BDH("RCOM IN Equity","IS_DEPR_EXP","FY 2017","FY 2017","Currency=INR","Period=FY","BEST_FPERIOD_OVERRIDE=FY","FILING_STATUS=MR","EQY_CONSOLIDATED=Y","SCALING_FORMAT=MLN","Sort=A","Dates=H","DateFormat=P","Fill=—","Direction=H","UseDPDF=Y")</f>
        <v>—</v>
      </c>
      <c r="L6" s="13" t="str">
        <f>_xll.BDH("RCOM IN Equity","IS_DEPR_EXP","FY 2018","FY 2018","Currency=INR","Period=FY","BEST_FPERIOD_OVERRIDE=FY","FILING_STATUS=MR","EQY_CONSOLIDATED=Y","SCALING_FORMAT=MLN","Sort=A","Dates=H","DateFormat=P","Fill=—","Direction=H","UseDPDF=Y")</f>
        <v>—</v>
      </c>
    </row>
    <row r="7" spans="1:12">
      <c r="A7" s="10" t="s">
        <v>1681</v>
      </c>
      <c r="B7" s="10" t="s">
        <v>1682</v>
      </c>
      <c r="C7" s="14">
        <f>_xll.BDH("RCOM IN Equity","DEPR_EXP_TO_NET_SALES","FY 2009","FY 2009","Currency=INR","Period=FY","BEST_FPERIOD_OVERRIDE=FY","FILING_STATUS=MR","EQY_CONSOLIDATED=Y","FA_ADJUSTED=GAAP","Sort=A","Dates=H","DateFormat=P","Fill=—","Direction=H","UseDPDF=Y")</f>
        <v>15.782299999999999</v>
      </c>
      <c r="D7" s="14">
        <f>_xll.BDH("RCOM IN Equity","DEPR_EXP_TO_NET_SALES","FY 2010","FY 2010","Currency=INR","Period=FY","BEST_FPERIOD_OVERRIDE=FY","FILING_STATUS=MR","EQY_CONSOLIDATED=Y","FA_ADJUSTED=GAAP","Sort=A","Dates=H","DateFormat=P","Fill=—","Direction=H","UseDPDF=Y")</f>
        <v>13.848599999999999</v>
      </c>
      <c r="E7" s="14">
        <f>_xll.BDH("RCOM IN Equity","DEPR_EXP_TO_NET_SALES","FY 2011","FY 2011","Currency=INR","Period=FY","BEST_FPERIOD_OVERRIDE=FY","FILING_STATUS=MR","EQY_CONSOLIDATED=Y","FA_ADJUSTED=GAAP","Sort=A","Dates=H","DateFormat=P","Fill=—","Direction=H","UseDPDF=Y")</f>
        <v>16.9496</v>
      </c>
      <c r="F7" s="14">
        <f>_xll.BDH("RCOM IN Equity","DEPR_EXP_TO_NET_SALES","FY 2012","FY 2012","Currency=INR","Period=FY","BEST_FPERIOD_OVERRIDE=FY","FILING_STATUS=MR","EQY_CONSOLIDATED=Y","FA_ADJUSTED=GAAP","Sort=A","Dates=H","DateFormat=P","Fill=—","Direction=H","UseDPDF=Y")</f>
        <v>8.7464999999999993</v>
      </c>
      <c r="G7" s="14">
        <f>_xll.BDH("RCOM IN Equity","DEPR_EXP_TO_NET_SALES","FY 2013","FY 2013","Currency=INR","Period=FY","BEST_FPERIOD_OVERRIDE=FY","FILING_STATUS=MR","EQY_CONSOLIDATED=Y","FA_ADJUSTED=GAAP","Sort=A","Dates=H","DateFormat=P","Fill=—","Direction=H","UseDPDF=Y")</f>
        <v>9.8890999999999991</v>
      </c>
      <c r="H7" s="14" t="str">
        <f>_xll.BDH("RCOM IN Equity","DEPR_EXP_TO_NET_SALES","FY 2014","FY 2014","Currency=INR","Period=FY","BEST_FPERIOD_OVERRIDE=FY","FILING_STATUS=MR","EQY_CONSOLIDATED=Y","FA_ADJUSTED=GAAP","Sort=A","Dates=H","DateFormat=P","Fill=—","Direction=H","UseDPDF=Y")</f>
        <v>—</v>
      </c>
      <c r="I7" s="14" t="str">
        <f>_xll.BDH("RCOM IN Equity","DEPR_EXP_TO_NET_SALES","FY 2015","FY 2015","Currency=INR","Period=FY","BEST_FPERIOD_OVERRIDE=FY","FILING_STATUS=MR","EQY_CONSOLIDATED=Y","FA_ADJUSTED=GAAP","Sort=A","Dates=H","DateFormat=P","Fill=—","Direction=H","UseDPDF=Y")</f>
        <v>—</v>
      </c>
      <c r="J7" s="14" t="str">
        <f>_xll.BDH("RCOM IN Equity","DEPR_EXP_TO_NET_SALES","FY 2016","FY 2016","Currency=INR","Period=FY","BEST_FPERIOD_OVERRIDE=FY","FILING_STATUS=MR","EQY_CONSOLIDATED=Y","FA_ADJUSTED=GAAP","Sort=A","Dates=H","DateFormat=P","Fill=—","Direction=H","UseDPDF=Y")</f>
        <v>—</v>
      </c>
      <c r="K7" s="14" t="str">
        <f>_xll.BDH("RCOM IN Equity","DEPR_EXP_TO_NET_SALES","FY 2017","FY 2017","Currency=INR","Period=FY","BEST_FPERIOD_OVERRIDE=FY","FILING_STATUS=MR","EQY_CONSOLIDATED=Y","FA_ADJUSTED=GAAP","Sort=A","Dates=H","DateFormat=P","Fill=—","Direction=H","UseDPDF=Y")</f>
        <v>—</v>
      </c>
      <c r="L7" s="14" t="str">
        <f>_xll.BDH("RCOM IN Equity","DEPR_EXP_TO_NET_SALES","FY 2018","FY 2018","Currency=INR","Period=FY","BEST_FPERIOD_OVERRIDE=FY","FILING_STATUS=MR","EQY_CONSOLIDATED=Y","FA_ADJUSTED=GAAP","Sort=A","Dates=H","DateFormat=P","Fill=—","Direction=H","UseDPDF=Y")</f>
        <v>—</v>
      </c>
    </row>
    <row r="8" spans="1:12">
      <c r="A8" s="10" t="s">
        <v>1683</v>
      </c>
      <c r="B8" s="10" t="s">
        <v>1684</v>
      </c>
      <c r="C8" s="14">
        <f>_xll.BDH("RCOM IN Equity","DEPR_EXP_TO_NET_FIX_ASSET","FY 2009","FY 2009","Currency=INR","Period=FY","BEST_FPERIOD_OVERRIDE=FY","FILING_STATUS=MR","EQY_CONSOLIDATED=Y","Sort=A","Dates=H","DateFormat=P","Fill=—","Direction=H","UseDPDF=Y")</f>
        <v>6.4299999999999996E-2</v>
      </c>
      <c r="D8" s="14">
        <f>_xll.BDH("RCOM IN Equity","DEPR_EXP_TO_NET_FIX_ASSET","FY 2010","FY 2010","Currency=INR","Period=FY","BEST_FPERIOD_OVERRIDE=FY","FILING_STATUS=MR","EQY_CONSOLIDATED=Y","Sort=A","Dates=H","DateFormat=P","Fill=—","Direction=H","UseDPDF=Y")</f>
        <v>5.3800000000000001E-2</v>
      </c>
      <c r="E8" s="14">
        <f>_xll.BDH("RCOM IN Equity","DEPR_EXP_TO_NET_FIX_ASSET","FY 2011","FY 2011","Currency=INR","Period=FY","BEST_FPERIOD_OVERRIDE=FY","FILING_STATUS=MR","EQY_CONSOLIDATED=Y","Sort=A","Dates=H","DateFormat=P","Fill=—","Direction=H","UseDPDF=Y")</f>
        <v>6.8500000000000005E-2</v>
      </c>
      <c r="F8" s="14">
        <f>_xll.BDH("RCOM IN Equity","DEPR_EXP_TO_NET_FIX_ASSET","FY 2012","FY 2012","Currency=INR","Period=FY","BEST_FPERIOD_OVERRIDE=FY","FILING_STATUS=MR","EQY_CONSOLIDATED=Y","Sort=A","Dates=H","DateFormat=P","Fill=—","Direction=H","UseDPDF=Y")</f>
        <v>3.1300000000000001E-2</v>
      </c>
      <c r="G8" s="14">
        <f>_xll.BDH("RCOM IN Equity","DEPR_EXP_TO_NET_FIX_ASSET","FY 2013","FY 2013","Currency=INR","Period=FY","BEST_FPERIOD_OVERRIDE=FY","FILING_STATUS=MR","EQY_CONSOLIDATED=Y","Sort=A","Dates=H","DateFormat=P","Fill=—","Direction=H","UseDPDF=Y")</f>
        <v>3.9399999999999998E-2</v>
      </c>
      <c r="H8" s="14" t="str">
        <f>_xll.BDH("RCOM IN Equity","DEPR_EXP_TO_NET_FIX_ASSET","FY 2014","FY 2014","Currency=INR","Period=FY","BEST_FPERIOD_OVERRIDE=FY","FILING_STATUS=MR","EQY_CONSOLIDATED=Y","Sort=A","Dates=H","DateFormat=P","Fill=—","Direction=H","UseDPDF=Y")</f>
        <v>—</v>
      </c>
      <c r="I8" s="14" t="str">
        <f>_xll.BDH("RCOM IN Equity","DEPR_EXP_TO_NET_FIX_ASSET","FY 2015","FY 2015","Currency=INR","Period=FY","BEST_FPERIOD_OVERRIDE=FY","FILING_STATUS=MR","EQY_CONSOLIDATED=Y","Sort=A","Dates=H","DateFormat=P","Fill=—","Direction=H","UseDPDF=Y")</f>
        <v>—</v>
      </c>
      <c r="J8" s="14" t="str">
        <f>_xll.BDH("RCOM IN Equity","DEPR_EXP_TO_NET_FIX_ASSET","FY 2016","FY 2016","Currency=INR","Period=FY","BEST_FPERIOD_OVERRIDE=FY","FILING_STATUS=MR","EQY_CONSOLIDATED=Y","Sort=A","Dates=H","DateFormat=P","Fill=—","Direction=H","UseDPDF=Y")</f>
        <v>—</v>
      </c>
      <c r="K8" s="14" t="str">
        <f>_xll.BDH("RCOM IN Equity","DEPR_EXP_TO_NET_FIX_ASSET","FY 2017","FY 2017","Currency=INR","Period=FY","BEST_FPERIOD_OVERRIDE=FY","FILING_STATUS=MR","EQY_CONSOLIDATED=Y","Sort=A","Dates=H","DateFormat=P","Fill=—","Direction=H","UseDPDF=Y")</f>
        <v>—</v>
      </c>
      <c r="L8" s="14" t="str">
        <f>_xll.BDH("RCOM IN Equity","DEPR_EXP_TO_NET_FIX_ASSET","FY 2018","FY 2018","Currency=INR","Period=FY","BEST_FPERIOD_OVERRIDE=FY","FILING_STATUS=MR","EQY_CONSOLIDATED=Y","Sort=A","Dates=H","DateFormat=P","Fill=—","Direction=H","UseDPDF=Y")</f>
        <v>—</v>
      </c>
    </row>
    <row r="9" spans="1:12">
      <c r="A9" s="10" t="s">
        <v>1685</v>
      </c>
      <c r="B9" s="10" t="s">
        <v>1686</v>
      </c>
      <c r="C9" s="14">
        <f>_xll.BDH("RCOM IN Equity","ACCUM_DEPR_TO_TOT_ASSET","FY 2009","FY 2009","Currency=INR","Period=FY","BEST_FPERIOD_OVERRIDE=FY","FILING_STATUS=MR","EQY_CONSOLIDATED=Y","Sort=A","Dates=H","DateFormat=P","Fill=—","Direction=H","UseDPDF=Y")</f>
        <v>12.558299999999999</v>
      </c>
      <c r="D9" s="14">
        <f>_xll.BDH("RCOM IN Equity","ACCUM_DEPR_TO_TOT_ASSET","FY 2010","FY 2010","Currency=INR","Period=FY","BEST_FPERIOD_OVERRIDE=FY","FILING_STATUS=MR","EQY_CONSOLIDATED=Y","Sort=A","Dates=H","DateFormat=P","Fill=—","Direction=H","UseDPDF=Y")</f>
        <v>17.363600000000002</v>
      </c>
      <c r="E9" s="14">
        <f>_xll.BDH("RCOM IN Equity","ACCUM_DEPR_TO_TOT_ASSET","FY 2011","FY 2011","Currency=INR","Period=FY","BEST_FPERIOD_OVERRIDE=FY","FILING_STATUS=MR","EQY_CONSOLIDATED=Y","Sort=A","Dates=H","DateFormat=P","Fill=—","Direction=H","UseDPDF=Y")</f>
        <v>22.881499999999999</v>
      </c>
      <c r="F9" s="14">
        <f>_xll.BDH("RCOM IN Equity","ACCUM_DEPR_TO_TOT_ASSET","FY 2012","FY 2012","Currency=INR","Period=FY","BEST_FPERIOD_OVERRIDE=FY","FILING_STATUS=MR","EQY_CONSOLIDATED=Y","Sort=A","Dates=H","DateFormat=P","Fill=—","Direction=H","UseDPDF=Y")</f>
        <v>27.400400000000001</v>
      </c>
      <c r="G9" s="14">
        <f>_xll.BDH("RCOM IN Equity","ACCUM_DEPR_TO_TOT_ASSET","FY 2013","FY 2013","Currency=INR","Period=FY","BEST_FPERIOD_OVERRIDE=FY","FILING_STATUS=MR","EQY_CONSOLIDATED=Y","Sort=A","Dates=H","DateFormat=P","Fill=—","Direction=H","UseDPDF=Y")</f>
        <v>32.520899999999997</v>
      </c>
      <c r="H9" s="14">
        <f>_xll.BDH("RCOM IN Equity","ACCUM_DEPR_TO_TOT_ASSET","FY 2014","FY 2014","Currency=INR","Period=FY","BEST_FPERIOD_OVERRIDE=FY","FILING_STATUS=MR","EQY_CONSOLIDATED=Y","Sort=A","Dates=H","DateFormat=P","Fill=—","Direction=H","UseDPDF=Y")</f>
        <v>38.03</v>
      </c>
      <c r="I9" s="14">
        <f>_xll.BDH("RCOM IN Equity","ACCUM_DEPR_TO_TOT_ASSET","FY 2015","FY 2015","Currency=INR","Period=FY","BEST_FPERIOD_OVERRIDE=FY","FILING_STATUS=MR","EQY_CONSOLIDATED=Y","Sort=A","Dates=H","DateFormat=P","Fill=—","Direction=H","UseDPDF=Y")</f>
        <v>40.835500000000003</v>
      </c>
      <c r="J9" s="14">
        <f>_xll.BDH("RCOM IN Equity","ACCUM_DEPR_TO_TOT_ASSET","FY 2016","FY 2016","Currency=INR","Period=FY","BEST_FPERIOD_OVERRIDE=FY","FILING_STATUS=MR","EQY_CONSOLIDATED=Y","Sort=A","Dates=H","DateFormat=P","Fill=—","Direction=H","UseDPDF=Y")</f>
        <v>25.322400000000002</v>
      </c>
      <c r="K9" s="14">
        <f>_xll.BDH("RCOM IN Equity","ACCUM_DEPR_TO_TOT_ASSET","FY 2017","FY 2017","Currency=INR","Period=FY","BEST_FPERIOD_OVERRIDE=FY","FILING_STATUS=MR","EQY_CONSOLIDATED=Y","Sort=A","Dates=H","DateFormat=P","Fill=—","Direction=H","UseDPDF=Y")</f>
        <v>28.8125</v>
      </c>
      <c r="L9" s="14">
        <f>_xll.BDH("RCOM IN Equity","ACCUM_DEPR_TO_TOT_ASSET","FY 2018","FY 2018","Currency=INR","Period=FY","BEST_FPERIOD_OVERRIDE=FY","FILING_STATUS=MR","EQY_CONSOLIDATED=Y","Sort=A","Dates=H","DateFormat=P","Fill=—","Direction=H","UseDPDF=Y")</f>
        <v>32.380899999999997</v>
      </c>
    </row>
    <row r="10" spans="1:12">
      <c r="A10" s="10" t="s">
        <v>1687</v>
      </c>
      <c r="B10" s="10" t="s">
        <v>1688</v>
      </c>
      <c r="C10" s="14">
        <f>_xll.BDH("RCOM IN Equity","ACCUM_DEPR_TO_GROSS_FA","FY 2009","FY 2009","Currency=INR","Period=FY","BEST_FPERIOD_OVERRIDE=FY","FILING_STATUS=MR","EQY_CONSOLIDATED=Y","Sort=A","Dates=H","DateFormat=P","Fill=—","Direction=H","UseDPDF=Y")</f>
        <v>19.4617</v>
      </c>
      <c r="D10" s="14">
        <f>_xll.BDH("RCOM IN Equity","ACCUM_DEPR_TO_GROSS_FA","FY 2010","FY 2010","Currency=INR","Period=FY","BEST_FPERIOD_OVERRIDE=FY","FILING_STATUS=MR","EQY_CONSOLIDATED=Y","Sort=A","Dates=H","DateFormat=P","Fill=—","Direction=H","UseDPDF=Y")</f>
        <v>23.1313</v>
      </c>
      <c r="E10" s="14">
        <f>_xll.BDH("RCOM IN Equity","ACCUM_DEPR_TO_GROSS_FA","FY 2011","FY 2011","Currency=INR","Period=FY","BEST_FPERIOD_OVERRIDE=FY","FILING_STATUS=MR","EQY_CONSOLIDATED=Y","Sort=A","Dates=H","DateFormat=P","Fill=—","Direction=H","UseDPDF=Y")</f>
        <v>27.944500000000001</v>
      </c>
      <c r="F10" s="14">
        <f>_xll.BDH("RCOM IN Equity","ACCUM_DEPR_TO_GROSS_FA","FY 2012","FY 2012","Currency=INR","Period=FY","BEST_FPERIOD_OVERRIDE=FY","FILING_STATUS=MR","EQY_CONSOLIDATED=Y","Sort=A","Dates=H","DateFormat=P","Fill=—","Direction=H","UseDPDF=Y")</f>
        <v>34.229199999999999</v>
      </c>
      <c r="G10" s="14">
        <f>_xll.BDH("RCOM IN Equity","ACCUM_DEPR_TO_GROSS_FA","FY 2013","FY 2013","Currency=INR","Period=FY","BEST_FPERIOD_OVERRIDE=FY","FILING_STATUS=MR","EQY_CONSOLIDATED=Y","Sort=A","Dates=H","DateFormat=P","Fill=—","Direction=H","UseDPDF=Y")</f>
        <v>37.827399999999997</v>
      </c>
      <c r="H10" s="14">
        <f>_xll.BDH("RCOM IN Equity","ACCUM_DEPR_TO_GROSS_FA","FY 2014","FY 2014","Currency=INR","Period=FY","BEST_FPERIOD_OVERRIDE=FY","FILING_STATUS=MR","EQY_CONSOLIDATED=Y","Sort=A","Dates=H","DateFormat=P","Fill=—","Direction=H","UseDPDF=Y")</f>
        <v>42.272599999999997</v>
      </c>
      <c r="I10" s="14">
        <f>_xll.BDH("RCOM IN Equity","ACCUM_DEPR_TO_GROSS_FA","FY 2015","FY 2015","Currency=INR","Period=FY","BEST_FPERIOD_OVERRIDE=FY","FILING_STATUS=MR","EQY_CONSOLIDATED=Y","Sort=A","Dates=H","DateFormat=P","Fill=—","Direction=H","UseDPDF=Y")</f>
        <v>45.621200000000002</v>
      </c>
      <c r="J10" s="14">
        <f>_xll.BDH("RCOM IN Equity","ACCUM_DEPR_TO_GROSS_FA","FY 2016","FY 2016","Currency=INR","Period=FY","BEST_FPERIOD_OVERRIDE=FY","FILING_STATUS=MR","EQY_CONSOLIDATED=Y","Sort=A","Dates=H","DateFormat=P","Fill=—","Direction=H","UseDPDF=Y")</f>
        <v>33.276600000000002</v>
      </c>
      <c r="K10" s="14">
        <f>_xll.BDH("RCOM IN Equity","ACCUM_DEPR_TO_GROSS_FA","FY 2017","FY 2017","Currency=INR","Period=FY","BEST_FPERIOD_OVERRIDE=FY","FILING_STATUS=MR","EQY_CONSOLIDATED=Y","Sort=A","Dates=H","DateFormat=P","Fill=—","Direction=H","UseDPDF=Y")</f>
        <v>35.720100000000002</v>
      </c>
      <c r="L10" s="14">
        <f>_xll.BDH("RCOM IN Equity","ACCUM_DEPR_TO_GROSS_FA","FY 2018","FY 2018","Currency=INR","Period=FY","BEST_FPERIOD_OVERRIDE=FY","FILING_STATUS=MR","EQY_CONSOLIDATED=Y","Sort=A","Dates=H","DateFormat=P","Fill=—","Direction=H","UseDPDF=Y")</f>
        <v>59.022399999999998</v>
      </c>
    </row>
    <row r="11" spans="1:12">
      <c r="A11" s="10" t="s">
        <v>53</v>
      </c>
      <c r="B11" s="10" t="s">
        <v>1689</v>
      </c>
      <c r="C11" s="13">
        <f>_xll.BDH("RCOM IN Equity","CF_CAP_EXPEND_PRPTY_ADD","FY 2009","FY 2009","Currency=INR","Period=FY","BEST_FPERIOD_OVERRIDE=FY","FILING_STATUS=MR","EQY_CONSOLIDATED=Y","SCALING_FORMAT=MLN","Sort=A","Dates=H","DateFormat=P","Fill=—","Direction=H","UseDPDF=Y")</f>
        <v>-122583.8</v>
      </c>
      <c r="D11" s="13">
        <f>_xll.BDH("RCOM IN Equity","CF_CAP_EXPEND_PRPTY_ADD","FY 2010","FY 2010","Currency=INR","Period=FY","BEST_FPERIOD_OVERRIDE=FY","FILING_STATUS=MR","EQY_CONSOLIDATED=Y","SCALING_FORMAT=MLN","Sort=A","Dates=H","DateFormat=P","Fill=—","Direction=H","UseDPDF=Y")</f>
        <v>-74960.3</v>
      </c>
      <c r="E11" s="13">
        <f>_xll.BDH("RCOM IN Equity","CF_CAP_EXPEND_PRPTY_ADD","FY 2011","FY 2011","Currency=INR","Period=FY","BEST_FPERIOD_OVERRIDE=FY","FILING_STATUS=MR","EQY_CONSOLIDATED=Y","SCALING_FORMAT=MLN","Sort=A","Dates=H","DateFormat=P","Fill=—","Direction=H","UseDPDF=Y")</f>
        <v>-103270</v>
      </c>
      <c r="F11" s="13">
        <f>_xll.BDH("RCOM IN Equity","CF_CAP_EXPEND_PRPTY_ADD","FY 2012","FY 2012","Currency=INR","Period=FY","BEST_FPERIOD_OVERRIDE=FY","FILING_STATUS=MR","EQY_CONSOLIDATED=Y","SCALING_FORMAT=MLN","Sort=A","Dates=H","DateFormat=P","Fill=—","Direction=H","UseDPDF=Y")</f>
        <v>-48500</v>
      </c>
      <c r="G11" s="13">
        <f>_xll.BDH("RCOM IN Equity","CF_CAP_EXPEND_PRPTY_ADD","FY 2013","FY 2013","Currency=INR","Period=FY","BEST_FPERIOD_OVERRIDE=FY","FILING_STATUS=MR","EQY_CONSOLIDATED=Y","SCALING_FORMAT=MLN","Sort=A","Dates=H","DateFormat=P","Fill=—","Direction=H","UseDPDF=Y")</f>
        <v>-21140</v>
      </c>
      <c r="H11" s="13">
        <f>_xll.BDH("RCOM IN Equity","CF_CAP_EXPEND_PRPTY_ADD","FY 2014","FY 2014","Currency=INR","Period=FY","BEST_FPERIOD_OVERRIDE=FY","FILING_STATUS=MR","EQY_CONSOLIDATED=Y","SCALING_FORMAT=MLN","Sort=A","Dates=H","DateFormat=P","Fill=—","Direction=H","UseDPDF=Y")</f>
        <v>-21650</v>
      </c>
      <c r="I11" s="13">
        <f>_xll.BDH("RCOM IN Equity","CF_CAP_EXPEND_PRPTY_ADD","FY 2015","FY 2015","Currency=INR","Period=FY","BEST_FPERIOD_OVERRIDE=FY","FILING_STATUS=MR","EQY_CONSOLIDATED=Y","SCALING_FORMAT=MLN","Sort=A","Dates=H","DateFormat=P","Fill=—","Direction=H","UseDPDF=Y")</f>
        <v>-24960</v>
      </c>
      <c r="J11" s="13">
        <f>_xll.BDH("RCOM IN Equity","CF_CAP_EXPEND_PRPTY_ADD","FY 2016","FY 2016","Currency=INR","Period=FY","BEST_FPERIOD_OVERRIDE=FY","FILING_STATUS=MR","EQY_CONSOLIDATED=Y","SCALING_FORMAT=MLN","Sort=A","Dates=H","DateFormat=P","Fill=—","Direction=H","UseDPDF=Y")</f>
        <v>-153300</v>
      </c>
      <c r="K11" s="13">
        <f>_xll.BDH("RCOM IN Equity","CF_CAP_EXPEND_PRPTY_ADD","FY 2017","FY 2017","Currency=INR","Period=FY","BEST_FPERIOD_OVERRIDE=FY","FILING_STATUS=MR","EQY_CONSOLIDATED=Y","SCALING_FORMAT=MLN","Sort=A","Dates=H","DateFormat=P","Fill=—","Direction=H","UseDPDF=Y")</f>
        <v>-39200</v>
      </c>
      <c r="L11" s="13">
        <f>_xll.BDH("RCOM IN Equity","CF_CAP_EXPEND_PRPTY_ADD","FY 2018","FY 2018","Currency=INR","Period=FY","BEST_FPERIOD_OVERRIDE=FY","FILING_STATUS=MR","EQY_CONSOLIDATED=Y","SCALING_FORMAT=MLN","Sort=A","Dates=H","DateFormat=P","Fill=—","Direction=H","UseDPDF=Y")</f>
        <v>-5910</v>
      </c>
    </row>
    <row r="12" spans="1:12">
      <c r="A12" s="10" t="s">
        <v>1690</v>
      </c>
      <c r="B12" s="10" t="s">
        <v>1691</v>
      </c>
      <c r="C12" s="14">
        <f>_xll.BDH("RCOM IN Equity","CAP_EXPEND_TO_SALES","FY 2009","FY 2009","Currency=INR","Period=FY","BEST_FPERIOD_OVERRIDE=FY","FILING_STATUS=MR","EQY_CONSOLIDATED=Y","FA_ADJUSTED=GAAP","Sort=A","Dates=H","DateFormat=P","Fill=—","Direction=H","UseDPDF=Y")</f>
        <v>59.096699999999998</v>
      </c>
      <c r="D12" s="14">
        <f>_xll.BDH("RCOM IN Equity","CAP_EXPEND_TO_SALES","FY 2010","FY 2010","Currency=INR","Period=FY","BEST_FPERIOD_OVERRIDE=FY","FILING_STATUS=MR","EQY_CONSOLIDATED=Y","FA_ADJUSTED=GAAP","Sort=A","Dates=H","DateFormat=P","Fill=—","Direction=H","UseDPDF=Y")</f>
        <v>36.238900000000001</v>
      </c>
      <c r="E12" s="14">
        <f>_xll.BDH("RCOM IN Equity","CAP_EXPEND_TO_SALES","FY 2011","FY 2011","Currency=INR","Period=FY","BEST_FPERIOD_OVERRIDE=FY","FILING_STATUS=MR","EQY_CONSOLIDATED=Y","FA_ADJUSTED=GAAP","Sort=A","Dates=H","DateFormat=P","Fill=—","Direction=H","UseDPDF=Y")</f>
        <v>46.751800000000003</v>
      </c>
      <c r="F12" s="14">
        <f>_xll.BDH("RCOM IN Equity","CAP_EXPEND_TO_SALES","FY 2012","FY 2012","Currency=INR","Period=FY","BEST_FPERIOD_OVERRIDE=FY","FILING_STATUS=MR","EQY_CONSOLIDATED=Y","FA_ADJUSTED=GAAP","Sort=A","Dates=H","DateFormat=P","Fill=—","Direction=H","UseDPDF=Y")</f>
        <v>25.913699999999999</v>
      </c>
      <c r="G12" s="14">
        <f>_xll.BDH("RCOM IN Equity","CAP_EXPEND_TO_SALES","FY 2013","FY 2013","Currency=INR","Period=FY","BEST_FPERIOD_OVERRIDE=FY","FILING_STATUS=MR","EQY_CONSOLIDATED=Y","FA_ADJUSTED=GAAP","Sort=A","Dates=H","DateFormat=P","Fill=—","Direction=H","UseDPDF=Y")</f>
        <v>10.956799999999999</v>
      </c>
      <c r="H12" s="14">
        <f>_xll.BDH("RCOM IN Equity","CAP_EXPEND_TO_SALES","FY 2014","FY 2014","Currency=INR","Period=FY","BEST_FPERIOD_OVERRIDE=FY","FILING_STATUS=MR","EQY_CONSOLIDATED=Y","FA_ADJUSTED=GAAP","Sort=A","Dates=H","DateFormat=P","Fill=—","Direction=H","UseDPDF=Y")</f>
        <v>10.3391</v>
      </c>
      <c r="I12" s="14">
        <f>_xll.BDH("RCOM IN Equity","CAP_EXPEND_TO_SALES","FY 2015","FY 2015","Currency=INR","Period=FY","BEST_FPERIOD_OVERRIDE=FY","FILING_STATUS=MR","EQY_CONSOLIDATED=Y","FA_ADJUSTED=GAAP","Sort=A","Dates=H","DateFormat=P","Fill=—","Direction=H","UseDPDF=Y")</f>
        <v>11.651</v>
      </c>
      <c r="J12" s="14">
        <f>_xll.BDH("RCOM IN Equity","CAP_EXPEND_TO_SALES","FY 2016","FY 2016","Currency=INR","Period=FY","BEST_FPERIOD_OVERRIDE=FY","FILING_STATUS=MR","EQY_CONSOLIDATED=Y","FA_ADJUSTED=GAAP","Sort=A","Dates=H","DateFormat=P","Fill=—","Direction=H","UseDPDF=Y")</f>
        <v>70.505499999999998</v>
      </c>
      <c r="K12" s="14">
        <f>_xll.BDH("RCOM IN Equity","CAP_EXPEND_TO_SALES","FY 2017","FY 2017","Currency=INR","Period=FY","BEST_FPERIOD_OVERRIDE=FY","FILING_STATUS=MR","EQY_CONSOLIDATED=Y","FA_ADJUSTED=GAAP","Sort=A","Dates=H","DateFormat=P","Fill=—","Direction=H","UseDPDF=Y")</f>
        <v>59.8108</v>
      </c>
      <c r="L12" s="14">
        <f>_xll.BDH("RCOM IN Equity","CAP_EXPEND_TO_SALES","FY 2018","FY 2018","Currency=INR","Period=FY","BEST_FPERIOD_OVERRIDE=FY","FILING_STATUS=MR","EQY_CONSOLIDATED=Y","FA_ADJUSTED=GAAP","Sort=A","Dates=H","DateFormat=P","Fill=—","Direction=H","UseDPDF=Y")</f>
        <v>12.8674</v>
      </c>
    </row>
    <row r="13" spans="1:12">
      <c r="A13" s="10" t="s">
        <v>1692</v>
      </c>
      <c r="B13" s="10" t="s">
        <v>1693</v>
      </c>
      <c r="C13" s="14">
        <f>_xll.BDH("RCOM IN Equity","CAP_EXPEND_TO_TOT_ASSET","FY 2009","FY 2009","Currency=INR","Period=FY","BEST_FPERIOD_OVERRIDE=FY","FILING_STATUS=MR","EQY_CONSOLIDATED=Y","Sort=A","Dates=H","DateFormat=P","Fill=—","Direction=H","UseDPDF=Y")</f>
        <v>13.6457</v>
      </c>
      <c r="D13" s="14">
        <f>_xll.BDH("RCOM IN Equity","CAP_EXPEND_TO_TOT_ASSET","FY 2010","FY 2010","Currency=INR","Period=FY","BEST_FPERIOD_OVERRIDE=FY","FILING_STATUS=MR","EQY_CONSOLIDATED=Y","Sort=A","Dates=H","DateFormat=P","Fill=—","Direction=H","UseDPDF=Y")</f>
        <v>7.6970999999999998</v>
      </c>
      <c r="E13" s="14">
        <f>_xll.BDH("RCOM IN Equity","CAP_EXPEND_TO_TOT_ASSET","FY 2011","FY 2011","Currency=INR","Period=FY","BEST_FPERIOD_OVERRIDE=FY","FILING_STATUS=MR","EQY_CONSOLIDATED=Y","Sort=A","Dates=H","DateFormat=P","Fill=—","Direction=H","UseDPDF=Y")</f>
        <v>11.027699999999999</v>
      </c>
      <c r="F13" s="14">
        <f>_xll.BDH("RCOM IN Equity","CAP_EXPEND_TO_TOT_ASSET","FY 2012","FY 2012","Currency=INR","Period=FY","BEST_FPERIOD_OVERRIDE=FY","FILING_STATUS=MR","EQY_CONSOLIDATED=Y","Sort=A","Dates=H","DateFormat=P","Fill=—","Direction=H","UseDPDF=Y")</f>
        <v>5.1875</v>
      </c>
      <c r="G13" s="14">
        <f>_xll.BDH("RCOM IN Equity","CAP_EXPEND_TO_TOT_ASSET","FY 2013","FY 2013","Currency=INR","Period=FY","BEST_FPERIOD_OVERRIDE=FY","FILING_STATUS=MR","EQY_CONSOLIDATED=Y","Sort=A","Dates=H","DateFormat=P","Fill=—","Direction=H","UseDPDF=Y")</f>
        <v>2.3174000000000001</v>
      </c>
      <c r="H13" s="14">
        <f>_xll.BDH("RCOM IN Equity","CAP_EXPEND_TO_TOT_ASSET","FY 2014","FY 2014","Currency=INR","Period=FY","BEST_FPERIOD_OVERRIDE=FY","FILING_STATUS=MR","EQY_CONSOLIDATED=Y","Sort=A","Dates=H","DateFormat=P","Fill=—","Direction=H","UseDPDF=Y")</f>
        <v>2.3933</v>
      </c>
      <c r="I13" s="14">
        <f>_xll.BDH("RCOM IN Equity","CAP_EXPEND_TO_TOT_ASSET","FY 2015","FY 2015","Currency=INR","Period=FY","BEST_FPERIOD_OVERRIDE=FY","FILING_STATUS=MR","EQY_CONSOLIDATED=Y","Sort=A","Dates=H","DateFormat=P","Fill=—","Direction=H","UseDPDF=Y")</f>
        <v>2.7166000000000001</v>
      </c>
      <c r="J13" s="14">
        <f>_xll.BDH("RCOM IN Equity","CAP_EXPEND_TO_TOT_ASSET","FY 2016","FY 2016","Currency=INR","Period=FY","BEST_FPERIOD_OVERRIDE=FY","FILING_STATUS=MR","EQY_CONSOLIDATED=Y","Sort=A","Dates=H","DateFormat=P","Fill=—","Direction=H","UseDPDF=Y")</f>
        <v>15.605</v>
      </c>
      <c r="K13" s="14">
        <f>_xll.BDH("RCOM IN Equity","CAP_EXPEND_TO_TOT_ASSET","FY 2017","FY 2017","Currency=INR","Period=FY","BEST_FPERIOD_OVERRIDE=FY","FILING_STATUS=MR","EQY_CONSOLIDATED=Y","Sort=A","Dates=H","DateFormat=P","Fill=—","Direction=H","UseDPDF=Y")</f>
        <v>3.8586</v>
      </c>
      <c r="L13" s="14">
        <f>_xll.BDH("RCOM IN Equity","CAP_EXPEND_TO_TOT_ASSET","FY 2018","FY 2018","Currency=INR","Period=FY","BEST_FPERIOD_OVERRIDE=FY","FILING_STATUS=MR","EQY_CONSOLIDATED=Y","Sort=A","Dates=H","DateFormat=P","Fill=—","Direction=H","UseDPDF=Y")</f>
        <v>0.67810000000000004</v>
      </c>
    </row>
    <row r="14" spans="1:12">
      <c r="A14" s="10" t="s">
        <v>1694</v>
      </c>
      <c r="B14" s="10" t="s">
        <v>1695</v>
      </c>
      <c r="C14" s="14">
        <f>_xll.BDH("RCOM IN Equity","CAPEX_TO_DEPR_EXPN_RATIO","FY 2009","FY 2009","Currency=INR","Period=FY","BEST_FPERIOD_OVERRIDE=FY","FILING_STATUS=MR","EQY_CONSOLIDATED=Y","Sort=A","Dates=H","DateFormat=P","Fill=—","Direction=H","UseDPDF=Y")</f>
        <v>3.7444999999999999</v>
      </c>
      <c r="D14" s="14">
        <f>_xll.BDH("RCOM IN Equity","CAPEX_TO_DEPR_EXPN_RATIO","FY 2010","FY 2010","Currency=INR","Period=FY","BEST_FPERIOD_OVERRIDE=FY","FILING_STATUS=MR","EQY_CONSOLIDATED=Y","Sort=A","Dates=H","DateFormat=P","Fill=—","Direction=H","UseDPDF=Y")</f>
        <v>2.6168</v>
      </c>
      <c r="E14" s="14">
        <f>_xll.BDH("RCOM IN Equity","CAPEX_TO_DEPR_EXPN_RATIO","FY 2011","FY 2011","Currency=INR","Period=FY","BEST_FPERIOD_OVERRIDE=FY","FILING_STATUS=MR","EQY_CONSOLIDATED=Y","Sort=A","Dates=H","DateFormat=P","Fill=—","Direction=H","UseDPDF=Y")</f>
        <v>2.7583000000000002</v>
      </c>
      <c r="F14" s="14">
        <f>_xll.BDH("RCOM IN Equity","CAPEX_TO_DEPR_EXPN_RATIO","FY 2012","FY 2012","Currency=INR","Period=FY","BEST_FPERIOD_OVERRIDE=FY","FILING_STATUS=MR","EQY_CONSOLIDATED=Y","Sort=A","Dates=H","DateFormat=P","Fill=—","Direction=H","UseDPDF=Y")</f>
        <v>2.9626999999999999</v>
      </c>
      <c r="G14" s="14">
        <f>_xll.BDH("RCOM IN Equity","CAPEX_TO_DEPR_EXPN_RATIO","FY 2013","FY 2013","Currency=INR","Period=FY","BEST_FPERIOD_OVERRIDE=FY","FILING_STATUS=MR","EQY_CONSOLIDATED=Y","Sort=A","Dates=H","DateFormat=P","Fill=—","Direction=H","UseDPDF=Y")</f>
        <v>1.1080000000000001</v>
      </c>
      <c r="H14" s="14" t="str">
        <f>_xll.BDH("RCOM IN Equity","CAPEX_TO_DEPR_EXPN_RATIO","FY 2014","FY 2014","Currency=INR","Period=FY","BEST_FPERIOD_OVERRIDE=FY","FILING_STATUS=MR","EQY_CONSOLIDATED=Y","Sort=A","Dates=H","DateFormat=P","Fill=—","Direction=H","UseDPDF=Y")</f>
        <v>—</v>
      </c>
      <c r="I14" s="14" t="str">
        <f>_xll.BDH("RCOM IN Equity","CAPEX_TO_DEPR_EXPN_RATIO","FY 2015","FY 2015","Currency=INR","Period=FY","BEST_FPERIOD_OVERRIDE=FY","FILING_STATUS=MR","EQY_CONSOLIDATED=Y","Sort=A","Dates=H","DateFormat=P","Fill=—","Direction=H","UseDPDF=Y")</f>
        <v>—</v>
      </c>
      <c r="J14" s="14" t="str">
        <f>_xll.BDH("RCOM IN Equity","CAPEX_TO_DEPR_EXPN_RATIO","FY 2016","FY 2016","Currency=INR","Period=FY","BEST_FPERIOD_OVERRIDE=FY","FILING_STATUS=MR","EQY_CONSOLIDATED=Y","Sort=A","Dates=H","DateFormat=P","Fill=—","Direction=H","UseDPDF=Y")</f>
        <v>—</v>
      </c>
      <c r="K14" s="14" t="str">
        <f>_xll.BDH("RCOM IN Equity","CAPEX_TO_DEPR_EXPN_RATIO","FY 2017","FY 2017","Currency=INR","Period=FY","BEST_FPERIOD_OVERRIDE=FY","FILING_STATUS=MR","EQY_CONSOLIDATED=Y","Sort=A","Dates=H","DateFormat=P","Fill=—","Direction=H","UseDPDF=Y")</f>
        <v>—</v>
      </c>
      <c r="L14" s="14" t="str">
        <f>_xll.BDH("RCOM IN Equity","CAPEX_TO_DEPR_EXPN_RATIO","FY 2018","FY 2018","Currency=INR","Period=FY","BEST_FPERIOD_OVERRIDE=FY","FILING_STATUS=MR","EQY_CONSOLIDATED=Y","Sort=A","Dates=H","DateFormat=P","Fill=—","Direction=H","UseDPDF=Y")</f>
        <v>—</v>
      </c>
    </row>
    <row r="15" spans="1:12">
      <c r="A15" s="10" t="s">
        <v>1696</v>
      </c>
      <c r="B15" s="10" t="s">
        <v>1697</v>
      </c>
      <c r="C15" s="14" t="str">
        <f>_xll.BDH("RCOM IN Equity","5Y_AVG_CAPEX_TO_DEPR_EXPN","FY 2009","FY 2009","Currency=INR","Period=FY","BEST_FPERIOD_OVERRIDE=FY","FILING_STATUS=MR","EQY_CONSOLIDATED=Y","Sort=A","Dates=H","DateFormat=P","Fill=—","Direction=H","UseDPDF=Y")</f>
        <v>—</v>
      </c>
      <c r="D15" s="14" t="str">
        <f>_xll.BDH("RCOM IN Equity","5Y_AVG_CAPEX_TO_DEPR_EXPN","FY 2010","FY 2010","Currency=INR","Period=FY","BEST_FPERIOD_OVERRIDE=FY","FILING_STATUS=MR","EQY_CONSOLIDATED=Y","Sort=A","Dates=H","DateFormat=P","Fill=—","Direction=H","UseDPDF=Y")</f>
        <v>—</v>
      </c>
      <c r="E15" s="14" t="str">
        <f>_xll.BDH("RCOM IN Equity","5Y_AVG_CAPEX_TO_DEPR_EXPN","FY 2011","FY 2011","Currency=INR","Period=FY","BEST_FPERIOD_OVERRIDE=FY","FILING_STATUS=MR","EQY_CONSOLIDATED=Y","Sort=A","Dates=H","DateFormat=P","Fill=—","Direction=H","UseDPDF=Y")</f>
        <v>—</v>
      </c>
      <c r="F15" s="14">
        <f>_xll.BDH("RCOM IN Equity","5Y_AVG_CAPEX_TO_DEPR_EXPN","FY 2012","FY 2012","Currency=INR","Period=FY","BEST_FPERIOD_OVERRIDE=FY","FILING_STATUS=MR","EQY_CONSOLIDATED=Y","Sort=A","Dates=H","DateFormat=P","Fill=—","Direction=H","UseDPDF=Y")</f>
        <v>3.7688000000000001</v>
      </c>
      <c r="G15" s="14">
        <f>_xll.BDH("RCOM IN Equity","5Y_AVG_CAPEX_TO_DEPR_EXPN","FY 2013","FY 2013","Currency=INR","Period=FY","BEST_FPERIOD_OVERRIDE=FY","FILING_STATUS=MR","EQY_CONSOLIDATED=Y","Sort=A","Dates=H","DateFormat=P","Fill=—","Direction=H","UseDPDF=Y")</f>
        <v>2.6381000000000001</v>
      </c>
      <c r="H15" s="14" t="str">
        <f>_xll.BDH("RCOM IN Equity","5Y_AVG_CAPEX_TO_DEPR_EXPN","FY 2014","FY 2014","Currency=INR","Period=FY","BEST_FPERIOD_OVERRIDE=FY","FILING_STATUS=MR","EQY_CONSOLIDATED=Y","Sort=A","Dates=H","DateFormat=P","Fill=—","Direction=H","UseDPDF=Y")</f>
        <v>—</v>
      </c>
      <c r="I15" s="14" t="str">
        <f>_xll.BDH("RCOM IN Equity","5Y_AVG_CAPEX_TO_DEPR_EXPN","FY 2015","FY 2015","Currency=INR","Period=FY","BEST_FPERIOD_OVERRIDE=FY","FILING_STATUS=MR","EQY_CONSOLIDATED=Y","Sort=A","Dates=H","DateFormat=P","Fill=—","Direction=H","UseDPDF=Y")</f>
        <v>—</v>
      </c>
      <c r="J15" s="14" t="str">
        <f>_xll.BDH("RCOM IN Equity","5Y_AVG_CAPEX_TO_DEPR_EXPN","FY 2016","FY 2016","Currency=INR","Period=FY","BEST_FPERIOD_OVERRIDE=FY","FILING_STATUS=MR","EQY_CONSOLIDATED=Y","Sort=A","Dates=H","DateFormat=P","Fill=—","Direction=H","UseDPDF=Y")</f>
        <v>—</v>
      </c>
      <c r="K15" s="14" t="str">
        <f>_xll.BDH("RCOM IN Equity","5Y_AVG_CAPEX_TO_DEPR_EXPN","FY 2017","FY 2017","Currency=INR","Period=FY","BEST_FPERIOD_OVERRIDE=FY","FILING_STATUS=MR","EQY_CONSOLIDATED=Y","Sort=A","Dates=H","DateFormat=P","Fill=—","Direction=H","UseDPDF=Y")</f>
        <v>—</v>
      </c>
      <c r="L15" s="14" t="str">
        <f>_xll.BDH("RCOM IN Equity","5Y_AVG_CAPEX_TO_DEPR_EXPN","FY 2018","FY 2018","Currency=INR","Period=FY","BEST_FPERIOD_OVERRIDE=FY","FILING_STATUS=MR","EQY_CONSOLIDATED=Y","Sort=A","Dates=H","DateFormat=P","Fill=—","Direction=H","UseDPDF=Y")</f>
        <v>—</v>
      </c>
    </row>
    <row r="16" spans="1:12">
      <c r="A16" s="10" t="s">
        <v>1698</v>
      </c>
      <c r="B16" s="10" t="s">
        <v>1486</v>
      </c>
      <c r="C16" s="14">
        <f>_xll.BDH("RCOM IN Equity","TOT_CAP_EXPEND_GROWTH","FY 2009","FY 2009","Currency=INR","Period=FY","BEST_FPERIOD_OVERRIDE=FY","FILING_STATUS=MR","EQY_CONSOLIDATED=Y","Sort=A","Dates=H","DateFormat=P","Fill=—","Direction=H","UseDPDF=Y")</f>
        <v>-29.5212</v>
      </c>
      <c r="D16" s="14">
        <f>_xll.BDH("RCOM IN Equity","TOT_CAP_EXPEND_GROWTH","FY 2010","FY 2010","Currency=INR","Period=FY","BEST_FPERIOD_OVERRIDE=FY","FILING_STATUS=MR","EQY_CONSOLIDATED=Y","Sort=A","Dates=H","DateFormat=P","Fill=—","Direction=H","UseDPDF=Y")</f>
        <v>-38.849800000000002</v>
      </c>
      <c r="E16" s="14">
        <f>_xll.BDH("RCOM IN Equity","TOT_CAP_EXPEND_GROWTH","FY 2011","FY 2011","Currency=INR","Period=FY","BEST_FPERIOD_OVERRIDE=FY","FILING_STATUS=MR","EQY_CONSOLIDATED=Y","Sort=A","Dates=H","DateFormat=P","Fill=—","Direction=H","UseDPDF=Y")</f>
        <v>37.766300000000001</v>
      </c>
      <c r="F16" s="14">
        <f>_xll.BDH("RCOM IN Equity","TOT_CAP_EXPEND_GROWTH","FY 2012","FY 2012","Currency=INR","Period=FY","BEST_FPERIOD_OVERRIDE=FY","FILING_STATUS=MR","EQY_CONSOLIDATED=Y","Sort=A","Dates=H","DateFormat=P","Fill=—","Direction=H","UseDPDF=Y")</f>
        <v>-53.035699999999999</v>
      </c>
      <c r="G16" s="14">
        <f>_xll.BDH("RCOM IN Equity","TOT_CAP_EXPEND_GROWTH","FY 2013","FY 2013","Currency=INR","Period=FY","BEST_FPERIOD_OVERRIDE=FY","FILING_STATUS=MR","EQY_CONSOLIDATED=Y","Sort=A","Dates=H","DateFormat=P","Fill=—","Direction=H","UseDPDF=Y")</f>
        <v>-56.412399999999998</v>
      </c>
      <c r="H16" s="14">
        <f>_xll.BDH("RCOM IN Equity","TOT_CAP_EXPEND_GROWTH","FY 2014","FY 2014","Currency=INR","Period=FY","BEST_FPERIOD_OVERRIDE=FY","FILING_STATUS=MR","EQY_CONSOLIDATED=Y","Sort=A","Dates=H","DateFormat=P","Fill=—","Direction=H","UseDPDF=Y")</f>
        <v>2.4125000000000001</v>
      </c>
      <c r="I16" s="14">
        <f>_xll.BDH("RCOM IN Equity","TOT_CAP_EXPEND_GROWTH","FY 2015","FY 2015","Currency=INR","Period=FY","BEST_FPERIOD_OVERRIDE=FY","FILING_STATUS=MR","EQY_CONSOLIDATED=Y","Sort=A","Dates=H","DateFormat=P","Fill=—","Direction=H","UseDPDF=Y")</f>
        <v>15.2887</v>
      </c>
      <c r="J16" s="14">
        <f>_xll.BDH("RCOM IN Equity","TOT_CAP_EXPEND_GROWTH","FY 2016","FY 2016","Currency=INR","Period=FY","BEST_FPERIOD_OVERRIDE=FY","FILING_STATUS=MR","EQY_CONSOLIDATED=Y","Sort=A","Dates=H","DateFormat=P","Fill=—","Direction=H","UseDPDF=Y")</f>
        <v>514.18269999999995</v>
      </c>
      <c r="K16" s="14">
        <f>_xll.BDH("RCOM IN Equity","TOT_CAP_EXPEND_GROWTH","FY 2017","FY 2017","Currency=INR","Period=FY","BEST_FPERIOD_OVERRIDE=FY","FILING_STATUS=MR","EQY_CONSOLIDATED=Y","Sort=A","Dates=H","DateFormat=P","Fill=—","Direction=H","UseDPDF=Y")</f>
        <v>-74.429199999999994</v>
      </c>
      <c r="L16" s="14">
        <f>_xll.BDH("RCOM IN Equity","TOT_CAP_EXPEND_GROWTH","FY 2018","FY 2018","Currency=INR","Period=FY","BEST_FPERIOD_OVERRIDE=FY","FILING_STATUS=MR","EQY_CONSOLIDATED=Y","Sort=A","Dates=H","DateFormat=P","Fill=—","Direction=H","UseDPDF=Y")</f>
        <v>-84.923500000000004</v>
      </c>
    </row>
    <row r="17" spans="1:12">
      <c r="A17" s="10" t="s">
        <v>1699</v>
      </c>
      <c r="B17" s="10" t="s">
        <v>1700</v>
      </c>
      <c r="C17" s="14">
        <f>_xll.BDH("RCOM IN Equity","AVG_AGE_OF_ASSETS_IN_YEARS","FY 2009","FY 2009","Currency=INR","Period=FY","BEST_FPERIOD_OVERRIDE=FY","FILING_STATUS=MR","EQY_CONSOLIDATED=Y","Sort=A","Dates=H","DateFormat=P","Fill=—","Direction=H","UseDPDF=Y")</f>
        <v>3.9207999999999998</v>
      </c>
      <c r="D17" s="14">
        <f>_xll.BDH("RCOM IN Equity","AVG_AGE_OF_ASSETS_IN_YEARS","FY 2010","FY 2010","Currency=INR","Period=FY","BEST_FPERIOD_OVERRIDE=FY","FILING_STATUS=MR","EQY_CONSOLIDATED=Y","Sort=A","Dates=H","DateFormat=P","Fill=—","Direction=H","UseDPDF=Y")</f>
        <v>5.6109999999999998</v>
      </c>
      <c r="E17" s="14">
        <f>_xll.BDH("RCOM IN Equity","AVG_AGE_OF_ASSETS_IN_YEARS","FY 2011","FY 2011","Currency=INR","Period=FY","BEST_FPERIOD_OVERRIDE=FY","FILING_STATUS=MR","EQY_CONSOLIDATED=Y","Sort=A","Dates=H","DateFormat=P","Fill=—","Direction=H","UseDPDF=Y")</f>
        <v>5.7889999999999997</v>
      </c>
      <c r="F17" s="14">
        <f>_xll.BDH("RCOM IN Equity","AVG_AGE_OF_ASSETS_IN_YEARS","FY 2012","FY 2012","Currency=INR","Period=FY","BEST_FPERIOD_OVERRIDE=FY","FILING_STATUS=MR","EQY_CONSOLIDATED=Y","Sort=A","Dates=H","DateFormat=P","Fill=—","Direction=H","UseDPDF=Y")</f>
        <v>15.4435</v>
      </c>
      <c r="G17" s="14">
        <f>_xll.BDH("RCOM IN Equity","AVG_AGE_OF_ASSETS_IN_YEARS","FY 2013","FY 2013","Currency=INR","Period=FY","BEST_FPERIOD_OVERRIDE=FY","FILING_STATUS=MR","EQY_CONSOLIDATED=Y","Sort=A","Dates=H","DateFormat=P","Fill=—","Direction=H","UseDPDF=Y")</f>
        <v>15.3711</v>
      </c>
      <c r="H17" s="14" t="str">
        <f>_xll.BDH("RCOM IN Equity","AVG_AGE_OF_ASSETS_IN_YEARS","FY 2014","FY 2014","Currency=INR","Period=FY","BEST_FPERIOD_OVERRIDE=FY","FILING_STATUS=MR","EQY_CONSOLIDATED=Y","Sort=A","Dates=H","DateFormat=P","Fill=—","Direction=H","UseDPDF=Y")</f>
        <v>—</v>
      </c>
      <c r="I17" s="14" t="str">
        <f>_xll.BDH("RCOM IN Equity","AVG_AGE_OF_ASSETS_IN_YEARS","FY 2015","FY 2015","Currency=INR","Period=FY","BEST_FPERIOD_OVERRIDE=FY","FILING_STATUS=MR","EQY_CONSOLIDATED=Y","Sort=A","Dates=H","DateFormat=P","Fill=—","Direction=H","UseDPDF=Y")</f>
        <v>—</v>
      </c>
      <c r="J17" s="14" t="str">
        <f>_xll.BDH("RCOM IN Equity","AVG_AGE_OF_ASSETS_IN_YEARS","FY 2016","FY 2016","Currency=INR","Period=FY","BEST_FPERIOD_OVERRIDE=FY","FILING_STATUS=MR","EQY_CONSOLIDATED=Y","Sort=A","Dates=H","DateFormat=P","Fill=—","Direction=H","UseDPDF=Y")</f>
        <v>—</v>
      </c>
      <c r="K17" s="14" t="str">
        <f>_xll.BDH("RCOM IN Equity","AVG_AGE_OF_ASSETS_IN_YEARS","FY 2017","FY 2017","Currency=INR","Period=FY","BEST_FPERIOD_OVERRIDE=FY","FILING_STATUS=MR","EQY_CONSOLIDATED=Y","Sort=A","Dates=H","DateFormat=P","Fill=—","Direction=H","UseDPDF=Y")</f>
        <v>—</v>
      </c>
      <c r="L17" s="14" t="str">
        <f>_xll.BDH("RCOM IN Equity","AVG_AGE_OF_ASSETS_IN_YEARS","FY 2018","FY 2018","Currency=INR","Period=FY","BEST_FPERIOD_OVERRIDE=FY","FILING_STATUS=MR","EQY_CONSOLIDATED=Y","Sort=A","Dates=H","DateFormat=P","Fill=—","Direction=H","UseDPDF=Y")</f>
        <v>—</v>
      </c>
    </row>
    <row r="18" spans="1:12">
      <c r="A18" s="7" t="s">
        <v>57</v>
      </c>
      <c r="B18" s="7"/>
      <c r="C18" s="7" t="s">
        <v>3</v>
      </c>
      <c r="D18" s="7"/>
      <c r="E18" s="7"/>
      <c r="F18" s="7"/>
      <c r="G18" s="7"/>
      <c r="H18" s="7"/>
      <c r="I18" s="7"/>
      <c r="J18" s="7"/>
      <c r="K18" s="7"/>
      <c r="L18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38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1701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209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</row>
    <row r="6" spans="1:12">
      <c r="A6" s="10" t="s">
        <v>352</v>
      </c>
      <c r="B6" s="10" t="s">
        <v>353</v>
      </c>
      <c r="C6" s="12" t="s">
        <v>354</v>
      </c>
      <c r="D6" s="12" t="s">
        <v>354</v>
      </c>
      <c r="E6" s="12" t="s">
        <v>354</v>
      </c>
      <c r="F6" s="12" t="s">
        <v>354</v>
      </c>
      <c r="G6" s="12" t="s">
        <v>354</v>
      </c>
      <c r="H6" s="12" t="s">
        <v>354</v>
      </c>
      <c r="I6" s="12" t="s">
        <v>354</v>
      </c>
      <c r="J6" s="12" t="s">
        <v>354</v>
      </c>
      <c r="K6" s="12" t="s">
        <v>354</v>
      </c>
      <c r="L6" s="15"/>
    </row>
    <row r="7" spans="1:12">
      <c r="A7" s="10" t="s">
        <v>850</v>
      </c>
      <c r="B7" s="10" t="s">
        <v>851</v>
      </c>
      <c r="C7" s="14">
        <f>_xll.BDH("RCOM IN Equity","NUM_OF_EMPLOYEES","FY 2010","FY 2010","Currency=INR","Period=FY","BEST_FPERIOD_OVERRIDE=FY","FILING_STATUS=MR","EQY_CONSOLIDATED=Y","Sort=A","Dates=H","DateFormat=P","Fill=—","Direction=H","UseDPDF=Y")</f>
        <v>30974</v>
      </c>
      <c r="D7" s="14">
        <f>_xll.BDH("RCOM IN Equity","NUM_OF_EMPLOYEES","FY 2011","FY 2011","Currency=INR","Period=FY","BEST_FPERIOD_OVERRIDE=FY","FILING_STATUS=MR","EQY_CONSOLIDATED=Y","Sort=A","Dates=H","DateFormat=P","Fill=—","Direction=H","UseDPDF=Y")</f>
        <v>28065</v>
      </c>
      <c r="E7" s="14">
        <f>_xll.BDH("RCOM IN Equity","NUM_OF_EMPLOYEES","FY 2012","FY 2012","Currency=INR","Period=FY","BEST_FPERIOD_OVERRIDE=FY","FILING_STATUS=MR","EQY_CONSOLIDATED=Y","Sort=A","Dates=H","DateFormat=P","Fill=—","Direction=H","UseDPDF=Y")</f>
        <v>24460</v>
      </c>
      <c r="F7" s="14">
        <f>_xll.BDH("RCOM IN Equity","NUM_OF_EMPLOYEES","FY 2013","FY 2013","Currency=INR","Period=FY","BEST_FPERIOD_OVERRIDE=FY","FILING_STATUS=MR","EQY_CONSOLIDATED=Y","Sort=A","Dates=H","DateFormat=P","Fill=—","Direction=H","UseDPDF=Y")</f>
        <v>18653</v>
      </c>
      <c r="G7" s="14" t="str">
        <f>_xll.BDH("RCOM IN Equity","NUM_OF_EMPLOYEES","FY 2014","FY 2014","Currency=INR","Period=FY","BEST_FPERIOD_OVERRIDE=FY","FILING_STATUS=MR","EQY_CONSOLIDATED=Y","Sort=A","Dates=H","DateFormat=P","Fill=—","Direction=H","UseDPDF=Y")</f>
        <v>—</v>
      </c>
      <c r="H7" s="14" t="str">
        <f>_xll.BDH("RCOM IN Equity","NUM_OF_EMPLOYEES","FY 2015","FY 2015","Currency=INR","Period=FY","BEST_FPERIOD_OVERRIDE=FY","FILING_STATUS=MR","EQY_CONSOLIDATED=Y","Sort=A","Dates=H","DateFormat=P","Fill=—","Direction=H","UseDPDF=Y")</f>
        <v>—</v>
      </c>
      <c r="I7" s="14" t="str">
        <f>_xll.BDH("RCOM IN Equity","NUM_OF_EMPLOYEES","FY 2016","FY 2016","Currency=INR","Period=FY","BEST_FPERIOD_OVERRIDE=FY","FILING_STATUS=MR","EQY_CONSOLIDATED=Y","Sort=A","Dates=H","DateFormat=P","Fill=—","Direction=H","UseDPDF=Y")</f>
        <v>—</v>
      </c>
      <c r="J7" s="14" t="str">
        <f>_xll.BDH("RCOM IN Equity","NUM_OF_EMPLOYEES","FY 2017","FY 2017","Currency=INR","Period=FY","BEST_FPERIOD_OVERRIDE=FY","FILING_STATUS=MR","EQY_CONSOLIDATED=Y","Sort=A","Dates=H","DateFormat=P","Fill=—","Direction=H","UseDPDF=Y")</f>
        <v>—</v>
      </c>
      <c r="K7" s="14" t="str">
        <f>_xll.BDH("RCOM IN Equity","NUM_OF_EMPLOYEES","FY 2018","FY 2018","Currency=INR","Period=FY","BEST_FPERIOD_OVERRIDE=FY","FILING_STATUS=MR","EQY_CONSOLIDATED=Y","Sort=A","Dates=H","DateFormat=P","Fill=—","Direction=H","UseDPDF=Y")</f>
        <v>—</v>
      </c>
      <c r="L7" s="17"/>
    </row>
    <row r="8" spans="1:12">
      <c r="A8" s="10"/>
      <c r="B8" s="12"/>
      <c r="C8" s="12"/>
      <c r="D8" s="12"/>
      <c r="E8" s="12"/>
      <c r="F8" s="12"/>
      <c r="G8" s="12"/>
      <c r="H8" s="12"/>
      <c r="I8" s="12"/>
      <c r="J8" s="12"/>
      <c r="K8" s="12"/>
      <c r="L8" s="15"/>
    </row>
    <row r="9" spans="1:12">
      <c r="A9" s="10" t="s">
        <v>237</v>
      </c>
      <c r="B9" s="10" t="s">
        <v>202</v>
      </c>
      <c r="C9" s="14">
        <f>_xll.BDH("RCOM IN Equity","PX_LAST","FY 2010","FY 2010","Currency=INR","Period=FY","BEST_FPERIOD_OVERRIDE=FY","FILING_STATUS=MR","EQY_CONSOLIDATED=Y","Sort=A","Dates=H","DateFormat=P","Fill=—","Direction=H","UseDPDF=Y")</f>
        <v>169.95</v>
      </c>
      <c r="D9" s="14">
        <f>_xll.BDH("RCOM IN Equity","PX_LAST","FY 2011","FY 2011","Currency=INR","Period=FY","BEST_FPERIOD_OVERRIDE=FY","FILING_STATUS=MR","EQY_CONSOLIDATED=Y","Sort=A","Dates=H","DateFormat=P","Fill=—","Direction=H","UseDPDF=Y")</f>
        <v>107.65</v>
      </c>
      <c r="E9" s="14">
        <f>_xll.BDH("RCOM IN Equity","PX_LAST","FY 2012","FY 2012","Currency=INR","Period=FY","BEST_FPERIOD_OVERRIDE=FY","FILING_STATUS=MR","EQY_CONSOLIDATED=Y","Sort=A","Dates=H","DateFormat=P","Fill=—","Direction=H","UseDPDF=Y")</f>
        <v>84.05</v>
      </c>
      <c r="F9" s="14">
        <f>_xll.BDH("RCOM IN Equity","PX_LAST","FY 2013","FY 2013","Currency=INR","Period=FY","BEST_FPERIOD_OVERRIDE=FY","FILING_STATUS=MR","EQY_CONSOLIDATED=Y","Sort=A","Dates=H","DateFormat=P","Fill=—","Direction=H","UseDPDF=Y")</f>
        <v>55.3</v>
      </c>
      <c r="G9" s="14">
        <f>_xll.BDH("RCOM IN Equity","PX_LAST","FY 2014","FY 2014","Currency=INR","Period=FY","BEST_FPERIOD_OVERRIDE=FY","FILING_STATUS=MR","EQY_CONSOLIDATED=Y","Sort=A","Dates=H","DateFormat=P","Fill=—","Direction=H","UseDPDF=Y")</f>
        <v>128.9</v>
      </c>
      <c r="H9" s="14">
        <f>_xll.BDH("RCOM IN Equity","PX_LAST","FY 2015","FY 2015","Currency=INR","Period=FY","BEST_FPERIOD_OVERRIDE=FY","FILING_STATUS=MR","EQY_CONSOLIDATED=Y","Sort=A","Dates=H","DateFormat=P","Fill=—","Direction=H","UseDPDF=Y")</f>
        <v>59.25</v>
      </c>
      <c r="I9" s="14">
        <f>_xll.BDH("RCOM IN Equity","PX_LAST","FY 2016","FY 2016","Currency=INR","Period=FY","BEST_FPERIOD_OVERRIDE=FY","FILING_STATUS=MR","EQY_CONSOLIDATED=Y","Sort=A","Dates=H","DateFormat=P","Fill=—","Direction=H","UseDPDF=Y")</f>
        <v>50</v>
      </c>
      <c r="J9" s="14">
        <f>_xll.BDH("RCOM IN Equity","PX_LAST","FY 2017","FY 2017","Currency=INR","Period=FY","BEST_FPERIOD_OVERRIDE=FY","FILING_STATUS=MR","EQY_CONSOLIDATED=Y","Sort=A","Dates=H","DateFormat=P","Fill=—","Direction=H","UseDPDF=Y")</f>
        <v>38.299999999999997</v>
      </c>
      <c r="K9" s="14">
        <f>_xll.BDH("RCOM IN Equity","PX_LAST","FY 2018","FY 2018","Currency=INR","Period=FY","BEST_FPERIOD_OVERRIDE=FY","FILING_STATUS=MR","EQY_CONSOLIDATED=Y","Sort=A","Dates=H","DateFormat=P","Fill=—","Direction=H","UseDPDF=Y")</f>
        <v>21.75</v>
      </c>
      <c r="L9" s="17">
        <v>6.6</v>
      </c>
    </row>
    <row r="10" spans="1:12">
      <c r="A10" s="10" t="s">
        <v>823</v>
      </c>
      <c r="B10" s="10" t="s">
        <v>86</v>
      </c>
      <c r="C10" s="13">
        <f>_xll.BDH("RCOM IN Equity","BS_SH_OUT","FY 2010","FY 2010","Currency=INR","Period=FY","BEST_FPERIOD_OVERRIDE=FY","FILING_STATUS=MR","EQY_CONSOLIDATED=Y","Sort=A","Dates=H","DateFormat=P","Fill=—","Direction=H","UseDPDF=Y")</f>
        <v>2064.0268999999998</v>
      </c>
      <c r="D10" s="13">
        <f>_xll.BDH("RCOM IN Equity","BS_SH_OUT","FY 2011","FY 2011","Currency=INR","Period=FY","BEST_FPERIOD_OVERRIDE=FY","FILING_STATUS=MR","EQY_CONSOLIDATED=Y","Sort=A","Dates=H","DateFormat=P","Fill=—","Direction=H","UseDPDF=Y")</f>
        <v>2064.0268999999998</v>
      </c>
      <c r="E10" s="13">
        <f>_xll.BDH("RCOM IN Equity","BS_SH_OUT","FY 2012","FY 2012","Currency=INR","Period=FY","BEST_FPERIOD_OVERRIDE=FY","FILING_STATUS=MR","EQY_CONSOLIDATED=Y","Sort=A","Dates=H","DateFormat=P","Fill=—","Direction=H","UseDPDF=Y")</f>
        <v>2064.0268999999998</v>
      </c>
      <c r="F10" s="13">
        <f>_xll.BDH("RCOM IN Equity","BS_SH_OUT","FY 2013","FY 2013","Currency=INR","Period=FY","BEST_FPERIOD_OVERRIDE=FY","FILING_STATUS=MR","EQY_CONSOLIDATED=Y","Sort=A","Dates=H","DateFormat=P","Fill=—","Direction=H","UseDPDF=Y")</f>
        <v>2064.0268999999998</v>
      </c>
      <c r="G10" s="13">
        <f>_xll.BDH("RCOM IN Equity","BS_SH_OUT","FY 2014","FY 2014","Currency=INR","Period=FY","BEST_FPERIOD_OVERRIDE=FY","FILING_STATUS=MR","EQY_CONSOLIDATED=Y","Sort=A","Dates=H","DateFormat=P","Fill=—","Direction=H","UseDPDF=Y")</f>
        <v>2064.0268999999998</v>
      </c>
      <c r="H10" s="13">
        <f>_xll.BDH("RCOM IN Equity","BS_SH_OUT","FY 2015","FY 2015","Currency=INR","Period=FY","BEST_FPERIOD_OVERRIDE=FY","FILING_STATUS=MR","EQY_CONSOLIDATED=Y","Sort=A","Dates=H","DateFormat=P","Fill=—","Direction=H","UseDPDF=Y")</f>
        <v>2488.9796999999999</v>
      </c>
      <c r="I10" s="13">
        <f>_xll.BDH("RCOM IN Equity","BS_SH_OUT","FY 2016","FY 2016","Currency=INR","Period=FY","BEST_FPERIOD_OVERRIDE=FY","FILING_STATUS=MR","EQY_CONSOLIDATED=Y","Sort=A","Dates=H","DateFormat=P","Fill=—","Direction=H","UseDPDF=Y")</f>
        <v>2488.9796999999999</v>
      </c>
      <c r="J10" s="13">
        <f>_xll.BDH("RCOM IN Equity","BS_SH_OUT","FY 2017","FY 2017","Currency=INR","Period=FY","BEST_FPERIOD_OVERRIDE=FY","FILING_STATUS=MR","EQY_CONSOLIDATED=Y","Sort=A","Dates=H","DateFormat=P","Fill=—","Direction=H","UseDPDF=Y")</f>
        <v>2488.9796999999999</v>
      </c>
      <c r="K10" s="13">
        <f>_xll.BDH("RCOM IN Equity","BS_SH_OUT","FY 2018","FY 2018","Currency=INR","Period=FY","BEST_FPERIOD_OVERRIDE=FY","FILING_STATUS=MR","EQY_CONSOLIDATED=Y","Sort=A","Dates=H","DateFormat=P","Fill=—","Direction=H","UseDPDF=Y")</f>
        <v>2765.5331000000001</v>
      </c>
      <c r="L10" s="16">
        <v>2766</v>
      </c>
    </row>
    <row r="11" spans="1:12">
      <c r="A11" s="10" t="s">
        <v>27</v>
      </c>
      <c r="B11" s="10" t="s">
        <v>28</v>
      </c>
      <c r="C11" s="13">
        <f>_xll.BDH("RCOM IN Equity","HISTORICAL_MARKET_CAP","FY 2010","FY 2010","Currency=INR","Period=FY","BEST_FPERIOD_OVERRIDE=FY","FILING_STATUS=MR","EQY_CONSOLIDATED=Y","SCALING_FORMAT=MLN","Sort=A","Dates=H","DateFormat=P","Fill=—","Direction=H","UseDPDF=Y")</f>
        <v>350781.36839999998</v>
      </c>
      <c r="D11" s="13">
        <f>_xll.BDH("RCOM IN Equity","HISTORICAL_MARKET_CAP","FY 2011","FY 2011","Currency=INR","Period=FY","BEST_FPERIOD_OVERRIDE=FY","FILING_STATUS=MR","EQY_CONSOLIDATED=Y","SCALING_FORMAT=MLN","Sort=A","Dates=H","DateFormat=P","Fill=—","Direction=H","UseDPDF=Y")</f>
        <v>222192.49369999999</v>
      </c>
      <c r="E11" s="13">
        <f>_xll.BDH("RCOM IN Equity","HISTORICAL_MARKET_CAP","FY 2012","FY 2012","Currency=INR","Period=FY","BEST_FPERIOD_OVERRIDE=FY","FILING_STATUS=MR","EQY_CONSOLIDATED=Y","SCALING_FORMAT=MLN","Sort=A","Dates=H","DateFormat=P","Fill=—","Direction=H","UseDPDF=Y")</f>
        <v>173481.45929999999</v>
      </c>
      <c r="F11" s="13">
        <f>_xll.BDH("RCOM IN Equity","HISTORICAL_MARKET_CAP","FY 2013","FY 2013","Currency=INR","Period=FY","BEST_FPERIOD_OVERRIDE=FY","FILING_STATUS=MR","EQY_CONSOLIDATED=Y","SCALING_FORMAT=MLN","Sort=A","Dates=H","DateFormat=P","Fill=—","Direction=H","UseDPDF=Y")</f>
        <v>114140.6865</v>
      </c>
      <c r="G11" s="13">
        <f>_xll.BDH("RCOM IN Equity","HISTORICAL_MARKET_CAP","FY 2014","FY 2014","Currency=INR","Period=FY","BEST_FPERIOD_OVERRIDE=FY","FILING_STATUS=MR","EQY_CONSOLIDATED=Y","SCALING_FORMAT=MLN","Sort=A","Dates=H","DateFormat=P","Fill=—","Direction=H","UseDPDF=Y")</f>
        <v>266053.065</v>
      </c>
      <c r="H11" s="13">
        <f>_xll.BDH("RCOM IN Equity","HISTORICAL_MARKET_CAP","FY 2015","FY 2015","Currency=INR","Period=FY","BEST_FPERIOD_OVERRIDE=FY","FILING_STATUS=MR","EQY_CONSOLIDATED=Y","SCALING_FORMAT=MLN","Sort=A","Dates=H","DateFormat=P","Fill=—","Direction=H","UseDPDF=Y")</f>
        <v>147472.04990000001</v>
      </c>
      <c r="I11" s="13">
        <f>_xll.BDH("RCOM IN Equity","HISTORICAL_MARKET_CAP","FY 2016","FY 2016","Currency=INR","Period=FY","BEST_FPERIOD_OVERRIDE=FY","FILING_STATUS=MR","EQY_CONSOLIDATED=Y","SCALING_FORMAT=MLN","Sort=A","Dates=H","DateFormat=P","Fill=—","Direction=H","UseDPDF=Y")</f>
        <v>124448.98729999999</v>
      </c>
      <c r="J11" s="13">
        <f>_xll.BDH("RCOM IN Equity","HISTORICAL_MARKET_CAP","FY 2017","FY 2017","Currency=INR","Period=FY","BEST_FPERIOD_OVERRIDE=FY","FILING_STATUS=MR","EQY_CONSOLIDATED=Y","SCALING_FORMAT=MLN","Sort=A","Dates=H","DateFormat=P","Fill=—","Direction=H","UseDPDF=Y")</f>
        <v>95327.924199999994</v>
      </c>
      <c r="K11" s="13">
        <f>_xll.BDH("RCOM IN Equity","HISTORICAL_MARKET_CAP","FY 2018","FY 2018","Currency=INR","Period=FY","BEST_FPERIOD_OVERRIDE=FY","FILING_STATUS=MR","EQY_CONSOLIDATED=Y","SCALING_FORMAT=MLN","Sort=A","Dates=H","DateFormat=P","Fill=—","Direction=H","UseDPDF=Y")</f>
        <v>60150.343800000002</v>
      </c>
      <c r="L11" s="16">
        <v>18252.51813</v>
      </c>
    </row>
    <row r="12" spans="1:12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5"/>
    </row>
    <row r="13" spans="1:12">
      <c r="A13" s="10" t="s">
        <v>0</v>
      </c>
      <c r="B13" s="10" t="s">
        <v>38</v>
      </c>
      <c r="C13" s="13">
        <f>_xll.BDH("RCOM IN Equity","SALES_REV_TURN","FY 2010","FY 2010","Currency=INR","Period=FY","BEST_FPERIOD_OVERRIDE=FY","FILING_STATUS=MR","EQY_CONSOLIDATED=Y","SCALING_FORMAT=MLN","FA_ADJUSTED=GAAP","Sort=A","Dates=H","DateFormat=P","Fill=—","Direction=H","UseDPDF=Y")</f>
        <v>206850.5</v>
      </c>
      <c r="D13" s="13">
        <f>_xll.BDH("RCOM IN Equity","SALES_REV_TURN","FY 2011","FY 2011","Currency=INR","Period=FY","BEST_FPERIOD_OVERRIDE=FY","FILING_STATUS=MR","EQY_CONSOLIDATED=Y","SCALING_FORMAT=MLN","FA_ADJUSTED=GAAP","Sort=A","Dates=H","DateFormat=P","Fill=—","Direction=H","UseDPDF=Y")</f>
        <v>220890</v>
      </c>
      <c r="E13" s="13">
        <f>_xll.BDH("RCOM IN Equity","SALES_REV_TURN","FY 2012","FY 2012","Currency=INR","Period=FY","BEST_FPERIOD_OVERRIDE=FY","FILING_STATUS=MR","EQY_CONSOLIDATED=Y","SCALING_FORMAT=MLN","FA_ADJUSTED=GAAP","Sort=A","Dates=H","DateFormat=P","Fill=—","Direction=H","UseDPDF=Y")</f>
        <v>187160</v>
      </c>
      <c r="F13" s="13">
        <f>_xll.BDH("RCOM IN Equity","SALES_REV_TURN","FY 2013","FY 2013","Currency=INR","Period=FY","BEST_FPERIOD_OVERRIDE=FY","FILING_STATUS=MR","EQY_CONSOLIDATED=Y","SCALING_FORMAT=MLN","FA_ADJUSTED=GAAP","Sort=A","Dates=H","DateFormat=P","Fill=—","Direction=H","UseDPDF=Y")</f>
        <v>192940</v>
      </c>
      <c r="G13" s="13">
        <f>_xll.BDH("RCOM IN Equity","SALES_REV_TURN","FY 2014","FY 2014","Currency=INR","Period=FY","BEST_FPERIOD_OVERRIDE=FY","FILING_STATUS=MR","EQY_CONSOLIDATED=Y","SCALING_FORMAT=MLN","FA_ADJUSTED=GAAP","Sort=A","Dates=H","DateFormat=P","Fill=—","Direction=H","UseDPDF=Y")</f>
        <v>209400</v>
      </c>
      <c r="H13" s="13">
        <f>_xll.BDH("RCOM IN Equity","SALES_REV_TURN","FY 2015","FY 2015","Currency=INR","Period=FY","BEST_FPERIOD_OVERRIDE=FY","FILING_STATUS=MR","EQY_CONSOLIDATED=Y","SCALING_FORMAT=MLN","FA_ADJUSTED=GAAP","Sort=A","Dates=H","DateFormat=P","Fill=—","Direction=H","UseDPDF=Y")</f>
        <v>214230</v>
      </c>
      <c r="I13" s="13">
        <f>_xll.BDH("RCOM IN Equity","SALES_REV_TURN","FY 2016","FY 2016","Currency=INR","Period=FY","BEST_FPERIOD_OVERRIDE=FY","FILING_STATUS=MR","EQY_CONSOLIDATED=Y","SCALING_FORMAT=MLN","FA_ADJUSTED=GAAP","Sort=A","Dates=H","DateFormat=P","Fill=—","Direction=H","UseDPDF=Y")</f>
        <v>217430</v>
      </c>
      <c r="J13" s="13">
        <f>_xll.BDH("RCOM IN Equity","SALES_REV_TURN","FY 2017","FY 2017","Currency=INR","Period=FY","BEST_FPERIOD_OVERRIDE=FY","FILING_STATUS=MR","EQY_CONSOLIDATED=Y","SCALING_FORMAT=MLN","FA_ADJUSTED=GAAP","Sort=A","Dates=H","DateFormat=P","Fill=—","Direction=H","UseDPDF=Y")</f>
        <v>65540</v>
      </c>
      <c r="K13" s="13">
        <f>_xll.BDH("RCOM IN Equity","SALES_REV_TURN","FY 2018","FY 2018","Currency=INR","Period=FY","BEST_FPERIOD_OVERRIDE=FY","FILING_STATUS=MR","EQY_CONSOLIDATED=Y","SCALING_FORMAT=MLN","FA_ADJUSTED=GAAP","Sort=A","Dates=H","DateFormat=P","Fill=—","Direction=H","UseDPDF=Y")</f>
        <v>45930</v>
      </c>
      <c r="L13" s="16">
        <v>40020</v>
      </c>
    </row>
    <row r="14" spans="1:12">
      <c r="A14" s="10" t="s">
        <v>46</v>
      </c>
      <c r="B14" s="10" t="s">
        <v>46</v>
      </c>
      <c r="C14" s="13">
        <f>_xll.BDH("RCOM IN Equity","EBITDA","FY 2010","FY 2010","Currency=INR","Period=FY","BEST_FPERIOD_OVERRIDE=FY","FILING_STATUS=MR","EQY_CONSOLIDATED=Y","SCALING_FORMAT=MLN","FA_ADJUSTED=GAAP","Sort=A","Dates=H","DateFormat=P","Fill=—","Direction=H","UseDPDF=Y")</f>
        <v>69890.399999999994</v>
      </c>
      <c r="D14" s="13">
        <f>_xll.BDH("RCOM IN Equity","EBITDA","FY 2011","FY 2011","Currency=INR","Period=FY","BEST_FPERIOD_OVERRIDE=FY","FILING_STATUS=MR","EQY_CONSOLIDATED=Y","SCALING_FORMAT=MLN","FA_ADJUSTED=GAAP","Sort=A","Dates=H","DateFormat=P","Fill=—","Direction=H","UseDPDF=Y")</f>
        <v>83760</v>
      </c>
      <c r="E14" s="13">
        <f>_xll.BDH("RCOM IN Equity","EBITDA","FY 2012","FY 2012","Currency=INR","Period=FY","BEST_FPERIOD_OVERRIDE=FY","FILING_STATUS=MR","EQY_CONSOLIDATED=Y","SCALING_FORMAT=MLN","FA_ADJUSTED=GAAP","Sort=A","Dates=H","DateFormat=P","Fill=—","Direction=H","UseDPDF=Y")</f>
        <v>57950</v>
      </c>
      <c r="F14" s="13">
        <f>_xll.BDH("RCOM IN Equity","EBITDA","FY 2013","FY 2013","Currency=INR","Period=FY","BEST_FPERIOD_OVERRIDE=FY","FILING_STATUS=MR","EQY_CONSOLIDATED=Y","SCALING_FORMAT=MLN","FA_ADJUSTED=GAAP","Sort=A","Dates=H","DateFormat=P","Fill=—","Direction=H","UseDPDF=Y")</f>
        <v>59410</v>
      </c>
      <c r="G14" s="13">
        <f>_xll.BDH("RCOM IN Equity","EBITDA","FY 2014","FY 2014","Currency=INR","Period=FY","BEST_FPERIOD_OVERRIDE=FY","FILING_STATUS=MR","EQY_CONSOLIDATED=Y","SCALING_FORMAT=MLN","FA_ADJUSTED=GAAP","Sort=A","Dates=H","DateFormat=P","Fill=—","Direction=H","UseDPDF=Y")</f>
        <v>67060</v>
      </c>
      <c r="H14" s="13">
        <f>_xll.BDH("RCOM IN Equity","EBITDA","FY 2015","FY 2015","Currency=INR","Period=FY","BEST_FPERIOD_OVERRIDE=FY","FILING_STATUS=MR","EQY_CONSOLIDATED=Y","SCALING_FORMAT=MLN","FA_ADJUSTED=GAAP","Sort=A","Dates=H","DateFormat=P","Fill=—","Direction=H","UseDPDF=Y")</f>
        <v>72060</v>
      </c>
      <c r="I14" s="13">
        <f>_xll.BDH("RCOM IN Equity","EBITDA","FY 2016","FY 2016","Currency=INR","Period=FY","BEST_FPERIOD_OVERRIDE=FY","FILING_STATUS=MR","EQY_CONSOLIDATED=Y","SCALING_FORMAT=MLN","FA_ADJUSTED=GAAP","Sort=A","Dates=H","DateFormat=P","Fill=—","Direction=H","UseDPDF=Y")</f>
        <v>72600</v>
      </c>
      <c r="J14" s="13">
        <f>_xll.BDH("RCOM IN Equity","EBITDA","FY 2017","FY 2017","Currency=INR","Period=FY","BEST_FPERIOD_OVERRIDE=FY","FILING_STATUS=MR","EQY_CONSOLIDATED=Y","SCALING_FORMAT=MLN","FA_ADJUSTED=GAAP","Sort=A","Dates=H","DateFormat=P","Fill=—","Direction=H","UseDPDF=Y")</f>
        <v>46610</v>
      </c>
      <c r="K14" s="13">
        <f>_xll.BDH("RCOM IN Equity","EBITDA","FY 2018","FY 2018","Currency=INR","Period=FY","BEST_FPERIOD_OVERRIDE=FY","FILING_STATUS=MR","EQY_CONSOLIDATED=Y","SCALING_FORMAT=MLN","FA_ADJUSTED=GAAP","Sort=A","Dates=H","DateFormat=P","Fill=—","Direction=H","UseDPDF=Y")</f>
        <v>31100</v>
      </c>
      <c r="L14" s="16">
        <v>5160</v>
      </c>
    </row>
    <row r="15" spans="1:12">
      <c r="A15" s="10" t="s">
        <v>1293</v>
      </c>
      <c r="B15" s="10" t="s">
        <v>356</v>
      </c>
      <c r="C15" s="14">
        <f>_xll.BDH("RCOM IN Equity","EBITDA_MARGIN","FY 2010","FY 2010","Currency=INR","Period=FY","BEST_FPERIOD_OVERRIDE=FY","FILING_STATUS=MR","EQY_CONSOLIDATED=Y","FA_ADJUSTED=GAAP","Sort=A","Dates=H","DateFormat=P","Fill=—","Direction=H","UseDPDF=Y")</f>
        <v>33.7879</v>
      </c>
      <c r="D15" s="14">
        <f>_xll.BDH("RCOM IN Equity","EBITDA_MARGIN","FY 2011","FY 2011","Currency=INR","Period=FY","BEST_FPERIOD_OVERRIDE=FY","FILING_STATUS=MR","EQY_CONSOLIDATED=Y","FA_ADJUSTED=GAAP","Sort=A","Dates=H","DateFormat=P","Fill=—","Direction=H","UseDPDF=Y")</f>
        <v>37.9193</v>
      </c>
      <c r="E15" s="14">
        <f>_xll.BDH("RCOM IN Equity","EBITDA_MARGIN","FY 2012","FY 2012","Currency=INR","Period=FY","BEST_FPERIOD_OVERRIDE=FY","FILING_STATUS=MR","EQY_CONSOLIDATED=Y","FA_ADJUSTED=GAAP","Sort=A","Dates=H","DateFormat=P","Fill=—","Direction=H","UseDPDF=Y")</f>
        <v>30.962800000000001</v>
      </c>
      <c r="F15" s="14">
        <f>_xll.BDH("RCOM IN Equity","EBITDA_MARGIN","FY 2013","FY 2013","Currency=INR","Period=FY","BEST_FPERIOD_OVERRIDE=FY","FILING_STATUS=MR","EQY_CONSOLIDATED=Y","FA_ADJUSTED=GAAP","Sort=A","Dates=H","DateFormat=P","Fill=—","Direction=H","UseDPDF=Y")</f>
        <v>30.792000000000002</v>
      </c>
      <c r="G15" s="14">
        <f>_xll.BDH("RCOM IN Equity","EBITDA_MARGIN","FY 2014","FY 2014","Currency=INR","Period=FY","BEST_FPERIOD_OVERRIDE=FY","FILING_STATUS=MR","EQY_CONSOLIDATED=Y","FA_ADJUSTED=GAAP","Sort=A","Dates=H","DateFormat=P","Fill=—","Direction=H","UseDPDF=Y")</f>
        <v>32.024799999999999</v>
      </c>
      <c r="H15" s="14">
        <f>_xll.BDH("RCOM IN Equity","EBITDA_MARGIN","FY 2015","FY 2015","Currency=INR","Period=FY","BEST_FPERIOD_OVERRIDE=FY","FILING_STATUS=MR","EQY_CONSOLIDATED=Y","FA_ADJUSTED=GAAP","Sort=A","Dates=H","DateFormat=P","Fill=—","Direction=H","UseDPDF=Y")</f>
        <v>33.636699999999998</v>
      </c>
      <c r="I15" s="14">
        <f>_xll.BDH("RCOM IN Equity","EBITDA_MARGIN","FY 2016","FY 2016","Currency=INR","Period=FY","BEST_FPERIOD_OVERRIDE=FY","FILING_STATUS=MR","EQY_CONSOLIDATED=Y","FA_ADJUSTED=GAAP","Sort=A","Dates=H","DateFormat=P","Fill=—","Direction=H","UseDPDF=Y")</f>
        <v>33.390099999999997</v>
      </c>
      <c r="J15" s="14">
        <f>_xll.BDH("RCOM IN Equity","EBITDA_MARGIN","FY 2017","FY 2017","Currency=INR","Period=FY","BEST_FPERIOD_OVERRIDE=FY","FILING_STATUS=MR","EQY_CONSOLIDATED=Y","FA_ADJUSTED=GAAP","Sort=A","Dates=H","DateFormat=P","Fill=—","Direction=H","UseDPDF=Y")</f>
        <v>71.116900000000001</v>
      </c>
      <c r="K15" s="14">
        <f>_xll.BDH("RCOM IN Equity","EBITDA_MARGIN","FY 2018","FY 2018","Currency=INR","Period=FY","BEST_FPERIOD_OVERRIDE=FY","FILING_STATUS=MR","EQY_CONSOLIDATED=Y","FA_ADJUSTED=GAAP","Sort=A","Dates=H","DateFormat=P","Fill=—","Direction=H","UseDPDF=Y")</f>
        <v>67.711699999999993</v>
      </c>
      <c r="L15" s="17">
        <v>12.893553223388301</v>
      </c>
    </row>
    <row r="16" spans="1:12">
      <c r="A16" s="10" t="s">
        <v>1702</v>
      </c>
      <c r="B16" s="10" t="s">
        <v>338</v>
      </c>
      <c r="C16" s="13">
        <f>_xll.BDH("RCOM IN Equity","NET_INCOME","FY 2010","FY 2010","Currency=INR","Period=FY","BEST_FPERIOD_OVERRIDE=FY","FILING_STATUS=MR","EQY_CONSOLIDATED=Y","SCALING_FORMAT=MLN","FA_ADJUSTED=GAAP","Sort=A","Dates=H","DateFormat=P","Fill=—","Direction=H","UseDPDF=Y")</f>
        <v>46550</v>
      </c>
      <c r="D16" s="13">
        <f>_xll.BDH("RCOM IN Equity","NET_INCOME","FY 2011","FY 2011","Currency=INR","Period=FY","BEST_FPERIOD_OVERRIDE=FY","FILING_STATUS=MR","EQY_CONSOLIDATED=Y","SCALING_FORMAT=MLN","FA_ADJUSTED=GAAP","Sort=A","Dates=H","DateFormat=P","Fill=—","Direction=H","UseDPDF=Y")</f>
        <v>13450</v>
      </c>
      <c r="E16" s="13">
        <f>_xll.BDH("RCOM IN Equity","NET_INCOME","FY 2012","FY 2012","Currency=INR","Period=FY","BEST_FPERIOD_OVERRIDE=FY","FILING_STATUS=MR","EQY_CONSOLIDATED=Y","SCALING_FORMAT=MLN","FA_ADJUSTED=GAAP","Sort=A","Dates=H","DateFormat=P","Fill=—","Direction=H","UseDPDF=Y")</f>
        <v>9280</v>
      </c>
      <c r="F16" s="13">
        <f>_xll.BDH("RCOM IN Equity","NET_INCOME","FY 2013","FY 2013","Currency=INR","Period=FY","BEST_FPERIOD_OVERRIDE=FY","FILING_STATUS=MR","EQY_CONSOLIDATED=Y","SCALING_FORMAT=MLN","FA_ADJUSTED=GAAP","Sort=A","Dates=H","DateFormat=P","Fill=—","Direction=H","UseDPDF=Y")</f>
        <v>6720</v>
      </c>
      <c r="G16" s="13">
        <f>_xll.BDH("RCOM IN Equity","NET_INCOME","FY 2014","FY 2014","Currency=INR","Period=FY","BEST_FPERIOD_OVERRIDE=FY","FILING_STATUS=MR","EQY_CONSOLIDATED=Y","SCALING_FORMAT=MLN","FA_ADJUSTED=GAAP","Sort=A","Dates=H","DateFormat=P","Fill=—","Direction=H","UseDPDF=Y")</f>
        <v>10470</v>
      </c>
      <c r="H16" s="13">
        <f>_xll.BDH("RCOM IN Equity","NET_INCOME","FY 2015","FY 2015","Currency=INR","Period=FY","BEST_FPERIOD_OVERRIDE=FY","FILING_STATUS=MR","EQY_CONSOLIDATED=Y","SCALING_FORMAT=MLN","FA_ADJUSTED=GAAP","Sort=A","Dates=H","DateFormat=P","Fill=—","Direction=H","UseDPDF=Y")</f>
        <v>7140</v>
      </c>
      <c r="I16" s="13">
        <f>_xll.BDH("RCOM IN Equity","NET_INCOME","FY 2016","FY 2016","Currency=INR","Period=FY","BEST_FPERIOD_OVERRIDE=FY","FILING_STATUS=MR","EQY_CONSOLIDATED=Y","SCALING_FORMAT=MLN","FA_ADJUSTED=GAAP","Sort=A","Dates=H","DateFormat=P","Fill=—","Direction=H","UseDPDF=Y")</f>
        <v>6390</v>
      </c>
      <c r="J16" s="13">
        <f>_xll.BDH("RCOM IN Equity","NET_INCOME","FY 2017","FY 2017","Currency=INR","Period=FY","BEST_FPERIOD_OVERRIDE=FY","FILING_STATUS=MR","EQY_CONSOLIDATED=Y","SCALING_FORMAT=MLN","FA_ADJUSTED=GAAP","Sort=A","Dates=H","DateFormat=P","Fill=—","Direction=H","UseDPDF=Y")</f>
        <v>-14030</v>
      </c>
      <c r="K16" s="13">
        <f>_xll.BDH("RCOM IN Equity","NET_INCOME","FY 2018","FY 2018","Currency=INR","Period=FY","BEST_FPERIOD_OVERRIDE=FY","FILING_STATUS=MR","EQY_CONSOLIDATED=Y","SCALING_FORMAT=MLN","FA_ADJUSTED=GAAP","Sort=A","Dates=H","DateFormat=P","Fill=—","Direction=H","UseDPDF=Y")</f>
        <v>-238390</v>
      </c>
      <c r="L16" s="16">
        <v>-192140</v>
      </c>
    </row>
    <row r="17" spans="1:12">
      <c r="A17" s="10" t="s">
        <v>1703</v>
      </c>
      <c r="B17" s="10" t="s">
        <v>1704</v>
      </c>
      <c r="C17" s="14">
        <f>_xll.BDH("RCOM IN Equity","TRAIL_12M_EPS","FY 2010","FY 2010","Currency=INR","Period=FY","BEST_FPERIOD_OVERRIDE=FY","FILING_STATUS=MR","EQY_CONSOLIDATED=Y","Sort=A","Dates=H","DateFormat=P","Fill=—","Direction=H","UseDPDF=Y")</f>
        <v>22.553000000000001</v>
      </c>
      <c r="D17" s="14">
        <f>_xll.BDH("RCOM IN Equity","TRAIL_12M_EPS","FY 2011","FY 2011","Currency=INR","Period=FY","BEST_FPERIOD_OVERRIDE=FY","FILING_STATUS=MR","EQY_CONSOLIDATED=Y","Sort=A","Dates=H","DateFormat=P","Fill=—","Direction=H","UseDPDF=Y")</f>
        <v>6.5164</v>
      </c>
      <c r="E17" s="14">
        <f>_xll.BDH("RCOM IN Equity","TRAIL_12M_EPS","FY 2012","FY 2012","Currency=INR","Period=FY","BEST_FPERIOD_OVERRIDE=FY","FILING_STATUS=MR","EQY_CONSOLIDATED=Y","Sort=A","Dates=H","DateFormat=P","Fill=—","Direction=H","UseDPDF=Y")</f>
        <v>4.5</v>
      </c>
      <c r="F17" s="14">
        <f>_xll.BDH("RCOM IN Equity","TRAIL_12M_EPS","FY 2013","FY 2013","Currency=INR","Period=FY","BEST_FPERIOD_OVERRIDE=FY","FILING_STATUS=MR","EQY_CONSOLIDATED=Y","Sort=A","Dates=H","DateFormat=P","Fill=—","Direction=H","UseDPDF=Y")</f>
        <v>3.26</v>
      </c>
      <c r="G17" s="14">
        <f>_xll.BDH("RCOM IN Equity","TRAIL_12M_EPS","FY 2014","FY 2014","Currency=INR","Period=FY","BEST_FPERIOD_OVERRIDE=FY","FILING_STATUS=MR","EQY_CONSOLIDATED=Y","Sort=A","Dates=H","DateFormat=P","Fill=—","Direction=H","UseDPDF=Y")</f>
        <v>5.07</v>
      </c>
      <c r="H17" s="14">
        <f>_xll.BDH("RCOM IN Equity","TRAIL_12M_EPS","FY 2015","FY 2015","Currency=INR","Period=FY","BEST_FPERIOD_OVERRIDE=FY","FILING_STATUS=MR","EQY_CONSOLIDATED=Y","Sort=A","Dates=H","DateFormat=P","Fill=—","Direction=H","UseDPDF=Y")</f>
        <v>3.05</v>
      </c>
      <c r="I17" s="14">
        <f>_xll.BDH("RCOM IN Equity","TRAIL_12M_EPS","FY 2016","FY 2016","Currency=INR","Period=FY","BEST_FPERIOD_OVERRIDE=FY","FILING_STATUS=MR","EQY_CONSOLIDATED=Y","Sort=A","Dates=H","DateFormat=P","Fill=—","Direction=H","UseDPDF=Y")</f>
        <v>2.59</v>
      </c>
      <c r="J17" s="14">
        <f>_xll.BDH("RCOM IN Equity","TRAIL_12M_EPS","FY 2017","FY 2017","Currency=INR","Period=FY","BEST_FPERIOD_OVERRIDE=FY","FILING_STATUS=MR","EQY_CONSOLIDATED=Y","Sort=A","Dates=H","DateFormat=P","Fill=—","Direction=H","UseDPDF=Y")</f>
        <v>0.50649999999999995</v>
      </c>
      <c r="K17" s="14">
        <f>_xll.BDH("RCOM IN Equity","TRAIL_12M_EPS","FY 2018","FY 2018","Currency=INR","Period=FY","BEST_FPERIOD_OVERRIDE=FY","FILING_STATUS=MR","EQY_CONSOLIDATED=Y","Sort=A","Dates=H","DateFormat=P","Fill=—","Direction=H","UseDPDF=Y")</f>
        <v>0.18970000000000001</v>
      </c>
      <c r="L17" s="17">
        <v>4.0190530000000004</v>
      </c>
    </row>
    <row r="18" spans="1:12">
      <c r="A18" s="10" t="s">
        <v>1705</v>
      </c>
      <c r="B18" s="10" t="s">
        <v>160</v>
      </c>
      <c r="C18" s="14">
        <f>_xll.BDH("RCOM IN Equity","PE_RATIO","FY 2010","FY 2010","Currency=INR","Period=FY","BEST_FPERIOD_OVERRIDE=FY","FILING_STATUS=MR","EQY_CONSOLIDATED=Y","Sort=A","Dates=H","DateFormat=P","Fill=—","Direction=H","UseDPDF=Y")</f>
        <v>7.5355999999999996</v>
      </c>
      <c r="D18" s="14">
        <f>_xll.BDH("RCOM IN Equity","PE_RATIO","FY 2011","FY 2011","Currency=INR","Period=FY","BEST_FPERIOD_OVERRIDE=FY","FILING_STATUS=MR","EQY_CONSOLIDATED=Y","Sort=A","Dates=H","DateFormat=P","Fill=—","Direction=H","UseDPDF=Y")</f>
        <v>16.5199</v>
      </c>
      <c r="E18" s="14">
        <f>_xll.BDH("RCOM IN Equity","PE_RATIO","FY 2012","FY 2012","Currency=INR","Period=FY","BEST_FPERIOD_OVERRIDE=FY","FILING_STATUS=MR","EQY_CONSOLIDATED=Y","Sort=A","Dates=H","DateFormat=P","Fill=—","Direction=H","UseDPDF=Y")</f>
        <v>18.677800000000001</v>
      </c>
      <c r="F18" s="14">
        <f>_xll.BDH("RCOM IN Equity","PE_RATIO","FY 2013","FY 2013","Currency=INR","Period=FY","BEST_FPERIOD_OVERRIDE=FY","FILING_STATUS=MR","EQY_CONSOLIDATED=Y","Sort=A","Dates=H","DateFormat=P","Fill=—","Direction=H","UseDPDF=Y")</f>
        <v>16.963200000000001</v>
      </c>
      <c r="G18" s="14">
        <f>_xll.BDH("RCOM IN Equity","PE_RATIO","FY 2014","FY 2014","Currency=INR","Period=FY","BEST_FPERIOD_OVERRIDE=FY","FILING_STATUS=MR","EQY_CONSOLIDATED=Y","Sort=A","Dates=H","DateFormat=P","Fill=—","Direction=H","UseDPDF=Y")</f>
        <v>25.424099999999999</v>
      </c>
      <c r="H18" s="14">
        <f>_xll.BDH("RCOM IN Equity","PE_RATIO","FY 2015","FY 2015","Currency=INR","Period=FY","BEST_FPERIOD_OVERRIDE=FY","FILING_STATUS=MR","EQY_CONSOLIDATED=Y","Sort=A","Dates=H","DateFormat=P","Fill=—","Direction=H","UseDPDF=Y")</f>
        <v>19.426200000000001</v>
      </c>
      <c r="I18" s="14">
        <f>_xll.BDH("RCOM IN Equity","PE_RATIO","FY 2016","FY 2016","Currency=INR","Period=FY","BEST_FPERIOD_OVERRIDE=FY","FILING_STATUS=MR","EQY_CONSOLIDATED=Y","Sort=A","Dates=H","DateFormat=P","Fill=—","Direction=H","UseDPDF=Y")</f>
        <v>19.305</v>
      </c>
      <c r="J18" s="14">
        <f>_xll.BDH("RCOM IN Equity","PE_RATIO","FY 2017","FY 2017","Currency=INR","Period=FY","BEST_FPERIOD_OVERRIDE=FY","FILING_STATUS=MR","EQY_CONSOLIDATED=Y","Sort=A","Dates=H","DateFormat=P","Fill=—","Direction=H","UseDPDF=Y")</f>
        <v>75.610399999999998</v>
      </c>
      <c r="K18" s="14">
        <f>_xll.BDH("RCOM IN Equity","PE_RATIO","FY 2018","FY 2018","Currency=INR","Period=FY","BEST_FPERIOD_OVERRIDE=FY","FILING_STATUS=MR","EQY_CONSOLIDATED=Y","Sort=A","Dates=H","DateFormat=P","Fill=—","Direction=H","UseDPDF=Y")</f>
        <v>114.64749999999999</v>
      </c>
      <c r="L18" s="17">
        <v>34.789575275325603</v>
      </c>
    </row>
    <row r="19" spans="1:12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5"/>
    </row>
    <row r="20" spans="1:12">
      <c r="A20" s="10" t="s">
        <v>364</v>
      </c>
      <c r="B20" s="10" t="s">
        <v>227</v>
      </c>
      <c r="C20" s="14">
        <f>_xll.BDH("RCOM IN Equity","EQY_DPS","FY 2010","FY 2010","Currency=INR","Period=FY","BEST_FPERIOD_OVERRIDE=FY","FILING_STATUS=MR","EQY_CONSOLIDATED=Y","Sort=A","Dates=H","DateFormat=P","Fill=—","Direction=H","UseDPDF=Y")</f>
        <v>0.85</v>
      </c>
      <c r="D20" s="14">
        <f>_xll.BDH("RCOM IN Equity","EQY_DPS","FY 2011","FY 2011","Currency=INR","Period=FY","BEST_FPERIOD_OVERRIDE=FY","FILING_STATUS=MR","EQY_CONSOLIDATED=Y","Sort=A","Dates=H","DateFormat=P","Fill=—","Direction=H","UseDPDF=Y")</f>
        <v>0.5</v>
      </c>
      <c r="E20" s="14">
        <f>_xll.BDH("RCOM IN Equity","EQY_DPS","FY 2012","FY 2012","Currency=INR","Period=FY","BEST_FPERIOD_OVERRIDE=FY","FILING_STATUS=MR","EQY_CONSOLIDATED=Y","Sort=A","Dates=H","DateFormat=P","Fill=—","Direction=H","UseDPDF=Y")</f>
        <v>0.25</v>
      </c>
      <c r="F20" s="14">
        <f>_xll.BDH("RCOM IN Equity","EQY_DPS","FY 2013","FY 2013","Currency=INR","Period=FY","BEST_FPERIOD_OVERRIDE=FY","FILING_STATUS=MR","EQY_CONSOLIDATED=Y","Sort=A","Dates=H","DateFormat=P","Fill=—","Direction=H","UseDPDF=Y")</f>
        <v>0.25</v>
      </c>
      <c r="G20" s="14">
        <f>_xll.BDH("RCOM IN Equity","EQY_DPS","FY 2014","FY 2014","Currency=INR","Period=FY","BEST_FPERIOD_OVERRIDE=FY","FILING_STATUS=MR","EQY_CONSOLIDATED=Y","Sort=A","Dates=H","DateFormat=P","Fill=—","Direction=H","UseDPDF=Y")</f>
        <v>0</v>
      </c>
      <c r="H20" s="14">
        <f>_xll.BDH("RCOM IN Equity","EQY_DPS","FY 2015","FY 2015","Currency=INR","Period=FY","BEST_FPERIOD_OVERRIDE=FY","FILING_STATUS=MR","EQY_CONSOLIDATED=Y","Sort=A","Dates=H","DateFormat=P","Fill=—","Direction=H","UseDPDF=Y")</f>
        <v>0</v>
      </c>
      <c r="I20" s="14">
        <f>_xll.BDH("RCOM IN Equity","EQY_DPS","FY 2016","FY 2016","Currency=INR","Period=FY","BEST_FPERIOD_OVERRIDE=FY","FILING_STATUS=MR","EQY_CONSOLIDATED=Y","Sort=A","Dates=H","DateFormat=P","Fill=—","Direction=H","UseDPDF=Y")</f>
        <v>0</v>
      </c>
      <c r="J20" s="14">
        <f>_xll.BDH("RCOM IN Equity","EQY_DPS","FY 2017","FY 2017","Currency=INR","Period=FY","BEST_FPERIOD_OVERRIDE=FY","FILING_STATUS=MR","EQY_CONSOLIDATED=Y","Sort=A","Dates=H","DateFormat=P","Fill=—","Direction=H","UseDPDF=Y")</f>
        <v>0</v>
      </c>
      <c r="K20" s="14">
        <f>_xll.BDH("RCOM IN Equity","EQY_DPS","FY 2018","FY 2018","Currency=INR","Period=FY","BEST_FPERIOD_OVERRIDE=FY","FILING_STATUS=MR","EQY_CONSOLIDATED=Y","Sort=A","Dates=H","DateFormat=P","Fill=—","Direction=H","UseDPDF=Y")</f>
        <v>0</v>
      </c>
      <c r="L20" s="17"/>
    </row>
    <row r="21" spans="1:12">
      <c r="A21" s="10" t="s">
        <v>1706</v>
      </c>
      <c r="B21" s="10" t="s">
        <v>1445</v>
      </c>
      <c r="C21" s="14">
        <f>_xll.BDH("RCOM IN Equity","DVD_PAYOUT_RATIO","FY 2010","FY 2010","Currency=INR","Period=FY","BEST_FPERIOD_OVERRIDE=FY","FILING_STATUS=MR","EQY_CONSOLIDATED=Y","FA_ADJUSTED=GAAP","Sort=A","Dates=H","DateFormat=P","Fill=—","Direction=H","UseDPDF=Y")</f>
        <v>3.7688999999999999</v>
      </c>
      <c r="D21" s="14">
        <f>_xll.BDH("RCOM IN Equity","DVD_PAYOUT_RATIO","FY 2011","FY 2011","Currency=INR","Period=FY","BEST_FPERIOD_OVERRIDE=FY","FILING_STATUS=MR","EQY_CONSOLIDATED=Y","FA_ADJUSTED=GAAP","Sort=A","Dates=H","DateFormat=P","Fill=—","Direction=H","UseDPDF=Y")</f>
        <v>7.6580000000000004</v>
      </c>
      <c r="E21" s="14">
        <f>_xll.BDH("RCOM IN Equity","DVD_PAYOUT_RATIO","FY 2012","FY 2012","Currency=INR","Period=FY","BEST_FPERIOD_OVERRIDE=FY","FILING_STATUS=MR","EQY_CONSOLIDATED=Y","FA_ADJUSTED=GAAP","Sort=A","Dates=H","DateFormat=P","Fill=—","Direction=H","UseDPDF=Y")</f>
        <v>5.6033999999999997</v>
      </c>
      <c r="F21" s="14">
        <f>_xll.BDH("RCOM IN Equity","DVD_PAYOUT_RATIO","FY 2013","FY 2013","Currency=INR","Period=FY","BEST_FPERIOD_OVERRIDE=FY","FILING_STATUS=MR","EQY_CONSOLIDATED=Y","FA_ADJUSTED=GAAP","Sort=A","Dates=H","DateFormat=P","Fill=—","Direction=H","UseDPDF=Y")</f>
        <v>7.7381000000000002</v>
      </c>
      <c r="G21" s="14">
        <f>_xll.BDH("RCOM IN Equity","DVD_PAYOUT_RATIO","FY 2014","FY 2014","Currency=INR","Period=FY","BEST_FPERIOD_OVERRIDE=FY","FILING_STATUS=MR","EQY_CONSOLIDATED=Y","FA_ADJUSTED=GAAP","Sort=A","Dates=H","DateFormat=P","Fill=—","Direction=H","UseDPDF=Y")</f>
        <v>0</v>
      </c>
      <c r="H21" s="14">
        <f>_xll.BDH("RCOM IN Equity","DVD_PAYOUT_RATIO","FY 2015","FY 2015","Currency=INR","Period=FY","BEST_FPERIOD_OVERRIDE=FY","FILING_STATUS=MR","EQY_CONSOLIDATED=Y","FA_ADJUSTED=GAAP","Sort=A","Dates=H","DateFormat=P","Fill=—","Direction=H","UseDPDF=Y")</f>
        <v>0</v>
      </c>
      <c r="I21" s="14">
        <f>_xll.BDH("RCOM IN Equity","DVD_PAYOUT_RATIO","FY 2016","FY 2016","Currency=INR","Period=FY","BEST_FPERIOD_OVERRIDE=FY","FILING_STATUS=MR","EQY_CONSOLIDATED=Y","FA_ADJUSTED=GAAP","Sort=A","Dates=H","DateFormat=P","Fill=—","Direction=H","UseDPDF=Y")</f>
        <v>0</v>
      </c>
      <c r="J21" s="14">
        <f>_xll.BDH("RCOM IN Equity","DVD_PAYOUT_RATIO","FY 2017","FY 2017","Currency=INR","Period=FY","BEST_FPERIOD_OVERRIDE=FY","FILING_STATUS=MR","EQY_CONSOLIDATED=Y","FA_ADJUSTED=GAAP","Sort=A","Dates=H","DateFormat=P","Fill=—","Direction=H","UseDPDF=Y")</f>
        <v>0</v>
      </c>
      <c r="K21" s="14">
        <f>_xll.BDH("RCOM IN Equity","DVD_PAYOUT_RATIO","FY 2018","FY 2018","Currency=INR","Period=FY","BEST_FPERIOD_OVERRIDE=FY","FILING_STATUS=MR","EQY_CONSOLIDATED=Y","FA_ADJUSTED=GAAP","Sort=A","Dates=H","DateFormat=P","Fill=—","Direction=H","UseDPDF=Y")</f>
        <v>0</v>
      </c>
      <c r="L21" s="17"/>
    </row>
    <row r="22" spans="1:12">
      <c r="A22" s="10" t="s">
        <v>1707</v>
      </c>
      <c r="B22" s="10" t="s">
        <v>1708</v>
      </c>
      <c r="C22" s="14">
        <f>_xll.BDH("RCOM IN Equity","DIVIDEND_12_MONTH_YIELD","FY 2010","FY 2010","Currency=INR","Period=FY","BEST_FPERIOD_OVERRIDE=FY","FILING_STATUS=MR","EQY_CONSOLIDATED=Y","Sort=A","Dates=H","DateFormat=P","Fill=—","Direction=H","UseDPDF=Y")</f>
        <v>0.47070000000000001</v>
      </c>
      <c r="D22" s="14">
        <f>_xll.BDH("RCOM IN Equity","DIVIDEND_12_MONTH_YIELD","FY 2011","FY 2011","Currency=INR","Period=FY","BEST_FPERIOD_OVERRIDE=FY","FILING_STATUS=MR","EQY_CONSOLIDATED=Y","Sort=A","Dates=H","DateFormat=P","Fill=—","Direction=H","UseDPDF=Y")</f>
        <v>0.78959999999999997</v>
      </c>
      <c r="E22" s="14">
        <f>_xll.BDH("RCOM IN Equity","DIVIDEND_12_MONTH_YIELD","FY 2012","FY 2012","Currency=INR","Period=FY","BEST_FPERIOD_OVERRIDE=FY","FILING_STATUS=MR","EQY_CONSOLIDATED=Y","Sort=A","Dates=H","DateFormat=P","Fill=—","Direction=H","UseDPDF=Y")</f>
        <v>0.59489999999999998</v>
      </c>
      <c r="F22" s="14">
        <f>_xll.BDH("RCOM IN Equity","DIVIDEND_12_MONTH_YIELD","FY 2013","FY 2013","Currency=INR","Period=FY","BEST_FPERIOD_OVERRIDE=FY","FILING_STATUS=MR","EQY_CONSOLIDATED=Y","Sort=A","Dates=H","DateFormat=P","Fill=—","Direction=H","UseDPDF=Y")</f>
        <v>0.4521</v>
      </c>
      <c r="G22" s="14">
        <f>_xll.BDH("RCOM IN Equity","DIVIDEND_12_MONTH_YIELD","FY 2014","FY 2014","Currency=INR","Period=FY","BEST_FPERIOD_OVERRIDE=FY","FILING_STATUS=MR","EQY_CONSOLIDATED=Y","Sort=A","Dates=H","DateFormat=P","Fill=—","Direction=H","UseDPDF=Y")</f>
        <v>0.19389999999999999</v>
      </c>
      <c r="H22" s="14">
        <f>_xll.BDH("RCOM IN Equity","DIVIDEND_12_MONTH_YIELD","FY 2015","FY 2015","Currency=INR","Period=FY","BEST_FPERIOD_OVERRIDE=FY","FILING_STATUS=MR","EQY_CONSOLIDATED=Y","Sort=A","Dates=H","DateFormat=P","Fill=—","Direction=H","UseDPDF=Y")</f>
        <v>0.2087</v>
      </c>
      <c r="I22" s="14" t="str">
        <f>_xll.BDH("RCOM IN Equity","DIVIDEND_12_MONTH_YIELD","FY 2016","FY 2016","Currency=INR","Period=FY","BEST_FPERIOD_OVERRIDE=FY","FILING_STATUS=MR","EQY_CONSOLIDATED=Y","Sort=A","Dates=H","DateFormat=P","Fill=—","Direction=H","UseDPDF=Y")</f>
        <v>—</v>
      </c>
      <c r="J22" s="14" t="str">
        <f>_xll.BDH("RCOM IN Equity","DIVIDEND_12_MONTH_YIELD","FY 2017","FY 2017","Currency=INR","Period=FY","BEST_FPERIOD_OVERRIDE=FY","FILING_STATUS=MR","EQY_CONSOLIDATED=Y","Sort=A","Dates=H","DateFormat=P","Fill=—","Direction=H","UseDPDF=Y")</f>
        <v>—</v>
      </c>
      <c r="K22" s="14" t="str">
        <f>_xll.BDH("RCOM IN Equity","DIVIDEND_12_MONTH_YIELD","FY 2018","FY 2018","Currency=INR","Period=FY","BEST_FPERIOD_OVERRIDE=FY","FILING_STATUS=MR","EQY_CONSOLIDATED=Y","Sort=A","Dates=H","DateFormat=P","Fill=—","Direction=H","UseDPDF=Y")</f>
        <v>—</v>
      </c>
      <c r="L22" s="17"/>
    </row>
    <row r="23" spans="1:12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5"/>
    </row>
    <row r="24" spans="1:12">
      <c r="A24" s="10" t="s">
        <v>1709</v>
      </c>
      <c r="B24" s="10" t="s">
        <v>724</v>
      </c>
      <c r="C24" s="13">
        <f>_xll.BDH("RCOM IN Equity","BS_NET_FIX_ASSET","FY 2010","FY 2010","Currency=INR","Period=FY","BEST_FPERIOD_OVERRIDE=FY","FILING_STATUS=MR","EQY_CONSOLIDATED=Y","SCALING_FORMAT=MLN","Sort=A","Dates=H","DateFormat=P","Fill=—","Direction=H","UseDPDF=Y")</f>
        <v>534138.9</v>
      </c>
      <c r="D24" s="13">
        <f>_xll.BDH("RCOM IN Equity","BS_NET_FIX_ASSET","FY 2011","FY 2011","Currency=INR","Period=FY","BEST_FPERIOD_OVERRIDE=FY","FILING_STATUS=MR","EQY_CONSOLIDATED=Y","SCALING_FORMAT=MLN","Sort=A","Dates=H","DateFormat=P","Fill=—","Direction=H","UseDPDF=Y")</f>
        <v>558870</v>
      </c>
      <c r="E24" s="13">
        <f>_xll.BDH("RCOM IN Equity","BS_NET_FIX_ASSET","FY 2012","FY 2012","Currency=INR","Period=FY","BEST_FPERIOD_OVERRIDE=FY","FILING_STATUS=MR","EQY_CONSOLIDATED=Y","SCALING_FORMAT=MLN","Sort=A","Dates=H","DateFormat=P","Fill=—","Direction=H","UseDPDF=Y")</f>
        <v>485770</v>
      </c>
      <c r="F24" s="13">
        <f>_xll.BDH("RCOM IN Equity","BS_NET_FIX_ASSET","FY 2013","FY 2013","Currency=INR","Period=FY","BEST_FPERIOD_OVERRIDE=FY","FILING_STATUS=MR","EQY_CONSOLIDATED=Y","SCALING_FORMAT=MLN","Sort=A","Dates=H","DateFormat=P","Fill=—","Direction=H","UseDPDF=Y")</f>
        <v>482030</v>
      </c>
      <c r="G24" s="13">
        <f>_xll.BDH("RCOM IN Equity","BS_NET_FIX_ASSET","FY 2014","FY 2014","Currency=INR","Period=FY","BEST_FPERIOD_OVERRIDE=FY","FILING_STATUS=MR","EQY_CONSOLIDATED=Y","SCALING_FORMAT=MLN","Sort=A","Dates=H","DateFormat=P","Fill=—","Direction=H","UseDPDF=Y")</f>
        <v>471240</v>
      </c>
      <c r="H24" s="13">
        <f>_xll.BDH("RCOM IN Equity","BS_NET_FIX_ASSET","FY 2015","FY 2015","Currency=INR","Period=FY","BEST_FPERIOD_OVERRIDE=FY","FILING_STATUS=MR","EQY_CONSOLIDATED=Y","SCALING_FORMAT=MLN","Sort=A","Dates=H","DateFormat=P","Fill=—","Direction=H","UseDPDF=Y")</f>
        <v>452780</v>
      </c>
      <c r="I24" s="13">
        <f>_xll.BDH("RCOM IN Equity","BS_NET_FIX_ASSET","FY 2016","FY 2016","Currency=INR","Period=FY","BEST_FPERIOD_OVERRIDE=FY","FILING_STATUS=MR","EQY_CONSOLIDATED=Y","SCALING_FORMAT=MLN","Sort=A","Dates=H","DateFormat=P","Fill=—","Direction=H","UseDPDF=Y")</f>
        <v>525280</v>
      </c>
      <c r="J24" s="13">
        <f>_xll.BDH("RCOM IN Equity","BS_NET_FIX_ASSET","FY 2017","FY 2017","Currency=INR","Period=FY","BEST_FPERIOD_OVERRIDE=FY","FILING_STATUS=MR","EQY_CONSOLIDATED=Y","SCALING_FORMAT=MLN","Sort=A","Dates=H","DateFormat=P","Fill=—","Direction=H","UseDPDF=Y")</f>
        <v>517100</v>
      </c>
      <c r="K24" s="13">
        <f>_xll.BDH("RCOM IN Equity","BS_NET_FIX_ASSET","FY 2018","FY 2018","Currency=INR","Period=FY","BEST_FPERIOD_OVERRIDE=FY","FILING_STATUS=MR","EQY_CONSOLIDATED=Y","SCALING_FORMAT=MLN","Sort=A","Dates=H","DateFormat=P","Fill=—","Direction=H","UseDPDF=Y")</f>
        <v>167660</v>
      </c>
      <c r="L24" s="16"/>
    </row>
    <row r="25" spans="1:12">
      <c r="A25" s="10" t="s">
        <v>77</v>
      </c>
      <c r="B25" s="10" t="s">
        <v>78</v>
      </c>
      <c r="C25" s="13">
        <f>_xll.BDH("RCOM IN Equity","BS_TOT_ASSET","FY 2010","FY 2010","Currency=INR","Period=FY","BEST_FPERIOD_OVERRIDE=FY","FILING_STATUS=MR","EQY_CONSOLIDATED=Y","SCALING_FORMAT=MLN","Sort=A","Dates=H","DateFormat=P","Fill=—","Direction=H","UseDPDF=Y")</f>
        <v>925686.3</v>
      </c>
      <c r="D25" s="13">
        <f>_xll.BDH("RCOM IN Equity","BS_TOT_ASSET","FY 2011","FY 2011","Currency=INR","Period=FY","BEST_FPERIOD_OVERRIDE=FY","FILING_STATUS=MR","EQY_CONSOLIDATED=Y","SCALING_FORMAT=MLN","Sort=A","Dates=H","DateFormat=P","Fill=—","Direction=H","UseDPDF=Y")</f>
        <v>947230</v>
      </c>
      <c r="E25" s="13">
        <f>_xll.BDH("RCOM IN Equity","BS_TOT_ASSET","FY 2012","FY 2012","Currency=INR","Period=FY","BEST_FPERIOD_OVERRIDE=FY","FILING_STATUS=MR","EQY_CONSOLIDATED=Y","SCALING_FORMAT=MLN","Sort=A","Dates=H","DateFormat=P","Fill=—","Direction=H","UseDPDF=Y")</f>
        <v>922650</v>
      </c>
      <c r="F25" s="13">
        <f>_xll.BDH("RCOM IN Equity","BS_TOT_ASSET","FY 2013","FY 2013","Currency=INR","Period=FY","BEST_FPERIOD_OVERRIDE=FY","FILING_STATUS=MR","EQY_CONSOLIDATED=Y","SCALING_FORMAT=MLN","Sort=A","Dates=H","DateFormat=P","Fill=—","Direction=H","UseDPDF=Y")</f>
        <v>901820</v>
      </c>
      <c r="G25" s="13">
        <f>_xll.BDH("RCOM IN Equity","BS_TOT_ASSET","FY 2014","FY 2014","Currency=INR","Period=FY","BEST_FPERIOD_OVERRIDE=FY","FILING_STATUS=MR","EQY_CONSOLIDATED=Y","SCALING_FORMAT=MLN","Sort=A","Dates=H","DateFormat=P","Fill=—","Direction=H","UseDPDF=Y")</f>
        <v>907390</v>
      </c>
      <c r="H25" s="13">
        <f>_xll.BDH("RCOM IN Equity","BS_TOT_ASSET","FY 2015","FY 2015","Currency=INR","Period=FY","BEST_FPERIOD_OVERRIDE=FY","FILING_STATUS=MR","EQY_CONSOLIDATED=Y","SCALING_FORMAT=MLN","Sort=A","Dates=H","DateFormat=P","Fill=—","Direction=H","UseDPDF=Y")</f>
        <v>930220</v>
      </c>
      <c r="I25" s="13">
        <f>_xll.BDH("RCOM IN Equity","BS_TOT_ASSET","FY 2016","FY 2016","Currency=INR","Period=FY","BEST_FPERIOD_OVERRIDE=FY","FILING_STATUS=MR","EQY_CONSOLIDATED=Y","SCALING_FORMAT=MLN","Sort=A","Dates=H","DateFormat=P","Fill=—","Direction=H","UseDPDF=Y")</f>
        <v>1034540</v>
      </c>
      <c r="J25" s="13">
        <f>_xll.BDH("RCOM IN Equity","BS_TOT_ASSET","FY 2017","FY 2017","Currency=INR","Period=FY","BEST_FPERIOD_OVERRIDE=FY","FILING_STATUS=MR","EQY_CONSOLIDATED=Y","SCALING_FORMAT=MLN","Sort=A","Dates=H","DateFormat=P","Fill=—","Direction=H","UseDPDF=Y")</f>
        <v>997310</v>
      </c>
      <c r="K25" s="13">
        <f>_xll.BDH("RCOM IN Equity","BS_TOT_ASSET","FY 2018","FY 2018","Currency=INR","Period=FY","BEST_FPERIOD_OVERRIDE=FY","FILING_STATUS=MR","EQY_CONSOLIDATED=Y","SCALING_FORMAT=MLN","Sort=A","Dates=H","DateFormat=P","Fill=—","Direction=H","UseDPDF=Y")</f>
        <v>745780</v>
      </c>
      <c r="L25" s="16"/>
    </row>
    <row r="26" spans="1:12">
      <c r="A26" s="10" t="s">
        <v>81</v>
      </c>
      <c r="B26" s="10" t="s">
        <v>82</v>
      </c>
      <c r="C26" s="13">
        <f>_xll.BDH("RCOM IN Equity","BS_TOT_LIAB2","FY 2010","FY 2010","Currency=INR","Period=FY","BEST_FPERIOD_OVERRIDE=FY","FILING_STATUS=MR","EQY_CONSOLIDATED=Y","SCALING_FORMAT=MLN","Sort=A","Dates=H","DateFormat=P","Fill=—","Direction=H","UseDPDF=Y")</f>
        <v>485496</v>
      </c>
      <c r="D26" s="13">
        <f>_xll.BDH("RCOM IN Equity","BS_TOT_LIAB2","FY 2011","FY 2011","Currency=INR","Period=FY","BEST_FPERIOD_OVERRIDE=FY","FILING_STATUS=MR","EQY_CONSOLIDATED=Y","SCALING_FORMAT=MLN","Sort=A","Dates=H","DateFormat=P","Fill=—","Direction=H","UseDPDF=Y")</f>
        <v>534000</v>
      </c>
      <c r="E26" s="13">
        <f>_xll.BDH("RCOM IN Equity","BS_TOT_LIAB2","FY 2012","FY 2012","Currency=INR","Period=FY","BEST_FPERIOD_OVERRIDE=FY","FILING_STATUS=MR","EQY_CONSOLIDATED=Y","SCALING_FORMAT=MLN","Sort=A","Dates=H","DateFormat=P","Fill=—","Direction=H","UseDPDF=Y")</f>
        <v>551090</v>
      </c>
      <c r="F26" s="13">
        <f>_xll.BDH("RCOM IN Equity","BS_TOT_LIAB2","FY 2013","FY 2013","Currency=INR","Period=FY","BEST_FPERIOD_OVERRIDE=FY","FILING_STATUS=MR","EQY_CONSOLIDATED=Y","SCALING_FORMAT=MLN","Sort=A","Dates=H","DateFormat=P","Fill=—","Direction=H","UseDPDF=Y")</f>
        <v>556070</v>
      </c>
      <c r="G26" s="13">
        <f>_xll.BDH("RCOM IN Equity","BS_TOT_LIAB2","FY 2014","FY 2014","Currency=INR","Period=FY","BEST_FPERIOD_OVERRIDE=FY","FILING_STATUS=MR","EQY_CONSOLIDATED=Y","SCALING_FORMAT=MLN","Sort=A","Dates=H","DateFormat=P","Fill=—","Direction=H","UseDPDF=Y")</f>
        <v>572000</v>
      </c>
      <c r="H26" s="13">
        <f>_xll.BDH("RCOM IN Equity","BS_TOT_LIAB2","FY 2015","FY 2015","Currency=INR","Period=FY","BEST_FPERIOD_OVERRIDE=FY","FILING_STATUS=MR","EQY_CONSOLIDATED=Y","SCALING_FORMAT=MLN","Sort=A","Dates=H","DateFormat=P","Fill=—","Direction=H","UseDPDF=Y")</f>
        <v>528360</v>
      </c>
      <c r="I26" s="13">
        <f>_xll.BDH("RCOM IN Equity","BS_TOT_LIAB2","FY 2016","FY 2016","Currency=INR","Period=FY","BEST_FPERIOD_OVERRIDE=FY","FILING_STATUS=MR","EQY_CONSOLIDATED=Y","SCALING_FORMAT=MLN","Sort=A","Dates=H","DateFormat=P","Fill=—","Direction=H","UseDPDF=Y")</f>
        <v>715890</v>
      </c>
      <c r="J26" s="13">
        <f>_xll.BDH("RCOM IN Equity","BS_TOT_LIAB2","FY 2017","FY 2017","Currency=INR","Period=FY","BEST_FPERIOD_OVERRIDE=FY","FILING_STATUS=MR","EQY_CONSOLIDATED=Y","SCALING_FORMAT=MLN","Sort=A","Dates=H","DateFormat=P","Fill=—","Direction=H","UseDPDF=Y")</f>
        <v>707620</v>
      </c>
      <c r="K26" s="13">
        <f>_xll.BDH("RCOM IN Equity","BS_TOT_LIAB2","FY 2018","FY 2018","Currency=INR","Period=FY","BEST_FPERIOD_OVERRIDE=FY","FILING_STATUS=MR","EQY_CONSOLIDATED=Y","SCALING_FORMAT=MLN","Sort=A","Dates=H","DateFormat=P","Fill=—","Direction=H","UseDPDF=Y")</f>
        <v>714630</v>
      </c>
      <c r="L26" s="16"/>
    </row>
    <row r="27" spans="1:12">
      <c r="A27" s="10" t="s">
        <v>83</v>
      </c>
      <c r="B27" s="10" t="s">
        <v>84</v>
      </c>
      <c r="C27" s="13">
        <f>_xll.BDH("RCOM IN Equity","TOTAL_EQUITY","FY 2010","FY 2010","Currency=INR","Period=FY","BEST_FPERIOD_OVERRIDE=FY","FILING_STATUS=MR","EQY_CONSOLIDATED=Y","SCALING_FORMAT=MLN","Sort=A","Dates=H","DateFormat=P","Fill=—","Direction=H","UseDPDF=Y")</f>
        <v>440190.3</v>
      </c>
      <c r="D27" s="13">
        <f>_xll.BDH("RCOM IN Equity","TOTAL_EQUITY","FY 2011","FY 2011","Currency=INR","Period=FY","BEST_FPERIOD_OVERRIDE=FY","FILING_STATUS=MR","EQY_CONSOLIDATED=Y","SCALING_FORMAT=MLN","Sort=A","Dates=H","DateFormat=P","Fill=—","Direction=H","UseDPDF=Y")</f>
        <v>413230</v>
      </c>
      <c r="E27" s="13">
        <f>_xll.BDH("RCOM IN Equity","TOTAL_EQUITY","FY 2012","FY 2012","Currency=INR","Period=FY","BEST_FPERIOD_OVERRIDE=FY","FILING_STATUS=MR","EQY_CONSOLIDATED=Y","SCALING_FORMAT=MLN","Sort=A","Dates=H","DateFormat=P","Fill=—","Direction=H","UseDPDF=Y")</f>
        <v>371560</v>
      </c>
      <c r="F27" s="13">
        <f>_xll.BDH("RCOM IN Equity","TOTAL_EQUITY","FY 2013","FY 2013","Currency=INR","Period=FY","BEST_FPERIOD_OVERRIDE=FY","FILING_STATUS=MR","EQY_CONSOLIDATED=Y","SCALING_FORMAT=MLN","Sort=A","Dates=H","DateFormat=P","Fill=—","Direction=H","UseDPDF=Y")</f>
        <v>345750</v>
      </c>
      <c r="G27" s="13">
        <f>_xll.BDH("RCOM IN Equity","TOTAL_EQUITY","FY 2014","FY 2014","Currency=INR","Period=FY","BEST_FPERIOD_OVERRIDE=FY","FILING_STATUS=MR","EQY_CONSOLIDATED=Y","SCALING_FORMAT=MLN","Sort=A","Dates=H","DateFormat=P","Fill=—","Direction=H","UseDPDF=Y")</f>
        <v>335390</v>
      </c>
      <c r="H27" s="13">
        <f>_xll.BDH("RCOM IN Equity","TOTAL_EQUITY","FY 2015","FY 2015","Currency=INR","Period=FY","BEST_FPERIOD_OVERRIDE=FY","FILING_STATUS=MR","EQY_CONSOLIDATED=Y","SCALING_FORMAT=MLN","Sort=A","Dates=H","DateFormat=P","Fill=—","Direction=H","UseDPDF=Y")</f>
        <v>384480</v>
      </c>
      <c r="I27" s="13">
        <f>_xll.BDH("RCOM IN Equity","TOTAL_EQUITY","FY 2016","FY 2016","Currency=INR","Period=FY","BEST_FPERIOD_OVERRIDE=FY","FILING_STATUS=MR","EQY_CONSOLIDATED=Y","SCALING_FORMAT=MLN","Sort=A","Dates=H","DateFormat=P","Fill=—","Direction=H","UseDPDF=Y")</f>
        <v>318650</v>
      </c>
      <c r="J27" s="13">
        <f>_xll.BDH("RCOM IN Equity","TOTAL_EQUITY","FY 2017","FY 2017","Currency=INR","Period=FY","BEST_FPERIOD_OVERRIDE=FY","FILING_STATUS=MR","EQY_CONSOLIDATED=Y","SCALING_FORMAT=MLN","Sort=A","Dates=H","DateFormat=P","Fill=—","Direction=H","UseDPDF=Y")</f>
        <v>289690</v>
      </c>
      <c r="K27" s="13">
        <f>_xll.BDH("RCOM IN Equity","TOTAL_EQUITY","FY 2018","FY 2018","Currency=INR","Period=FY","BEST_FPERIOD_OVERRIDE=FY","FILING_STATUS=MR","EQY_CONSOLIDATED=Y","SCALING_FORMAT=MLN","Sort=A","Dates=H","DateFormat=P","Fill=—","Direction=H","UseDPDF=Y")</f>
        <v>31150</v>
      </c>
      <c r="L27" s="16"/>
    </row>
    <row r="28" spans="1:12">
      <c r="A28" s="10" t="s">
        <v>1483</v>
      </c>
      <c r="B28" s="10" t="s">
        <v>233</v>
      </c>
      <c r="C28" s="14">
        <f>_xll.BDH("RCOM IN Equity","BOOK_VAL_PER_SH","FY 2010","FY 2010","Currency=INR","Period=FY","BEST_FPERIOD_OVERRIDE=FY","FILING_STATUS=MR","EQY_CONSOLIDATED=Y","Sort=A","Dates=H","DateFormat=P","Fill=—","Direction=H","UseDPDF=Y")</f>
        <v>210.0779</v>
      </c>
      <c r="D28" s="14">
        <f>_xll.BDH("RCOM IN Equity","BOOK_VAL_PER_SH","FY 2011","FY 2011","Currency=INR","Period=FY","BEST_FPERIOD_OVERRIDE=FY","FILING_STATUS=MR","EQY_CONSOLIDATED=Y","Sort=A","Dates=H","DateFormat=P","Fill=—","Direction=H","UseDPDF=Y")</f>
        <v>196.21350000000001</v>
      </c>
      <c r="E28" s="14">
        <f>_xll.BDH("RCOM IN Equity","BOOK_VAL_PER_SH","FY 2012","FY 2012","Currency=INR","Period=FY","BEST_FPERIOD_OVERRIDE=FY","FILING_STATUS=MR","EQY_CONSOLIDATED=Y","Sort=A","Dates=H","DateFormat=P","Fill=—","Direction=H","UseDPDF=Y")</f>
        <v>175.85040000000001</v>
      </c>
      <c r="F28" s="14">
        <f>_xll.BDH("RCOM IN Equity","BOOK_VAL_PER_SH","FY 2013","FY 2013","Currency=INR","Period=FY","BEST_FPERIOD_OVERRIDE=FY","FILING_STATUS=MR","EQY_CONSOLIDATED=Y","Sort=A","Dates=H","DateFormat=P","Fill=—","Direction=H","UseDPDF=Y")</f>
        <v>163.99979999999999</v>
      </c>
      <c r="G28" s="14">
        <f>_xll.BDH("RCOM IN Equity","BOOK_VAL_PER_SH","FY 2014","FY 2014","Currency=INR","Period=FY","BEST_FPERIOD_OVERRIDE=FY","FILING_STATUS=MR","EQY_CONSOLIDATED=Y","Sort=A","Dates=H","DateFormat=P","Fill=—","Direction=H","UseDPDF=Y")</f>
        <v>158.89330000000001</v>
      </c>
      <c r="H28" s="14">
        <f>_xll.BDH("RCOM IN Equity","BOOK_VAL_PER_SH","FY 2015","FY 2015","Currency=INR","Period=FY","BEST_FPERIOD_OVERRIDE=FY","FILING_STATUS=MR","EQY_CONSOLIDATED=Y","Sort=A","Dates=H","DateFormat=P","Fill=—","Direction=H","UseDPDF=Y")</f>
        <v>152.41589999999999</v>
      </c>
      <c r="I28" s="14">
        <f>_xll.BDH("RCOM IN Equity","BOOK_VAL_PER_SH","FY 2016","FY 2016","Currency=INR","Period=FY","BEST_FPERIOD_OVERRIDE=FY","FILING_STATUS=MR","EQY_CONSOLIDATED=Y","Sort=A","Dates=H","DateFormat=P","Fill=—","Direction=H","UseDPDF=Y")</f>
        <v>126.8914</v>
      </c>
      <c r="J28" s="14">
        <f>_xll.BDH("RCOM IN Equity","BOOK_VAL_PER_SH","FY 2017","FY 2017","Currency=INR","Period=FY","BEST_FPERIOD_OVERRIDE=FY","FILING_STATUS=MR","EQY_CONSOLIDATED=Y","Sort=A","Dates=H","DateFormat=P","Fill=—","Direction=H","UseDPDF=Y")</f>
        <v>114.782</v>
      </c>
      <c r="K28" s="14">
        <f>_xll.BDH("RCOM IN Equity","BOOK_VAL_PER_SH","FY 2018","FY 2018","Currency=INR","Period=FY","BEST_FPERIOD_OVERRIDE=FY","FILING_STATUS=MR","EQY_CONSOLIDATED=Y","Sort=A","Dates=H","DateFormat=P","Fill=—","Direction=H","UseDPDF=Y")</f>
        <v>10.0632</v>
      </c>
      <c r="L28" s="17"/>
    </row>
    <row r="29" spans="1:12">
      <c r="A29" s="10" t="s">
        <v>1710</v>
      </c>
      <c r="B29" s="10" t="s">
        <v>168</v>
      </c>
      <c r="C29" s="14">
        <f>_xll.BDH("RCOM IN Equity","PX_TO_BOOK_RATIO","FY 2010","FY 2010","Currency=INR","Period=FY","BEST_FPERIOD_OVERRIDE=FY","FILING_STATUS=MR","EQY_CONSOLIDATED=Y","Sort=A","Dates=H","DateFormat=P","Fill=—","Direction=H","UseDPDF=Y")</f>
        <v>0.80900000000000005</v>
      </c>
      <c r="D29" s="14">
        <f>_xll.BDH("RCOM IN Equity","PX_TO_BOOK_RATIO","FY 2011","FY 2011","Currency=INR","Period=FY","BEST_FPERIOD_OVERRIDE=FY","FILING_STATUS=MR","EQY_CONSOLIDATED=Y","Sort=A","Dates=H","DateFormat=P","Fill=—","Direction=H","UseDPDF=Y")</f>
        <v>0.54859999999999998</v>
      </c>
      <c r="E29" s="14">
        <f>_xll.BDH("RCOM IN Equity","PX_TO_BOOK_RATIO","FY 2012","FY 2012","Currency=INR","Period=FY","BEST_FPERIOD_OVERRIDE=FY","FILING_STATUS=MR","EQY_CONSOLIDATED=Y","Sort=A","Dates=H","DateFormat=P","Fill=—","Direction=H","UseDPDF=Y")</f>
        <v>0.47799999999999998</v>
      </c>
      <c r="F29" s="14">
        <f>_xll.BDH("RCOM IN Equity","PX_TO_BOOK_RATIO","FY 2013","FY 2013","Currency=INR","Period=FY","BEST_FPERIOD_OVERRIDE=FY","FILING_STATUS=MR","EQY_CONSOLIDATED=Y","Sort=A","Dates=H","DateFormat=P","Fill=—","Direction=H","UseDPDF=Y")</f>
        <v>0.3372</v>
      </c>
      <c r="G29" s="14">
        <f>_xll.BDH("RCOM IN Equity","PX_TO_BOOK_RATIO","FY 2014","FY 2014","Currency=INR","Period=FY","BEST_FPERIOD_OVERRIDE=FY","FILING_STATUS=MR","EQY_CONSOLIDATED=Y","Sort=A","Dates=H","DateFormat=P","Fill=—","Direction=H","UseDPDF=Y")</f>
        <v>0.81120000000000003</v>
      </c>
      <c r="H29" s="14">
        <f>_xll.BDH("RCOM IN Equity","PX_TO_BOOK_RATIO","FY 2015","FY 2015","Currency=INR","Period=FY","BEST_FPERIOD_OVERRIDE=FY","FILING_STATUS=MR","EQY_CONSOLIDATED=Y","Sort=A","Dates=H","DateFormat=P","Fill=—","Direction=H","UseDPDF=Y")</f>
        <v>0.38869999999999999</v>
      </c>
      <c r="I29" s="14">
        <f>_xll.BDH("RCOM IN Equity","PX_TO_BOOK_RATIO","FY 2016","FY 2016","Currency=INR","Period=FY","BEST_FPERIOD_OVERRIDE=FY","FILING_STATUS=MR","EQY_CONSOLIDATED=Y","Sort=A","Dates=H","DateFormat=P","Fill=—","Direction=H","UseDPDF=Y")</f>
        <v>0.39400000000000002</v>
      </c>
      <c r="J29" s="14">
        <f>_xll.BDH("RCOM IN Equity","PX_TO_BOOK_RATIO","FY 2017","FY 2017","Currency=INR","Period=FY","BEST_FPERIOD_OVERRIDE=FY","FILING_STATUS=MR","EQY_CONSOLIDATED=Y","Sort=A","Dates=H","DateFormat=P","Fill=—","Direction=H","UseDPDF=Y")</f>
        <v>0.3337</v>
      </c>
      <c r="K29" s="14">
        <f>_xll.BDH("RCOM IN Equity","PX_TO_BOOK_RATIO","FY 2018","FY 2018","Currency=INR","Period=FY","BEST_FPERIOD_OVERRIDE=FY","FILING_STATUS=MR","EQY_CONSOLIDATED=Y","Sort=A","Dates=H","DateFormat=P","Fill=—","Direction=H","UseDPDF=Y")</f>
        <v>2.1612999999999998</v>
      </c>
      <c r="L29" s="17">
        <v>0.65585763083931803</v>
      </c>
    </row>
    <row r="30" spans="1:12">
      <c r="A30" s="10" t="s">
        <v>1711</v>
      </c>
      <c r="B30" s="10" t="s">
        <v>235</v>
      </c>
      <c r="C30" s="14">
        <f>_xll.BDH("RCOM IN Equity","TANG_BOOK_VAL_PER_SH","FY 2010","FY 2010","Currency=INR","Period=FY","BEST_FPERIOD_OVERRIDE=FY","FILING_STATUS=MR","EQY_CONSOLIDATED=Y","Sort=A","Dates=H","DateFormat=P","Fill=—","Direction=H","UseDPDF=Y")</f>
        <v>99.432199999999995</v>
      </c>
      <c r="D30" s="14">
        <f>_xll.BDH("RCOM IN Equity","TANG_BOOK_VAL_PER_SH","FY 2011","FY 2011","Currency=INR","Period=FY","BEST_FPERIOD_OVERRIDE=FY","FILING_STATUS=MR","EQY_CONSOLIDATED=Y","Sort=A","Dates=H","DateFormat=P","Fill=—","Direction=H","UseDPDF=Y")</f>
        <v>98.293300000000002</v>
      </c>
      <c r="E30" s="14">
        <f>_xll.BDH("RCOM IN Equity","TANG_BOOK_VAL_PER_SH","FY 2012","FY 2012","Currency=INR","Period=FY","BEST_FPERIOD_OVERRIDE=FY","FILING_STATUS=MR","EQY_CONSOLIDATED=Y","Sort=A","Dates=H","DateFormat=P","Fill=—","Direction=H","UseDPDF=Y")</f>
        <v>40.629300000000001</v>
      </c>
      <c r="F30" s="14">
        <f>_xll.BDH("RCOM IN Equity","TANG_BOOK_VAL_PER_SH","FY 2013","FY 2013","Currency=INR","Period=FY","BEST_FPERIOD_OVERRIDE=FY","FILING_STATUS=MR","EQY_CONSOLIDATED=Y","Sort=A","Dates=H","DateFormat=P","Fill=—","Direction=H","UseDPDF=Y")</f>
        <v>37.189399999999999</v>
      </c>
      <c r="G30" s="14">
        <f>_xll.BDH("RCOM IN Equity","TANG_BOOK_VAL_PER_SH","FY 2014","FY 2014","Currency=INR","Period=FY","BEST_FPERIOD_OVERRIDE=FY","FILING_STATUS=MR","EQY_CONSOLIDATED=Y","Sort=A","Dates=H","DateFormat=P","Fill=—","Direction=H","UseDPDF=Y")</f>
        <v>39.616700000000002</v>
      </c>
      <c r="H30" s="14">
        <f>_xll.BDH("RCOM IN Equity","TANG_BOOK_VAL_PER_SH","FY 2015","FY 2015","Currency=INR","Period=FY","BEST_FPERIOD_OVERRIDE=FY","FILING_STATUS=MR","EQY_CONSOLIDATED=Y","Sort=A","Dates=H","DateFormat=P","Fill=—","Direction=H","UseDPDF=Y")</f>
        <v>62.2303</v>
      </c>
      <c r="I30" s="14">
        <f>_xll.BDH("RCOM IN Equity","TANG_BOOK_VAL_PER_SH","FY 2016","FY 2016","Currency=INR","Period=FY","BEST_FPERIOD_OVERRIDE=FY","FILING_STATUS=MR","EQY_CONSOLIDATED=Y","Sort=A","Dates=H","DateFormat=P","Fill=—","Direction=H","UseDPDF=Y")</f>
        <v>18.316700000000001</v>
      </c>
      <c r="J30" s="14">
        <f>_xll.BDH("RCOM IN Equity","TANG_BOOK_VAL_PER_SH","FY 2017","FY 2017","Currency=INR","Period=FY","BEST_FPERIOD_OVERRIDE=FY","FILING_STATUS=MR","EQY_CONSOLIDATED=Y","Sort=A","Dates=H","DateFormat=P","Fill=—","Direction=H","UseDPDF=Y")</f>
        <v>26.299900000000001</v>
      </c>
      <c r="K30" s="14">
        <f>_xll.BDH("RCOM IN Equity","TANG_BOOK_VAL_PER_SH","FY 2018","FY 2018","Currency=INR","Period=FY","BEST_FPERIOD_OVERRIDE=FY","FILING_STATUS=MR","EQY_CONSOLIDATED=Y","Sort=A","Dates=H","DateFormat=P","Fill=—","Direction=H","UseDPDF=Y")</f>
        <v>-5.6227999999999998</v>
      </c>
      <c r="L30" s="17"/>
    </row>
    <row r="31" spans="1:12">
      <c r="A31" s="10" t="s">
        <v>1593</v>
      </c>
      <c r="B31" s="10" t="s">
        <v>1594</v>
      </c>
      <c r="C31" s="14">
        <f>_xll.BDH("RCOM IN Equity","ALTMAN_Z_SCORE","FY 2010","FY 2010","Currency=INR","Period=FY","BEST_FPERIOD_OVERRIDE=FY","FILING_STATUS=MR","EQY_CONSOLIDATED=Y","Sort=A","Dates=H","DateFormat=P","Fill=—","Direction=H","UseDPDF=Y")</f>
        <v>0.86</v>
      </c>
      <c r="D31" s="14">
        <f>_xll.BDH("RCOM IN Equity","ALTMAN_Z_SCORE","FY 2011","FY 2011","Currency=INR","Period=FY","BEST_FPERIOD_OVERRIDE=FY","FILING_STATUS=MR","EQY_CONSOLIDATED=Y","Sort=A","Dates=H","DateFormat=P","Fill=—","Direction=H","UseDPDF=Y")</f>
        <v>0.5887</v>
      </c>
      <c r="E31" s="14">
        <f>_xll.BDH("RCOM IN Equity","ALTMAN_Z_SCORE","FY 2012","FY 2012","Currency=INR","Period=FY","BEST_FPERIOD_OVERRIDE=FY","FILING_STATUS=MR","EQY_CONSOLIDATED=Y","Sort=A","Dates=H","DateFormat=P","Fill=—","Direction=H","UseDPDF=Y")</f>
        <v>0.65490000000000004</v>
      </c>
      <c r="F31" s="14">
        <f>_xll.BDH("RCOM IN Equity","ALTMAN_Z_SCORE","FY 2013","FY 2013","Currency=INR","Period=FY","BEST_FPERIOD_OVERRIDE=FY","FILING_STATUS=MR","EQY_CONSOLIDATED=Y","Sort=A","Dates=H","DateFormat=P","Fill=—","Direction=H","UseDPDF=Y")</f>
        <v>0.59789999999999999</v>
      </c>
      <c r="G31" s="14">
        <f>_xll.BDH("RCOM IN Equity","ALTMAN_Z_SCORE","FY 2014","FY 2014","Currency=INR","Period=FY","BEST_FPERIOD_OVERRIDE=FY","FILING_STATUS=MR","EQY_CONSOLIDATED=Y","Sort=A","Dates=H","DateFormat=P","Fill=—","Direction=H","UseDPDF=Y")</f>
        <v>0.76780000000000004</v>
      </c>
      <c r="H31" s="14">
        <f>_xll.BDH("RCOM IN Equity","ALTMAN_Z_SCORE","FY 2015","FY 2015","Currency=INR","Period=FY","BEST_FPERIOD_OVERRIDE=FY","FILING_STATUS=MR","EQY_CONSOLIDATED=Y","Sort=A","Dates=H","DateFormat=P","Fill=—","Direction=H","UseDPDF=Y")</f>
        <v>0.87380000000000002</v>
      </c>
      <c r="I31" s="14">
        <f>_xll.BDH("RCOM IN Equity","ALTMAN_Z_SCORE","FY 2016","FY 2016","Currency=INR","Period=FY","BEST_FPERIOD_OVERRIDE=FY","FILING_STATUS=MR","EQY_CONSOLIDATED=Y","Sort=A","Dates=H","DateFormat=P","Fill=—","Direction=H","UseDPDF=Y")</f>
        <v>0.44009999999999999</v>
      </c>
      <c r="J31" s="14">
        <f>_xll.BDH("RCOM IN Equity","ALTMAN_Z_SCORE","FY 2017","FY 2017","Currency=INR","Period=FY","BEST_FPERIOD_OVERRIDE=FY","FILING_STATUS=MR","EQY_CONSOLIDATED=Y","Sort=A","Dates=H","DateFormat=P","Fill=—","Direction=H","UseDPDF=Y")</f>
        <v>-1.8599999999999998E-2</v>
      </c>
      <c r="K31" s="14">
        <f>_xll.BDH("RCOM IN Equity","ALTMAN_Z_SCORE","FY 2018","FY 2018","Currency=INR","Period=FY","BEST_FPERIOD_OVERRIDE=FY","FILING_STATUS=MR","EQY_CONSOLIDATED=Y","Sort=A","Dates=H","DateFormat=P","Fill=—","Direction=H","UseDPDF=Y")</f>
        <v>-0.2984</v>
      </c>
      <c r="L31" s="17">
        <v>-6.0831405222415903E-2</v>
      </c>
    </row>
    <row r="32" spans="1:12">
      <c r="A32" s="10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5"/>
    </row>
    <row r="33" spans="1:12">
      <c r="A33" s="10" t="s">
        <v>87</v>
      </c>
      <c r="B33" s="10" t="s">
        <v>52</v>
      </c>
      <c r="C33" s="13">
        <f>_xll.BDH("RCOM IN Equity","CF_CASH_FROM_OPER","FY 2010","FY 2010","Currency=INR","Period=FY","BEST_FPERIOD_OVERRIDE=FY","FILING_STATUS=MR","EQY_CONSOLIDATED=Y","SCALING_FORMAT=MLN","Sort=A","Dates=H","DateFormat=P","Fill=—","Direction=H","UseDPDF=Y")</f>
        <v>81756.399999999994</v>
      </c>
      <c r="D33" s="13">
        <f>_xll.BDH("RCOM IN Equity","CF_CASH_FROM_OPER","FY 2011","FY 2011","Currency=INR","Period=FY","BEST_FPERIOD_OVERRIDE=FY","FILING_STATUS=MR","EQY_CONSOLIDATED=Y","SCALING_FORMAT=MLN","Sort=A","Dates=H","DateFormat=P","Fill=—","Direction=H","UseDPDF=Y")</f>
        <v>10720</v>
      </c>
      <c r="E33" s="13">
        <f>_xll.BDH("RCOM IN Equity","CF_CASH_FROM_OPER","FY 2012","FY 2012","Currency=INR","Period=FY","BEST_FPERIOD_OVERRIDE=FY","FILING_STATUS=MR","EQY_CONSOLIDATED=Y","SCALING_FORMAT=MLN","Sort=A","Dates=H","DateFormat=P","Fill=—","Direction=H","UseDPDF=Y")</f>
        <v>40730</v>
      </c>
      <c r="F33" s="13">
        <f>_xll.BDH("RCOM IN Equity","CF_CASH_FROM_OPER","FY 2013","FY 2013","Currency=INR","Period=FY","BEST_FPERIOD_OVERRIDE=FY","FILING_STATUS=MR","EQY_CONSOLIDATED=Y","SCALING_FORMAT=MLN","Sort=A","Dates=H","DateFormat=P","Fill=—","Direction=H","UseDPDF=Y")</f>
        <v>13700</v>
      </c>
      <c r="G33" s="13">
        <f>_xll.BDH("RCOM IN Equity","CF_CASH_FROM_OPER","FY 2014","FY 2014","Currency=INR","Period=FY","BEST_FPERIOD_OVERRIDE=FY","FILING_STATUS=MR","EQY_CONSOLIDATED=Y","SCALING_FORMAT=MLN","Sort=A","Dates=H","DateFormat=P","Fill=—","Direction=H","UseDPDF=Y")</f>
        <v>38700</v>
      </c>
      <c r="H33" s="13">
        <f>_xll.BDH("RCOM IN Equity","CF_CASH_FROM_OPER","FY 2015","FY 2015","Currency=INR","Period=FY","BEST_FPERIOD_OVERRIDE=FY","FILING_STATUS=MR","EQY_CONSOLIDATED=Y","SCALING_FORMAT=MLN","Sort=A","Dates=H","DateFormat=P","Fill=—","Direction=H","UseDPDF=Y")</f>
        <v>4860</v>
      </c>
      <c r="I33" s="13">
        <f>_xll.BDH("RCOM IN Equity","CF_CASH_FROM_OPER","FY 2016","FY 2016","Currency=INR","Period=FY","BEST_FPERIOD_OVERRIDE=FY","FILING_STATUS=MR","EQY_CONSOLIDATED=Y","SCALING_FORMAT=MLN","Sort=A","Dates=H","DateFormat=P","Fill=—","Direction=H","UseDPDF=Y")</f>
        <v>142210</v>
      </c>
      <c r="J33" s="13">
        <f>_xll.BDH("RCOM IN Equity","CF_CASH_FROM_OPER","FY 2017","FY 2017","Currency=INR","Period=FY","BEST_FPERIOD_OVERRIDE=FY","FILING_STATUS=MR","EQY_CONSOLIDATED=Y","SCALING_FORMAT=MLN","Sort=A","Dates=H","DateFormat=P","Fill=—","Direction=H","UseDPDF=Y")</f>
        <v>-35600</v>
      </c>
      <c r="K33" s="13">
        <f>_xll.BDH("RCOM IN Equity","CF_CASH_FROM_OPER","FY 2018","FY 2018","Currency=INR","Period=FY","BEST_FPERIOD_OVERRIDE=FY","FILING_STATUS=MR","EQY_CONSOLIDATED=Y","SCALING_FORMAT=MLN","Sort=A","Dates=H","DateFormat=P","Fill=—","Direction=H","UseDPDF=Y")</f>
        <v>-4070</v>
      </c>
      <c r="L33" s="16"/>
    </row>
    <row r="34" spans="1:12">
      <c r="A34" s="10" t="s">
        <v>1712</v>
      </c>
      <c r="B34" s="10" t="s">
        <v>229</v>
      </c>
      <c r="C34" s="14">
        <f>_xll.BDH("RCOM IN Equity","CASH_FLOW_PER_SH","FY 2010","FY 2010","Currency=INR","Period=FY","BEST_FPERIOD_OVERRIDE=FY","FILING_STATUS=MR","EQY_CONSOLIDATED=Y","Sort=A","Dates=H","DateFormat=P","Fill=—","Direction=H","UseDPDF=Y")</f>
        <v>39.610100000000003</v>
      </c>
      <c r="D34" s="14">
        <f>_xll.BDH("RCOM IN Equity","CASH_FLOW_PER_SH","FY 2011","FY 2011","Currency=INR","Period=FY","BEST_FPERIOD_OVERRIDE=FY","FILING_STATUS=MR","EQY_CONSOLIDATED=Y","Sort=A","Dates=H","DateFormat=P","Fill=—","Direction=H","UseDPDF=Y")</f>
        <v>5.1936999999999998</v>
      </c>
      <c r="E34" s="14">
        <f>_xll.BDH("RCOM IN Equity","CASH_FLOW_PER_SH","FY 2012","FY 2012","Currency=INR","Period=FY","BEST_FPERIOD_OVERRIDE=FY","FILING_STATUS=MR","EQY_CONSOLIDATED=Y","Sort=A","Dates=H","DateFormat=P","Fill=—","Direction=H","UseDPDF=Y")</f>
        <v>19.7333</v>
      </c>
      <c r="F34" s="14">
        <f>_xll.BDH("RCOM IN Equity","CASH_FLOW_PER_SH","FY 2013","FY 2013","Currency=INR","Period=FY","BEST_FPERIOD_OVERRIDE=FY","FILING_STATUS=MR","EQY_CONSOLIDATED=Y","Sort=A","Dates=H","DateFormat=P","Fill=—","Direction=H","UseDPDF=Y")</f>
        <v>6.6375000000000002</v>
      </c>
      <c r="G34" s="14">
        <f>_xll.BDH("RCOM IN Equity","CASH_FLOW_PER_SH","FY 2014","FY 2014","Currency=INR","Period=FY","BEST_FPERIOD_OVERRIDE=FY","FILING_STATUS=MR","EQY_CONSOLIDATED=Y","Sort=A","Dates=H","DateFormat=P","Fill=—","Direction=H","UseDPDF=Y")</f>
        <v>18.7498</v>
      </c>
      <c r="H34" s="14">
        <f>_xll.BDH("RCOM IN Equity","CASH_FLOW_PER_SH","FY 2015","FY 2015","Currency=INR","Period=FY","BEST_FPERIOD_OVERRIDE=FY","FILING_STATUS=MR","EQY_CONSOLIDATED=Y","Sort=A","Dates=H","DateFormat=P","Fill=—","Direction=H","UseDPDF=Y")</f>
        <v>2.0823</v>
      </c>
      <c r="I34" s="14">
        <f>_xll.BDH("RCOM IN Equity","CASH_FLOW_PER_SH","FY 2016","FY 2016","Currency=INR","Period=FY","BEST_FPERIOD_OVERRIDE=FY","FILING_STATUS=MR","EQY_CONSOLIDATED=Y","Sort=A","Dates=H","DateFormat=P","Fill=—","Direction=H","UseDPDF=Y")</f>
        <v>57.628500000000003</v>
      </c>
      <c r="J34" s="14">
        <f>_xll.BDH("RCOM IN Equity","CASH_FLOW_PER_SH","FY 2017","FY 2017","Currency=INR","Period=FY","BEST_FPERIOD_OVERRIDE=FY","FILING_STATUS=MR","EQY_CONSOLIDATED=Y","Sort=A","Dates=H","DateFormat=P","Fill=—","Direction=H","UseDPDF=Y")</f>
        <v>-14.426399999999999</v>
      </c>
      <c r="K34" s="14">
        <f>_xll.BDH("RCOM IN Equity","CASH_FLOW_PER_SH","FY 2018","FY 2018","Currency=INR","Period=FY","BEST_FPERIOD_OVERRIDE=FY","FILING_STATUS=MR","EQY_CONSOLIDATED=Y","Sort=A","Dates=H","DateFormat=P","Fill=—","Direction=H","UseDPDF=Y")</f>
        <v>-1.5758000000000001</v>
      </c>
      <c r="L34" s="17"/>
    </row>
    <row r="35" spans="1:12">
      <c r="A35" s="10" t="s">
        <v>55</v>
      </c>
      <c r="B35" s="10" t="s">
        <v>56</v>
      </c>
      <c r="C35" s="13">
        <f>_xll.BDH("RCOM IN Equity","CF_FREE_CASH_FLOW","FY 2010","FY 2010","Currency=INR","Period=FY","BEST_FPERIOD_OVERRIDE=FY","FILING_STATUS=MR","EQY_CONSOLIDATED=Y","SCALING_FORMAT=MLN","Sort=A","Dates=H","DateFormat=P","Fill=—","Direction=H","UseDPDF=Y")</f>
        <v>6796.1</v>
      </c>
      <c r="D35" s="13">
        <f>_xll.BDH("RCOM IN Equity","CF_FREE_CASH_FLOW","FY 2011","FY 2011","Currency=INR","Period=FY","BEST_FPERIOD_OVERRIDE=FY","FILING_STATUS=MR","EQY_CONSOLIDATED=Y","SCALING_FORMAT=MLN","Sort=A","Dates=H","DateFormat=P","Fill=—","Direction=H","UseDPDF=Y")</f>
        <v>-92550</v>
      </c>
      <c r="E35" s="13">
        <f>_xll.BDH("RCOM IN Equity","CF_FREE_CASH_FLOW","FY 2012","FY 2012","Currency=INR","Period=FY","BEST_FPERIOD_OVERRIDE=FY","FILING_STATUS=MR","EQY_CONSOLIDATED=Y","SCALING_FORMAT=MLN","Sort=A","Dates=H","DateFormat=P","Fill=—","Direction=H","UseDPDF=Y")</f>
        <v>-7770</v>
      </c>
      <c r="F35" s="13">
        <f>_xll.BDH("RCOM IN Equity","CF_FREE_CASH_FLOW","FY 2013","FY 2013","Currency=INR","Period=FY","BEST_FPERIOD_OVERRIDE=FY","FILING_STATUS=MR","EQY_CONSOLIDATED=Y","SCALING_FORMAT=MLN","Sort=A","Dates=H","DateFormat=P","Fill=—","Direction=H","UseDPDF=Y")</f>
        <v>-7440</v>
      </c>
      <c r="G35" s="13">
        <f>_xll.BDH("RCOM IN Equity","CF_FREE_CASH_FLOW","FY 2014","FY 2014","Currency=INR","Period=FY","BEST_FPERIOD_OVERRIDE=FY","FILING_STATUS=MR","EQY_CONSOLIDATED=Y","SCALING_FORMAT=MLN","Sort=A","Dates=H","DateFormat=P","Fill=—","Direction=H","UseDPDF=Y")</f>
        <v>17050</v>
      </c>
      <c r="H35" s="13">
        <f>_xll.BDH("RCOM IN Equity","CF_FREE_CASH_FLOW","FY 2015","FY 2015","Currency=INR","Period=FY","BEST_FPERIOD_OVERRIDE=FY","FILING_STATUS=MR","EQY_CONSOLIDATED=Y","SCALING_FORMAT=MLN","Sort=A","Dates=H","DateFormat=P","Fill=—","Direction=H","UseDPDF=Y")</f>
        <v>-20100</v>
      </c>
      <c r="I35" s="13">
        <f>_xll.BDH("RCOM IN Equity","CF_FREE_CASH_FLOW","FY 2016","FY 2016","Currency=INR","Period=FY","BEST_FPERIOD_OVERRIDE=FY","FILING_STATUS=MR","EQY_CONSOLIDATED=Y","SCALING_FORMAT=MLN","Sort=A","Dates=H","DateFormat=P","Fill=—","Direction=H","UseDPDF=Y")</f>
        <v>-11090</v>
      </c>
      <c r="J35" s="13">
        <f>_xll.BDH("RCOM IN Equity","CF_FREE_CASH_FLOW","FY 2017","FY 2017","Currency=INR","Period=FY","BEST_FPERIOD_OVERRIDE=FY","FILING_STATUS=MR","EQY_CONSOLIDATED=Y","SCALING_FORMAT=MLN","Sort=A","Dates=H","DateFormat=P","Fill=—","Direction=H","UseDPDF=Y")</f>
        <v>-74800</v>
      </c>
      <c r="K35" s="13">
        <f>_xll.BDH("RCOM IN Equity","CF_FREE_CASH_FLOW","FY 2018","FY 2018","Currency=INR","Period=FY","BEST_FPERIOD_OVERRIDE=FY","FILING_STATUS=MR","EQY_CONSOLIDATED=Y","SCALING_FORMAT=MLN","Sort=A","Dates=H","DateFormat=P","Fill=—","Direction=H","UseDPDF=Y")</f>
        <v>-9980</v>
      </c>
      <c r="L35" s="16"/>
    </row>
    <row r="36" spans="1:12">
      <c r="A36" s="10" t="s">
        <v>1300</v>
      </c>
      <c r="B36" s="10" t="s">
        <v>230</v>
      </c>
      <c r="C36" s="14">
        <f>_xll.BDH("RCOM IN Equity","FREE_CASH_FLOW_PER_SH","FY 2010","FY 2010","Currency=INR","Period=FY","BEST_FPERIOD_OVERRIDE=FY","FILING_STATUS=MR","EQY_CONSOLIDATED=Y","Sort=A","Dates=H","DateFormat=P","Fill=—","Direction=H","UseDPDF=Y")</f>
        <v>3.2926000000000002</v>
      </c>
      <c r="D36" s="14">
        <f>_xll.BDH("RCOM IN Equity","FREE_CASH_FLOW_PER_SH","FY 2011","FY 2011","Currency=INR","Period=FY","BEST_FPERIOD_OVERRIDE=FY","FILING_STATUS=MR","EQY_CONSOLIDATED=Y","Sort=A","Dates=H","DateFormat=P","Fill=—","Direction=H","UseDPDF=Y")</f>
        <v>-44.839500000000001</v>
      </c>
      <c r="E36" s="14">
        <f>_xll.BDH("RCOM IN Equity","FREE_CASH_FLOW_PER_SH","FY 2012","FY 2012","Currency=INR","Period=FY","BEST_FPERIOD_OVERRIDE=FY","FILING_STATUS=MR","EQY_CONSOLIDATED=Y","Sort=A","Dates=H","DateFormat=P","Fill=—","Direction=H","UseDPDF=Y")</f>
        <v>-3.7645</v>
      </c>
      <c r="F36" s="14">
        <f>_xll.BDH("RCOM IN Equity","FREE_CASH_FLOW_PER_SH","FY 2013","FY 2013","Currency=INR","Period=FY","BEST_FPERIOD_OVERRIDE=FY","FILING_STATUS=MR","EQY_CONSOLIDATED=Y","Sort=A","Dates=H","DateFormat=P","Fill=—","Direction=H","UseDPDF=Y")</f>
        <v>-3.6046</v>
      </c>
      <c r="G36" s="14">
        <f>_xll.BDH("RCOM IN Equity","FREE_CASH_FLOW_PER_SH","FY 2014","FY 2014","Currency=INR","Period=FY","BEST_FPERIOD_OVERRIDE=FY","FILING_STATUS=MR","EQY_CONSOLIDATED=Y","Sort=A","Dates=H","DateFormat=P","Fill=—","Direction=H","UseDPDF=Y")</f>
        <v>8.2606000000000002</v>
      </c>
      <c r="H36" s="14">
        <f>_xll.BDH("RCOM IN Equity","FREE_CASH_FLOW_PER_SH","FY 2015","FY 2015","Currency=INR","Period=FY","BEST_FPERIOD_OVERRIDE=FY","FILING_STATUS=MR","EQY_CONSOLIDATED=Y","Sort=A","Dates=H","DateFormat=P","Fill=—","Direction=H","UseDPDF=Y")</f>
        <v>-8.6121999999999996</v>
      </c>
      <c r="I36" s="14">
        <f>_xll.BDH("RCOM IN Equity","FREE_CASH_FLOW_PER_SH","FY 2016","FY 2016","Currency=INR","Period=FY","BEST_FPERIOD_OVERRIDE=FY","FILING_STATUS=MR","EQY_CONSOLIDATED=Y","Sort=A","Dates=H","DateFormat=P","Fill=—","Direction=H","UseDPDF=Y")</f>
        <v>-4.4940999999999995</v>
      </c>
      <c r="J36" s="14">
        <f>_xll.BDH("RCOM IN Equity","FREE_CASH_FLOW_PER_SH","FY 2017","FY 2017","Currency=INR","Period=FY","BEST_FPERIOD_OVERRIDE=FY","FILING_STATUS=MR","EQY_CONSOLIDATED=Y","Sort=A","Dates=H","DateFormat=P","Fill=—","Direction=H","UseDPDF=Y")</f>
        <v>-30.311599999999999</v>
      </c>
      <c r="K36" s="14">
        <f>_xll.BDH("RCOM IN Equity","FREE_CASH_FLOW_PER_SH","FY 2018","FY 2018","Currency=INR","Period=FY","BEST_FPERIOD_OVERRIDE=FY","FILING_STATUS=MR","EQY_CONSOLIDATED=Y","Sort=A","Dates=H","DateFormat=P","Fill=—","Direction=H","UseDPDF=Y")</f>
        <v>-3.8639000000000001</v>
      </c>
      <c r="L36" s="17"/>
    </row>
    <row r="37" spans="1:12">
      <c r="A37" s="10" t="s">
        <v>1287</v>
      </c>
      <c r="B37" s="10" t="s">
        <v>1288</v>
      </c>
      <c r="C37" s="13">
        <f>_xll.BDH("RCOM IN Equity","CF_NET_CHNG_CASH","FY 2010","FY 2010","Currency=INR","Period=FY","BEST_FPERIOD_OVERRIDE=FY","FILING_STATUS=MR","EQY_CONSOLIDATED=Y","SCALING_FORMAT=MLN","Sort=A","Dates=H","DateFormat=P","Fill=—","Direction=H","UseDPDF=Y")</f>
        <v>-8643.6</v>
      </c>
      <c r="D37" s="13">
        <f>_xll.BDH("RCOM IN Equity","CF_NET_CHNG_CASH","FY 2011","FY 2011","Currency=INR","Period=FY","BEST_FPERIOD_OVERRIDE=FY","FILING_STATUS=MR","EQY_CONSOLIDATED=Y","SCALING_FORMAT=MLN","Sort=A","Dates=H","DateFormat=P","Fill=—","Direction=H","UseDPDF=Y")</f>
        <v>40470</v>
      </c>
      <c r="E37" s="13">
        <f>_xll.BDH("RCOM IN Equity","CF_NET_CHNG_CASH","FY 2012","FY 2012","Currency=INR","Period=FY","BEST_FPERIOD_OVERRIDE=FY","FILING_STATUS=MR","EQY_CONSOLIDATED=Y","SCALING_FORMAT=MLN","Sort=A","Dates=H","DateFormat=P","Fill=—","Direction=H","UseDPDF=Y")</f>
        <v>-43160</v>
      </c>
      <c r="F37" s="13">
        <f>_xll.BDH("RCOM IN Equity","CF_NET_CHNG_CASH","FY 2013","FY 2013","Currency=INR","Period=FY","BEST_FPERIOD_OVERRIDE=FY","FILING_STATUS=MR","EQY_CONSOLIDATED=Y","SCALING_FORMAT=MLN","Sort=A","Dates=H","DateFormat=P","Fill=—","Direction=H","UseDPDF=Y")</f>
        <v>1810</v>
      </c>
      <c r="G37" s="13">
        <f>_xll.BDH("RCOM IN Equity","CF_NET_CHNG_CASH","FY 2014","FY 2014","Currency=INR","Period=FY","BEST_FPERIOD_OVERRIDE=FY","FILING_STATUS=MR","EQY_CONSOLIDATED=Y","SCALING_FORMAT=MLN","Sort=A","Dates=H","DateFormat=P","Fill=—","Direction=H","UseDPDF=Y")</f>
        <v>-2270</v>
      </c>
      <c r="H37" s="13">
        <f>_xll.BDH("RCOM IN Equity","CF_NET_CHNG_CASH","FY 2015","FY 2015","Currency=INR","Period=FY","BEST_FPERIOD_OVERRIDE=FY","FILING_STATUS=MR","EQY_CONSOLIDATED=Y","SCALING_FORMAT=MLN","Sort=A","Dates=H","DateFormat=P","Fill=—","Direction=H","UseDPDF=Y")</f>
        <v>8520</v>
      </c>
      <c r="I37" s="13">
        <f>_xll.BDH("RCOM IN Equity","CF_NET_CHNG_CASH","FY 2016","FY 2016","Currency=INR","Period=FY","BEST_FPERIOD_OVERRIDE=FY","FILING_STATUS=MR","EQY_CONSOLIDATED=Y","SCALING_FORMAT=MLN","Sort=A","Dates=H","DateFormat=P","Fill=—","Direction=H","UseDPDF=Y")</f>
        <v>-4080</v>
      </c>
      <c r="J37" s="13">
        <f>_xll.BDH("RCOM IN Equity","CF_NET_CHNG_CASH","FY 2017","FY 2017","Currency=INR","Period=FY","BEST_FPERIOD_OVERRIDE=FY","FILING_STATUS=MR","EQY_CONSOLIDATED=Y","SCALING_FORMAT=MLN","Sort=A","Dates=H","DateFormat=P","Fill=—","Direction=H","UseDPDF=Y")</f>
        <v>2510</v>
      </c>
      <c r="K37" s="13">
        <f>_xll.BDH("RCOM IN Equity","CF_NET_CHNG_CASH","FY 2018","FY 2018","Currency=INR","Period=FY","BEST_FPERIOD_OVERRIDE=FY","FILING_STATUS=MR","EQY_CONSOLIDATED=Y","SCALING_FORMAT=MLN","Sort=A","Dates=H","DateFormat=P","Fill=—","Direction=H","UseDPDF=Y")</f>
        <v>-2080</v>
      </c>
      <c r="L37" s="16"/>
    </row>
    <row r="38" spans="1:12">
      <c r="A38" s="7" t="s">
        <v>57</v>
      </c>
      <c r="B38" s="7"/>
      <c r="C38" s="7" t="s">
        <v>3</v>
      </c>
      <c r="D38" s="7"/>
      <c r="E38" s="7"/>
      <c r="F38" s="7"/>
      <c r="G38" s="7"/>
      <c r="H38" s="7"/>
      <c r="I38" s="7"/>
      <c r="J38" s="7"/>
      <c r="K38" s="7"/>
      <c r="L38" s="7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L32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1713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383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0" t="s">
        <v>384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>
      <c r="A8" s="10" t="s">
        <v>385</v>
      </c>
      <c r="B8" s="10" t="s">
        <v>386</v>
      </c>
      <c r="C8" s="13">
        <f>_xll.BDH("RCOM IN Equity","ARD_REVENUES","FY 2009","FY 2009","Currency=INR","Period=FY","BEST_FPERIOD_OVERRIDE=FY","FILING_STATUS=MR","EQY_CONSOLIDATED=Y","SCALING_FORMAT=MLN","Sort=A","Dates=H","DateFormat=P","Fill=—","Direction=H","UseDPDF=Y")</f>
        <v>222505.4</v>
      </c>
      <c r="D8" s="13">
        <f>_xll.BDH("RCOM IN Equity","ARD_REVENUES","FY 2010","FY 2010","Currency=INR","Period=FY","BEST_FPERIOD_OVERRIDE=FY","FILING_STATUS=MR","EQY_CONSOLIDATED=Y","SCALING_FORMAT=MLN","Sort=A","Dates=H","DateFormat=P","Fill=—","Direction=H","UseDPDF=Y")</f>
        <v>214963.8</v>
      </c>
      <c r="E8" s="13">
        <f>_xll.BDH("RCOM IN Equity","ARD_REVENUES","FY 2011","FY 2011","Currency=INR","Period=FY","BEST_FPERIOD_OVERRIDE=FY","FILING_STATUS=MR","EQY_CONSOLIDATED=Y","SCALING_FORMAT=MLN","Sort=A","Dates=H","DateFormat=P","Fill=—","Direction=H","UseDPDF=Y")</f>
        <v>224310</v>
      </c>
      <c r="F8" s="13">
        <f>_xll.BDH("RCOM IN Equity","ARD_REVENUES","FY 2012","FY 2012","Currency=INR","Period=FY","BEST_FPERIOD_OVERRIDE=FY","FILING_STATUS=MR","EQY_CONSOLIDATED=Y","SCALING_FORMAT=MLN","Sort=A","Dates=H","DateFormat=P","Fill=—","Direction=H","UseDPDF=Y")</f>
        <v>196770</v>
      </c>
      <c r="G8" s="13">
        <f>_xll.BDH("RCOM IN Equity","ARD_REVENUES","FY 2013","FY 2013","Currency=INR","Period=FY","BEST_FPERIOD_OVERRIDE=FY","FILING_STATUS=MR","EQY_CONSOLIDATED=Y","SCALING_FORMAT=MLN","Sort=A","Dates=H","DateFormat=P","Fill=—","Direction=H","UseDPDF=Y")</f>
        <v>205610</v>
      </c>
      <c r="H8" s="13">
        <f>_xll.BDH("RCOM IN Equity","ARD_REVENUES","FY 2014","FY 2014","Currency=INR","Period=FY","BEST_FPERIOD_OVERRIDE=FY","FILING_STATUS=MR","EQY_CONSOLIDATED=Y","SCALING_FORMAT=MLN","Sort=A","Dates=H","DateFormat=P","Fill=—","Direction=H","UseDPDF=Y")</f>
        <v>212380</v>
      </c>
      <c r="I8" s="13">
        <f>_xll.BDH("RCOM IN Equity","ARD_REVENUES","FY 2015","FY 2015","Currency=INR","Period=FY","BEST_FPERIOD_OVERRIDE=FY","FILING_STATUS=MR","EQY_CONSOLIDATED=Y","SCALING_FORMAT=MLN","Sort=A","Dates=H","DateFormat=P","Fill=—","Direction=H","UseDPDF=Y")</f>
        <v>217700</v>
      </c>
      <c r="J8" s="13">
        <f>_xll.BDH("RCOM IN Equity","ARD_REVENUES","FY 2016","FY 2016","Currency=INR","Period=FY","BEST_FPERIOD_OVERRIDE=FY","FILING_STATUS=MR","EQY_CONSOLIDATED=Y","SCALING_FORMAT=MLN","Sort=A","Dates=H","DateFormat=P","Fill=—","Direction=H","UseDPDF=Y")</f>
        <v>219540</v>
      </c>
      <c r="K8" s="13">
        <f>_xll.BDH("RCOM IN Equity","ARD_REVENUES","FY 2017","FY 2017","Currency=INR","Period=FY","BEST_FPERIOD_OVERRIDE=FY","FILING_STATUS=MR","EQY_CONSOLIDATED=Y","SCALING_FORMAT=MLN","Sort=A","Dates=H","DateFormat=P","Fill=—","Direction=H","UseDPDF=Y")</f>
        <v>65540</v>
      </c>
      <c r="L8" s="13">
        <f>_xll.BDH("RCOM IN Equity","ARD_REVENUES","FY 2018","FY 2018","Currency=INR","Period=FY","BEST_FPERIOD_OVERRIDE=FY","FILING_STATUS=MR","EQY_CONSOLIDATED=Y","SCALING_FORMAT=MLN","Sort=A","Dates=H","DateFormat=P","Fill=—","Direction=H","UseDPDF=Y")</f>
        <v>45930</v>
      </c>
    </row>
    <row r="9" spans="1:12">
      <c r="A9" s="10" t="s">
        <v>1714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>
      <c r="A10" s="6" t="s">
        <v>392</v>
      </c>
      <c r="B10" s="6" t="s">
        <v>393</v>
      </c>
      <c r="C10" s="19" t="str">
        <f>_xll.BDH("RCOM IN Equity","ARD_TOTAL_OPERATING_EXPENSES","FY 2009","FY 2009","Currency=INR","Period=FY","BEST_FPERIOD_OVERRIDE=FY","FILING_STATUS=MR","EQY_CONSOLIDATED=Y","SCALING_FORMAT=MLN","Sort=A","Dates=H","DateFormat=P","Fill=—","Direction=H","UseDPDF=Y")</f>
        <v>—</v>
      </c>
      <c r="D10" s="19" t="str">
        <f>_xll.BDH("RCOM IN Equity","ARD_TOTAL_OPERATING_EXPENSES","FY 2010","FY 2010","Currency=INR","Period=FY","BEST_FPERIOD_OVERRIDE=FY","FILING_STATUS=MR","EQY_CONSOLIDATED=Y","SCALING_FORMAT=MLN","Sort=A","Dates=H","DateFormat=P","Fill=—","Direction=H","UseDPDF=Y")</f>
        <v>—</v>
      </c>
      <c r="E10" s="19" t="str">
        <f>_xll.BDH("RCOM IN Equity","ARD_TOTAL_OPERATING_EXPENSES","FY 2011","FY 2011","Currency=INR","Period=FY","BEST_FPERIOD_OVERRIDE=FY","FILING_STATUS=MR","EQY_CONSOLIDATED=Y","SCALING_FORMAT=MLN","Sort=A","Dates=H","DateFormat=P","Fill=—","Direction=H","UseDPDF=Y")</f>
        <v>—</v>
      </c>
      <c r="F10" s="19" t="str">
        <f>_xll.BDH("RCOM IN Equity","ARD_TOTAL_OPERATING_EXPENSES","FY 2012","FY 2012","Currency=INR","Period=FY","BEST_FPERIOD_OVERRIDE=FY","FILING_STATUS=MR","EQY_CONSOLIDATED=Y","SCALING_FORMAT=MLN","Sort=A","Dates=H","DateFormat=P","Fill=—","Direction=H","UseDPDF=Y")</f>
        <v>—</v>
      </c>
      <c r="G10" s="19" t="str">
        <f>_xll.BDH("RCOM IN Equity","ARD_TOTAL_OPERATING_EXPENSES","FY 2013","FY 2013","Currency=INR","Period=FY","BEST_FPERIOD_OVERRIDE=FY","FILING_STATUS=MR","EQY_CONSOLIDATED=Y","SCALING_FORMAT=MLN","Sort=A","Dates=H","DateFormat=P","Fill=—","Direction=H","UseDPDF=Y")</f>
        <v>—</v>
      </c>
      <c r="H10" s="19" t="str">
        <f>_xll.BDH("RCOM IN Equity","ARD_TOTAL_OPERATING_EXPENSES","FY 2014","FY 2014","Currency=INR","Period=FY","BEST_FPERIOD_OVERRIDE=FY","FILING_STATUS=MR","EQY_CONSOLIDATED=Y","SCALING_FORMAT=MLN","Sort=A","Dates=H","DateFormat=P","Fill=—","Direction=H","UseDPDF=Y")</f>
        <v>—</v>
      </c>
      <c r="I10" s="19" t="str">
        <f>_xll.BDH("RCOM IN Equity","ARD_TOTAL_OPERATING_EXPENSES","FY 2015","FY 2015","Currency=INR","Period=FY","BEST_FPERIOD_OVERRIDE=FY","FILING_STATUS=MR","EQY_CONSOLIDATED=Y","SCALING_FORMAT=MLN","Sort=A","Dates=H","DateFormat=P","Fill=—","Direction=H","UseDPDF=Y")</f>
        <v>—</v>
      </c>
      <c r="J10" s="19" t="str">
        <f>_xll.BDH("RCOM IN Equity","ARD_TOTAL_OPERATING_EXPENSES","FY 2016","FY 2016","Currency=INR","Period=FY","BEST_FPERIOD_OVERRIDE=FY","FILING_STATUS=MR","EQY_CONSOLIDATED=Y","SCALING_FORMAT=MLN","Sort=A","Dates=H","DateFormat=P","Fill=—","Direction=H","UseDPDF=Y")</f>
        <v>—</v>
      </c>
      <c r="K10" s="19" t="str">
        <f>_xll.BDH("RCOM IN Equity","ARD_TOTAL_OPERATING_EXPENSES","FY 2017","FY 2017","Currency=INR","Period=FY","BEST_FPERIOD_OVERRIDE=FY","FILING_STATUS=MR","EQY_CONSOLIDATED=Y","SCALING_FORMAT=MLN","Sort=A","Dates=H","DateFormat=P","Fill=—","Direction=H","UseDPDF=Y")</f>
        <v>—</v>
      </c>
      <c r="L10" s="19" t="str">
        <f>_xll.BDH("RCOM IN Equity","ARD_TOTAL_OPERATING_EXPENSES","FY 2018","FY 2018","Currency=INR","Period=FY","BEST_FPERIOD_OVERRIDE=FY","FILING_STATUS=MR","EQY_CONSOLIDATED=Y","SCALING_FORMAT=MLN","Sort=A","Dates=H","DateFormat=P","Fill=—","Direction=H","UseDPDF=Y")</f>
        <v>—</v>
      </c>
    </row>
    <row r="11" spans="1:12">
      <c r="A11" s="10" t="s">
        <v>446</v>
      </c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>
      <c r="A12" s="6" t="s">
        <v>116</v>
      </c>
      <c r="B12" s="6" t="s">
        <v>467</v>
      </c>
      <c r="C12" s="19">
        <f>_xll.BDH("RCOM IN Equity","ARD_NET_INC","FY 2009","FY 2009","Currency=INR","Period=FY","BEST_FPERIOD_OVERRIDE=FY","FILING_STATUS=MR","EQY_CONSOLIDATED=Y","SCALING_FORMAT=MLN","Sort=A","Dates=H","DateFormat=P","Fill=—","Direction=H","UseDPDF=Y")</f>
        <v>60449.3</v>
      </c>
      <c r="D12" s="19">
        <f>_xll.BDH("RCOM IN Equity","ARD_NET_INC","FY 2010","FY 2010","Currency=INR","Period=FY","BEST_FPERIOD_OVERRIDE=FY","FILING_STATUS=MR","EQY_CONSOLIDATED=Y","SCALING_FORMAT=MLN","Sort=A","Dates=H","DateFormat=P","Fill=—","Direction=H","UseDPDF=Y")</f>
        <v>46550</v>
      </c>
      <c r="E12" s="19">
        <f>_xll.BDH("RCOM IN Equity","ARD_NET_INC","FY 2011","FY 2011","Currency=INR","Period=FY","BEST_FPERIOD_OVERRIDE=FY","FILING_STATUS=MR","EQY_CONSOLIDATED=Y","SCALING_FORMAT=MLN","Sort=A","Dates=H","DateFormat=P","Fill=—","Direction=H","UseDPDF=Y")</f>
        <v>13450</v>
      </c>
      <c r="F12" s="19">
        <f>_xll.BDH("RCOM IN Equity","ARD_NET_INC","FY 2012","FY 2012","Currency=INR","Period=FY","BEST_FPERIOD_OVERRIDE=FY","FILING_STATUS=MR","EQY_CONSOLIDATED=Y","SCALING_FORMAT=MLN","Sort=A","Dates=H","DateFormat=P","Fill=—","Direction=H","UseDPDF=Y")</f>
        <v>9280</v>
      </c>
      <c r="G12" s="19">
        <f>_xll.BDH("RCOM IN Equity","ARD_NET_INC","FY 2013","FY 2013","Currency=INR","Period=FY","BEST_FPERIOD_OVERRIDE=FY","FILING_STATUS=MR","EQY_CONSOLIDATED=Y","SCALING_FORMAT=MLN","Sort=A","Dates=H","DateFormat=P","Fill=—","Direction=H","UseDPDF=Y")</f>
        <v>6720</v>
      </c>
      <c r="H12" s="19">
        <f>_xll.BDH("RCOM IN Equity","ARD_NET_INC","FY 2014","FY 2014","Currency=INR","Period=FY","BEST_FPERIOD_OVERRIDE=FY","FILING_STATUS=MR","EQY_CONSOLIDATED=Y","SCALING_FORMAT=MLN","Sort=A","Dates=H","DateFormat=P","Fill=—","Direction=H","UseDPDF=Y")</f>
        <v>10470</v>
      </c>
      <c r="I12" s="19">
        <f>_xll.BDH("RCOM IN Equity","ARD_NET_INC","FY 2015","FY 2015","Currency=INR","Period=FY","BEST_FPERIOD_OVERRIDE=FY","FILING_STATUS=MR","EQY_CONSOLIDATED=Y","SCALING_FORMAT=MLN","Sort=A","Dates=H","DateFormat=P","Fill=—","Direction=H","UseDPDF=Y")</f>
        <v>7140</v>
      </c>
      <c r="J12" s="19">
        <f>_xll.BDH("RCOM IN Equity","ARD_NET_INC","FY 2016","FY 2016","Currency=INR","Period=FY","BEST_FPERIOD_OVERRIDE=FY","FILING_STATUS=MR","EQY_CONSOLIDATED=Y","SCALING_FORMAT=MLN","Sort=A","Dates=H","DateFormat=P","Fill=—","Direction=H","UseDPDF=Y")</f>
        <v>6390</v>
      </c>
      <c r="K12" s="19">
        <f>_xll.BDH("RCOM IN Equity","ARD_NET_INC","FY 2017","FY 2017","Currency=INR","Period=FY","BEST_FPERIOD_OVERRIDE=FY","FILING_STATUS=MR","EQY_CONSOLIDATED=Y","SCALING_FORMAT=MLN","Sort=A","Dates=H","DateFormat=P","Fill=—","Direction=H","UseDPDF=Y")</f>
        <v>-14030</v>
      </c>
      <c r="L12" s="19">
        <f>_xll.BDH("RCOM IN Equity","ARD_NET_INC","FY 2018","FY 2018","Currency=INR","Period=FY","BEST_FPERIOD_OVERRIDE=FY","FILING_STATUS=MR","EQY_CONSOLIDATED=Y","SCALING_FORMAT=MLN","Sort=A","Dates=H","DateFormat=P","Fill=—","Direction=H","UseDPDF=Y")</f>
        <v>-238390</v>
      </c>
    </row>
    <row r="13" spans="1:12">
      <c r="A13" s="10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4" spans="1:12">
      <c r="A14" s="6" t="s">
        <v>852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>
      <c r="A15" s="10" t="s">
        <v>1715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</row>
    <row r="16" spans="1:12">
      <c r="A16" s="6" t="s">
        <v>75</v>
      </c>
      <c r="B16" s="6" t="s">
        <v>928</v>
      </c>
      <c r="C16" s="19" t="str">
        <f>_xll.BDH("RCOM IN Equity","ARD_TOTAL_CUR_ASSETS","FY 2009","FY 2009","Currency=INR","Period=FY","BEST_FPERIOD_OVERRIDE=FY","FILING_STATUS=MR","EQY_CONSOLIDATED=Y","SCALING_FORMAT=MLN","Sort=A","Dates=H","DateFormat=P","Fill=—","Direction=H","UseDPDF=Y")</f>
        <v>—</v>
      </c>
      <c r="D16" s="19" t="str">
        <f>_xll.BDH("RCOM IN Equity","ARD_TOTAL_CUR_ASSETS","FY 2010","FY 2010","Currency=INR","Period=FY","BEST_FPERIOD_OVERRIDE=FY","FILING_STATUS=MR","EQY_CONSOLIDATED=Y","SCALING_FORMAT=MLN","Sort=A","Dates=H","DateFormat=P","Fill=—","Direction=H","UseDPDF=Y")</f>
        <v>—</v>
      </c>
      <c r="E16" s="19">
        <f>_xll.BDH("RCOM IN Equity","ARD_TOTAL_CUR_ASSETS","FY 2011","FY 2011","Currency=INR","Period=FY","BEST_FPERIOD_OVERRIDE=FY","FILING_STATUS=MR","EQY_CONSOLIDATED=Y","SCALING_FORMAT=MLN","Sort=A","Dates=H","DateFormat=P","Fill=—","Direction=H","UseDPDF=Y")</f>
        <v>164480</v>
      </c>
      <c r="F16" s="19">
        <f>_xll.BDH("RCOM IN Equity","ARD_TOTAL_CUR_ASSETS","FY 2012","FY 2012","Currency=INR","Period=FY","BEST_FPERIOD_OVERRIDE=FY","FILING_STATUS=MR","EQY_CONSOLIDATED=Y","SCALING_FORMAT=MLN","Sort=A","Dates=H","DateFormat=P","Fill=—","Direction=H","UseDPDF=Y")</f>
        <v>125450</v>
      </c>
      <c r="G16" s="19">
        <f>_xll.BDH("RCOM IN Equity","ARD_TOTAL_CUR_ASSETS","FY 2013","FY 2013","Currency=INR","Period=FY","BEST_FPERIOD_OVERRIDE=FY","FILING_STATUS=MR","EQY_CONSOLIDATED=Y","SCALING_FORMAT=MLN","Sort=A","Dates=H","DateFormat=P","Fill=—","Direction=H","UseDPDF=Y")</f>
        <v>122610</v>
      </c>
      <c r="H16" s="19">
        <f>_xll.BDH("RCOM IN Equity","ARD_TOTAL_CUR_ASSETS","FY 2014","FY 2014","Currency=INR","Period=FY","BEST_FPERIOD_OVERRIDE=FY","FILING_STATUS=MR","EQY_CONSOLIDATED=Y","SCALING_FORMAT=MLN","Sort=A","Dates=H","DateFormat=P","Fill=—","Direction=H","UseDPDF=Y")</f>
        <v>133770</v>
      </c>
      <c r="I16" s="19">
        <f>_xll.BDH("RCOM IN Equity","ARD_TOTAL_CUR_ASSETS","FY 2015","FY 2015","Currency=INR","Period=FY","BEST_FPERIOD_OVERRIDE=FY","FILING_STATUS=MR","EQY_CONSOLIDATED=Y","SCALING_FORMAT=MLN","Sort=A","Dates=H","DateFormat=P","Fill=—","Direction=H","UseDPDF=Y")</f>
        <v>187900</v>
      </c>
      <c r="J16" s="19">
        <f>_xll.BDH("RCOM IN Equity","ARD_TOTAL_CUR_ASSETS","FY 2016","FY 2016","Currency=INR","Period=FY","BEST_FPERIOD_OVERRIDE=FY","FILING_STATUS=MR","EQY_CONSOLIDATED=Y","SCALING_FORMAT=MLN","Sort=A","Dates=H","DateFormat=P","Fill=—","Direction=H","UseDPDF=Y")</f>
        <v>117610</v>
      </c>
      <c r="K16" s="19">
        <f>_xll.BDH("RCOM IN Equity","ARD_TOTAL_CUR_ASSETS","FY 2017","FY 2017","Currency=INR","Period=FY","BEST_FPERIOD_OVERRIDE=FY","FILING_STATUS=MR","EQY_CONSOLIDATED=Y","SCALING_FORMAT=MLN","Sort=A","Dates=H","DateFormat=P","Fill=—","Direction=H","UseDPDF=Y")</f>
        <v>130070</v>
      </c>
      <c r="L16" s="19">
        <f>_xll.BDH("RCOM IN Equity","ARD_TOTAL_CUR_ASSETS","FY 2018","FY 2018","Currency=INR","Period=FY","BEST_FPERIOD_OVERRIDE=FY","FILING_STATUS=MR","EQY_CONSOLIDATED=Y","SCALING_FORMAT=MLN","Sort=A","Dates=H","DateFormat=P","Fill=—","Direction=H","UseDPDF=Y")</f>
        <v>454590</v>
      </c>
    </row>
    <row r="17" spans="1:12">
      <c r="A17" s="6" t="s">
        <v>77</v>
      </c>
      <c r="B17" s="6" t="s">
        <v>942</v>
      </c>
      <c r="C17" s="19" t="str">
        <f>_xll.BDH("RCOM IN Equity","ARD_TOT_ASSETS","FY 2009","FY 2009","Currency=INR","Period=FY","BEST_FPERIOD_OVERRIDE=FY","FILING_STATUS=MR","EQY_CONSOLIDATED=Y","SCALING_FORMAT=MLN","Sort=A","Dates=H","DateFormat=P","Fill=—","Direction=H","UseDPDF=Y")</f>
        <v>—</v>
      </c>
      <c r="D17" s="19" t="str">
        <f>_xll.BDH("RCOM IN Equity","ARD_TOT_ASSETS","FY 2010","FY 2010","Currency=INR","Period=FY","BEST_FPERIOD_OVERRIDE=FY","FILING_STATUS=MR","EQY_CONSOLIDATED=Y","SCALING_FORMAT=MLN","Sort=A","Dates=H","DateFormat=P","Fill=—","Direction=H","UseDPDF=Y")</f>
        <v>—</v>
      </c>
      <c r="E17" s="19">
        <f>_xll.BDH("RCOM IN Equity","ARD_TOT_ASSETS","FY 2011","FY 2011","Currency=INR","Period=FY","BEST_FPERIOD_OVERRIDE=FY","FILING_STATUS=MR","EQY_CONSOLIDATED=Y","SCALING_FORMAT=MLN","Sort=A","Dates=H","DateFormat=P","Fill=—","Direction=H","UseDPDF=Y")</f>
        <v>947230</v>
      </c>
      <c r="F17" s="19">
        <f>_xll.BDH("RCOM IN Equity","ARD_TOT_ASSETS","FY 2012","FY 2012","Currency=INR","Period=FY","BEST_FPERIOD_OVERRIDE=FY","FILING_STATUS=MR","EQY_CONSOLIDATED=Y","SCALING_FORMAT=MLN","Sort=A","Dates=H","DateFormat=P","Fill=—","Direction=H","UseDPDF=Y")</f>
        <v>922650</v>
      </c>
      <c r="G17" s="19">
        <f>_xll.BDH("RCOM IN Equity","ARD_TOT_ASSETS","FY 2013","FY 2013","Currency=INR","Period=FY","BEST_FPERIOD_OVERRIDE=FY","FILING_STATUS=MR","EQY_CONSOLIDATED=Y","SCALING_FORMAT=MLN","Sort=A","Dates=H","DateFormat=P","Fill=—","Direction=H","UseDPDF=Y")</f>
        <v>901820</v>
      </c>
      <c r="H17" s="19">
        <f>_xll.BDH("RCOM IN Equity","ARD_TOT_ASSETS","FY 2014","FY 2014","Currency=INR","Period=FY","BEST_FPERIOD_OVERRIDE=FY","FILING_STATUS=MR","EQY_CONSOLIDATED=Y","SCALING_FORMAT=MLN","Sort=A","Dates=H","DateFormat=P","Fill=—","Direction=H","UseDPDF=Y")</f>
        <v>907390</v>
      </c>
      <c r="I17" s="19">
        <f>_xll.BDH("RCOM IN Equity","ARD_TOT_ASSETS","FY 2015","FY 2015","Currency=INR","Period=FY","BEST_FPERIOD_OVERRIDE=FY","FILING_STATUS=MR","EQY_CONSOLIDATED=Y","SCALING_FORMAT=MLN","Sort=A","Dates=H","DateFormat=P","Fill=—","Direction=H","UseDPDF=Y")</f>
        <v>912840</v>
      </c>
      <c r="J17" s="19">
        <f>_xll.BDH("RCOM IN Equity","ARD_TOT_ASSETS","FY 2016","FY 2016","Currency=INR","Period=FY","BEST_FPERIOD_OVERRIDE=FY","FILING_STATUS=MR","EQY_CONSOLIDATED=Y","SCALING_FORMAT=MLN","Sort=A","Dates=H","DateFormat=P","Fill=—","Direction=H","UseDPDF=Y")</f>
        <v>1034540</v>
      </c>
      <c r="K17" s="19">
        <f>_xll.BDH("RCOM IN Equity","ARD_TOT_ASSETS","FY 2017","FY 2017","Currency=INR","Period=FY","BEST_FPERIOD_OVERRIDE=FY","FILING_STATUS=MR","EQY_CONSOLIDATED=Y","SCALING_FORMAT=MLN","Sort=A","Dates=H","DateFormat=P","Fill=—","Direction=H","UseDPDF=Y")</f>
        <v>997310</v>
      </c>
      <c r="L17" s="19">
        <f>_xll.BDH("RCOM IN Equity","ARD_TOT_ASSETS","FY 2018","FY 2018","Currency=INR","Period=FY","BEST_FPERIOD_OVERRIDE=FY","FILING_STATUS=MR","EQY_CONSOLIDATED=Y","SCALING_FORMAT=MLN","Sort=A","Dates=H","DateFormat=P","Fill=—","Direction=H","UseDPDF=Y")</f>
        <v>745780</v>
      </c>
    </row>
    <row r="18" spans="1:12">
      <c r="A18" s="10" t="s">
        <v>1716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6" t="s">
        <v>79</v>
      </c>
      <c r="B19" s="6" t="s">
        <v>880</v>
      </c>
      <c r="C19" s="19" t="str">
        <f>_xll.BDH("RCOM IN Equity","ARD_TOTAL_CURRENT_LIABILITIES","FY 2009","FY 2009","Currency=INR","Period=FY","BEST_FPERIOD_OVERRIDE=FY","FILING_STATUS=MR","EQY_CONSOLIDATED=Y","SCALING_FORMAT=MLN","Sort=A","Dates=H","DateFormat=P","Fill=—","Direction=H","UseDPDF=Y")</f>
        <v>—</v>
      </c>
      <c r="D19" s="19" t="str">
        <f>_xll.BDH("RCOM IN Equity","ARD_TOTAL_CURRENT_LIABILITIES","FY 2010","FY 2010","Currency=INR","Period=FY","BEST_FPERIOD_OVERRIDE=FY","FILING_STATUS=MR","EQY_CONSOLIDATED=Y","SCALING_FORMAT=MLN","Sort=A","Dates=H","DateFormat=P","Fill=—","Direction=H","UseDPDF=Y")</f>
        <v>—</v>
      </c>
      <c r="E19" s="19">
        <f>_xll.BDH("RCOM IN Equity","ARD_TOTAL_CURRENT_LIABILITIES","FY 2011","FY 2011","Currency=INR","Period=FY","BEST_FPERIOD_OVERRIDE=FY","FILING_STATUS=MR","EQY_CONSOLIDATED=Y","SCALING_FORMAT=MLN","Sort=A","Dates=H","DateFormat=P","Fill=—","Direction=H","UseDPDF=Y")</f>
        <v>323020</v>
      </c>
      <c r="F19" s="19">
        <f>_xll.BDH("RCOM IN Equity","ARD_TOTAL_CURRENT_LIABILITIES","FY 2012","FY 2012","Currency=INR","Period=FY","BEST_FPERIOD_OVERRIDE=FY","FILING_STATUS=MR","EQY_CONSOLIDATED=Y","SCALING_FORMAT=MLN","Sort=A","Dates=H","DateFormat=P","Fill=—","Direction=H","UseDPDF=Y")</f>
        <v>224040</v>
      </c>
      <c r="G19" s="19">
        <f>_xll.BDH("RCOM IN Equity","ARD_TOTAL_CURRENT_LIABILITIES","FY 2013","FY 2013","Currency=INR","Period=FY","BEST_FPERIOD_OVERRIDE=FY","FILING_STATUS=MR","EQY_CONSOLIDATED=Y","SCALING_FORMAT=MLN","Sort=A","Dates=H","DateFormat=P","Fill=—","Direction=H","UseDPDF=Y")</f>
        <v>234390</v>
      </c>
      <c r="H19" s="19">
        <f>_xll.BDH("RCOM IN Equity","ARD_TOTAL_CURRENT_LIABILITIES","FY 2014","FY 2014","Currency=INR","Period=FY","BEST_FPERIOD_OVERRIDE=FY","FILING_STATUS=MR","EQY_CONSOLIDATED=Y","SCALING_FORMAT=MLN","Sort=A","Dates=H","DateFormat=P","Fill=—","Direction=H","UseDPDF=Y")</f>
        <v>255380</v>
      </c>
      <c r="I19" s="19">
        <f>_xll.BDH("RCOM IN Equity","ARD_TOTAL_CURRENT_LIABILITIES","FY 2015","FY 2015","Currency=INR","Period=FY","BEST_FPERIOD_OVERRIDE=FY","FILING_STATUS=MR","EQY_CONSOLIDATED=Y","SCALING_FORMAT=MLN","Sort=A","Dates=H","DateFormat=P","Fill=—","Direction=H","UseDPDF=Y")</f>
        <v>209230</v>
      </c>
      <c r="J19" s="19">
        <f>_xll.BDH("RCOM IN Equity","ARD_TOTAL_CURRENT_LIABILITIES","FY 2016","FY 2016","Currency=INR","Period=FY","BEST_FPERIOD_OVERRIDE=FY","FILING_STATUS=MR","EQY_CONSOLIDATED=Y","SCALING_FORMAT=MLN","Sort=A","Dates=H","DateFormat=P","Fill=—","Direction=H","UseDPDF=Y")</f>
        <v>276760</v>
      </c>
      <c r="K19" s="19">
        <f>_xll.BDH("RCOM IN Equity","ARD_TOTAL_CURRENT_LIABILITIES","FY 2017","FY 2017","Currency=INR","Period=FY","BEST_FPERIOD_OVERRIDE=FY","FILING_STATUS=MR","EQY_CONSOLIDATED=Y","SCALING_FORMAT=MLN","Sort=A","Dates=H","DateFormat=P","Fill=—","Direction=H","UseDPDF=Y")</f>
        <v>360340</v>
      </c>
      <c r="L19" s="19">
        <f>_xll.BDH("RCOM IN Equity","ARD_TOTAL_CURRENT_LIABILITIES","FY 2018","FY 2018","Currency=INR","Period=FY","BEST_FPERIOD_OVERRIDE=FY","FILING_STATUS=MR","EQY_CONSOLIDATED=Y","SCALING_FORMAT=MLN","Sort=A","Dates=H","DateFormat=P","Fill=—","Direction=H","UseDPDF=Y")</f>
        <v>524780</v>
      </c>
    </row>
    <row r="20" spans="1:12">
      <c r="A20" s="10" t="s">
        <v>853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</row>
    <row r="21" spans="1:12">
      <c r="A21" s="10" t="s">
        <v>856</v>
      </c>
      <c r="B21" s="10" t="s">
        <v>857</v>
      </c>
      <c r="C21" s="13">
        <f>_xll.BDH("RCOM IN Equity","ARD_TOTAL_SHAREHOLDERS_EQUITY","FY 2009","FY 2009","Currency=INR","Period=FY","BEST_FPERIOD_OVERRIDE=FY","FILING_STATUS=MR","EQY_CONSOLIDATED=Y","SCALING_FORMAT=MLN","Sort=A","Dates=H","DateFormat=P","Fill=—","Direction=H","UseDPDF=Y")</f>
        <v>429352.4</v>
      </c>
      <c r="D21" s="13">
        <f>_xll.BDH("RCOM IN Equity","ARD_TOTAL_SHAREHOLDERS_EQUITY","FY 2010","FY 2010","Currency=INR","Period=FY","BEST_FPERIOD_OVERRIDE=FY","FILING_STATUS=MR","EQY_CONSOLIDATED=Y","SCALING_FORMAT=MLN","Sort=A","Dates=H","DateFormat=P","Fill=—","Direction=H","UseDPDF=Y")</f>
        <v>440190.3</v>
      </c>
      <c r="E21" s="13">
        <f>_xll.BDH("RCOM IN Equity","ARD_TOTAL_SHAREHOLDERS_EQUITY","FY 2011","FY 2011","Currency=INR","Period=FY","BEST_FPERIOD_OVERRIDE=FY","FILING_STATUS=MR","EQY_CONSOLIDATED=Y","SCALING_FORMAT=MLN","Sort=A","Dates=H","DateFormat=P","Fill=—","Direction=H","UseDPDF=Y")</f>
        <v>413230</v>
      </c>
      <c r="F21" s="13">
        <f>_xll.BDH("RCOM IN Equity","ARD_TOTAL_SHAREHOLDERS_EQUITY","FY 2012","FY 2012","Currency=INR","Period=FY","BEST_FPERIOD_OVERRIDE=FY","FILING_STATUS=MR","EQY_CONSOLIDATED=Y","SCALING_FORMAT=MLN","Sort=A","Dates=H","DateFormat=P","Fill=—","Direction=H","UseDPDF=Y")</f>
        <v>371560</v>
      </c>
      <c r="G21" s="13">
        <f>_xll.BDH("RCOM IN Equity","ARD_TOTAL_SHAREHOLDERS_EQUITY","FY 2013","FY 2013","Currency=INR","Period=FY","BEST_FPERIOD_OVERRIDE=FY","FILING_STATUS=MR","EQY_CONSOLIDATED=Y","SCALING_FORMAT=MLN","Sort=A","Dates=H","DateFormat=P","Fill=—","Direction=H","UseDPDF=Y")</f>
        <v>345750</v>
      </c>
      <c r="H21" s="13">
        <f>_xll.BDH("RCOM IN Equity","ARD_TOTAL_SHAREHOLDERS_EQUITY","FY 2014","FY 2014","Currency=INR","Period=FY","BEST_FPERIOD_OVERRIDE=FY","FILING_STATUS=MR","EQY_CONSOLIDATED=Y","SCALING_FORMAT=MLN","Sort=A","Dates=H","DateFormat=P","Fill=—","Direction=H","UseDPDF=Y")</f>
        <v>335390</v>
      </c>
      <c r="I21" s="13">
        <f>_xll.BDH("RCOM IN Equity","ARD_TOTAL_SHAREHOLDERS_EQUITY","FY 2015","FY 2015","Currency=INR","Period=FY","BEST_FPERIOD_OVERRIDE=FY","FILING_STATUS=MR","EQY_CONSOLIDATED=Y","SCALING_FORMAT=MLN","Sort=A","Dates=H","DateFormat=P","Fill=—","Direction=H","UseDPDF=Y")</f>
        <v>384480</v>
      </c>
      <c r="J21" s="13">
        <f>_xll.BDH("RCOM IN Equity","ARD_TOTAL_SHAREHOLDERS_EQUITY","FY 2016","FY 2016","Currency=INR","Period=FY","BEST_FPERIOD_OVERRIDE=FY","FILING_STATUS=MR","EQY_CONSOLIDATED=Y","SCALING_FORMAT=MLN","Sort=A","Dates=H","DateFormat=P","Fill=—","Direction=H","UseDPDF=Y")</f>
        <v>318650</v>
      </c>
      <c r="K21" s="13">
        <f>_xll.BDH("RCOM IN Equity","ARD_TOTAL_SHAREHOLDERS_EQUITY","FY 2017","FY 2017","Currency=INR","Period=FY","BEST_FPERIOD_OVERRIDE=FY","FILING_STATUS=MR","EQY_CONSOLIDATED=Y","SCALING_FORMAT=MLN","Sort=A","Dates=H","DateFormat=P","Fill=—","Direction=H","UseDPDF=Y")</f>
        <v>289690</v>
      </c>
      <c r="L21" s="13">
        <f>_xll.BDH("RCOM IN Equity","ARD_TOTAL_SHAREHOLDERS_EQUITY","FY 2018","FY 2018","Currency=INR","Period=FY","BEST_FPERIOD_OVERRIDE=FY","FILING_STATUS=MR","EQY_CONSOLIDATED=Y","SCALING_FORMAT=MLN","Sort=A","Dates=H","DateFormat=P","Fill=—","Direction=H","UseDPDF=Y")</f>
        <v>31150</v>
      </c>
    </row>
    <row r="22" spans="1:12">
      <c r="A22" s="6" t="s">
        <v>866</v>
      </c>
      <c r="B22" s="6" t="s">
        <v>867</v>
      </c>
      <c r="C22" s="19" t="str">
        <f>_xll.BDH("RCOM IN Equity","ARD_TOT_LIAB_AND_SHAREHOLDER_EQY","FY 2009","FY 2009","Currency=INR","Period=FY","BEST_FPERIOD_OVERRIDE=FY","FILING_STATUS=MR","EQY_CONSOLIDATED=Y","SCALING_FORMAT=MLN","Sort=A","Dates=H","DateFormat=P","Fill=—","Direction=H","UseDPDF=Y")</f>
        <v>—</v>
      </c>
      <c r="D22" s="19" t="str">
        <f>_xll.BDH("RCOM IN Equity","ARD_TOT_LIAB_AND_SHAREHOLDER_EQY","FY 2010","FY 2010","Currency=INR","Period=FY","BEST_FPERIOD_OVERRIDE=FY","FILING_STATUS=MR","EQY_CONSOLIDATED=Y","SCALING_FORMAT=MLN","Sort=A","Dates=H","DateFormat=P","Fill=—","Direction=H","UseDPDF=Y")</f>
        <v>—</v>
      </c>
      <c r="E22" s="19">
        <f>_xll.BDH("RCOM IN Equity","ARD_TOT_LIAB_AND_SHAREHOLDER_EQY","FY 2011","FY 2011","Currency=INR","Period=FY","BEST_FPERIOD_OVERRIDE=FY","FILING_STATUS=MR","EQY_CONSOLIDATED=Y","SCALING_FORMAT=MLN","Sort=A","Dates=H","DateFormat=P","Fill=—","Direction=H","UseDPDF=Y")</f>
        <v>947230</v>
      </c>
      <c r="F22" s="19">
        <f>_xll.BDH("RCOM IN Equity","ARD_TOT_LIAB_AND_SHAREHOLDER_EQY","FY 2012","FY 2012","Currency=INR","Period=FY","BEST_FPERIOD_OVERRIDE=FY","FILING_STATUS=MR","EQY_CONSOLIDATED=Y","SCALING_FORMAT=MLN","Sort=A","Dates=H","DateFormat=P","Fill=—","Direction=H","UseDPDF=Y")</f>
        <v>922650</v>
      </c>
      <c r="G22" s="19">
        <f>_xll.BDH("RCOM IN Equity","ARD_TOT_LIAB_AND_SHAREHOLDER_EQY","FY 2013","FY 2013","Currency=INR","Period=FY","BEST_FPERIOD_OVERRIDE=FY","FILING_STATUS=MR","EQY_CONSOLIDATED=Y","SCALING_FORMAT=MLN","Sort=A","Dates=H","DateFormat=P","Fill=—","Direction=H","UseDPDF=Y")</f>
        <v>901820</v>
      </c>
      <c r="H22" s="19">
        <f>_xll.BDH("RCOM IN Equity","ARD_TOT_LIAB_AND_SHAREHOLDER_EQY","FY 2014","FY 2014","Currency=INR","Period=FY","BEST_FPERIOD_OVERRIDE=FY","FILING_STATUS=MR","EQY_CONSOLIDATED=Y","SCALING_FORMAT=MLN","Sort=A","Dates=H","DateFormat=P","Fill=—","Direction=H","UseDPDF=Y")</f>
        <v>907390</v>
      </c>
      <c r="I22" s="19">
        <f>_xll.BDH("RCOM IN Equity","ARD_TOT_LIAB_AND_SHAREHOLDER_EQY","FY 2015","FY 2015","Currency=INR","Period=FY","BEST_FPERIOD_OVERRIDE=FY","FILING_STATUS=MR","EQY_CONSOLIDATED=Y","SCALING_FORMAT=MLN","Sort=A","Dates=H","DateFormat=P","Fill=—","Direction=H","UseDPDF=Y")</f>
        <v>912840</v>
      </c>
      <c r="J22" s="19">
        <f>_xll.BDH("RCOM IN Equity","ARD_TOT_LIAB_AND_SHAREHOLDER_EQY","FY 2016","FY 2016","Currency=INR","Period=FY","BEST_FPERIOD_OVERRIDE=FY","FILING_STATUS=MR","EQY_CONSOLIDATED=Y","SCALING_FORMAT=MLN","Sort=A","Dates=H","DateFormat=P","Fill=—","Direction=H","UseDPDF=Y")</f>
        <v>1034540</v>
      </c>
      <c r="K22" s="19">
        <f>_xll.BDH("RCOM IN Equity","ARD_TOT_LIAB_AND_SHAREHOLDER_EQY","FY 2017","FY 2017","Currency=INR","Period=FY","BEST_FPERIOD_OVERRIDE=FY","FILING_STATUS=MR","EQY_CONSOLIDATED=Y","SCALING_FORMAT=MLN","Sort=A","Dates=H","DateFormat=P","Fill=—","Direction=H","UseDPDF=Y")</f>
        <v>997310</v>
      </c>
      <c r="L22" s="19">
        <f>_xll.BDH("RCOM IN Equity","ARD_TOT_LIAB_AND_SHAREHOLDER_EQY","FY 2018","FY 2018","Currency=INR","Period=FY","BEST_FPERIOD_OVERRIDE=FY","FILING_STATUS=MR","EQY_CONSOLIDATED=Y","SCALING_FORMAT=MLN","Sort=A","Dates=H","DateFormat=P","Fill=—","Direction=H","UseDPDF=Y")</f>
        <v>559490</v>
      </c>
    </row>
    <row r="23" spans="1:12">
      <c r="A23" s="10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>
      <c r="A24" s="6" t="s">
        <v>1717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>
      <c r="A25" s="10" t="s">
        <v>1304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>
      <c r="A26" s="10" t="s">
        <v>1321</v>
      </c>
      <c r="B26" s="10" t="s">
        <v>1322</v>
      </c>
      <c r="C26" s="13">
        <f>_xll.BDH("RCOM IN Equity","ARD_TOT_CASH_FLOWS_FROM_OPS","FY 2009","FY 2009","Currency=INR","Period=FY","BEST_FPERIOD_OVERRIDE=FY","FILING_STATUS=MR","EQY_CONSOLIDATED=Y","SCALING_FORMAT=MLN","Sort=A","Dates=H","DateFormat=P","Fill=—","Direction=H","UseDPDF=Y")</f>
        <v>65075.3</v>
      </c>
      <c r="D26" s="13">
        <f>_xll.BDH("RCOM IN Equity","ARD_TOT_CASH_FLOWS_FROM_OPS","FY 2010","FY 2010","Currency=INR","Period=FY","BEST_FPERIOD_OVERRIDE=FY","FILING_STATUS=MR","EQY_CONSOLIDATED=Y","SCALING_FORMAT=MLN","Sort=A","Dates=H","DateFormat=P","Fill=—","Direction=H","UseDPDF=Y")</f>
        <v>96164.800000000003</v>
      </c>
      <c r="E26" s="13">
        <f>_xll.BDH("RCOM IN Equity","ARD_TOT_CASH_FLOWS_FROM_OPS","FY 2011","FY 2011","Currency=INR","Period=FY","BEST_FPERIOD_OVERRIDE=FY","FILING_STATUS=MR","EQY_CONSOLIDATED=Y","SCALING_FORMAT=MLN","Sort=A","Dates=H","DateFormat=P","Fill=—","Direction=H","UseDPDF=Y")</f>
        <v>24340</v>
      </c>
      <c r="F26" s="13">
        <f>_xll.BDH("RCOM IN Equity","ARD_TOT_CASH_FLOWS_FROM_OPS","FY 2012","FY 2012","Currency=INR","Period=FY","BEST_FPERIOD_OVERRIDE=FY","FILING_STATUS=MR","EQY_CONSOLIDATED=Y","SCALING_FORMAT=MLN","Sort=A","Dates=H","DateFormat=P","Fill=—","Direction=H","UseDPDF=Y")</f>
        <v>57510</v>
      </c>
      <c r="G26" s="13">
        <f>_xll.BDH("RCOM IN Equity","ARD_TOT_CASH_FLOWS_FROM_OPS","FY 2013","FY 2013","Currency=INR","Period=FY","BEST_FPERIOD_OVERRIDE=FY","FILING_STATUS=MR","EQY_CONSOLIDATED=Y","SCALING_FORMAT=MLN","Sort=A","Dates=H","DateFormat=P","Fill=—","Direction=H","UseDPDF=Y")</f>
        <v>38250</v>
      </c>
      <c r="H26" s="13">
        <f>_xll.BDH("RCOM IN Equity","ARD_TOT_CASH_FLOWS_FROM_OPS","FY 2014","FY 2014","Currency=INR","Period=FY","BEST_FPERIOD_OVERRIDE=FY","FILING_STATUS=MR","EQY_CONSOLIDATED=Y","SCALING_FORMAT=MLN","Sort=A","Dates=H","DateFormat=P","Fill=—","Direction=H","UseDPDF=Y")</f>
        <v>68390</v>
      </c>
      <c r="I26" s="13">
        <f>_xll.BDH("RCOM IN Equity","ARD_TOT_CASH_FLOWS_FROM_OPS","FY 2015","FY 2015","Currency=INR","Period=FY","BEST_FPERIOD_OVERRIDE=FY","FILING_STATUS=MR","EQY_CONSOLIDATED=Y","SCALING_FORMAT=MLN","Sort=A","Dates=H","DateFormat=P","Fill=—","Direction=H","UseDPDF=Y")</f>
        <v>31580</v>
      </c>
      <c r="J26" s="13">
        <f>_xll.BDH("RCOM IN Equity","ARD_TOT_CASH_FLOWS_FROM_OPS","FY 2016","FY 2016","Currency=INR","Period=FY","BEST_FPERIOD_OVERRIDE=FY","FILING_STATUS=MR","EQY_CONSOLIDATED=Y","SCALING_FORMAT=MLN","Sort=A","Dates=H","DateFormat=P","Fill=—","Direction=H","UseDPDF=Y")</f>
        <v>141060</v>
      </c>
      <c r="K26" s="13">
        <f>_xll.BDH("RCOM IN Equity","ARD_TOT_CASH_FLOWS_FROM_OPS","FY 2017","FY 2017","Currency=INR","Period=FY","BEST_FPERIOD_OVERRIDE=FY","FILING_STATUS=MR","EQY_CONSOLIDATED=Y","SCALING_FORMAT=MLN","Sort=A","Dates=H","DateFormat=P","Fill=—","Direction=H","UseDPDF=Y")</f>
        <v>-3880</v>
      </c>
      <c r="L26" s="13">
        <f>_xll.BDH("RCOM IN Equity","ARD_TOT_CASH_FLOWS_FROM_OPS","FY 2018","FY 2018","Currency=INR","Period=FY","BEST_FPERIOD_OVERRIDE=FY","FILING_STATUS=MR","EQY_CONSOLIDATED=Y","SCALING_FORMAT=MLN","Sort=A","Dates=H","DateFormat=P","Fill=—","Direction=H","UseDPDF=Y")</f>
        <v>9640</v>
      </c>
    </row>
    <row r="27" spans="1:12">
      <c r="A27" s="10" t="s">
        <v>1372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>
      <c r="A28" s="6" t="s">
        <v>1387</v>
      </c>
      <c r="B28" s="6" t="s">
        <v>1388</v>
      </c>
      <c r="C28" s="19">
        <f>_xll.BDH("RCOM IN Equity","ARD_TOT_CASHFLOWS_FROM_INVESTING","FY 2009","FY 2009","Currency=INR","Period=FY","BEST_FPERIOD_OVERRIDE=FY","FILING_STATUS=MR","EQY_CONSOLIDATED=Y","SCALING_FORMAT=MLN","Sort=A","Dates=H","DateFormat=P","Fill=—","Direction=H","UseDPDF=Y")</f>
        <v>-100079.4</v>
      </c>
      <c r="D28" s="19">
        <f>_xll.BDH("RCOM IN Equity","ARD_TOT_CASHFLOWS_FROM_INVESTING","FY 2010","FY 2010","Currency=INR","Period=FY","BEST_FPERIOD_OVERRIDE=FY","FILING_STATUS=MR","EQY_CONSOLIDATED=Y","SCALING_FORMAT=MLN","Sort=A","Dates=H","DateFormat=P","Fill=—","Direction=H","UseDPDF=Y")</f>
        <v>-18600.5</v>
      </c>
      <c r="E28" s="19">
        <f>_xll.BDH("RCOM IN Equity","ARD_TOT_CASHFLOWS_FROM_INVESTING","FY 2011","FY 2011","Currency=INR","Period=FY","BEST_FPERIOD_OVERRIDE=FY","FILING_STATUS=MR","EQY_CONSOLIDATED=Y","SCALING_FORMAT=MLN","Sort=A","Dates=H","DateFormat=P","Fill=—","Direction=H","UseDPDF=Y")</f>
        <v>-64580</v>
      </c>
      <c r="F28" s="19">
        <f>_xll.BDH("RCOM IN Equity","ARD_TOT_CASHFLOWS_FROM_INVESTING","FY 2012","FY 2012","Currency=INR","Period=FY","BEST_FPERIOD_OVERRIDE=FY","FILING_STATUS=MR","EQY_CONSOLIDATED=Y","SCALING_FORMAT=MLN","Sort=A","Dates=H","DateFormat=P","Fill=—","Direction=H","UseDPDF=Y")</f>
        <v>-45710</v>
      </c>
      <c r="G28" s="19">
        <f>_xll.BDH("RCOM IN Equity","ARD_TOT_CASHFLOWS_FROM_INVESTING","FY 2013","FY 2013","Currency=INR","Period=FY","BEST_FPERIOD_OVERRIDE=FY","FILING_STATUS=MR","EQY_CONSOLIDATED=Y","SCALING_FORMAT=MLN","Sort=A","Dates=H","DateFormat=P","Fill=—","Direction=H","UseDPDF=Y")</f>
        <v>-20690</v>
      </c>
      <c r="H28" s="19">
        <f>_xll.BDH("RCOM IN Equity","ARD_TOT_CASHFLOWS_FROM_INVESTING","FY 2014","FY 2014","Currency=INR","Period=FY","BEST_FPERIOD_OVERRIDE=FY","FILING_STATUS=MR","EQY_CONSOLIDATED=Y","SCALING_FORMAT=MLN","Sort=A","Dates=H","DateFormat=P","Fill=—","Direction=H","UseDPDF=Y")</f>
        <v>-21000</v>
      </c>
      <c r="I28" s="19">
        <f>_xll.BDH("RCOM IN Equity","ARD_TOT_CASHFLOWS_FROM_INVESTING","FY 2015","FY 2015","Currency=INR","Period=FY","BEST_FPERIOD_OVERRIDE=FY","FILING_STATUS=MR","EQY_CONSOLIDATED=Y","SCALING_FORMAT=MLN","Sort=A","Dates=H","DateFormat=P","Fill=—","Direction=H","UseDPDF=Y")</f>
        <v>-31260</v>
      </c>
      <c r="J28" s="19">
        <f>_xll.BDH("RCOM IN Equity","ARD_TOT_CASHFLOWS_FROM_INVESTING","FY 2016","FY 2016","Currency=INR","Period=FY","BEST_FPERIOD_OVERRIDE=FY","FILING_STATUS=MR","EQY_CONSOLIDATED=Y","SCALING_FORMAT=MLN","Sort=A","Dates=H","DateFormat=P","Fill=—","Direction=H","UseDPDF=Y")</f>
        <v>-149500</v>
      </c>
      <c r="K28" s="19">
        <f>_xll.BDH("RCOM IN Equity","ARD_TOT_CASHFLOWS_FROM_INVESTING","FY 2017","FY 2017","Currency=INR","Period=FY","BEST_FPERIOD_OVERRIDE=FY","FILING_STATUS=MR","EQY_CONSOLIDATED=Y","SCALING_FORMAT=MLN","Sort=A","Dates=H","DateFormat=P","Fill=—","Direction=H","UseDPDF=Y")</f>
        <v>8120</v>
      </c>
      <c r="L28" s="19">
        <f>_xll.BDH("RCOM IN Equity","ARD_TOT_CASHFLOWS_FROM_INVESTING","FY 2018","FY 2018","Currency=INR","Period=FY","BEST_FPERIOD_OVERRIDE=FY","FILING_STATUS=MR","EQY_CONSOLIDATED=Y","SCALING_FORMAT=MLN","Sort=A","Dates=H","DateFormat=P","Fill=—","Direction=H","UseDPDF=Y")</f>
        <v>-2680</v>
      </c>
    </row>
    <row r="29" spans="1:12">
      <c r="A29" s="10" t="s">
        <v>1389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>
      <c r="A30" s="6" t="s">
        <v>1418</v>
      </c>
      <c r="B30" s="6" t="s">
        <v>1419</v>
      </c>
      <c r="C30" s="19">
        <f>_xll.BDH("RCOM IN Equity","ARD_TOT_CASHFLOWS_FROM_FINANCING","FY 2009","FY 2009","Currency=INR","Period=FY","BEST_FPERIOD_OVERRIDE=FY","FILING_STATUS=MR","EQY_CONSOLIDATED=Y","SCALING_FORMAT=MLN","Sort=A","Dates=H","DateFormat=P","Fill=—","Direction=H","UseDPDF=Y")</f>
        <v>42430.9</v>
      </c>
      <c r="D30" s="19">
        <f>_xll.BDH("RCOM IN Equity","ARD_TOT_CASHFLOWS_FROM_FINANCING","FY 2010","FY 2010","Currency=INR","Period=FY","BEST_FPERIOD_OVERRIDE=FY","FILING_STATUS=MR","EQY_CONSOLIDATED=Y","SCALING_FORMAT=MLN","Sort=A","Dates=H","DateFormat=P","Fill=—","Direction=H","UseDPDF=Y")</f>
        <v>-86217.3</v>
      </c>
      <c r="E30" s="19">
        <f>_xll.BDH("RCOM IN Equity","ARD_TOT_CASHFLOWS_FROM_FINANCING","FY 2011","FY 2011","Currency=INR","Period=FY","BEST_FPERIOD_OVERRIDE=FY","FILING_STATUS=MR","EQY_CONSOLIDATED=Y","SCALING_FORMAT=MLN","Sort=A","Dates=H","DateFormat=P","Fill=—","Direction=H","UseDPDF=Y")</f>
        <v>80710</v>
      </c>
      <c r="F30" s="19">
        <f>_xll.BDH("RCOM IN Equity","ARD_TOT_CASHFLOWS_FROM_FINANCING","FY 2012","FY 2012","Currency=INR","Period=FY","BEST_FPERIOD_OVERRIDE=FY","FILING_STATUS=MR","EQY_CONSOLIDATED=Y","SCALING_FORMAT=MLN","Sort=A","Dates=H","DateFormat=P","Fill=—","Direction=H","UseDPDF=Y")</f>
        <v>-54970</v>
      </c>
      <c r="G30" s="19">
        <f>_xll.BDH("RCOM IN Equity","ARD_TOT_CASHFLOWS_FROM_FINANCING","FY 2013","FY 2013","Currency=INR","Period=FY","BEST_FPERIOD_OVERRIDE=FY","FILING_STATUS=MR","EQY_CONSOLIDATED=Y","SCALING_FORMAT=MLN","Sort=A","Dates=H","DateFormat=P","Fill=—","Direction=H","UseDPDF=Y")</f>
        <v>-15760</v>
      </c>
      <c r="H30" s="19">
        <f>_xll.BDH("RCOM IN Equity","ARD_TOT_CASHFLOWS_FROM_FINANCING","FY 2014","FY 2014","Currency=INR","Period=FY","BEST_FPERIOD_OVERRIDE=FY","FILING_STATUS=MR","EQY_CONSOLIDATED=Y","SCALING_FORMAT=MLN","Sort=A","Dates=H","DateFormat=P","Fill=—","Direction=H","UseDPDF=Y")</f>
        <v>-49670</v>
      </c>
      <c r="I30" s="19">
        <f>_xll.BDH("RCOM IN Equity","ARD_TOT_CASHFLOWS_FROM_FINANCING","FY 2015","FY 2015","Currency=INR","Period=FY","BEST_FPERIOD_OVERRIDE=FY","FILING_STATUS=MR","EQY_CONSOLIDATED=Y","SCALING_FORMAT=MLN","Sort=A","Dates=H","DateFormat=P","Fill=—","Direction=H","UseDPDF=Y")</f>
        <v>8200</v>
      </c>
      <c r="J30" s="19">
        <f>_xll.BDH("RCOM IN Equity","ARD_TOT_CASHFLOWS_FROM_FINANCING","FY 2016","FY 2016","Currency=INR","Period=FY","BEST_FPERIOD_OVERRIDE=FY","FILING_STATUS=MR","EQY_CONSOLIDATED=Y","SCALING_FORMAT=MLN","Sort=A","Dates=H","DateFormat=P","Fill=—","Direction=H","UseDPDF=Y")</f>
        <v>4360</v>
      </c>
      <c r="K30" s="19">
        <f>_xll.BDH("RCOM IN Equity","ARD_TOT_CASHFLOWS_FROM_FINANCING","FY 2017","FY 2017","Currency=INR","Period=FY","BEST_FPERIOD_OVERRIDE=FY","FILING_STATUS=MR","EQY_CONSOLIDATED=Y","SCALING_FORMAT=MLN","Sort=A","Dates=H","DateFormat=P","Fill=—","Direction=H","UseDPDF=Y")</f>
        <v>-1730</v>
      </c>
      <c r="L30" s="19">
        <f>_xll.BDH("RCOM IN Equity","ARD_TOT_CASHFLOWS_FROM_FINANCING","FY 2018","FY 2018","Currency=INR","Period=FY","BEST_FPERIOD_OVERRIDE=FY","FILING_STATUS=MR","EQY_CONSOLIDATED=Y","SCALING_FORMAT=MLN","Sort=A","Dates=H","DateFormat=P","Fill=—","Direction=H","UseDPDF=Y")</f>
        <v>-9040</v>
      </c>
    </row>
    <row r="31" spans="1:12">
      <c r="A31" s="10" t="s">
        <v>1408</v>
      </c>
      <c r="B31" s="10" t="s">
        <v>1409</v>
      </c>
      <c r="C31" s="13">
        <f>_xll.BDH("RCOM IN Equity","ARD_NET_CHANGE_IN_CASH","FY 2009","FY 2009","Currency=INR","Period=FY","BEST_FPERIOD_OVERRIDE=FY","FILING_STATUS=MR","EQY_CONSOLIDATED=Y","SCALING_FORMAT=MLN","Sort=A","Dates=H","DateFormat=P","Fill=—","Direction=H","UseDPDF=Y")</f>
        <v>7426.8</v>
      </c>
      <c r="D31" s="13">
        <f>_xll.BDH("RCOM IN Equity","ARD_NET_CHANGE_IN_CASH","FY 2010","FY 2010","Currency=INR","Period=FY","BEST_FPERIOD_OVERRIDE=FY","FILING_STATUS=MR","EQY_CONSOLIDATED=Y","SCALING_FORMAT=MLN","Sort=A","Dates=H","DateFormat=P","Fill=—","Direction=H","UseDPDF=Y")</f>
        <v>-8653</v>
      </c>
      <c r="E31" s="13">
        <f>_xll.BDH("RCOM IN Equity","ARD_NET_CHANGE_IN_CASH","FY 2011","FY 2011","Currency=INR","Period=FY","BEST_FPERIOD_OVERRIDE=FY","FILING_STATUS=MR","EQY_CONSOLIDATED=Y","SCALING_FORMAT=MLN","Sort=A","Dates=H","DateFormat=P","Fill=—","Direction=H","UseDPDF=Y")</f>
        <v>40470</v>
      </c>
      <c r="F31" s="13">
        <f>_xll.BDH("RCOM IN Equity","ARD_NET_CHANGE_IN_CASH","FY 2012","FY 2012","Currency=INR","Period=FY","BEST_FPERIOD_OVERRIDE=FY","FILING_STATUS=MR","EQY_CONSOLIDATED=Y","SCALING_FORMAT=MLN","Sort=A","Dates=H","DateFormat=P","Fill=—","Direction=H","UseDPDF=Y")</f>
        <v>-43170</v>
      </c>
      <c r="G31" s="13">
        <f>_xll.BDH("RCOM IN Equity","ARD_NET_CHANGE_IN_CASH","FY 2013","FY 2013","Currency=INR","Period=FY","BEST_FPERIOD_OVERRIDE=FY","FILING_STATUS=MR","EQY_CONSOLIDATED=Y","SCALING_FORMAT=MLN","Sort=A","Dates=H","DateFormat=P","Fill=—","Direction=H","UseDPDF=Y")</f>
        <v>1800</v>
      </c>
      <c r="H31" s="13">
        <f>_xll.BDH("RCOM IN Equity","ARD_NET_CHANGE_IN_CASH","FY 2014","FY 2014","Currency=INR","Period=FY","BEST_FPERIOD_OVERRIDE=FY","FILING_STATUS=MR","EQY_CONSOLIDATED=Y","SCALING_FORMAT=MLN","Sort=A","Dates=H","DateFormat=P","Fill=—","Direction=H","UseDPDF=Y")</f>
        <v>-2280</v>
      </c>
      <c r="I31" s="13">
        <f>_xll.BDH("RCOM IN Equity","ARD_NET_CHANGE_IN_CASH","FY 2015","FY 2015","Currency=INR","Period=FY","BEST_FPERIOD_OVERRIDE=FY","FILING_STATUS=MR","EQY_CONSOLIDATED=Y","SCALING_FORMAT=MLN","Sort=A","Dates=H","DateFormat=P","Fill=—","Direction=H","UseDPDF=Y")</f>
        <v>8520</v>
      </c>
      <c r="J31" s="13">
        <f>_xll.BDH("RCOM IN Equity","ARD_NET_CHANGE_IN_CASH","FY 2016","FY 2016","Currency=INR","Period=FY","BEST_FPERIOD_OVERRIDE=FY","FILING_STATUS=MR","EQY_CONSOLIDATED=Y","SCALING_FORMAT=MLN","Sort=A","Dates=H","DateFormat=P","Fill=—","Direction=H","UseDPDF=Y")</f>
        <v>-4080</v>
      </c>
      <c r="K31" s="13">
        <f>_xll.BDH("RCOM IN Equity","ARD_NET_CHANGE_IN_CASH","FY 2017","FY 2017","Currency=INR","Period=FY","BEST_FPERIOD_OVERRIDE=FY","FILING_STATUS=MR","EQY_CONSOLIDATED=Y","SCALING_FORMAT=MLN","Sort=A","Dates=H","DateFormat=P","Fill=—","Direction=H","UseDPDF=Y")</f>
        <v>2510</v>
      </c>
      <c r="L31" s="13">
        <f>_xll.BDH("RCOM IN Equity","ARD_NET_CHANGE_IN_CASH","FY 2018","FY 2018","Currency=INR","Period=FY","BEST_FPERIOD_OVERRIDE=FY","FILING_STATUS=MR","EQY_CONSOLIDATED=Y","SCALING_FORMAT=MLN","Sort=A","Dates=H","DateFormat=P","Fill=—","Direction=H","UseDPDF=Y")</f>
        <v>-2080</v>
      </c>
    </row>
    <row r="32" spans="1:12">
      <c r="A32" s="7" t="s">
        <v>57</v>
      </c>
      <c r="B32" s="7"/>
      <c r="C32" s="7" t="s">
        <v>3</v>
      </c>
      <c r="D32" s="7"/>
      <c r="E32" s="7"/>
      <c r="F32" s="7"/>
      <c r="G32" s="7"/>
      <c r="H32" s="7"/>
      <c r="I32" s="7"/>
      <c r="J32" s="7"/>
      <c r="K32" s="7"/>
      <c r="L3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6"/>
  <sheetViews>
    <sheetView topLeftCell="A40"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92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>
      <c r="A7" s="10" t="s">
        <v>93</v>
      </c>
      <c r="B7" s="10" t="s">
        <v>94</v>
      </c>
      <c r="C7" s="13">
        <f>_xll.BDH("RCOM IN Equity","BEST_SALES","FY 2009","FY 2009","Currency=INR","Period=FY","BEST_FPERIOD_OVERRIDE=FY","FILING_STATUS=MR","EQY_CONSOLIDATED=Y","Sort=A","Dates=H","DateFormat=P","Fill=—","Direction=H","UseDPDF=Y")</f>
        <v>228268</v>
      </c>
      <c r="D7" s="13">
        <f>_xll.BDH("RCOM IN Equity","BEST_SALES","FY 2010","FY 2010","Currency=INR","Period=FY","BEST_FPERIOD_OVERRIDE=FY","FILING_STATUS=MR","EQY_CONSOLIDATED=Y","Sort=A","Dates=H","DateFormat=P","Fill=—","Direction=H","UseDPDF=Y")</f>
        <v>230027.90299999999</v>
      </c>
      <c r="E7" s="13">
        <f>_xll.BDH("RCOM IN Equity","BEST_SALES","FY 2011","FY 2011","Currency=INR","Period=FY","BEST_FPERIOD_OVERRIDE=FY","FILING_STATUS=MR","EQY_CONSOLIDATED=Y","Sort=A","Dates=H","DateFormat=P","Fill=—","Direction=H","UseDPDF=Y")</f>
        <v>206553.31400000001</v>
      </c>
      <c r="F7" s="13">
        <f>_xll.BDH("RCOM IN Equity","BEST_SALES","FY 2012","FY 2012","Currency=INR","Period=FY","BEST_FPERIOD_OVERRIDE=FY","FILING_STATUS=MR","EQY_CONSOLIDATED=Y","Sort=A","Dates=H","DateFormat=P","Fill=—","Direction=H","UseDPDF=Y")</f>
        <v>201820.09700000001</v>
      </c>
      <c r="G7" s="13">
        <f>_xll.BDH("RCOM IN Equity","BEST_SALES","FY 2013","FY 2013","Currency=INR","Period=FY","BEST_FPERIOD_OVERRIDE=FY","FILING_STATUS=MR","EQY_CONSOLIDATED=Y","Sort=A","Dates=H","DateFormat=P","Fill=—","Direction=H","UseDPDF=Y")</f>
        <v>211496.71400000001</v>
      </c>
      <c r="H7" s="13">
        <f>_xll.BDH("RCOM IN Equity","BEST_SALES","FY 2014","FY 2014","Currency=INR","Period=FY","BEST_FPERIOD_OVERRIDE=FY","FILING_STATUS=MR","EQY_CONSOLIDATED=Y","Sort=A","Dates=H","DateFormat=P","Fill=—","Direction=H","UseDPDF=Y")</f>
        <v>222496.79199999999</v>
      </c>
      <c r="I7" s="13">
        <f>_xll.BDH("RCOM IN Equity","BEST_SALES","FY 2015","FY 2015","Currency=INR","Period=FY","BEST_FPERIOD_OVERRIDE=FY","FILING_STATUS=MR","EQY_CONSOLIDATED=Y","Sort=A","Dates=H","DateFormat=P","Fill=—","Direction=H","UseDPDF=Y")</f>
        <v>220799.1</v>
      </c>
      <c r="J7" s="13">
        <f>_xll.BDH("RCOM IN Equity","BEST_SALES","FY 2016","FY 2016","Currency=INR","Period=FY","BEST_FPERIOD_OVERRIDE=FY","FILING_STATUS=MR","EQY_CONSOLIDATED=Y","Sort=A","Dates=H","DateFormat=P","Fill=—","Direction=H","UseDPDF=Y")</f>
        <v>217552.21100000001</v>
      </c>
      <c r="K7" s="13">
        <f>_xll.BDH("RCOM IN Equity","BEST_SALES","FY 2017","FY 2017","Currency=INR","Period=FY","BEST_FPERIOD_OVERRIDE=FY","FILING_STATUS=MR","EQY_CONSOLIDATED=Y","Sort=A","Dates=H","DateFormat=P","Fill=—","Direction=H","UseDPDF=Y")</f>
        <v>205372.6</v>
      </c>
      <c r="L7" s="13">
        <f>_xll.BDH("RCOM IN Equity","BEST_SALES","FY 2018","FY 2018","Currency=INR","Period=FY","BEST_FPERIOD_OVERRIDE=FY","FILING_STATUS=MR","EQY_CONSOLIDATED=Y","Sort=A","Dates=H","DateFormat=P","Fill=—","Direction=H","UseDPDF=Y")</f>
        <v>184291</v>
      </c>
    </row>
    <row r="8" spans="1:12">
      <c r="A8" s="10" t="s">
        <v>95</v>
      </c>
      <c r="B8" s="10" t="s">
        <v>96</v>
      </c>
      <c r="C8" s="13">
        <f>_xll.BDH("RCOM IN Equity","IS_COMP_SALES","FY 2009","FY 2009","Currency=INR","Period=FY","BEST_FPERIOD_OVERRIDE=FY","FILING_STATUS=MR","EQY_CONSOLIDATED=Y","SCALING_FORMAT=MLN","Sort=A","Dates=H","DateFormat=P","Fill=—","Direction=H","UseDPDF=Y")</f>
        <v>207263.79689999999</v>
      </c>
      <c r="D8" s="13">
        <f>_xll.BDH("RCOM IN Equity","IS_COMP_SALES","FY 2010","FY 2010","Currency=INR","Period=FY","BEST_FPERIOD_OVERRIDE=FY","FILING_STATUS=MR","EQY_CONSOLIDATED=Y","SCALING_FORMAT=MLN","Sort=A","Dates=H","DateFormat=P","Fill=—","Direction=H","UseDPDF=Y")</f>
        <v>206850.5</v>
      </c>
      <c r="E8" s="13">
        <f>_xll.BDH("RCOM IN Equity","IS_COMP_SALES","FY 2011","FY 2011","Currency=INR","Period=FY","BEST_FPERIOD_OVERRIDE=FY","FILING_STATUS=MR","EQY_CONSOLIDATED=Y","SCALING_FORMAT=MLN","Sort=A","Dates=H","DateFormat=P","Fill=—","Direction=H","UseDPDF=Y")</f>
        <v>220893.9063</v>
      </c>
      <c r="F8" s="13">
        <f>_xll.BDH("RCOM IN Equity","IS_COMP_SALES","FY 2012","FY 2012","Currency=INR","Period=FY","BEST_FPERIOD_OVERRIDE=FY","FILING_STATUS=MR","EQY_CONSOLIDATED=Y","SCALING_FORMAT=MLN","Sort=A","Dates=H","DateFormat=P","Fill=—","Direction=H","UseDPDF=Y")</f>
        <v>187160</v>
      </c>
      <c r="G8" s="13">
        <f>_xll.BDH("RCOM IN Equity","IS_COMP_SALES","FY 2013","FY 2013","Currency=INR","Period=FY","BEST_FPERIOD_OVERRIDE=FY","FILING_STATUS=MR","EQY_CONSOLIDATED=Y","SCALING_FORMAT=MLN","Sort=A","Dates=H","DateFormat=P","Fill=—","Direction=H","UseDPDF=Y")</f>
        <v>192940</v>
      </c>
      <c r="H8" s="13">
        <f>_xll.BDH("RCOM IN Equity","IS_COMP_SALES","FY 2014","FY 2014","Currency=INR","Period=FY","BEST_FPERIOD_OVERRIDE=FY","FILING_STATUS=MR","EQY_CONSOLIDATED=Y","SCALING_FORMAT=MLN","Sort=A","Dates=H","DateFormat=P","Fill=—","Direction=H","UseDPDF=Y")</f>
        <v>209400</v>
      </c>
      <c r="I8" s="13">
        <f>_xll.BDH("RCOM IN Equity","IS_COMP_SALES","FY 2015","FY 2015","Currency=INR","Period=FY","BEST_FPERIOD_OVERRIDE=FY","FILING_STATUS=MR","EQY_CONSOLIDATED=Y","SCALING_FORMAT=MLN","Sort=A","Dates=H","DateFormat=P","Fill=—","Direction=H","UseDPDF=Y")</f>
        <v>214230</v>
      </c>
      <c r="J8" s="13">
        <f>_xll.BDH("RCOM IN Equity","IS_COMP_SALES","FY 2016","FY 2016","Currency=INR","Period=FY","BEST_FPERIOD_OVERRIDE=FY","FILING_STATUS=MR","EQY_CONSOLIDATED=Y","SCALING_FORMAT=MLN","Sort=A","Dates=H","DateFormat=P","Fill=—","Direction=H","UseDPDF=Y")</f>
        <v>215000</v>
      </c>
      <c r="K8" s="13">
        <f>_xll.BDH("RCOM IN Equity","IS_COMP_SALES","FY 2017","FY 2017","Currency=INR","Period=FY","BEST_FPERIOD_OVERRIDE=FY","FILING_STATUS=MR","EQY_CONSOLIDATED=Y","SCALING_FORMAT=MLN","Sort=A","Dates=H","DateFormat=P","Fill=—","Direction=H","UseDPDF=Y")</f>
        <v>194930</v>
      </c>
      <c r="L8" s="13" t="str">
        <f>_xll.BDH("RCOM IN Equity","IS_COMP_SALES","FY 2018","FY 2018","Currency=INR","Period=FY","BEST_FPERIOD_OVERRIDE=FY","FILING_STATUS=MR","EQY_CONSOLIDATED=Y","SCALING_FORMAT=MLN","Sort=A","Dates=H","DateFormat=P","Fill=—","Direction=H","UseDPDF=Y")</f>
        <v>—</v>
      </c>
    </row>
    <row r="9" spans="1:12">
      <c r="A9" s="11" t="s">
        <v>97</v>
      </c>
      <c r="B9" s="11"/>
      <c r="C9" s="25">
        <v>-9.2015539300296094</v>
      </c>
      <c r="D9" s="25">
        <v>-10.0759093560923</v>
      </c>
      <c r="E9" s="25">
        <v>6.9428042437508299</v>
      </c>
      <c r="F9" s="25">
        <v>-7.2639430948247004</v>
      </c>
      <c r="G9" s="25">
        <v>-8.7739963657307705</v>
      </c>
      <c r="H9" s="25">
        <v>-5.8862835199888996</v>
      </c>
      <c r="I9" s="25">
        <v>-2.9751479965271601</v>
      </c>
      <c r="J9" s="25">
        <v>-1.1731487298007801</v>
      </c>
      <c r="K9" s="25">
        <v>-5.0847094500434897</v>
      </c>
      <c r="L9" s="25" t="s">
        <v>44</v>
      </c>
    </row>
    <row r="10" spans="1:12">
      <c r="A10" s="10" t="s">
        <v>98</v>
      </c>
      <c r="B10" s="10" t="s">
        <v>38</v>
      </c>
      <c r="C10" s="13">
        <f>_xll.BDH("RCOM IN Equity","SALES_REV_TURN","FY 2009","FY 2009","Currency=INR","Period=FY","BEST_FPERIOD_OVERRIDE=FY","FILING_STATUS=MR","EQY_CONSOLIDATED=Y","SCALING_FORMAT=MLN","FA_ADJUSTED=GAAP","Sort=A","Dates=H","DateFormat=P","Fill=—","Direction=H","UseDPDF=Y")</f>
        <v>207429.1</v>
      </c>
      <c r="D10" s="13">
        <f>_xll.BDH("RCOM IN Equity","SALES_REV_TURN","FY 2010","FY 2010","Currency=INR","Period=FY","BEST_FPERIOD_OVERRIDE=FY","FILING_STATUS=MR","EQY_CONSOLIDATED=Y","SCALING_FORMAT=MLN","FA_ADJUSTED=GAAP","Sort=A","Dates=H","DateFormat=P","Fill=—","Direction=H","UseDPDF=Y")</f>
        <v>206850.5</v>
      </c>
      <c r="E10" s="13">
        <f>_xll.BDH("RCOM IN Equity","SALES_REV_TURN","FY 2011","FY 2011","Currency=INR","Period=FY","BEST_FPERIOD_OVERRIDE=FY","FILING_STATUS=MR","EQY_CONSOLIDATED=Y","SCALING_FORMAT=MLN","FA_ADJUSTED=GAAP","Sort=A","Dates=H","DateFormat=P","Fill=—","Direction=H","UseDPDF=Y")</f>
        <v>220890</v>
      </c>
      <c r="F10" s="13">
        <f>_xll.BDH("RCOM IN Equity","SALES_REV_TURN","FY 2012","FY 2012","Currency=INR","Period=FY","BEST_FPERIOD_OVERRIDE=FY","FILING_STATUS=MR","EQY_CONSOLIDATED=Y","SCALING_FORMAT=MLN","FA_ADJUSTED=GAAP","Sort=A","Dates=H","DateFormat=P","Fill=—","Direction=H","UseDPDF=Y")</f>
        <v>187160</v>
      </c>
      <c r="G10" s="13">
        <f>_xll.BDH("RCOM IN Equity","SALES_REV_TURN","FY 2013","FY 2013","Currency=INR","Period=FY","BEST_FPERIOD_OVERRIDE=FY","FILING_STATUS=MR","EQY_CONSOLIDATED=Y","SCALING_FORMAT=MLN","FA_ADJUSTED=GAAP","Sort=A","Dates=H","DateFormat=P","Fill=—","Direction=H","UseDPDF=Y")</f>
        <v>192940</v>
      </c>
      <c r="H10" s="13">
        <f>_xll.BDH("RCOM IN Equity","SALES_REV_TURN","FY 2014","FY 2014","Currency=INR","Period=FY","BEST_FPERIOD_OVERRIDE=FY","FILING_STATUS=MR","EQY_CONSOLIDATED=Y","SCALING_FORMAT=MLN","FA_ADJUSTED=GAAP","Sort=A","Dates=H","DateFormat=P","Fill=—","Direction=H","UseDPDF=Y")</f>
        <v>209400</v>
      </c>
      <c r="I10" s="13">
        <f>_xll.BDH("RCOM IN Equity","SALES_REV_TURN","FY 2015","FY 2015","Currency=INR","Period=FY","BEST_FPERIOD_OVERRIDE=FY","FILING_STATUS=MR","EQY_CONSOLIDATED=Y","SCALING_FORMAT=MLN","FA_ADJUSTED=GAAP","Sort=A","Dates=H","DateFormat=P","Fill=—","Direction=H","UseDPDF=Y")</f>
        <v>214230</v>
      </c>
      <c r="J10" s="13">
        <f>_xll.BDH("RCOM IN Equity","SALES_REV_TURN","FY 2016","FY 2016","Currency=INR","Period=FY","BEST_FPERIOD_OVERRIDE=FY","FILING_STATUS=MR","EQY_CONSOLIDATED=Y","SCALING_FORMAT=MLN","FA_ADJUSTED=GAAP","Sort=A","Dates=H","DateFormat=P","Fill=—","Direction=H","UseDPDF=Y")</f>
        <v>217430</v>
      </c>
      <c r="K10" s="13">
        <f>_xll.BDH("RCOM IN Equity","SALES_REV_TURN","FY 2017","FY 2017","Currency=INR","Period=FY","BEST_FPERIOD_OVERRIDE=FY","FILING_STATUS=MR","EQY_CONSOLIDATED=Y","SCALING_FORMAT=MLN","FA_ADJUSTED=GAAP","Sort=A","Dates=H","DateFormat=P","Fill=—","Direction=H","UseDPDF=Y")</f>
        <v>65540</v>
      </c>
      <c r="L10" s="13">
        <f>_xll.BDH("RCOM IN Equity","SALES_REV_TURN","FY 2018","FY 2018","Currency=INR","Period=FY","BEST_FPERIOD_OVERRIDE=FY","FILING_STATUS=MR","EQY_CONSOLIDATED=Y","SCALING_FORMAT=MLN","FA_ADJUSTED=GAAP","Sort=A","Dates=H","DateFormat=P","Fill=—","Direction=H","UseDPDF=Y")</f>
        <v>45930</v>
      </c>
    </row>
    <row r="11" spans="1:12">
      <c r="A11" s="10" t="s">
        <v>99</v>
      </c>
      <c r="B11" s="10" t="s">
        <v>38</v>
      </c>
      <c r="C11" s="13">
        <f>_xll.BDH("RCOM IN Equity","SALES_REV_TURN","FY 2009","FY 2009","Currency=INR","Period=FY","BEST_FPERIOD_OVERRIDE=FY","FILING_STATUS=MR","EQY_CONSOLIDATED=Y","SCALING_FORMAT=MLN","FA_ADJUSTED=Adjusted","Sort=A","Dates=H","DateFormat=P","Fill=—","Direction=H","UseDPDF=Y")</f>
        <v>207429.1</v>
      </c>
      <c r="D11" s="13">
        <f>_xll.BDH("RCOM IN Equity","SALES_REV_TURN","FY 2010","FY 2010","Currency=INR","Period=FY","BEST_FPERIOD_OVERRIDE=FY","FILING_STATUS=MR","EQY_CONSOLIDATED=Y","SCALING_FORMAT=MLN","FA_ADJUSTED=Adjusted","Sort=A","Dates=H","DateFormat=P","Fill=—","Direction=H","UseDPDF=Y")</f>
        <v>206850.5</v>
      </c>
      <c r="E11" s="13">
        <f>_xll.BDH("RCOM IN Equity","SALES_REV_TURN","FY 2011","FY 2011","Currency=INR","Period=FY","BEST_FPERIOD_OVERRIDE=FY","FILING_STATUS=MR","EQY_CONSOLIDATED=Y","SCALING_FORMAT=MLN","FA_ADJUSTED=Adjusted","Sort=A","Dates=H","DateFormat=P","Fill=—","Direction=H","UseDPDF=Y")</f>
        <v>220890</v>
      </c>
      <c r="F11" s="13">
        <f>_xll.BDH("RCOM IN Equity","SALES_REV_TURN","FY 2012","FY 2012","Currency=INR","Period=FY","BEST_FPERIOD_OVERRIDE=FY","FILING_STATUS=MR","EQY_CONSOLIDATED=Y","SCALING_FORMAT=MLN","FA_ADJUSTED=Adjusted","Sort=A","Dates=H","DateFormat=P","Fill=—","Direction=H","UseDPDF=Y")</f>
        <v>187160</v>
      </c>
      <c r="G11" s="13">
        <f>_xll.BDH("RCOM IN Equity","SALES_REV_TURN","FY 2013","FY 2013","Currency=INR","Period=FY","BEST_FPERIOD_OVERRIDE=FY","FILING_STATUS=MR","EQY_CONSOLIDATED=Y","SCALING_FORMAT=MLN","FA_ADJUSTED=Adjusted","Sort=A","Dates=H","DateFormat=P","Fill=—","Direction=H","UseDPDF=Y")</f>
        <v>192940</v>
      </c>
      <c r="H11" s="13">
        <f>_xll.BDH("RCOM IN Equity","SALES_REV_TURN","FY 2014","FY 2014","Currency=INR","Period=FY","BEST_FPERIOD_OVERRIDE=FY","FILING_STATUS=MR","EQY_CONSOLIDATED=Y","SCALING_FORMAT=MLN","FA_ADJUSTED=Adjusted","Sort=A","Dates=H","DateFormat=P","Fill=—","Direction=H","UseDPDF=Y")</f>
        <v>209400</v>
      </c>
      <c r="I11" s="13">
        <f>_xll.BDH("RCOM IN Equity","SALES_REV_TURN","FY 2015","FY 2015","Currency=INR","Period=FY","BEST_FPERIOD_OVERRIDE=FY","FILING_STATUS=MR","EQY_CONSOLIDATED=Y","SCALING_FORMAT=MLN","FA_ADJUSTED=Adjusted","Sort=A","Dates=H","DateFormat=P","Fill=—","Direction=H","UseDPDF=Y")</f>
        <v>214230</v>
      </c>
      <c r="J11" s="13">
        <f>_xll.BDH("RCOM IN Equity","SALES_REV_TURN","FY 2016","FY 2016","Currency=INR","Period=FY","BEST_FPERIOD_OVERRIDE=FY","FILING_STATUS=MR","EQY_CONSOLIDATED=Y","SCALING_FORMAT=MLN","FA_ADJUSTED=Adjusted","Sort=A","Dates=H","DateFormat=P","Fill=—","Direction=H","UseDPDF=Y")</f>
        <v>217430</v>
      </c>
      <c r="K11" s="13">
        <f>_xll.BDH("RCOM IN Equity","SALES_REV_TURN","FY 2017","FY 2017","Currency=INR","Period=FY","BEST_FPERIOD_OVERRIDE=FY","FILING_STATUS=MR","EQY_CONSOLIDATED=Y","SCALING_FORMAT=MLN","FA_ADJUSTED=Adjusted","Sort=A","Dates=H","DateFormat=P","Fill=—","Direction=H","UseDPDF=Y")</f>
        <v>65540</v>
      </c>
      <c r="L11" s="13">
        <f>_xll.BDH("RCOM IN Equity","SALES_REV_TURN","FY 2018","FY 2018","Currency=INR","Period=FY","BEST_FPERIOD_OVERRIDE=FY","FILING_STATUS=MR","EQY_CONSOLIDATED=Y","SCALING_FORMAT=MLN","FA_ADJUSTED=Adjusted","Sort=A","Dates=H","DateFormat=P","Fill=—","Direction=H","UseDPDF=Y")</f>
        <v>45930</v>
      </c>
    </row>
    <row r="12" spans="1:12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>
      <c r="A13" s="6" t="s">
        <v>100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10" t="s">
        <v>95</v>
      </c>
      <c r="B14" s="10" t="s">
        <v>101</v>
      </c>
      <c r="C14" s="14">
        <f>_xll.BDH("RCOM IN Equity","IS_COMP_EPS_ADJUSTED","FY 2009","FY 2009","Currency=INR","Period=FY","BEST_FPERIOD_OVERRIDE=FY","FILING_STATUS=MR","EQY_CONSOLIDATED=Y","Sort=A","Dates=H","DateFormat=P","Fill=—","Direction=H","UseDPDF=Y")</f>
        <v>28.62</v>
      </c>
      <c r="D14" s="14">
        <f>_xll.BDH("RCOM IN Equity","IS_COMP_EPS_ADJUSTED","FY 2010","FY 2010","Currency=INR","Period=FY","BEST_FPERIOD_OVERRIDE=FY","FILING_STATUS=MR","EQY_CONSOLIDATED=Y","Sort=A","Dates=H","DateFormat=P","Fill=—","Direction=H","UseDPDF=Y")</f>
        <v>22.55</v>
      </c>
      <c r="E14" s="14">
        <f>_xll.BDH("RCOM IN Equity","IS_COMP_EPS_ADJUSTED","FY 2011","FY 2011","Currency=INR","Period=FY","BEST_FPERIOD_OVERRIDE=FY","FILING_STATUS=MR","EQY_CONSOLIDATED=Y","Sort=A","Dates=H","DateFormat=P","Fill=—","Direction=H","UseDPDF=Y")</f>
        <v>6.52</v>
      </c>
      <c r="F14" s="14">
        <f>_xll.BDH("RCOM IN Equity","IS_COMP_EPS_ADJUSTED","FY 2012","FY 2012","Currency=INR","Period=FY","BEST_FPERIOD_OVERRIDE=FY","FILING_STATUS=MR","EQY_CONSOLIDATED=Y","Sort=A","Dates=H","DateFormat=P","Fill=—","Direction=H","UseDPDF=Y")</f>
        <v>4.5</v>
      </c>
      <c r="G14" s="14">
        <f>_xll.BDH("RCOM IN Equity","IS_COMP_EPS_ADJUSTED","FY 2013","FY 2013","Currency=INR","Period=FY","BEST_FPERIOD_OVERRIDE=FY","FILING_STATUS=MR","EQY_CONSOLIDATED=Y","Sort=A","Dates=H","DateFormat=P","Fill=—","Direction=H","UseDPDF=Y")</f>
        <v>3.25</v>
      </c>
      <c r="H14" s="14">
        <f>_xll.BDH("RCOM IN Equity","IS_COMP_EPS_ADJUSTED","FY 2014","FY 2014","Currency=INR","Period=FY","BEST_FPERIOD_OVERRIDE=FY","FILING_STATUS=MR","EQY_CONSOLIDATED=Y","Sort=A","Dates=H","DateFormat=P","Fill=—","Direction=H","UseDPDF=Y")</f>
        <v>5.07</v>
      </c>
      <c r="I14" s="14">
        <f>_xll.BDH("RCOM IN Equity","IS_COMP_EPS_ADJUSTED","FY 2015","FY 2015","Currency=INR","Period=FY","BEST_FPERIOD_OVERRIDE=FY","FILING_STATUS=MR","EQY_CONSOLIDATED=Y","Sort=A","Dates=H","DateFormat=P","Fill=—","Direction=H","UseDPDF=Y")</f>
        <v>3.05</v>
      </c>
      <c r="J14" s="14">
        <f>_xll.BDH("RCOM IN Equity","IS_COMP_EPS_ADJUSTED","FY 2016","FY 2016","Currency=INR","Period=FY","BEST_FPERIOD_OVERRIDE=FY","FILING_STATUS=MR","EQY_CONSOLIDATED=Y","Sort=A","Dates=H","DateFormat=P","Fill=—","Direction=H","UseDPDF=Y")</f>
        <v>2.7370000000000001</v>
      </c>
      <c r="K14" s="14">
        <f>_xll.BDH("RCOM IN Equity","IS_COMP_EPS_ADJUSTED","FY 2017","FY 2017","Currency=INR","Period=FY","BEST_FPERIOD_OVERRIDE=FY","FILING_STATUS=MR","EQY_CONSOLIDATED=Y","Sort=A","Dates=H","DateFormat=P","Fill=—","Direction=H","UseDPDF=Y")</f>
        <v>-3.91</v>
      </c>
      <c r="L14" s="14" t="str">
        <f>_xll.BDH("RCOM IN Equity","IS_COMP_EPS_ADJUSTED","FY 2018","FY 2018","Currency=INR","Period=FY","BEST_FPERIOD_OVERRIDE=FY","FILING_STATUS=MR","EQY_CONSOLIDATED=Y","Sort=A","Dates=H","DateFormat=P","Fill=—","Direction=H","UseDPDF=Y")</f>
        <v>—</v>
      </c>
    </row>
    <row r="15" spans="1:12">
      <c r="A15" s="10" t="s">
        <v>98</v>
      </c>
      <c r="B15" s="10" t="s">
        <v>69</v>
      </c>
      <c r="C15" s="14">
        <f>_xll.BDH("RCOM IN Equity","IS_DILUTED_EPS","FY 2009","FY 2009","Currency=INR","Period=FY","BEST_FPERIOD_OVERRIDE=FY","FILING_STATUS=MR","EQY_CONSOLIDATED=Y","FA_ADJUSTED=GAAP","Sort=A","Dates=H","DateFormat=P","Fill=—","Direction=H","UseDPDF=Y")</f>
        <v>28.0488</v>
      </c>
      <c r="D15" s="14">
        <f>_xll.BDH("RCOM IN Equity","IS_DILUTED_EPS","FY 2010","FY 2010","Currency=INR","Period=FY","BEST_FPERIOD_OVERRIDE=FY","FILING_STATUS=MR","EQY_CONSOLIDATED=Y","FA_ADJUSTED=GAAP","Sort=A","Dates=H","DateFormat=P","Fill=—","Direction=H","UseDPDF=Y")</f>
        <v>21.619299999999999</v>
      </c>
      <c r="E15" s="14">
        <f>_xll.BDH("RCOM IN Equity","IS_DILUTED_EPS","FY 2011","FY 2011","Currency=INR","Period=FY","BEST_FPERIOD_OVERRIDE=FY","FILING_STATUS=MR","EQY_CONSOLIDATED=Y","FA_ADJUSTED=GAAP","Sort=A","Dates=H","DateFormat=P","Fill=—","Direction=H","UseDPDF=Y")</f>
        <v>6.2465999999999999</v>
      </c>
      <c r="F15" s="14">
        <f>_xll.BDH("RCOM IN Equity","IS_DILUTED_EPS","FY 2012","FY 2012","Currency=INR","Period=FY","BEST_FPERIOD_OVERRIDE=FY","FILING_STATUS=MR","EQY_CONSOLIDATED=Y","FA_ADJUSTED=GAAP","Sort=A","Dates=H","DateFormat=P","Fill=—","Direction=H","UseDPDF=Y")</f>
        <v>4.41</v>
      </c>
      <c r="G15" s="14">
        <f>_xll.BDH("RCOM IN Equity","IS_DILUTED_EPS","FY 2013","FY 2013","Currency=INR","Period=FY","BEST_FPERIOD_OVERRIDE=FY","FILING_STATUS=MR","EQY_CONSOLIDATED=Y","FA_ADJUSTED=GAAP","Sort=A","Dates=H","DateFormat=P","Fill=—","Direction=H","UseDPDF=Y")</f>
        <v>3.26</v>
      </c>
      <c r="H15" s="14">
        <f>_xll.BDH("RCOM IN Equity","IS_DILUTED_EPS","FY 2014","FY 2014","Currency=INR","Period=FY","BEST_FPERIOD_OVERRIDE=FY","FILING_STATUS=MR","EQY_CONSOLIDATED=Y","FA_ADJUSTED=GAAP","Sort=A","Dates=H","DateFormat=P","Fill=—","Direction=H","UseDPDF=Y")</f>
        <v>5.07</v>
      </c>
      <c r="I15" s="14">
        <f>_xll.BDH("RCOM IN Equity","IS_DILUTED_EPS","FY 2015","FY 2015","Currency=INR","Period=FY","BEST_FPERIOD_OVERRIDE=FY","FILING_STATUS=MR","EQY_CONSOLIDATED=Y","FA_ADJUSTED=GAAP","Sort=A","Dates=H","DateFormat=P","Fill=—","Direction=H","UseDPDF=Y")</f>
        <v>3.05</v>
      </c>
      <c r="J15" s="14">
        <f>_xll.BDH("RCOM IN Equity","IS_DILUTED_EPS","FY 2016","FY 2016","Currency=INR","Period=FY","BEST_FPERIOD_OVERRIDE=FY","FILING_STATUS=MR","EQY_CONSOLIDATED=Y","FA_ADJUSTED=GAAP","Sort=A","Dates=H","DateFormat=P","Fill=—","Direction=H","UseDPDF=Y")</f>
        <v>2.59</v>
      </c>
      <c r="K15" s="14">
        <f>_xll.BDH("RCOM IN Equity","IS_DILUTED_EPS","FY 2017","FY 2017","Currency=INR","Period=FY","BEST_FPERIOD_OVERRIDE=FY","FILING_STATUS=MR","EQY_CONSOLIDATED=Y","FA_ADJUSTED=GAAP","Sort=A","Dates=H","DateFormat=P","Fill=—","Direction=H","UseDPDF=Y")</f>
        <v>-5.6855000000000002</v>
      </c>
      <c r="L15" s="14">
        <f>_xll.BDH("RCOM IN Equity","IS_DILUTED_EPS","FY 2018","FY 2018","Currency=INR","Period=FY","BEST_FPERIOD_OVERRIDE=FY","FILING_STATUS=MR","EQY_CONSOLIDATED=Y","FA_ADJUSTED=GAAP","Sort=A","Dates=H","DateFormat=P","Fill=—","Direction=H","UseDPDF=Y")</f>
        <v>-92.296599999999998</v>
      </c>
    </row>
    <row r="16" spans="1:12">
      <c r="A16" s="10" t="s">
        <v>99</v>
      </c>
      <c r="B16" s="10" t="s">
        <v>50</v>
      </c>
      <c r="C16" s="14">
        <f>_xll.BDH("RCOM IN Equity","IS_DIL_EPS_CONT_OPS","FY 2009","FY 2009","Currency=INR","Period=FY","BEST_FPERIOD_OVERRIDE=FY","FILING_STATUS=MR","EQY_CONSOLIDATED=Y","Sort=A","Dates=H","DateFormat=P","Fill=—","Direction=H","UseDPDF=Y")</f>
        <v>27.0443</v>
      </c>
      <c r="D16" s="14">
        <f>_xll.BDH("RCOM IN Equity","IS_DIL_EPS_CONT_OPS","FY 2010","FY 2010","Currency=INR","Period=FY","BEST_FPERIOD_OVERRIDE=FY","FILING_STATUS=MR","EQY_CONSOLIDATED=Y","Sort=A","Dates=H","DateFormat=P","Fill=—","Direction=H","UseDPDF=Y")</f>
        <v>21.916599999999999</v>
      </c>
      <c r="E16" s="14">
        <f>_xll.BDH("RCOM IN Equity","IS_DIL_EPS_CONT_OPS","FY 2011","FY 2011","Currency=INR","Period=FY","BEST_FPERIOD_OVERRIDE=FY","FILING_STATUS=MR","EQY_CONSOLIDATED=Y","Sort=A","Dates=H","DateFormat=P","Fill=—","Direction=H","UseDPDF=Y")</f>
        <v>5.0293999999999999</v>
      </c>
      <c r="F16" s="14">
        <f>_xll.BDH("RCOM IN Equity","IS_DIL_EPS_CONT_OPS","FY 2012","FY 2012","Currency=INR","Period=FY","BEST_FPERIOD_OVERRIDE=FY","FILING_STATUS=MR","EQY_CONSOLIDATED=Y","Sort=A","Dates=H","DateFormat=P","Fill=—","Direction=H","UseDPDF=Y")</f>
        <v>5.5015999999999998</v>
      </c>
      <c r="G16" s="14">
        <f>_xll.BDH("RCOM IN Equity","IS_DIL_EPS_CONT_OPS","FY 2013","FY 2013","Currency=INR","Period=FY","BEST_FPERIOD_OVERRIDE=FY","FILING_STATUS=MR","EQY_CONSOLIDATED=Y","Sort=A","Dates=H","DateFormat=P","Fill=—","Direction=H","UseDPDF=Y")</f>
        <v>3.2397999999999998</v>
      </c>
      <c r="H16" s="14">
        <f>_xll.BDH("RCOM IN Equity","IS_DIL_EPS_CONT_OPS","FY 2014","FY 2014","Currency=INR","Period=FY","BEST_FPERIOD_OVERRIDE=FY","FILING_STATUS=MR","EQY_CONSOLIDATED=Y","Sort=A","Dates=H","DateFormat=P","Fill=—","Direction=H","UseDPDF=Y")</f>
        <v>5.1078000000000001</v>
      </c>
      <c r="I16" s="14">
        <f>_xll.BDH("RCOM IN Equity","IS_DIL_EPS_CONT_OPS","FY 2015","FY 2015","Currency=INR","Period=FY","BEST_FPERIOD_OVERRIDE=FY","FILING_STATUS=MR","EQY_CONSOLIDATED=Y","Sort=A","Dates=H","DateFormat=P","Fill=—","Direction=H","UseDPDF=Y")</f>
        <v>2.9695999999999998</v>
      </c>
      <c r="J16" s="14">
        <f>_xll.BDH("RCOM IN Equity","IS_DIL_EPS_CONT_OPS","FY 2016","FY 2016","Currency=INR","Period=FY","BEST_FPERIOD_OVERRIDE=FY","FILING_STATUS=MR","EQY_CONSOLIDATED=Y","Sort=A","Dates=H","DateFormat=P","Fill=—","Direction=H","UseDPDF=Y")</f>
        <v>2.0196999999999998</v>
      </c>
      <c r="K16" s="14">
        <f>_xll.BDH("RCOM IN Equity","IS_DIL_EPS_CONT_OPS","FY 2017","FY 2017","Currency=INR","Period=FY","BEST_FPERIOD_OVERRIDE=FY","FILING_STATUS=MR","EQY_CONSOLIDATED=Y","Sort=A","Dates=H","DateFormat=P","Fill=—","Direction=H","UseDPDF=Y")</f>
        <v>0.50649999999999995</v>
      </c>
      <c r="L16" s="14">
        <f>_xll.BDH("RCOM IN Equity","IS_DIL_EPS_CONT_OPS","FY 2018","FY 2018","Currency=INR","Period=FY","BEST_FPERIOD_OVERRIDE=FY","FILING_STATUS=MR","EQY_CONSOLIDATED=Y","Sort=A","Dates=H","DateFormat=P","Fill=—","Direction=H","UseDPDF=Y")</f>
        <v>0.18970000000000001</v>
      </c>
    </row>
    <row r="17" spans="1:12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6" t="s">
        <v>102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>
      <c r="A19" s="10" t="s">
        <v>93</v>
      </c>
      <c r="B19" s="10" t="s">
        <v>103</v>
      </c>
      <c r="C19" s="13">
        <f>_xll.BDH("RCOM IN Equity","BEST_OPP","FY 2009","FY 2009","Currency=INR","Period=FY","BEST_FPERIOD_OVERRIDE=FY","FILING_STATUS=MR","EQY_CONSOLIDATED=Y","Sort=A","Dates=H","DateFormat=P","Fill=—","Direction=H","UseDPDF=Y")</f>
        <v>59751</v>
      </c>
      <c r="D19" s="13">
        <f>_xll.BDH("RCOM IN Equity","BEST_OPP","FY 2010","FY 2010","Currency=INR","Period=FY","BEST_FPERIOD_OVERRIDE=FY","FILING_STATUS=MR","EQY_CONSOLIDATED=Y","Sort=A","Dates=H","DateFormat=P","Fill=—","Direction=H","UseDPDF=Y")</f>
        <v>54921.786</v>
      </c>
      <c r="E19" s="13">
        <f>_xll.BDH("RCOM IN Equity","BEST_OPP","FY 2011","FY 2011","Currency=INR","Period=FY","BEST_FPERIOD_OVERRIDE=FY","FILING_STATUS=MR","EQY_CONSOLIDATED=Y","Sort=A","Dates=H","DateFormat=P","Fill=—","Direction=H","UseDPDF=Y")</f>
        <v>30102.7</v>
      </c>
      <c r="F19" s="13">
        <f>_xll.BDH("RCOM IN Equity","BEST_OPP","FY 2012","FY 2012","Currency=INR","Period=FY","BEST_FPERIOD_OVERRIDE=FY","FILING_STATUS=MR","EQY_CONSOLIDATED=Y","Sort=A","Dates=H","DateFormat=P","Fill=—","Direction=H","UseDPDF=Y")</f>
        <v>30925.167000000001</v>
      </c>
      <c r="G19" s="13">
        <f>_xll.BDH("RCOM IN Equity","BEST_OPP","FY 2013","FY 2013","Currency=INR","Period=FY","BEST_FPERIOD_OVERRIDE=FY","FILING_STATUS=MR","EQY_CONSOLIDATED=Y","Sort=A","Dates=H","DateFormat=P","Fill=—","Direction=H","UseDPDF=Y")</f>
        <v>36916.214</v>
      </c>
      <c r="H19" s="13">
        <f>_xll.BDH("RCOM IN Equity","BEST_OPP","FY 2014","FY 2014","Currency=INR","Period=FY","BEST_FPERIOD_OVERRIDE=FY","FILING_STATUS=MR","EQY_CONSOLIDATED=Y","Sort=A","Dates=H","DateFormat=P","Fill=—","Direction=H","UseDPDF=Y")</f>
        <v>41691.125</v>
      </c>
      <c r="I19" s="13">
        <f>_xll.BDH("RCOM IN Equity","BEST_OPP","FY 2015","FY 2015","Currency=INR","Period=FY","BEST_FPERIOD_OVERRIDE=FY","FILING_STATUS=MR","EQY_CONSOLIDATED=Y","Sort=A","Dates=H","DateFormat=P","Fill=—","Direction=H","UseDPDF=Y")</f>
        <v>41103.444000000003</v>
      </c>
      <c r="J19" s="13">
        <f>_xll.BDH("RCOM IN Equity","BEST_OPP","FY 2016","FY 2016","Currency=INR","Period=FY","BEST_FPERIOD_OVERRIDE=FY","FILING_STATUS=MR","EQY_CONSOLIDATED=Y","Sort=A","Dates=H","DateFormat=P","Fill=—","Direction=H","UseDPDF=Y")</f>
        <v>35520.286</v>
      </c>
      <c r="K19" s="13">
        <f>_xll.BDH("RCOM IN Equity","BEST_OPP","FY 2017","FY 2017","Currency=INR","Period=FY","BEST_FPERIOD_OVERRIDE=FY","FILING_STATUS=MR","EQY_CONSOLIDATED=Y","Sort=A","Dates=H","DateFormat=P","Fill=—","Direction=H","UseDPDF=Y")</f>
        <v>19222.167000000001</v>
      </c>
      <c r="L19" s="13">
        <f>_xll.BDH("RCOM IN Equity","BEST_OPP","FY 2018","FY 2018","Currency=INR","Period=FY","BEST_FPERIOD_OVERRIDE=FY","FILING_STATUS=MR","EQY_CONSOLIDATED=Y","Sort=A","Dates=H","DateFormat=P","Fill=—","Direction=H","UseDPDF=Y")</f>
        <v>5312</v>
      </c>
    </row>
    <row r="20" spans="1:12">
      <c r="A20" s="10" t="s">
        <v>95</v>
      </c>
      <c r="B20" s="10" t="s">
        <v>104</v>
      </c>
      <c r="C20" s="13">
        <f>_xll.BDH("RCOM IN Equity","IS_COMPARABLE_EBIT","FY 2009","FY 2009","Currency=INR","Period=FY","BEST_FPERIOD_OVERRIDE=FY","FILING_STATUS=MR","EQY_CONSOLIDATED=Y","SCALING_FORMAT=MLN","Sort=A","Dates=H","DateFormat=P","Fill=—","Direction=H","UseDPDF=Y")</f>
        <v>46496</v>
      </c>
      <c r="D20" s="13">
        <f>_xll.BDH("RCOM IN Equity","IS_COMPARABLE_EBIT","FY 2010","FY 2010","Currency=INR","Period=FY","BEST_FPERIOD_OVERRIDE=FY","FILING_STATUS=MR","EQY_CONSOLIDATED=Y","SCALING_FORMAT=MLN","Sort=A","Dates=H","DateFormat=P","Fill=—","Direction=H","UseDPDF=Y")</f>
        <v>34380.699999999997</v>
      </c>
      <c r="E20" s="13">
        <f>_xll.BDH("RCOM IN Equity","IS_COMPARABLE_EBIT","FY 2011","FY 2011","Currency=INR","Period=FY","BEST_FPERIOD_OVERRIDE=FY","FILING_STATUS=MR","EQY_CONSOLIDATED=Y","SCALING_FORMAT=MLN","Sort=A","Dates=H","DateFormat=P","Fill=—","Direction=H","UseDPDF=Y")</f>
        <v>19004.599999999999</v>
      </c>
      <c r="F20" s="13">
        <f>_xll.BDH("RCOM IN Equity","IS_COMPARABLE_EBIT","FY 2012","FY 2012","Currency=INR","Period=FY","BEST_FPERIOD_OVERRIDE=FY","FILING_STATUS=MR","EQY_CONSOLIDATED=Y","SCALING_FORMAT=MLN","Sort=A","Dates=H","DateFormat=P","Fill=—","Direction=H","UseDPDF=Y")</f>
        <v>18070</v>
      </c>
      <c r="G20" s="13">
        <f>_xll.BDH("RCOM IN Equity","IS_COMPARABLE_EBIT","FY 2013","FY 2013","Currency=INR","Period=FY","BEST_FPERIOD_OVERRIDE=FY","FILING_STATUS=MR","EQY_CONSOLIDATED=Y","SCALING_FORMAT=MLN","Sort=A","Dates=H","DateFormat=P","Fill=—","Direction=H","UseDPDF=Y")</f>
        <v>20970</v>
      </c>
      <c r="H20" s="13">
        <f>_xll.BDH("RCOM IN Equity","IS_COMPARABLE_EBIT","FY 2014","FY 2014","Currency=INR","Period=FY","BEST_FPERIOD_OVERRIDE=FY","FILING_STATUS=MR","EQY_CONSOLIDATED=Y","SCALING_FORMAT=MLN","Sort=A","Dates=H","DateFormat=P","Fill=—","Direction=H","UseDPDF=Y")</f>
        <v>21080</v>
      </c>
      <c r="I20" s="13">
        <f>_xll.BDH("RCOM IN Equity","IS_COMPARABLE_EBIT","FY 2015","FY 2015","Currency=INR","Period=FY","BEST_FPERIOD_OVERRIDE=FY","FILING_STATUS=MR","EQY_CONSOLIDATED=Y","SCALING_FORMAT=MLN","Sort=A","Dates=H","DateFormat=P","Fill=—","Direction=H","UseDPDF=Y")</f>
        <v>33730</v>
      </c>
      <c r="J20" s="13" t="str">
        <f>_xll.BDH("RCOM IN Equity","IS_COMPARABLE_EBIT","FY 2016","FY 2016","Currency=INR","Period=FY","BEST_FPERIOD_OVERRIDE=FY","FILING_STATUS=MR","EQY_CONSOLIDATED=Y","SCALING_FORMAT=MLN","Sort=A","Dates=H","DateFormat=P","Fill=—","Direction=H","UseDPDF=Y")</f>
        <v>—</v>
      </c>
      <c r="K20" s="13" t="str">
        <f>_xll.BDH("RCOM IN Equity","IS_COMPARABLE_EBIT","FY 2017","FY 2017","Currency=INR","Period=FY","BEST_FPERIOD_OVERRIDE=FY","FILING_STATUS=MR","EQY_CONSOLIDATED=Y","SCALING_FORMAT=MLN","Sort=A","Dates=H","DateFormat=P","Fill=—","Direction=H","UseDPDF=Y")</f>
        <v>—</v>
      </c>
      <c r="L20" s="13" t="str">
        <f>_xll.BDH("RCOM IN Equity","IS_COMPARABLE_EBIT","FY 2018","FY 2018","Currency=INR","Period=FY","BEST_FPERIOD_OVERRIDE=FY","FILING_STATUS=MR","EQY_CONSOLIDATED=Y","SCALING_FORMAT=MLN","Sort=A","Dates=H","DateFormat=P","Fill=—","Direction=H","UseDPDF=Y")</f>
        <v>—</v>
      </c>
    </row>
    <row r="21" spans="1:12">
      <c r="A21" s="11" t="s">
        <v>105</v>
      </c>
      <c r="B21" s="11"/>
      <c r="C21" s="25">
        <v>-22.183729142608499</v>
      </c>
      <c r="D21" s="25">
        <v>-37.400615486175198</v>
      </c>
      <c r="E21" s="25">
        <v>-36.867457071956999</v>
      </c>
      <c r="F21" s="25">
        <v>-41.568625967323001</v>
      </c>
      <c r="G21" s="25">
        <v>-43.195691735886001</v>
      </c>
      <c r="H21" s="25">
        <v>-49.437680081792003</v>
      </c>
      <c r="I21" s="25">
        <v>-17.938749852688701</v>
      </c>
      <c r="J21" s="25" t="s">
        <v>44</v>
      </c>
      <c r="K21" s="25" t="s">
        <v>44</v>
      </c>
      <c r="L21" s="25" t="s">
        <v>44</v>
      </c>
    </row>
    <row r="22" spans="1:12">
      <c r="A22" s="10" t="s">
        <v>98</v>
      </c>
      <c r="B22" s="10" t="s">
        <v>102</v>
      </c>
      <c r="C22" s="13">
        <f>_xll.BDH("RCOM IN Equity","EBIT","FY 2009","FY 2009","Currency=INR","Period=FY","BEST_FPERIOD_OVERRIDE=FY","FILING_STATUS=MR","EQY_CONSOLIDATED=Y","SCALING_FORMAT=MLN","FA_ADJUSTED=GAAP","Sort=A","Dates=H","DateFormat=P","Fill=—","Direction=H","UseDPDF=Y")</f>
        <v>51229.8</v>
      </c>
      <c r="D22" s="13">
        <f>_xll.BDH("RCOM IN Equity","EBIT","FY 2010","FY 2010","Currency=INR","Period=FY","BEST_FPERIOD_OVERRIDE=FY","FILING_STATUS=MR","EQY_CONSOLIDATED=Y","SCALING_FORMAT=MLN","FA_ADJUSTED=GAAP","Sort=A","Dates=H","DateFormat=P","Fill=—","Direction=H","UseDPDF=Y")</f>
        <v>32425.3</v>
      </c>
      <c r="E22" s="13">
        <f>_xll.BDH("RCOM IN Equity","EBIT","FY 2011","FY 2011","Currency=INR","Period=FY","BEST_FPERIOD_OVERRIDE=FY","FILING_STATUS=MR","EQY_CONSOLIDATED=Y","SCALING_FORMAT=MLN","FA_ADJUSTED=GAAP","Sort=A","Dates=H","DateFormat=P","Fill=—","Direction=H","UseDPDF=Y")</f>
        <v>18720</v>
      </c>
      <c r="F22" s="13">
        <f>_xll.BDH("RCOM IN Equity","EBIT","FY 2012","FY 2012","Currency=INR","Period=FY","BEST_FPERIOD_OVERRIDE=FY","FILING_STATUS=MR","EQY_CONSOLIDATED=Y","SCALING_FORMAT=MLN","FA_ADJUSTED=GAAP","Sort=A","Dates=H","DateFormat=P","Fill=—","Direction=H","UseDPDF=Y")</f>
        <v>18170</v>
      </c>
      <c r="G22" s="13">
        <f>_xll.BDH("RCOM IN Equity","EBIT","FY 2013","FY 2013","Currency=INR","Period=FY","BEST_FPERIOD_OVERRIDE=FY","FILING_STATUS=MR","EQY_CONSOLIDATED=Y","SCALING_FORMAT=MLN","FA_ADJUSTED=GAAP","Sort=A","Dates=H","DateFormat=P","Fill=—","Direction=H","UseDPDF=Y")</f>
        <v>20960</v>
      </c>
      <c r="H22" s="13">
        <f>_xll.BDH("RCOM IN Equity","EBIT","FY 2014","FY 2014","Currency=INR","Period=FY","BEST_FPERIOD_OVERRIDE=FY","FILING_STATUS=MR","EQY_CONSOLIDATED=Y","SCALING_FORMAT=MLN","FA_ADJUSTED=GAAP","Sort=A","Dates=H","DateFormat=P","Fill=—","Direction=H","UseDPDF=Y")</f>
        <v>21710</v>
      </c>
      <c r="I22" s="13">
        <f>_xll.BDH("RCOM IN Equity","EBIT","FY 2015","FY 2015","Currency=INR","Period=FY","BEST_FPERIOD_OVERRIDE=FY","FILING_STATUS=MR","EQY_CONSOLIDATED=Y","SCALING_FORMAT=MLN","FA_ADJUSTED=GAAP","Sort=A","Dates=H","DateFormat=P","Fill=—","Direction=H","UseDPDF=Y")</f>
        <v>33890</v>
      </c>
      <c r="J22" s="13">
        <f>_xll.BDH("RCOM IN Equity","EBIT","FY 2016","FY 2016","Currency=INR","Period=FY","BEST_FPERIOD_OVERRIDE=FY","FILING_STATUS=MR","EQY_CONSOLIDATED=Y","SCALING_FORMAT=MLN","FA_ADJUSTED=GAAP","Sort=A","Dates=H","DateFormat=P","Fill=—","Direction=H","UseDPDF=Y")</f>
        <v>27760</v>
      </c>
      <c r="K22" s="13">
        <f>_xll.BDH("RCOM IN Equity","EBIT","FY 2017","FY 2017","Currency=INR","Period=FY","BEST_FPERIOD_OVERRIDE=FY","FILING_STATUS=MR","EQY_CONSOLIDATED=Y","SCALING_FORMAT=MLN","FA_ADJUSTED=GAAP","Sort=A","Dates=H","DateFormat=P","Fill=—","Direction=H","UseDPDF=Y")</f>
        <v>4400</v>
      </c>
      <c r="L22" s="13">
        <f>_xll.BDH("RCOM IN Equity","EBIT","FY 2018","FY 2018","Currency=INR","Period=FY","BEST_FPERIOD_OVERRIDE=FY","FILING_STATUS=MR","EQY_CONSOLIDATED=Y","SCALING_FORMAT=MLN","FA_ADJUSTED=GAAP","Sort=A","Dates=H","DateFormat=P","Fill=—","Direction=H","UseDPDF=Y")</f>
        <v>2430</v>
      </c>
    </row>
    <row r="23" spans="1:12">
      <c r="A23" s="10" t="s">
        <v>99</v>
      </c>
      <c r="B23" s="10" t="s">
        <v>102</v>
      </c>
      <c r="C23" s="13">
        <f>_xll.BDH("RCOM IN Equity","EBIT","FY 2009","FY 2009","Currency=INR","Period=FY","BEST_FPERIOD_OVERRIDE=FY","FILING_STATUS=MR","EQY_CONSOLIDATED=Y","SCALING_FORMAT=MLN","FA_ADJUSTED=Adjusted","Sort=A","Dates=H","DateFormat=P","Fill=—","Direction=H","UseDPDF=Y")</f>
        <v>51230.400000000001</v>
      </c>
      <c r="D23" s="13">
        <f>_xll.BDH("RCOM IN Equity","EBIT","FY 2010","FY 2010","Currency=INR","Period=FY","BEST_FPERIOD_OVERRIDE=FY","FILING_STATUS=MR","EQY_CONSOLIDATED=Y","SCALING_FORMAT=MLN","FA_ADJUSTED=Adjusted","Sort=A","Dates=H","DateFormat=P","Fill=—","Direction=H","UseDPDF=Y")</f>
        <v>35489.9</v>
      </c>
      <c r="E23" s="13">
        <f>_xll.BDH("RCOM IN Equity","EBIT","FY 2011","FY 2011","Currency=INR","Period=FY","BEST_FPERIOD_OVERRIDE=FY","FILING_STATUS=MR","EQY_CONSOLIDATED=Y","SCALING_FORMAT=MLN","FA_ADJUSTED=Adjusted","Sort=A","Dates=H","DateFormat=P","Fill=—","Direction=H","UseDPDF=Y")</f>
        <v>18720.8</v>
      </c>
      <c r="F23" s="13">
        <f>_xll.BDH("RCOM IN Equity","EBIT","FY 2012","FY 2012","Currency=INR","Period=FY","BEST_FPERIOD_OVERRIDE=FY","FILING_STATUS=MR","EQY_CONSOLIDATED=Y","SCALING_FORMAT=MLN","FA_ADJUSTED=Adjusted","Sort=A","Dates=H","DateFormat=P","Fill=—","Direction=H","UseDPDF=Y")</f>
        <v>21870</v>
      </c>
      <c r="G23" s="13">
        <f>_xll.BDH("RCOM IN Equity","EBIT","FY 2013","FY 2013","Currency=INR","Period=FY","BEST_FPERIOD_OVERRIDE=FY","FILING_STATUS=MR","EQY_CONSOLIDATED=Y","SCALING_FORMAT=MLN","FA_ADJUSTED=Adjusted","Sort=A","Dates=H","DateFormat=P","Fill=—","Direction=H","UseDPDF=Y")</f>
        <v>21260</v>
      </c>
      <c r="H23" s="13">
        <f>_xll.BDH("RCOM IN Equity","EBIT","FY 2014","FY 2014","Currency=INR","Period=FY","BEST_FPERIOD_OVERRIDE=FY","FILING_STATUS=MR","EQY_CONSOLIDATED=Y","SCALING_FORMAT=MLN","FA_ADJUSTED=Adjusted","Sort=A","Dates=H","DateFormat=P","Fill=—","Direction=H","UseDPDF=Y")</f>
        <v>21910</v>
      </c>
      <c r="I23" s="13">
        <f>_xll.BDH("RCOM IN Equity","EBIT","FY 2015","FY 2015","Currency=INR","Period=FY","BEST_FPERIOD_OVERRIDE=FY","FILING_STATUS=MR","EQY_CONSOLIDATED=Y","SCALING_FORMAT=MLN","FA_ADJUSTED=Adjusted","Sort=A","Dates=H","DateFormat=P","Fill=—","Direction=H","UseDPDF=Y")</f>
        <v>33930</v>
      </c>
      <c r="J23" s="13">
        <f>_xll.BDH("RCOM IN Equity","EBIT","FY 2016","FY 2016","Currency=INR","Period=FY","BEST_FPERIOD_OVERRIDE=FY","FILING_STATUS=MR","EQY_CONSOLIDATED=Y","SCALING_FORMAT=MLN","FA_ADJUSTED=Adjusted","Sort=A","Dates=H","DateFormat=P","Fill=—","Direction=H","UseDPDF=Y")</f>
        <v>27920</v>
      </c>
      <c r="K23" s="13">
        <f>_xll.BDH("RCOM IN Equity","EBIT","FY 2017","FY 2017","Currency=INR","Period=FY","BEST_FPERIOD_OVERRIDE=FY","FILING_STATUS=MR","EQY_CONSOLIDATED=Y","SCALING_FORMAT=MLN","FA_ADJUSTED=Adjusted","Sort=A","Dates=H","DateFormat=P","Fill=—","Direction=H","UseDPDF=Y")</f>
        <v>4400</v>
      </c>
      <c r="L23" s="13">
        <f>_xll.BDH("RCOM IN Equity","EBIT","FY 2018","FY 2018","Currency=INR","Period=FY","BEST_FPERIOD_OVERRIDE=FY","FILING_STATUS=MR","EQY_CONSOLIDATED=Y","SCALING_FORMAT=MLN","FA_ADJUSTED=Adjusted","Sort=A","Dates=H","DateFormat=P","Fill=—","Direction=H","UseDPDF=Y")</f>
        <v>2430</v>
      </c>
    </row>
    <row r="24" spans="1:12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 spans="1:12">
      <c r="A25" s="6" t="s">
        <v>46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>
      <c r="A26" s="10" t="s">
        <v>93</v>
      </c>
      <c r="B26" s="10" t="s">
        <v>106</v>
      </c>
      <c r="C26" s="13">
        <f>_xll.BDH("RCOM IN Equity","BEST_EBITDA","FY 2009","FY 2009","Currency=INR","Period=FY","BEST_FPERIOD_OVERRIDE=FY","FILING_STATUS=MR","EQY_CONSOLIDATED=Y","Sort=A","Dates=H","DateFormat=P","Fill=—","Direction=H","UseDPDF=Y")</f>
        <v>92031.142999999996</v>
      </c>
      <c r="D26" s="13">
        <f>_xll.BDH("RCOM IN Equity","BEST_EBITDA","FY 2010","FY 2010","Currency=INR","Period=FY","BEST_FPERIOD_OVERRIDE=FY","FILING_STATUS=MR","EQY_CONSOLIDATED=Y","Sort=A","Dates=H","DateFormat=P","Fill=—","Direction=H","UseDPDF=Y")</f>
        <v>81538.275999999998</v>
      </c>
      <c r="E26" s="13">
        <f>_xll.BDH("RCOM IN Equity","BEST_EBITDA","FY 2011","FY 2011","Currency=INR","Period=FY","BEST_FPERIOD_OVERRIDE=FY","FILING_STATUS=MR","EQY_CONSOLIDATED=Y","Sort=A","Dates=H","DateFormat=P","Fill=—","Direction=H","UseDPDF=Y")</f>
        <v>66376.885999999999</v>
      </c>
      <c r="F26" s="13">
        <f>_xll.BDH("RCOM IN Equity","BEST_EBITDA","FY 2012","FY 2012","Currency=INR","Period=FY","BEST_FPERIOD_OVERRIDE=FY","FILING_STATUS=MR","EQY_CONSOLIDATED=Y","Sort=A","Dates=H","DateFormat=P","Fill=—","Direction=H","UseDPDF=Y")</f>
        <v>64479.7</v>
      </c>
      <c r="G26" s="13">
        <f>_xll.BDH("RCOM IN Equity","BEST_EBITDA","FY 2013","FY 2013","Currency=INR","Period=FY","BEST_FPERIOD_OVERRIDE=FY","FILING_STATUS=MR","EQY_CONSOLIDATED=Y","Sort=A","Dates=H","DateFormat=P","Fill=—","Direction=H","UseDPDF=Y")</f>
        <v>66413.422999999995</v>
      </c>
      <c r="H26" s="13">
        <f>_xll.BDH("RCOM IN Equity","BEST_EBITDA","FY 2014","FY 2014","Currency=INR","Period=FY","BEST_FPERIOD_OVERRIDE=FY","FILING_STATUS=MR","EQY_CONSOLIDATED=Y","Sort=A","Dates=H","DateFormat=P","Fill=—","Direction=H","UseDPDF=Y")</f>
        <v>76200.217000000004</v>
      </c>
      <c r="I26" s="13">
        <f>_xll.BDH("RCOM IN Equity","BEST_EBITDA","FY 2015","FY 2015","Currency=INR","Period=FY","BEST_FPERIOD_OVERRIDE=FY","FILING_STATUS=MR","EQY_CONSOLIDATED=Y","Sort=A","Dates=H","DateFormat=P","Fill=—","Direction=H","UseDPDF=Y")</f>
        <v>74249.842000000004</v>
      </c>
      <c r="J26" s="13">
        <f>_xll.BDH("RCOM IN Equity","BEST_EBITDA","FY 2016","FY 2016","Currency=INR","Period=FY","BEST_FPERIOD_OVERRIDE=FY","FILING_STATUS=MR","EQY_CONSOLIDATED=Y","Sort=A","Dates=H","DateFormat=P","Fill=—","Direction=H","UseDPDF=Y")</f>
        <v>73023.221999999994</v>
      </c>
      <c r="K26" s="13">
        <f>_xll.BDH("RCOM IN Equity","BEST_EBITDA","FY 2017","FY 2017","Currency=INR","Period=FY","BEST_FPERIOD_OVERRIDE=FY","FILING_STATUS=MR","EQY_CONSOLIDATED=Y","Sort=A","Dates=H","DateFormat=P","Fill=—","Direction=H","UseDPDF=Y")</f>
        <v>56614.8</v>
      </c>
      <c r="L26" s="13">
        <f>_xll.BDH("RCOM IN Equity","BEST_EBITDA","FY 2018","FY 2018","Currency=INR","Period=FY","BEST_FPERIOD_OVERRIDE=FY","FILING_STATUS=MR","EQY_CONSOLIDATED=Y","Sort=A","Dates=H","DateFormat=P","Fill=—","Direction=H","UseDPDF=Y")</f>
        <v>47257</v>
      </c>
    </row>
    <row r="27" spans="1:12">
      <c r="A27" s="10" t="s">
        <v>95</v>
      </c>
      <c r="B27" s="10" t="s">
        <v>107</v>
      </c>
      <c r="C27" s="13">
        <f>_xll.BDH("RCOM IN Equity","IS_COMPARABLE_EBITDA","FY 2009","FY 2009","Currency=INR","Period=FY","BEST_FPERIOD_OVERRIDE=FY","FILING_STATUS=MR","EQY_CONSOLIDATED=Y","SCALING_FORMAT=MLN","Sort=A","Dates=H","DateFormat=P","Fill=—","Direction=H","UseDPDF=Y")</f>
        <v>85809.3</v>
      </c>
      <c r="D27" s="13">
        <f>_xll.BDH("RCOM IN Equity","IS_COMPARABLE_EBITDA","FY 2010","FY 2010","Currency=INR","Period=FY","BEST_FPERIOD_OVERRIDE=FY","FILING_STATUS=MR","EQY_CONSOLIDATED=Y","SCALING_FORMAT=MLN","Sort=A","Dates=H","DateFormat=P","Fill=—","Direction=H","UseDPDF=Y")</f>
        <v>71845.899999999994</v>
      </c>
      <c r="E27" s="13">
        <f>_xll.BDH("RCOM IN Equity","IS_COMPARABLE_EBITDA","FY 2011","FY 2011","Currency=INR","Period=FY","BEST_FPERIOD_OVERRIDE=FY","FILING_STATUS=MR","EQY_CONSOLIDATED=Y","SCALING_FORMAT=MLN","Sort=A","Dates=H","DateFormat=P","Fill=—","Direction=H","UseDPDF=Y")</f>
        <v>84042.9</v>
      </c>
      <c r="F27" s="13">
        <f>_xll.BDH("RCOM IN Equity","IS_COMPARABLE_EBITDA","FY 2012","FY 2012","Currency=INR","Period=FY","BEST_FPERIOD_OVERRIDE=FY","FILING_STATUS=MR","EQY_CONSOLIDATED=Y","SCALING_FORMAT=MLN","Sort=A","Dates=H","DateFormat=P","Fill=—","Direction=H","UseDPDF=Y")</f>
        <v>57850</v>
      </c>
      <c r="G27" s="13">
        <f>_xll.BDH("RCOM IN Equity","IS_COMPARABLE_EBITDA","FY 2013","FY 2013","Currency=INR","Period=FY","BEST_FPERIOD_OVERRIDE=FY","FILING_STATUS=MR","EQY_CONSOLIDATED=Y","SCALING_FORMAT=MLN","Sort=A","Dates=H","DateFormat=P","Fill=—","Direction=H","UseDPDF=Y")</f>
        <v>59420</v>
      </c>
      <c r="H27" s="13">
        <f>_xll.BDH("RCOM IN Equity","IS_COMPARABLE_EBITDA","FY 2014","FY 2014","Currency=INR","Period=FY","BEST_FPERIOD_OVERRIDE=FY","FILING_STATUS=MR","EQY_CONSOLIDATED=Y","SCALING_FORMAT=MLN","Sort=A","Dates=H","DateFormat=P","Fill=—","Direction=H","UseDPDF=Y")</f>
        <v>66430</v>
      </c>
      <c r="I27" s="13">
        <f>_xll.BDH("RCOM IN Equity","IS_COMPARABLE_EBITDA","FY 2015","FY 2015","Currency=INR","Period=FY","BEST_FPERIOD_OVERRIDE=FY","FILING_STATUS=MR","EQY_CONSOLIDATED=Y","SCALING_FORMAT=MLN","Sort=A","Dates=H","DateFormat=P","Fill=—","Direction=H","UseDPDF=Y")</f>
        <v>71900</v>
      </c>
      <c r="J27" s="13" t="str">
        <f>_xll.BDH("RCOM IN Equity","IS_COMPARABLE_EBITDA","FY 2016","FY 2016","Currency=INR","Period=FY","BEST_FPERIOD_OVERRIDE=FY","FILING_STATUS=MR","EQY_CONSOLIDATED=Y","SCALING_FORMAT=MLN","Sort=A","Dates=H","DateFormat=P","Fill=—","Direction=H","UseDPDF=Y")</f>
        <v>—</v>
      </c>
      <c r="K27" s="13" t="str">
        <f>_xll.BDH("RCOM IN Equity","IS_COMPARABLE_EBITDA","FY 2017","FY 2017","Currency=INR","Period=FY","BEST_FPERIOD_OVERRIDE=FY","FILING_STATUS=MR","EQY_CONSOLIDATED=Y","SCALING_FORMAT=MLN","Sort=A","Dates=H","DateFormat=P","Fill=—","Direction=H","UseDPDF=Y")</f>
        <v>—</v>
      </c>
      <c r="L27" s="13" t="str">
        <f>_xll.BDH("RCOM IN Equity","IS_COMPARABLE_EBITDA","FY 2018","FY 2018","Currency=INR","Period=FY","BEST_FPERIOD_OVERRIDE=FY","FILING_STATUS=MR","EQY_CONSOLIDATED=Y","SCALING_FORMAT=MLN","Sort=A","Dates=H","DateFormat=P","Fill=—","Direction=H","UseDPDF=Y")</f>
        <v>—</v>
      </c>
    </row>
    <row r="28" spans="1:12">
      <c r="A28" s="11" t="s">
        <v>108</v>
      </c>
      <c r="B28" s="11"/>
      <c r="C28" s="25">
        <v>-6.76058429481854</v>
      </c>
      <c r="D28" s="25">
        <v>-11.8869032747271</v>
      </c>
      <c r="E28" s="25">
        <v>26.614707414867301</v>
      </c>
      <c r="F28" s="25">
        <v>-10.2818406413181</v>
      </c>
      <c r="G28" s="25">
        <v>-10.530134849396299</v>
      </c>
      <c r="H28" s="25">
        <v>-12.821770573173</v>
      </c>
      <c r="I28" s="25">
        <v>-3.1647771048455602</v>
      </c>
      <c r="J28" s="25" t="s">
        <v>44</v>
      </c>
      <c r="K28" s="25" t="s">
        <v>44</v>
      </c>
      <c r="L28" s="25" t="s">
        <v>44</v>
      </c>
    </row>
    <row r="29" spans="1:12">
      <c r="A29" s="10" t="s">
        <v>98</v>
      </c>
      <c r="B29" s="10" t="s">
        <v>46</v>
      </c>
      <c r="C29" s="13">
        <f>_xll.BDH("RCOM IN Equity","EBITDA","FY 2009","FY 2009","Currency=INR","Period=FY","BEST_FPERIOD_OVERRIDE=FY","FILING_STATUS=MR","EQY_CONSOLIDATED=Y","SCALING_FORMAT=MLN","FA_ADJUSTED=GAAP","Sort=A","Dates=H","DateFormat=P","Fill=—","Direction=H","UseDPDF=Y")</f>
        <v>87306.8</v>
      </c>
      <c r="D29" s="13">
        <f>_xll.BDH("RCOM IN Equity","EBITDA","FY 2010","FY 2010","Currency=INR","Period=FY","BEST_FPERIOD_OVERRIDE=FY","FILING_STATUS=MR","EQY_CONSOLIDATED=Y","SCALING_FORMAT=MLN","FA_ADJUSTED=GAAP","Sort=A","Dates=H","DateFormat=P","Fill=—","Direction=H","UseDPDF=Y")</f>
        <v>69890.399999999994</v>
      </c>
      <c r="E29" s="13">
        <f>_xll.BDH("RCOM IN Equity","EBITDA","FY 2011","FY 2011","Currency=INR","Period=FY","BEST_FPERIOD_OVERRIDE=FY","FILING_STATUS=MR","EQY_CONSOLIDATED=Y","SCALING_FORMAT=MLN","FA_ADJUSTED=GAAP","Sort=A","Dates=H","DateFormat=P","Fill=—","Direction=H","UseDPDF=Y")</f>
        <v>83760</v>
      </c>
      <c r="F29" s="13">
        <f>_xll.BDH("RCOM IN Equity","EBITDA","FY 2012","FY 2012","Currency=INR","Period=FY","BEST_FPERIOD_OVERRIDE=FY","FILING_STATUS=MR","EQY_CONSOLIDATED=Y","SCALING_FORMAT=MLN","FA_ADJUSTED=GAAP","Sort=A","Dates=H","DateFormat=P","Fill=—","Direction=H","UseDPDF=Y")</f>
        <v>57950</v>
      </c>
      <c r="G29" s="13">
        <f>_xll.BDH("RCOM IN Equity","EBITDA","FY 2013","FY 2013","Currency=INR","Period=FY","BEST_FPERIOD_OVERRIDE=FY","FILING_STATUS=MR","EQY_CONSOLIDATED=Y","SCALING_FORMAT=MLN","FA_ADJUSTED=GAAP","Sort=A","Dates=H","DateFormat=P","Fill=—","Direction=H","UseDPDF=Y")</f>
        <v>59410</v>
      </c>
      <c r="H29" s="13">
        <f>_xll.BDH("RCOM IN Equity","EBITDA","FY 2014","FY 2014","Currency=INR","Period=FY","BEST_FPERIOD_OVERRIDE=FY","FILING_STATUS=MR","EQY_CONSOLIDATED=Y","SCALING_FORMAT=MLN","FA_ADJUSTED=GAAP","Sort=A","Dates=H","DateFormat=P","Fill=—","Direction=H","UseDPDF=Y")</f>
        <v>67060</v>
      </c>
      <c r="I29" s="13">
        <f>_xll.BDH("RCOM IN Equity","EBITDA","FY 2015","FY 2015","Currency=INR","Period=FY","BEST_FPERIOD_OVERRIDE=FY","FILING_STATUS=MR","EQY_CONSOLIDATED=Y","SCALING_FORMAT=MLN","FA_ADJUSTED=GAAP","Sort=A","Dates=H","DateFormat=P","Fill=—","Direction=H","UseDPDF=Y")</f>
        <v>72060</v>
      </c>
      <c r="J29" s="13">
        <f>_xll.BDH("RCOM IN Equity","EBITDA","FY 2016","FY 2016","Currency=INR","Period=FY","BEST_FPERIOD_OVERRIDE=FY","FILING_STATUS=MR","EQY_CONSOLIDATED=Y","SCALING_FORMAT=MLN","FA_ADJUSTED=GAAP","Sort=A","Dates=H","DateFormat=P","Fill=—","Direction=H","UseDPDF=Y")</f>
        <v>72600</v>
      </c>
      <c r="K29" s="13">
        <f>_xll.BDH("RCOM IN Equity","EBITDA","FY 2017","FY 2017","Currency=INR","Period=FY","BEST_FPERIOD_OVERRIDE=FY","FILING_STATUS=MR","EQY_CONSOLIDATED=Y","SCALING_FORMAT=MLN","FA_ADJUSTED=GAAP","Sort=A","Dates=H","DateFormat=P","Fill=—","Direction=H","UseDPDF=Y")</f>
        <v>46610</v>
      </c>
      <c r="L29" s="13">
        <f>_xll.BDH("RCOM IN Equity","EBITDA","FY 2018","FY 2018","Currency=INR","Period=FY","BEST_FPERIOD_OVERRIDE=FY","FILING_STATUS=MR","EQY_CONSOLIDATED=Y","SCALING_FORMAT=MLN","FA_ADJUSTED=GAAP","Sort=A","Dates=H","DateFormat=P","Fill=—","Direction=H","UseDPDF=Y")</f>
        <v>31100</v>
      </c>
    </row>
    <row r="30" spans="1:12">
      <c r="A30" s="10" t="s">
        <v>99</v>
      </c>
      <c r="B30" s="10" t="s">
        <v>46</v>
      </c>
      <c r="C30" s="13">
        <f>_xll.BDH("RCOM IN Equity","EBITDA","FY 2009","FY 2009","Currency=INR","Period=FY","BEST_FPERIOD_OVERRIDE=FY","FILING_STATUS=MR","EQY_CONSOLIDATED=Y","SCALING_FORMAT=MLN","FA_ADJUSTED=Adjusted","Sort=A","Dates=H","DateFormat=P","Fill=—","Direction=H","UseDPDF=Y")</f>
        <v>87307.4</v>
      </c>
      <c r="D30" s="13">
        <f>_xll.BDH("RCOM IN Equity","EBITDA","FY 2010","FY 2010","Currency=INR","Period=FY","BEST_FPERIOD_OVERRIDE=FY","FILING_STATUS=MR","EQY_CONSOLIDATED=Y","SCALING_FORMAT=MLN","FA_ADJUSTED=Adjusted","Sort=A","Dates=H","DateFormat=P","Fill=—","Direction=H","UseDPDF=Y")</f>
        <v>72955</v>
      </c>
      <c r="E30" s="13">
        <f>_xll.BDH("RCOM IN Equity","EBITDA","FY 2011","FY 2011","Currency=INR","Period=FY","BEST_FPERIOD_OVERRIDE=FY","FILING_STATUS=MR","EQY_CONSOLIDATED=Y","SCALING_FORMAT=MLN","FA_ADJUSTED=Adjusted","Sort=A","Dates=H","DateFormat=P","Fill=—","Direction=H","UseDPDF=Y")</f>
        <v>83760.800000000003</v>
      </c>
      <c r="F30" s="13">
        <f>_xll.BDH("RCOM IN Equity","EBITDA","FY 2012","FY 2012","Currency=INR","Period=FY","BEST_FPERIOD_OVERRIDE=FY","FILING_STATUS=MR","EQY_CONSOLIDATED=Y","SCALING_FORMAT=MLN","FA_ADJUSTED=Adjusted","Sort=A","Dates=H","DateFormat=P","Fill=—","Direction=H","UseDPDF=Y")</f>
        <v>61650</v>
      </c>
      <c r="G30" s="13">
        <f>_xll.BDH("RCOM IN Equity","EBITDA","FY 2013","FY 2013","Currency=INR","Period=FY","BEST_FPERIOD_OVERRIDE=FY","FILING_STATUS=MR","EQY_CONSOLIDATED=Y","SCALING_FORMAT=MLN","FA_ADJUSTED=Adjusted","Sort=A","Dates=H","DateFormat=P","Fill=—","Direction=H","UseDPDF=Y")</f>
        <v>59710</v>
      </c>
      <c r="H30" s="13">
        <f>_xll.BDH("RCOM IN Equity","EBITDA","FY 2014","FY 2014","Currency=INR","Period=FY","BEST_FPERIOD_OVERRIDE=FY","FILING_STATUS=MR","EQY_CONSOLIDATED=Y","SCALING_FORMAT=MLN","FA_ADJUSTED=Adjusted","Sort=A","Dates=H","DateFormat=P","Fill=—","Direction=H","UseDPDF=Y")</f>
        <v>67260</v>
      </c>
      <c r="I30" s="13">
        <f>_xll.BDH("RCOM IN Equity","EBITDA","FY 2015","FY 2015","Currency=INR","Period=FY","BEST_FPERIOD_OVERRIDE=FY","FILING_STATUS=MR","EQY_CONSOLIDATED=Y","SCALING_FORMAT=MLN","FA_ADJUSTED=Adjusted","Sort=A","Dates=H","DateFormat=P","Fill=—","Direction=H","UseDPDF=Y")</f>
        <v>72100</v>
      </c>
      <c r="J30" s="13">
        <f>_xll.BDH("RCOM IN Equity","EBITDA","FY 2016","FY 2016","Currency=INR","Period=FY","BEST_FPERIOD_OVERRIDE=FY","FILING_STATUS=MR","EQY_CONSOLIDATED=Y","SCALING_FORMAT=MLN","FA_ADJUSTED=Adjusted","Sort=A","Dates=H","DateFormat=P","Fill=—","Direction=H","UseDPDF=Y")</f>
        <v>72760</v>
      </c>
      <c r="K30" s="13">
        <f>_xll.BDH("RCOM IN Equity","EBITDA","FY 2017","FY 2017","Currency=INR","Period=FY","BEST_FPERIOD_OVERRIDE=FY","FILING_STATUS=MR","EQY_CONSOLIDATED=Y","SCALING_FORMAT=MLN","FA_ADJUSTED=Adjusted","Sort=A","Dates=H","DateFormat=P","Fill=—","Direction=H","UseDPDF=Y")</f>
        <v>46610</v>
      </c>
      <c r="L30" s="13">
        <f>_xll.BDH("RCOM IN Equity","EBITDA","FY 2018","FY 2018","Currency=INR","Period=FY","BEST_FPERIOD_OVERRIDE=FY","FILING_STATUS=MR","EQY_CONSOLIDATED=Y","SCALING_FORMAT=MLN","FA_ADJUSTED=Adjusted","Sort=A","Dates=H","DateFormat=P","Fill=—","Direction=H","UseDPDF=Y")</f>
        <v>31100</v>
      </c>
    </row>
    <row r="31" spans="1:12">
      <c r="A31" s="10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 spans="1:12">
      <c r="A32" s="6" t="s">
        <v>109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1:12">
      <c r="A33" s="10" t="s">
        <v>93</v>
      </c>
      <c r="B33" s="10" t="s">
        <v>110</v>
      </c>
      <c r="C33" s="14" t="str">
        <f>_xll.BDH("RCOM IN Equity","BEST_GROSS_MARGIN","FY 2009","FY 2009","Currency=INR","Period=FY","BEST_FPERIOD_OVERRIDE=FY","FILING_STATUS=MR","EQY_CONSOLIDATED=Y","Sort=A","Dates=H","DateFormat=P","Fill=—","Direction=H","UseDPDF=Y")</f>
        <v>—</v>
      </c>
      <c r="D33" s="14">
        <f>_xll.BDH("RCOM IN Equity","BEST_GROSS_MARGIN","FY 2010","FY 2010","Currency=INR","Period=FY","BEST_FPERIOD_OVERRIDE=FY","FILING_STATUS=MR","EQY_CONSOLIDATED=Y","Sort=A","Dates=H","DateFormat=P","Fill=—","Direction=H","UseDPDF=Y")</f>
        <v>35.6</v>
      </c>
      <c r="E33" s="14">
        <f>_xll.BDH("RCOM IN Equity","BEST_GROSS_MARGIN","FY 2011","FY 2011","Currency=INR","Period=FY","BEST_FPERIOD_OVERRIDE=FY","FILING_STATUS=MR","EQY_CONSOLIDATED=Y","Sort=A","Dates=H","DateFormat=P","Fill=—","Direction=H","UseDPDF=Y")</f>
        <v>46.3</v>
      </c>
      <c r="F33" s="14">
        <f>_xll.BDH("RCOM IN Equity","BEST_GROSS_MARGIN","FY 2012","FY 2012","Currency=INR","Period=FY","BEST_FPERIOD_OVERRIDE=FY","FILING_STATUS=MR","EQY_CONSOLIDATED=Y","Sort=A","Dates=H","DateFormat=P","Fill=—","Direction=H","UseDPDF=Y")</f>
        <v>27.4</v>
      </c>
      <c r="G33" s="14">
        <f>_xll.BDH("RCOM IN Equity","BEST_GROSS_MARGIN","FY 2013","FY 2013","Currency=INR","Period=FY","BEST_FPERIOD_OVERRIDE=FY","FILING_STATUS=MR","EQY_CONSOLIDATED=Y","Sort=A","Dates=H","DateFormat=P","Fill=—","Direction=H","UseDPDF=Y")</f>
        <v>39.133000000000003</v>
      </c>
      <c r="H33" s="14">
        <f>_xll.BDH("RCOM IN Equity","BEST_GROSS_MARGIN","FY 2014","FY 2014","Currency=INR","Period=FY","BEST_FPERIOD_OVERRIDE=FY","FILING_STATUS=MR","EQY_CONSOLIDATED=Y","Sort=A","Dates=H","DateFormat=P","Fill=—","Direction=H","UseDPDF=Y")</f>
        <v>32.1</v>
      </c>
      <c r="I33" s="14">
        <f>_xll.BDH("RCOM IN Equity","BEST_GROSS_MARGIN","FY 2015","FY 2015","Currency=INR","Period=FY","BEST_FPERIOD_OVERRIDE=FY","FILING_STATUS=MR","EQY_CONSOLIDATED=Y","Sort=A","Dates=H","DateFormat=P","Fill=—","Direction=H","UseDPDF=Y")</f>
        <v>64.099999999999994</v>
      </c>
      <c r="J33" s="14">
        <f>_xll.BDH("RCOM IN Equity","BEST_GROSS_MARGIN","FY 2016","FY 2016","Currency=INR","Period=FY","BEST_FPERIOD_OVERRIDE=FY","FILING_STATUS=MR","EQY_CONSOLIDATED=Y","Sort=A","Dates=H","DateFormat=P","Fill=—","Direction=H","UseDPDF=Y")</f>
        <v>64.75</v>
      </c>
      <c r="K33" s="14" t="str">
        <f>_xll.BDH("RCOM IN Equity","BEST_GROSS_MARGIN","FY 2017","FY 2017","Currency=INR","Period=FY","BEST_FPERIOD_OVERRIDE=FY","FILING_STATUS=MR","EQY_CONSOLIDATED=Y","Sort=A","Dates=H","DateFormat=P","Fill=—","Direction=H","UseDPDF=Y")</f>
        <v>—</v>
      </c>
      <c r="L33" s="14" t="str">
        <f>_xll.BDH("RCOM IN Equity","BEST_GROSS_MARGIN","FY 2018","FY 2018","Currency=INR","Period=FY","BEST_FPERIOD_OVERRIDE=FY","FILING_STATUS=MR","EQY_CONSOLIDATED=Y","Sort=A","Dates=H","DateFormat=P","Fill=—","Direction=H","UseDPDF=Y")</f>
        <v>—</v>
      </c>
    </row>
    <row r="34" spans="1:12">
      <c r="A34" s="10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</row>
    <row r="35" spans="1:12">
      <c r="A35" s="6" t="s">
        <v>111</v>
      </c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</row>
    <row r="36" spans="1:12">
      <c r="A36" s="10" t="s">
        <v>93</v>
      </c>
      <c r="B36" s="10" t="s">
        <v>112</v>
      </c>
      <c r="C36" s="13">
        <f>_xll.BDH("RCOM IN Equity","BEST_PTP","FY 2009","FY 2009","Currency=INR","Period=FY","BEST_FPERIOD_OVERRIDE=FY","FILING_STATUS=MR","EQY_CONSOLIDATED=Y","Sort=A","Dates=H","DateFormat=P","Fill=—","Direction=H","UseDPDF=Y")</f>
        <v>59225.167000000001</v>
      </c>
      <c r="D36" s="13">
        <f>_xll.BDH("RCOM IN Equity","BEST_PTP","FY 2010","FY 2010","Currency=INR","Period=FY","BEST_FPERIOD_OVERRIDE=FY","FILING_STATUS=MR","EQY_CONSOLIDATED=Y","Sort=A","Dates=H","DateFormat=P","Fill=—","Direction=H","UseDPDF=Y")</f>
        <v>44270.608999999997</v>
      </c>
      <c r="E36" s="13">
        <f>_xll.BDH("RCOM IN Equity","BEST_PTP","FY 2011","FY 2011","Currency=INR","Period=FY","BEST_FPERIOD_OVERRIDE=FY","FILING_STATUS=MR","EQY_CONSOLIDATED=Y","Sort=A","Dates=H","DateFormat=P","Fill=—","Direction=H","UseDPDF=Y")</f>
        <v>15797.194</v>
      </c>
      <c r="F36" s="13">
        <f>_xll.BDH("RCOM IN Equity","BEST_PTP","FY 2012","FY 2012","Currency=INR","Period=FY","BEST_FPERIOD_OVERRIDE=FY","FILING_STATUS=MR","EQY_CONSOLIDATED=Y","Sort=A","Dates=H","DateFormat=P","Fill=—","Direction=H","UseDPDF=Y")</f>
        <v>10403.607</v>
      </c>
      <c r="G36" s="13">
        <f>_xll.BDH("RCOM IN Equity","BEST_PTP","FY 2013","FY 2013","Currency=INR","Period=FY","BEST_FPERIOD_OVERRIDE=FY","FILING_STATUS=MR","EQY_CONSOLIDATED=Y","Sort=A","Dates=H","DateFormat=P","Fill=—","Direction=H","UseDPDF=Y")</f>
        <v>6620.13</v>
      </c>
      <c r="H36" s="13">
        <f>_xll.BDH("RCOM IN Equity","BEST_PTP","FY 2014","FY 2014","Currency=INR","Period=FY","BEST_FPERIOD_OVERRIDE=FY","FILING_STATUS=MR","EQY_CONSOLIDATED=Y","Sort=A","Dates=H","DateFormat=P","Fill=—","Direction=H","UseDPDF=Y")</f>
        <v>12878.15</v>
      </c>
      <c r="I36" s="13">
        <f>_xll.BDH("RCOM IN Equity","BEST_PTP","FY 2015","FY 2015","Currency=INR","Period=FY","BEST_FPERIOD_OVERRIDE=FY","FILING_STATUS=MR","EQY_CONSOLIDATED=Y","Sort=A","Dates=H","DateFormat=P","Fill=—","Direction=H","UseDPDF=Y")</f>
        <v>10526.294</v>
      </c>
      <c r="J36" s="13">
        <f>_xll.BDH("RCOM IN Equity","BEST_PTP","FY 2016","FY 2016","Currency=INR","Period=FY","BEST_FPERIOD_OVERRIDE=FY","FILING_STATUS=MR","EQY_CONSOLIDATED=Y","Sort=A","Dates=H","DateFormat=P","Fill=—","Direction=H","UseDPDF=Y")</f>
        <v>7919.0630000000001</v>
      </c>
      <c r="K36" s="13">
        <f>_xll.BDH("RCOM IN Equity","BEST_PTP","FY 2017","FY 2017","Currency=INR","Period=FY","BEST_FPERIOD_OVERRIDE=FY","FILING_STATUS=MR","EQY_CONSOLIDATED=Y","Sort=A","Dates=H","DateFormat=P","Fill=—","Direction=H","UseDPDF=Y")</f>
        <v>-14394.333000000001</v>
      </c>
      <c r="L36" s="13" t="str">
        <f>_xll.BDH("RCOM IN Equity","BEST_PTP","FY 2018","FY 2018","Currency=INR","Period=FY","BEST_FPERIOD_OVERRIDE=FY","FILING_STATUS=MR","EQY_CONSOLIDATED=Y","Sort=A","Dates=H","DateFormat=P","Fill=—","Direction=H","UseDPDF=Y")</f>
        <v>—</v>
      </c>
    </row>
    <row r="37" spans="1:12">
      <c r="A37" s="10" t="s">
        <v>95</v>
      </c>
      <c r="B37" s="10" t="s">
        <v>113</v>
      </c>
      <c r="C37" s="13">
        <f>_xll.BDH("RCOM IN Equity","IS_COMP_PTP_EX_STK_BASED_COMP","FY 2009","FY 2009","Currency=INR","Period=FY","BEST_FPERIOD_OVERRIDE=FY","FILING_STATUS=MR","EQY_CONSOLIDATED=Y","SCALING_FORMAT=MLN","Sort=A","Dates=H","DateFormat=P","Fill=—","Direction=H","UseDPDF=Y")</f>
        <v>61352.5</v>
      </c>
      <c r="D37" s="13">
        <f>_xll.BDH("RCOM IN Equity","IS_COMP_PTP_EX_STK_BASED_COMP","FY 2010","FY 2010","Currency=INR","Period=FY","BEST_FPERIOD_OVERRIDE=FY","FILING_STATUS=MR","EQY_CONSOLIDATED=Y","SCALING_FORMAT=MLN","Sort=A","Dates=H","DateFormat=P","Fill=—","Direction=H","UseDPDF=Y")</f>
        <v>52603</v>
      </c>
      <c r="E37" s="13">
        <f>_xll.BDH("RCOM IN Equity","IS_COMP_PTP_EX_STK_BASED_COMP","FY 2011","FY 2011","Currency=INR","Period=FY","BEST_FPERIOD_OVERRIDE=FY","FILING_STATUS=MR","EQY_CONSOLIDATED=Y","SCALING_FORMAT=MLN","Sort=A","Dates=H","DateFormat=P","Fill=—","Direction=H","UseDPDF=Y")</f>
        <v>15122.4</v>
      </c>
      <c r="F37" s="13">
        <f>_xll.BDH("RCOM IN Equity","IS_COMP_PTP_EX_STK_BASED_COMP","FY 2012","FY 2012","Currency=INR","Period=FY","BEST_FPERIOD_OVERRIDE=FY","FILING_STATUS=MR","EQY_CONSOLIDATED=Y","SCALING_FORMAT=MLN","Sort=A","Dates=H","DateFormat=P","Fill=—","Direction=H","UseDPDF=Y")</f>
        <v>8820</v>
      </c>
      <c r="G37" s="13">
        <f>_xll.BDH("RCOM IN Equity","IS_COMP_PTP_EX_STK_BASED_COMP","FY 2013","FY 2013","Currency=INR","Period=FY","BEST_FPERIOD_OVERRIDE=FY","FILING_STATUS=MR","EQY_CONSOLIDATED=Y","SCALING_FORMAT=MLN","Sort=A","Dates=H","DateFormat=P","Fill=—","Direction=H","UseDPDF=Y")</f>
        <v>8150</v>
      </c>
      <c r="H37" s="13">
        <f>_xll.BDH("RCOM IN Equity","IS_COMP_PTP_EX_STK_BASED_COMP","FY 2014","FY 2014","Currency=INR","Period=FY","BEST_FPERIOD_OVERRIDE=FY","FILING_STATUS=MR","EQY_CONSOLIDATED=Y","SCALING_FORMAT=MLN","Sort=A","Dates=H","DateFormat=P","Fill=—","Direction=H","UseDPDF=Y")</f>
        <v>1720</v>
      </c>
      <c r="I37" s="13">
        <f>_xll.BDH("RCOM IN Equity","IS_COMP_PTP_EX_STK_BASED_COMP","FY 2015","FY 2015","Currency=INR","Period=FY","BEST_FPERIOD_OVERRIDE=FY","FILING_STATUS=MR","EQY_CONSOLIDATED=Y","SCALING_FORMAT=MLN","Sort=A","Dates=H","DateFormat=P","Fill=—","Direction=H","UseDPDF=Y")</f>
        <v>9460</v>
      </c>
      <c r="J37" s="13" t="str">
        <f>_xll.BDH("RCOM IN Equity","IS_COMP_PTP_EX_STK_BASED_COMP","FY 2016","FY 2016","Currency=INR","Period=FY","BEST_FPERIOD_OVERRIDE=FY","FILING_STATUS=MR","EQY_CONSOLIDATED=Y","SCALING_FORMAT=MLN","Sort=A","Dates=H","DateFormat=P","Fill=—","Direction=H","UseDPDF=Y")</f>
        <v>—</v>
      </c>
      <c r="K37" s="13" t="str">
        <f>_xll.BDH("RCOM IN Equity","IS_COMP_PTP_EX_STK_BASED_COMP","FY 2017","FY 2017","Currency=INR","Period=FY","BEST_FPERIOD_OVERRIDE=FY","FILING_STATUS=MR","EQY_CONSOLIDATED=Y","SCALING_FORMAT=MLN","Sort=A","Dates=H","DateFormat=P","Fill=—","Direction=H","UseDPDF=Y")</f>
        <v>—</v>
      </c>
      <c r="L37" s="13" t="str">
        <f>_xll.BDH("RCOM IN Equity","IS_COMP_PTP_EX_STK_BASED_COMP","FY 2018","FY 2018","Currency=INR","Period=FY","BEST_FPERIOD_OVERRIDE=FY","FILING_STATUS=MR","EQY_CONSOLIDATED=Y","SCALING_FORMAT=MLN","Sort=A","Dates=H","DateFormat=P","Fill=—","Direction=H","UseDPDF=Y")</f>
        <v>—</v>
      </c>
    </row>
    <row r="38" spans="1:12">
      <c r="A38" s="11" t="s">
        <v>114</v>
      </c>
      <c r="B38" s="11"/>
      <c r="C38" s="25">
        <v>3.5919409057977001</v>
      </c>
      <c r="D38" s="25">
        <v>18.8214962211159</v>
      </c>
      <c r="E38" s="25">
        <v>-4.2716067169903704</v>
      </c>
      <c r="F38" s="25">
        <v>-15.2217110853957</v>
      </c>
      <c r="G38" s="25">
        <v>23.109364921836899</v>
      </c>
      <c r="H38" s="25">
        <v>-86.644044369726998</v>
      </c>
      <c r="I38" s="25">
        <v>-10.129813968714901</v>
      </c>
      <c r="J38" s="25" t="s">
        <v>44</v>
      </c>
      <c r="K38" s="25" t="s">
        <v>44</v>
      </c>
      <c r="L38" s="25" t="s">
        <v>44</v>
      </c>
    </row>
    <row r="39" spans="1:12">
      <c r="A39" s="10" t="s">
        <v>98</v>
      </c>
      <c r="B39" s="10" t="s">
        <v>115</v>
      </c>
      <c r="C39" s="13">
        <f>_xll.BDH("RCOM IN Equity","PRETAX_INC","FY 2009","FY 2009","Currency=INR","Period=FY","BEST_FPERIOD_OVERRIDE=FY","FILING_STATUS=MR","EQY_CONSOLIDATED=Y","SCALING_FORMAT=MLN","FA_ADJUSTED=GAAP","Sort=A","Dates=H","DateFormat=P","Fill=—","Direction=H","UseDPDF=Y")</f>
        <v>61967.199999999997</v>
      </c>
      <c r="D39" s="13">
        <f>_xll.BDH("RCOM IN Equity","PRETAX_INC","FY 2010","FY 2010","Currency=INR","Period=FY","BEST_FPERIOD_OVERRIDE=FY","FILING_STATUS=MR","EQY_CONSOLIDATED=Y","SCALING_FORMAT=MLN","FA_ADJUSTED=GAAP","Sort=A","Dates=H","DateFormat=P","Fill=—","Direction=H","UseDPDF=Y")</f>
        <v>52228.3</v>
      </c>
      <c r="E39" s="13">
        <f>_xll.BDH("RCOM IN Equity","PRETAX_INC","FY 2011","FY 2011","Currency=INR","Period=FY","BEST_FPERIOD_OVERRIDE=FY","FILING_STATUS=MR","EQY_CONSOLIDATED=Y","SCALING_FORMAT=MLN","FA_ADJUSTED=GAAP","Sort=A","Dates=H","DateFormat=P","Fill=—","Direction=H","UseDPDF=Y")</f>
        <v>15170</v>
      </c>
      <c r="F39" s="13">
        <f>_xll.BDH("RCOM IN Equity","PRETAX_INC","FY 2012","FY 2012","Currency=INR","Period=FY","BEST_FPERIOD_OVERRIDE=FY","FILING_STATUS=MR","EQY_CONSOLIDATED=Y","SCALING_FORMAT=MLN","FA_ADJUSTED=GAAP","Sort=A","Dates=H","DateFormat=P","Fill=—","Direction=H","UseDPDF=Y")</f>
        <v>8820</v>
      </c>
      <c r="G39" s="13">
        <f>_xll.BDH("RCOM IN Equity","PRETAX_INC","FY 2013","FY 2013","Currency=INR","Period=FY","BEST_FPERIOD_OVERRIDE=FY","FILING_STATUS=MR","EQY_CONSOLIDATED=Y","SCALING_FORMAT=MLN","FA_ADJUSTED=GAAP","Sort=A","Dates=H","DateFormat=P","Fill=—","Direction=H","UseDPDF=Y")</f>
        <v>8150</v>
      </c>
      <c r="H39" s="13">
        <f>_xll.BDH("RCOM IN Equity","PRETAX_INC","FY 2014","FY 2014","Currency=INR","Period=FY","BEST_FPERIOD_OVERRIDE=FY","FILING_STATUS=MR","EQY_CONSOLIDATED=Y","SCALING_FORMAT=MLN","FA_ADJUSTED=GAAP","Sort=A","Dates=H","DateFormat=P","Fill=—","Direction=H","UseDPDF=Y")</f>
        <v>1160</v>
      </c>
      <c r="I39" s="13">
        <f>_xll.BDH("RCOM IN Equity","PRETAX_INC","FY 2015","FY 2015","Currency=INR","Period=FY","BEST_FPERIOD_OVERRIDE=FY","FILING_STATUS=MR","EQY_CONSOLIDATED=Y","SCALING_FORMAT=MLN","FA_ADJUSTED=GAAP","Sort=A","Dates=H","DateFormat=P","Fill=—","Direction=H","UseDPDF=Y")</f>
        <v>9460</v>
      </c>
      <c r="J39" s="13">
        <f>_xll.BDH("RCOM IN Equity","PRETAX_INC","FY 2016","FY 2016","Currency=INR","Period=FY","BEST_FPERIOD_OVERRIDE=FY","FILING_STATUS=MR","EQY_CONSOLIDATED=Y","SCALING_FORMAT=MLN","FA_ADJUSTED=GAAP","Sort=A","Dates=H","DateFormat=P","Fill=—","Direction=H","UseDPDF=Y")</f>
        <v>2320</v>
      </c>
      <c r="K39" s="13">
        <f>_xll.BDH("RCOM IN Equity","PRETAX_INC","FY 2017","FY 2017","Currency=INR","Period=FY","BEST_FPERIOD_OVERRIDE=FY","FILING_STATUS=MR","EQY_CONSOLIDATED=Y","SCALING_FORMAT=MLN","FA_ADJUSTED=GAAP","Sort=A","Dates=H","DateFormat=P","Fill=—","Direction=H","UseDPDF=Y")</f>
        <v>1550</v>
      </c>
      <c r="L39" s="13">
        <f>_xll.BDH("RCOM IN Equity","PRETAX_INC","FY 2018","FY 2018","Currency=INR","Period=FY","BEST_FPERIOD_OVERRIDE=FY","FILING_STATUS=MR","EQY_CONSOLIDATED=Y","SCALING_FORMAT=MLN","FA_ADJUSTED=GAAP","Sort=A","Dates=H","DateFormat=P","Fill=—","Direction=H","UseDPDF=Y")</f>
        <v>-30</v>
      </c>
    </row>
    <row r="40" spans="1:12">
      <c r="A40" s="10" t="s">
        <v>99</v>
      </c>
      <c r="B40" s="10" t="s">
        <v>115</v>
      </c>
      <c r="C40" s="13">
        <f>_xll.BDH("RCOM IN Equity","PRETAX_INC","FY 2009","FY 2009","Currency=INR","Period=FY","BEST_FPERIOD_OVERRIDE=FY","FILING_STATUS=MR","EQY_CONSOLIDATED=Y","SCALING_FORMAT=MLN","FA_ADJUSTED=Adjusted","Sort=A","Dates=H","DateFormat=P","Fill=—","Direction=H","UseDPDF=Y")</f>
        <v>58687.7</v>
      </c>
      <c r="D40" s="13">
        <f>_xll.BDH("RCOM IN Equity","PRETAX_INC","FY 2010","FY 2010","Currency=INR","Period=FY","BEST_FPERIOD_OVERRIDE=FY","FILING_STATUS=MR","EQY_CONSOLIDATED=Y","SCALING_FORMAT=MLN","FA_ADJUSTED=Adjusted","Sort=A","Dates=H","DateFormat=P","Fill=—","Direction=H","UseDPDF=Y")</f>
        <v>53198</v>
      </c>
      <c r="E40" s="13">
        <f>_xll.BDH("RCOM IN Equity","PRETAX_INC","FY 2011","FY 2011","Currency=INR","Period=FY","BEST_FPERIOD_OVERRIDE=FY","FILING_STATUS=MR","EQY_CONSOLIDATED=Y","SCALING_FORMAT=MLN","FA_ADJUSTED=Adjusted","Sort=A","Dates=H","DateFormat=P","Fill=—","Direction=H","UseDPDF=Y")</f>
        <v>11290.8</v>
      </c>
      <c r="F40" s="13">
        <f>_xll.BDH("RCOM IN Equity","PRETAX_INC","FY 2012","FY 2012","Currency=INR","Period=FY","BEST_FPERIOD_OVERRIDE=FY","FILING_STATUS=MR","EQY_CONSOLIDATED=Y","SCALING_FORMAT=MLN","FA_ADJUSTED=Adjusted","Sort=A","Dates=H","DateFormat=P","Fill=—","Direction=H","UseDPDF=Y")</f>
        <v>12220</v>
      </c>
      <c r="G40" s="13">
        <f>_xll.BDH("RCOM IN Equity","PRETAX_INC","FY 2013","FY 2013","Currency=INR","Period=FY","BEST_FPERIOD_OVERRIDE=FY","FILING_STATUS=MR","EQY_CONSOLIDATED=Y","SCALING_FORMAT=MLN","FA_ADJUSTED=Adjusted","Sort=A","Dates=H","DateFormat=P","Fill=—","Direction=H","UseDPDF=Y")</f>
        <v>8100</v>
      </c>
      <c r="H40" s="13">
        <f>_xll.BDH("RCOM IN Equity","PRETAX_INC","FY 2014","FY 2014","Currency=INR","Period=FY","BEST_FPERIOD_OVERRIDE=FY","FILING_STATUS=MR","EQY_CONSOLIDATED=Y","SCALING_FORMAT=MLN","FA_ADJUSTED=Adjusted","Sort=A","Dates=H","DateFormat=P","Fill=—","Direction=H","UseDPDF=Y")</f>
        <v>1270</v>
      </c>
      <c r="I40" s="13">
        <f>_xll.BDH("RCOM IN Equity","PRETAX_INC","FY 2015","FY 2015","Currency=INR","Period=FY","BEST_FPERIOD_OVERRIDE=FY","FILING_STATUS=MR","EQY_CONSOLIDATED=Y","SCALING_FORMAT=MLN","FA_ADJUSTED=Adjusted","Sort=A","Dates=H","DateFormat=P","Fill=—","Direction=H","UseDPDF=Y")</f>
        <v>9140</v>
      </c>
      <c r="J40" s="13">
        <f>_xll.BDH("RCOM IN Equity","PRETAX_INC","FY 2016","FY 2016","Currency=INR","Period=FY","BEST_FPERIOD_OVERRIDE=FY","FILING_STATUS=MR","EQY_CONSOLIDATED=Y","SCALING_FORMAT=MLN","FA_ADJUSTED=Adjusted","Sort=A","Dates=H","DateFormat=P","Fill=—","Direction=H","UseDPDF=Y")</f>
        <v>170</v>
      </c>
      <c r="K40" s="13">
        <f>_xll.BDH("RCOM IN Equity","PRETAX_INC","FY 2017","FY 2017","Currency=INR","Period=FY","BEST_FPERIOD_OVERRIDE=FY","FILING_STATUS=MR","EQY_CONSOLIDATED=Y","SCALING_FORMAT=MLN","FA_ADJUSTED=Adjusted","Sort=A","Dates=H","DateFormat=P","Fill=—","Direction=H","UseDPDF=Y")</f>
        <v>1550</v>
      </c>
      <c r="L40" s="13">
        <f>_xll.BDH("RCOM IN Equity","PRETAX_INC","FY 2018","FY 2018","Currency=INR","Period=FY","BEST_FPERIOD_OVERRIDE=FY","FILING_STATUS=MR","EQY_CONSOLIDATED=Y","SCALING_FORMAT=MLN","FA_ADJUSTED=Adjusted","Sort=A","Dates=H","DateFormat=P","Fill=—","Direction=H","UseDPDF=Y")</f>
        <v>-30</v>
      </c>
    </row>
    <row r="41" spans="1:12">
      <c r="A41" s="10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</row>
    <row r="42" spans="1:12">
      <c r="A42" s="6" t="s">
        <v>116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</row>
    <row r="43" spans="1:12">
      <c r="A43" s="10" t="s">
        <v>95</v>
      </c>
      <c r="B43" s="10" t="s">
        <v>117</v>
      </c>
      <c r="C43" s="13">
        <f>_xll.BDH("RCOM IN Equity","IS_COMP_NET_INCOME_ADJUST","FY 2009","FY 2009","Currency=INR","Period=FY","BEST_FPERIOD_OVERRIDE=FY","FILING_STATUS=MR","EQY_CONSOLIDATED=Y","SCALING_FORMAT=MLN","Sort=A","Dates=H","DateFormat=P","Fill=—","Direction=H","UseDPDF=Y")</f>
        <v>59075.5</v>
      </c>
      <c r="D43" s="13">
        <f>_xll.BDH("RCOM IN Equity","IS_COMP_NET_INCOME_ADJUST","FY 2010","FY 2010","Currency=INR","Period=FY","BEST_FPERIOD_OVERRIDE=FY","FILING_STATUS=MR","EQY_CONSOLIDATED=Y","SCALING_FORMAT=MLN","Sort=A","Dates=H","DateFormat=P","Fill=—","Direction=H","UseDPDF=Y")</f>
        <v>46550</v>
      </c>
      <c r="E43" s="13">
        <f>_xll.BDH("RCOM IN Equity","IS_COMP_NET_INCOME_ADJUST","FY 2011","FY 2011","Currency=INR","Period=FY","BEST_FPERIOD_OVERRIDE=FY","FILING_STATUS=MR","EQY_CONSOLIDATED=Y","SCALING_FORMAT=MLN","Sort=A","Dates=H","DateFormat=P","Fill=—","Direction=H","UseDPDF=Y")</f>
        <v>13456.5</v>
      </c>
      <c r="F43" s="13">
        <f>_xll.BDH("RCOM IN Equity","IS_COMP_NET_INCOME_ADJUST","FY 2012","FY 2012","Currency=INR","Period=FY","BEST_FPERIOD_OVERRIDE=FY","FILING_STATUS=MR","EQY_CONSOLIDATED=Y","SCALING_FORMAT=MLN","Sort=A","Dates=H","DateFormat=P","Fill=—","Direction=H","UseDPDF=Y")</f>
        <v>9280</v>
      </c>
      <c r="G43" s="13">
        <f>_xll.BDH("RCOM IN Equity","IS_COMP_NET_INCOME_ADJUST","FY 2013","FY 2013","Currency=INR","Period=FY","BEST_FPERIOD_OVERRIDE=FY","FILING_STATUS=MR","EQY_CONSOLIDATED=Y","SCALING_FORMAT=MLN","Sort=A","Dates=H","DateFormat=P","Fill=—","Direction=H","UseDPDF=Y")</f>
        <v>6720</v>
      </c>
      <c r="H43" s="13">
        <f>_xll.BDH("RCOM IN Equity","IS_COMP_NET_INCOME_ADJUST","FY 2014","FY 2014","Currency=INR","Period=FY","BEST_FPERIOD_OVERRIDE=FY","FILING_STATUS=MR","EQY_CONSOLIDATED=Y","SCALING_FORMAT=MLN","Sort=A","Dates=H","DateFormat=P","Fill=—","Direction=H","UseDPDF=Y")</f>
        <v>10470</v>
      </c>
      <c r="I43" s="13">
        <f>_xll.BDH("RCOM IN Equity","IS_COMP_NET_INCOME_ADJUST","FY 2015","FY 2015","Currency=INR","Period=FY","BEST_FPERIOD_OVERRIDE=FY","FILING_STATUS=MR","EQY_CONSOLIDATED=Y","SCALING_FORMAT=MLN","Sort=A","Dates=H","DateFormat=P","Fill=—","Direction=H","UseDPDF=Y")</f>
        <v>7140</v>
      </c>
      <c r="J43" s="13">
        <f>_xll.BDH("RCOM IN Equity","IS_COMP_NET_INCOME_ADJUST","FY 2016","FY 2016","Currency=INR","Period=FY","BEST_FPERIOD_OVERRIDE=FY","FILING_STATUS=MR","EQY_CONSOLIDATED=Y","SCALING_FORMAT=MLN","Sort=A","Dates=H","DateFormat=P","Fill=—","Direction=H","UseDPDF=Y")</f>
        <v>6810</v>
      </c>
      <c r="K43" s="13">
        <f>_xll.BDH("RCOM IN Equity","IS_COMP_NET_INCOME_ADJUST","FY 2017","FY 2017","Currency=INR","Period=FY","BEST_FPERIOD_OVERRIDE=FY","FILING_STATUS=MR","EQY_CONSOLIDATED=Y","SCALING_FORMAT=MLN","Sort=A","Dates=H","DateFormat=P","Fill=—","Direction=H","UseDPDF=Y")</f>
        <v>-9660</v>
      </c>
      <c r="L43" s="13" t="str">
        <f>_xll.BDH("RCOM IN Equity","IS_COMP_NET_INCOME_ADJUST","FY 2018","FY 2018","Currency=INR","Period=FY","BEST_FPERIOD_OVERRIDE=FY","FILING_STATUS=MR","EQY_CONSOLIDATED=Y","SCALING_FORMAT=MLN","Sort=A","Dates=H","DateFormat=P","Fill=—","Direction=H","UseDPDF=Y")</f>
        <v>—</v>
      </c>
    </row>
    <row r="44" spans="1:12">
      <c r="A44" s="10" t="s">
        <v>98</v>
      </c>
      <c r="B44" s="10" t="s">
        <v>48</v>
      </c>
      <c r="C44" s="13">
        <f>_xll.BDH("RCOM IN Equity","EARN_FOR_COMMON","FY 2009","FY 2009","Currency=INR","Period=FY","BEST_FPERIOD_OVERRIDE=FY","FILING_STATUS=MR","EQY_CONSOLIDATED=Y","SCALING_FORMAT=MLN","FA_ADJUSTED=GAAP","Sort=A","Dates=H","DateFormat=P","Fill=—","Direction=H","UseDPDF=Y")</f>
        <v>60449.3</v>
      </c>
      <c r="D44" s="13">
        <f>_xll.BDH("RCOM IN Equity","EARN_FOR_COMMON","FY 2010","FY 2010","Currency=INR","Period=FY","BEST_FPERIOD_OVERRIDE=FY","FILING_STATUS=MR","EQY_CONSOLIDATED=Y","SCALING_FORMAT=MLN","FA_ADJUSTED=GAAP","Sort=A","Dates=H","DateFormat=P","Fill=—","Direction=H","UseDPDF=Y")</f>
        <v>46550</v>
      </c>
      <c r="E44" s="13">
        <f>_xll.BDH("RCOM IN Equity","EARN_FOR_COMMON","FY 2011","FY 2011","Currency=INR","Period=FY","BEST_FPERIOD_OVERRIDE=FY","FILING_STATUS=MR","EQY_CONSOLIDATED=Y","SCALING_FORMAT=MLN","FA_ADJUSTED=GAAP","Sort=A","Dates=H","DateFormat=P","Fill=—","Direction=H","UseDPDF=Y")</f>
        <v>13450</v>
      </c>
      <c r="F44" s="13">
        <f>_xll.BDH("RCOM IN Equity","EARN_FOR_COMMON","FY 2012","FY 2012","Currency=INR","Period=FY","BEST_FPERIOD_OVERRIDE=FY","FILING_STATUS=MR","EQY_CONSOLIDATED=Y","SCALING_FORMAT=MLN","FA_ADJUSTED=GAAP","Sort=A","Dates=H","DateFormat=P","Fill=—","Direction=H","UseDPDF=Y")</f>
        <v>9280</v>
      </c>
      <c r="G44" s="13">
        <f>_xll.BDH("RCOM IN Equity","EARN_FOR_COMMON","FY 2013","FY 2013","Currency=INR","Period=FY","BEST_FPERIOD_OVERRIDE=FY","FILING_STATUS=MR","EQY_CONSOLIDATED=Y","SCALING_FORMAT=MLN","FA_ADJUSTED=GAAP","Sort=A","Dates=H","DateFormat=P","Fill=—","Direction=H","UseDPDF=Y")</f>
        <v>6720</v>
      </c>
      <c r="H44" s="13">
        <f>_xll.BDH("RCOM IN Equity","EARN_FOR_COMMON","FY 2014","FY 2014","Currency=INR","Period=FY","BEST_FPERIOD_OVERRIDE=FY","FILING_STATUS=MR","EQY_CONSOLIDATED=Y","SCALING_FORMAT=MLN","FA_ADJUSTED=GAAP","Sort=A","Dates=H","DateFormat=P","Fill=—","Direction=H","UseDPDF=Y")</f>
        <v>10470</v>
      </c>
      <c r="I44" s="13">
        <f>_xll.BDH("RCOM IN Equity","EARN_FOR_COMMON","FY 2015","FY 2015","Currency=INR","Period=FY","BEST_FPERIOD_OVERRIDE=FY","FILING_STATUS=MR","EQY_CONSOLIDATED=Y","SCALING_FORMAT=MLN","FA_ADJUSTED=GAAP","Sort=A","Dates=H","DateFormat=P","Fill=—","Direction=H","UseDPDF=Y")</f>
        <v>7140</v>
      </c>
      <c r="J44" s="13">
        <f>_xll.BDH("RCOM IN Equity","EARN_FOR_COMMON","FY 2016","FY 2016","Currency=INR","Period=FY","BEST_FPERIOD_OVERRIDE=FY","FILING_STATUS=MR","EQY_CONSOLIDATED=Y","SCALING_FORMAT=MLN","FA_ADJUSTED=GAAP","Sort=A","Dates=H","DateFormat=P","Fill=—","Direction=H","UseDPDF=Y")</f>
        <v>6390</v>
      </c>
      <c r="K44" s="13">
        <f>_xll.BDH("RCOM IN Equity","EARN_FOR_COMMON","FY 2017","FY 2017","Currency=INR","Period=FY","BEST_FPERIOD_OVERRIDE=FY","FILING_STATUS=MR","EQY_CONSOLIDATED=Y","SCALING_FORMAT=MLN","FA_ADJUSTED=GAAP","Sort=A","Dates=H","DateFormat=P","Fill=—","Direction=H","UseDPDF=Y")</f>
        <v>-14030</v>
      </c>
      <c r="L44" s="13">
        <f>_xll.BDH("RCOM IN Equity","EARN_FOR_COMMON","FY 2018","FY 2018","Currency=INR","Period=FY","BEST_FPERIOD_OVERRIDE=FY","FILING_STATUS=MR","EQY_CONSOLIDATED=Y","SCALING_FORMAT=MLN","FA_ADJUSTED=GAAP","Sort=A","Dates=H","DateFormat=P","Fill=—","Direction=H","UseDPDF=Y")</f>
        <v>-238390</v>
      </c>
    </row>
    <row r="45" spans="1:12">
      <c r="A45" s="10" t="s">
        <v>99</v>
      </c>
      <c r="B45" s="10" t="s">
        <v>48</v>
      </c>
      <c r="C45" s="13">
        <f>_xll.BDH("RCOM IN Equity","EARN_FOR_COMMON","FY 2009","FY 2009","Currency=INR","Period=FY","BEST_FPERIOD_OVERRIDE=FY","FILING_STATUS=MR","EQY_CONSOLIDATED=Y","SCALING_FORMAT=MLN","FA_ADJUSTED=Adjusted","Sort=A","Dates=H","DateFormat=P","Fill=—","Direction=H","UseDPDF=Y")</f>
        <v>58284.502099999998</v>
      </c>
      <c r="D45" s="13">
        <f>_xll.BDH("RCOM IN Equity","EARN_FOR_COMMON","FY 2010","FY 2010","Currency=INR","Period=FY","BEST_FPERIOD_OVERRIDE=FY","FILING_STATUS=MR","EQY_CONSOLIDATED=Y","SCALING_FORMAT=MLN","FA_ADJUSTED=Adjusted","Sort=A","Dates=H","DateFormat=P","Fill=—","Direction=H","UseDPDF=Y")</f>
        <v>47190.099000000002</v>
      </c>
      <c r="E45" s="13">
        <f>_xll.BDH("RCOM IN Equity","EARN_FOR_COMMON","FY 2011","FY 2011","Currency=INR","Period=FY","BEST_FPERIOD_OVERRIDE=FY","FILING_STATUS=MR","EQY_CONSOLIDATED=Y","SCALING_FORMAT=MLN","FA_ADJUSTED=Adjusted","Sort=A","Dates=H","DateFormat=P","Fill=—","Direction=H","UseDPDF=Y")</f>
        <v>10829.2125</v>
      </c>
      <c r="F45" s="13">
        <f>_xll.BDH("RCOM IN Equity","EARN_FOR_COMMON","FY 2012","FY 2012","Currency=INR","Period=FY","BEST_FPERIOD_OVERRIDE=FY","FILING_STATUS=MR","EQY_CONSOLIDATED=Y","SCALING_FORMAT=MLN","FA_ADJUSTED=Adjusted","Sort=A","Dates=H","DateFormat=P","Fill=—","Direction=H","UseDPDF=Y")</f>
        <v>11576.7</v>
      </c>
      <c r="G45" s="13">
        <f>_xll.BDH("RCOM IN Equity","EARN_FOR_COMMON","FY 2013","FY 2013","Currency=INR","Period=FY","BEST_FPERIOD_OVERRIDE=FY","FILING_STATUS=MR","EQY_CONSOLIDATED=Y","SCALING_FORMAT=MLN","FA_ADJUSTED=Adjusted","Sort=A","Dates=H","DateFormat=P","Fill=—","Direction=H","UseDPDF=Y")</f>
        <v>6686.9949999999999</v>
      </c>
      <c r="H45" s="13">
        <f>_xll.BDH("RCOM IN Equity","EARN_FOR_COMMON","FY 2014","FY 2014","Currency=INR","Period=FY","BEST_FPERIOD_OVERRIDE=FY","FILING_STATUS=MR","EQY_CONSOLIDATED=Y","SCALING_FORMAT=MLN","FA_ADJUSTED=Adjusted","Sort=A","Dates=H","DateFormat=P","Fill=—","Direction=H","UseDPDF=Y")</f>
        <v>10542.611000000001</v>
      </c>
      <c r="I45" s="13">
        <f>_xll.BDH("RCOM IN Equity","EARN_FOR_COMMON","FY 2015","FY 2015","Currency=INR","Period=FY","BEST_FPERIOD_OVERRIDE=FY","FILING_STATUS=MR","EQY_CONSOLIDATED=Y","SCALING_FORMAT=MLN","FA_ADJUSTED=Adjusted","Sort=A","Dates=H","DateFormat=P","Fill=—","Direction=H","UseDPDF=Y")</f>
        <v>6930.7520000000004</v>
      </c>
      <c r="J45" s="13">
        <f>_xll.BDH("RCOM IN Equity","EARN_FOR_COMMON","FY 2016","FY 2016","Currency=INR","Period=FY","BEST_FPERIOD_OVERRIDE=FY","FILING_STATUS=MR","EQY_CONSOLIDATED=Y","SCALING_FORMAT=MLN","FA_ADJUSTED=Adjusted","Sort=A","Dates=H","DateFormat=P","Fill=—","Direction=H","UseDPDF=Y")</f>
        <v>4984.1149999999998</v>
      </c>
      <c r="K45" s="13">
        <f>_xll.BDH("RCOM IN Equity","EARN_FOR_COMMON","FY 2017","FY 2017","Currency=INR","Period=FY","BEST_FPERIOD_OVERRIDE=FY","FILING_STATUS=MR","EQY_CONSOLIDATED=Y","SCALING_FORMAT=MLN","FA_ADJUSTED=Adjusted","Sort=A","Dates=H","DateFormat=P","Fill=—","Direction=H","UseDPDF=Y")</f>
        <v>1250</v>
      </c>
      <c r="L45" s="13">
        <f>_xll.BDH("RCOM IN Equity","EARN_FOR_COMMON","FY 2018","FY 2018","Currency=INR","Period=FY","BEST_FPERIOD_OVERRIDE=FY","FILING_STATUS=MR","EQY_CONSOLIDATED=Y","SCALING_FORMAT=MLN","FA_ADJUSTED=Adjusted","Sort=A","Dates=H","DateFormat=P","Fill=—","Direction=H","UseDPDF=Y")</f>
        <v>490</v>
      </c>
    </row>
    <row r="46" spans="1:12">
      <c r="A46" s="7" t="s">
        <v>57</v>
      </c>
      <c r="B46" s="7"/>
      <c r="C46" s="7" t="s">
        <v>3</v>
      </c>
      <c r="D46" s="7"/>
      <c r="E46" s="7"/>
      <c r="F46" s="7"/>
      <c r="G46" s="7"/>
      <c r="H46" s="7"/>
      <c r="I46" s="7"/>
      <c r="J46" s="7"/>
      <c r="K46" s="7"/>
      <c r="L4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1718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10" t="s">
        <v>364</v>
      </c>
      <c r="B6" s="10" t="s">
        <v>227</v>
      </c>
      <c r="C6" s="14">
        <f>_xll.BDH("RCOM IN Equity","EQY_DPS","FY 2009","FY 2009","Currency=INR","Period=FY","BEST_FPERIOD_OVERRIDE=FY","FILING_STATUS=MR","EQY_CONSOLIDATED=Y","Sort=A","Dates=H","DateFormat=P","Fill=—","Direction=H","UseDPDF=Y")</f>
        <v>0.8</v>
      </c>
      <c r="D6" s="14">
        <f>_xll.BDH("RCOM IN Equity","EQY_DPS","FY 2010","FY 2010","Currency=INR","Period=FY","BEST_FPERIOD_OVERRIDE=FY","FILING_STATUS=MR","EQY_CONSOLIDATED=Y","Sort=A","Dates=H","DateFormat=P","Fill=—","Direction=H","UseDPDF=Y")</f>
        <v>0.85</v>
      </c>
      <c r="E6" s="14">
        <f>_xll.BDH("RCOM IN Equity","EQY_DPS","FY 2011","FY 2011","Currency=INR","Period=FY","BEST_FPERIOD_OVERRIDE=FY","FILING_STATUS=MR","EQY_CONSOLIDATED=Y","Sort=A","Dates=H","DateFormat=P","Fill=—","Direction=H","UseDPDF=Y")</f>
        <v>0.5</v>
      </c>
      <c r="F6" s="14">
        <f>_xll.BDH("RCOM IN Equity","EQY_DPS","FY 2012","FY 2012","Currency=INR","Period=FY","BEST_FPERIOD_OVERRIDE=FY","FILING_STATUS=MR","EQY_CONSOLIDATED=Y","Sort=A","Dates=H","DateFormat=P","Fill=—","Direction=H","UseDPDF=Y")</f>
        <v>0.25</v>
      </c>
      <c r="G6" s="14">
        <f>_xll.BDH("RCOM IN Equity","EQY_DPS","FY 2013","FY 2013","Currency=INR","Period=FY","BEST_FPERIOD_OVERRIDE=FY","FILING_STATUS=MR","EQY_CONSOLIDATED=Y","Sort=A","Dates=H","DateFormat=P","Fill=—","Direction=H","UseDPDF=Y")</f>
        <v>0.25</v>
      </c>
      <c r="H6" s="14">
        <f>_xll.BDH("RCOM IN Equity","EQY_DPS","FY 2014","FY 2014","Currency=INR","Period=FY","BEST_FPERIOD_OVERRIDE=FY","FILING_STATUS=MR","EQY_CONSOLIDATED=Y","Sort=A","Dates=H","DateFormat=P","Fill=—","Direction=H","UseDPDF=Y")</f>
        <v>0</v>
      </c>
      <c r="I6" s="14">
        <f>_xll.BDH("RCOM IN Equity","EQY_DPS","FY 2015","FY 2015","Currency=INR","Period=FY","BEST_FPERIOD_OVERRIDE=FY","FILING_STATUS=MR","EQY_CONSOLIDATED=Y","Sort=A","Dates=H","DateFormat=P","Fill=—","Direction=H","UseDPDF=Y")</f>
        <v>0</v>
      </c>
      <c r="J6" s="14">
        <f>_xll.BDH("RCOM IN Equity","EQY_DPS","FY 2016","FY 2016","Currency=INR","Period=FY","BEST_FPERIOD_OVERRIDE=FY","FILING_STATUS=MR","EQY_CONSOLIDATED=Y","Sort=A","Dates=H","DateFormat=P","Fill=—","Direction=H","UseDPDF=Y")</f>
        <v>0</v>
      </c>
      <c r="K6" s="14">
        <f>_xll.BDH("RCOM IN Equity","EQY_DPS","FY 2017","FY 2017","Currency=INR","Period=FY","BEST_FPERIOD_OVERRIDE=FY","FILING_STATUS=MR","EQY_CONSOLIDATED=Y","Sort=A","Dates=H","DateFormat=P","Fill=—","Direction=H","UseDPDF=Y")</f>
        <v>0</v>
      </c>
      <c r="L6" s="14">
        <f>_xll.BDH("RCOM IN Equity","EQY_DPS","FY 2018","FY 2018","Currency=INR","Period=FY","BEST_FPERIOD_OVERRIDE=FY","FILING_STATUS=MR","EQY_CONSOLIDATED=Y","Sort=A","Dates=H","DateFormat=P","Fill=—","Direction=H","UseDPDF=Y")</f>
        <v>0</v>
      </c>
    </row>
    <row r="7" spans="1:12">
      <c r="A7" s="10" t="s">
        <v>1719</v>
      </c>
      <c r="B7" s="10" t="s">
        <v>1498</v>
      </c>
      <c r="C7" s="14" t="str">
        <f>_xll.BDH("RCOM IN Equity","GEO_GROW_DVD_PER_SH","FY 2009","FY 2009","Currency=INR","Period=FY","BEST_FPERIOD_OVERRIDE=FY","FILING_STATUS=MR","EQY_CONSOLIDATED=Y","Sort=A","Dates=H","DateFormat=P","Fill=—","Direction=H","UseDPDF=Y")</f>
        <v>—</v>
      </c>
      <c r="D7" s="14" t="str">
        <f>_xll.BDH("RCOM IN Equity","GEO_GROW_DVD_PER_SH","FY 2010","FY 2010","Currency=INR","Period=FY","BEST_FPERIOD_OVERRIDE=FY","FILING_STATUS=MR","EQY_CONSOLIDATED=Y","Sort=A","Dates=H","DateFormat=P","Fill=—","Direction=H","UseDPDF=Y")</f>
        <v>—</v>
      </c>
      <c r="E7" s="14" t="str">
        <f>_xll.BDH("RCOM IN Equity","GEO_GROW_DVD_PER_SH","FY 2011","FY 2011","Currency=INR","Period=FY","BEST_FPERIOD_OVERRIDE=FY","FILING_STATUS=MR","EQY_CONSOLIDATED=Y","Sort=A","Dates=H","DateFormat=P","Fill=—","Direction=H","UseDPDF=Y")</f>
        <v>—</v>
      </c>
      <c r="F7" s="14" t="str">
        <f>_xll.BDH("RCOM IN Equity","GEO_GROW_DVD_PER_SH","FY 2012","FY 2012","Currency=INR","Period=FY","BEST_FPERIOD_OVERRIDE=FY","FILING_STATUS=MR","EQY_CONSOLIDATED=Y","Sort=A","Dates=H","DateFormat=P","Fill=—","Direction=H","UseDPDF=Y")</f>
        <v>—</v>
      </c>
      <c r="G7" s="14">
        <f>_xll.BDH("RCOM IN Equity","GEO_GROW_DVD_PER_SH","FY 2013","FY 2013","Currency=INR","Period=FY","BEST_FPERIOD_OVERRIDE=FY","FILING_STATUS=MR","EQY_CONSOLIDATED=Y","Sort=A","Dates=H","DateFormat=P","Fill=—","Direction=H","UseDPDF=Y")</f>
        <v>-19.7258</v>
      </c>
      <c r="H7" s="14">
        <f>_xll.BDH("RCOM IN Equity","GEO_GROW_DVD_PER_SH","FY 2014","FY 2014","Currency=INR","Period=FY","BEST_FPERIOD_OVERRIDE=FY","FILING_STATUS=MR","EQY_CONSOLIDATED=Y","Sort=A","Dates=H","DateFormat=P","Fill=—","Direction=H","UseDPDF=Y")</f>
        <v>-100</v>
      </c>
      <c r="I7" s="14">
        <f>_xll.BDH("RCOM IN Equity","GEO_GROW_DVD_PER_SH","FY 2015","FY 2015","Currency=INR","Period=FY","BEST_FPERIOD_OVERRIDE=FY","FILING_STATUS=MR","EQY_CONSOLIDATED=Y","Sort=A","Dates=H","DateFormat=P","Fill=—","Direction=H","UseDPDF=Y")</f>
        <v>-100</v>
      </c>
      <c r="J7" s="14">
        <f>_xll.BDH("RCOM IN Equity","GEO_GROW_DVD_PER_SH","FY 2016","FY 2016","Currency=INR","Period=FY","BEST_FPERIOD_OVERRIDE=FY","FILING_STATUS=MR","EQY_CONSOLIDATED=Y","Sort=A","Dates=H","DateFormat=P","Fill=—","Direction=H","UseDPDF=Y")</f>
        <v>-100</v>
      </c>
      <c r="K7" s="14">
        <f>_xll.BDH("RCOM IN Equity","GEO_GROW_DVD_PER_SH","FY 2017","FY 2017","Currency=INR","Period=FY","BEST_FPERIOD_OVERRIDE=FY","FILING_STATUS=MR","EQY_CONSOLIDATED=Y","Sort=A","Dates=H","DateFormat=P","Fill=—","Direction=H","UseDPDF=Y")</f>
        <v>-100</v>
      </c>
      <c r="L7" s="14">
        <f>_xll.BDH("RCOM IN Equity","GEO_GROW_DVD_PER_SH","FY 2018","FY 2018","Currency=INR","Period=FY","BEST_FPERIOD_OVERRIDE=FY","FILING_STATUS=MR","EQY_CONSOLIDATED=Y","Sort=A","Dates=H","DateFormat=P","Fill=—","Direction=H","UseDPDF=Y")</f>
        <v>-100</v>
      </c>
    </row>
    <row r="8" spans="1:12">
      <c r="A8" s="10" t="s">
        <v>1707</v>
      </c>
      <c r="B8" s="10" t="s">
        <v>1708</v>
      </c>
      <c r="C8" s="14">
        <f>_xll.BDH("RCOM IN Equity","DIVIDEND_12_MONTH_YIELD","FY 2009","FY 2009","Currency=INR","Period=FY","BEST_FPERIOD_OVERRIDE=FY","FILING_STATUS=MR","EQY_CONSOLIDATED=Y","Sort=A","Dates=H","DateFormat=P","Fill=—","Direction=H","UseDPDF=Y")</f>
        <v>0.4289</v>
      </c>
      <c r="D8" s="14">
        <f>_xll.BDH("RCOM IN Equity","DIVIDEND_12_MONTH_YIELD","FY 2010","FY 2010","Currency=INR","Period=FY","BEST_FPERIOD_OVERRIDE=FY","FILING_STATUS=MR","EQY_CONSOLIDATED=Y","Sort=A","Dates=H","DateFormat=P","Fill=—","Direction=H","UseDPDF=Y")</f>
        <v>0.47070000000000001</v>
      </c>
      <c r="E8" s="14">
        <f>_xll.BDH("RCOM IN Equity","DIVIDEND_12_MONTH_YIELD","FY 2011","FY 2011","Currency=INR","Period=FY","BEST_FPERIOD_OVERRIDE=FY","FILING_STATUS=MR","EQY_CONSOLIDATED=Y","Sort=A","Dates=H","DateFormat=P","Fill=—","Direction=H","UseDPDF=Y")</f>
        <v>0.78959999999999997</v>
      </c>
      <c r="F8" s="14">
        <f>_xll.BDH("RCOM IN Equity","DIVIDEND_12_MONTH_YIELD","FY 2012","FY 2012","Currency=INR","Period=FY","BEST_FPERIOD_OVERRIDE=FY","FILING_STATUS=MR","EQY_CONSOLIDATED=Y","Sort=A","Dates=H","DateFormat=P","Fill=—","Direction=H","UseDPDF=Y")</f>
        <v>0.59489999999999998</v>
      </c>
      <c r="G8" s="14">
        <f>_xll.BDH("RCOM IN Equity","DIVIDEND_12_MONTH_YIELD","FY 2013","FY 2013","Currency=INR","Period=FY","BEST_FPERIOD_OVERRIDE=FY","FILING_STATUS=MR","EQY_CONSOLIDATED=Y","Sort=A","Dates=H","DateFormat=P","Fill=—","Direction=H","UseDPDF=Y")</f>
        <v>0.4521</v>
      </c>
      <c r="H8" s="14">
        <f>_xll.BDH("RCOM IN Equity","DIVIDEND_12_MONTH_YIELD","FY 2014","FY 2014","Currency=INR","Period=FY","BEST_FPERIOD_OVERRIDE=FY","FILING_STATUS=MR","EQY_CONSOLIDATED=Y","Sort=A","Dates=H","DateFormat=P","Fill=—","Direction=H","UseDPDF=Y")</f>
        <v>0.19389999999999999</v>
      </c>
      <c r="I8" s="14">
        <f>_xll.BDH("RCOM IN Equity","DIVIDEND_12_MONTH_YIELD","FY 2015","FY 2015","Currency=INR","Period=FY","BEST_FPERIOD_OVERRIDE=FY","FILING_STATUS=MR","EQY_CONSOLIDATED=Y","Sort=A","Dates=H","DateFormat=P","Fill=—","Direction=H","UseDPDF=Y")</f>
        <v>0.2087</v>
      </c>
      <c r="J8" s="14" t="str">
        <f>_xll.BDH("RCOM IN Equity","DIVIDEND_12_MONTH_YIELD","FY 2016","FY 2016","Currency=INR","Period=FY","BEST_FPERIOD_OVERRIDE=FY","FILING_STATUS=MR","EQY_CONSOLIDATED=Y","Sort=A","Dates=H","DateFormat=P","Fill=—","Direction=H","UseDPDF=Y")</f>
        <v>—</v>
      </c>
      <c r="K8" s="14" t="str">
        <f>_xll.BDH("RCOM IN Equity","DIVIDEND_12_MONTH_YIELD","FY 2017","FY 2017","Currency=INR","Period=FY","BEST_FPERIOD_OVERRIDE=FY","FILING_STATUS=MR","EQY_CONSOLIDATED=Y","Sort=A","Dates=H","DateFormat=P","Fill=—","Direction=H","UseDPDF=Y")</f>
        <v>—</v>
      </c>
      <c r="L8" s="14" t="str">
        <f>_xll.BDH("RCOM IN Equity","DIVIDEND_12_MONTH_YIELD","FY 2018","FY 2018","Currency=INR","Period=FY","BEST_FPERIOD_OVERRIDE=FY","FILING_STATUS=MR","EQY_CONSOLIDATED=Y","Sort=A","Dates=H","DateFormat=P","Fill=—","Direction=H","UseDPDF=Y")</f>
        <v>—</v>
      </c>
    </row>
    <row r="9" spans="1:12">
      <c r="A9" s="10" t="s">
        <v>1706</v>
      </c>
      <c r="B9" s="10" t="s">
        <v>1445</v>
      </c>
      <c r="C9" s="14">
        <f>_xll.BDH("RCOM IN Equity","DVD_PAYOUT_RATIO","FY 2009","FY 2009","Currency=INR","Period=FY","BEST_FPERIOD_OVERRIDE=FY","FILING_STATUS=MR","EQY_CONSOLIDATED=Y","FA_ADJUSTED=GAAP","Sort=A","Dates=H","DateFormat=P","Fill=—","Direction=H","UseDPDF=Y")</f>
        <v>2.7315</v>
      </c>
      <c r="D9" s="14">
        <f>_xll.BDH("RCOM IN Equity","DVD_PAYOUT_RATIO","FY 2010","FY 2010","Currency=INR","Period=FY","BEST_FPERIOD_OVERRIDE=FY","FILING_STATUS=MR","EQY_CONSOLIDATED=Y","FA_ADJUSTED=GAAP","Sort=A","Dates=H","DateFormat=P","Fill=—","Direction=H","UseDPDF=Y")</f>
        <v>3.7688999999999999</v>
      </c>
      <c r="E9" s="14">
        <f>_xll.BDH("RCOM IN Equity","DVD_PAYOUT_RATIO","FY 2011","FY 2011","Currency=INR","Period=FY","BEST_FPERIOD_OVERRIDE=FY","FILING_STATUS=MR","EQY_CONSOLIDATED=Y","FA_ADJUSTED=GAAP","Sort=A","Dates=H","DateFormat=P","Fill=—","Direction=H","UseDPDF=Y")</f>
        <v>7.6580000000000004</v>
      </c>
      <c r="F9" s="14">
        <f>_xll.BDH("RCOM IN Equity","DVD_PAYOUT_RATIO","FY 2012","FY 2012","Currency=INR","Period=FY","BEST_FPERIOD_OVERRIDE=FY","FILING_STATUS=MR","EQY_CONSOLIDATED=Y","FA_ADJUSTED=GAAP","Sort=A","Dates=H","DateFormat=P","Fill=—","Direction=H","UseDPDF=Y")</f>
        <v>5.6033999999999997</v>
      </c>
      <c r="G9" s="14">
        <f>_xll.BDH("RCOM IN Equity","DVD_PAYOUT_RATIO","FY 2013","FY 2013","Currency=INR","Period=FY","BEST_FPERIOD_OVERRIDE=FY","FILING_STATUS=MR","EQY_CONSOLIDATED=Y","FA_ADJUSTED=GAAP","Sort=A","Dates=H","DateFormat=P","Fill=—","Direction=H","UseDPDF=Y")</f>
        <v>7.7381000000000002</v>
      </c>
      <c r="H9" s="14">
        <f>_xll.BDH("RCOM IN Equity","DVD_PAYOUT_RATIO","FY 2014","FY 2014","Currency=INR","Period=FY","BEST_FPERIOD_OVERRIDE=FY","FILING_STATUS=MR","EQY_CONSOLIDATED=Y","FA_ADJUSTED=GAAP","Sort=A","Dates=H","DateFormat=P","Fill=—","Direction=H","UseDPDF=Y")</f>
        <v>0</v>
      </c>
      <c r="I9" s="14">
        <f>_xll.BDH("RCOM IN Equity","DVD_PAYOUT_RATIO","FY 2015","FY 2015","Currency=INR","Period=FY","BEST_FPERIOD_OVERRIDE=FY","FILING_STATUS=MR","EQY_CONSOLIDATED=Y","FA_ADJUSTED=GAAP","Sort=A","Dates=H","DateFormat=P","Fill=—","Direction=H","UseDPDF=Y")</f>
        <v>0</v>
      </c>
      <c r="J9" s="14">
        <f>_xll.BDH("RCOM IN Equity","DVD_PAYOUT_RATIO","FY 2016","FY 2016","Currency=INR","Period=FY","BEST_FPERIOD_OVERRIDE=FY","FILING_STATUS=MR","EQY_CONSOLIDATED=Y","FA_ADJUSTED=GAAP","Sort=A","Dates=H","DateFormat=P","Fill=—","Direction=H","UseDPDF=Y")</f>
        <v>0</v>
      </c>
      <c r="K9" s="14">
        <f>_xll.BDH("RCOM IN Equity","DVD_PAYOUT_RATIO","FY 2017","FY 2017","Currency=INR","Period=FY","BEST_FPERIOD_OVERRIDE=FY","FILING_STATUS=MR","EQY_CONSOLIDATED=Y","FA_ADJUSTED=GAAP","Sort=A","Dates=H","DateFormat=P","Fill=—","Direction=H","UseDPDF=Y")</f>
        <v>0</v>
      </c>
      <c r="L9" s="14">
        <f>_xll.BDH("RCOM IN Equity","DVD_PAYOUT_RATIO","FY 2018","FY 2018","Currency=INR","Period=FY","BEST_FPERIOD_OVERRIDE=FY","FILING_STATUS=MR","EQY_CONSOLIDATED=Y","FA_ADJUSTED=GAAP","Sort=A","Dates=H","DateFormat=P","Fill=—","Direction=H","UseDPDF=Y")</f>
        <v>0</v>
      </c>
    </row>
    <row r="10" spans="1:12">
      <c r="A10" s="10" t="s">
        <v>1720</v>
      </c>
      <c r="B10" s="10" t="s">
        <v>1721</v>
      </c>
      <c r="C10" s="14">
        <f>_xll.BDH("RCOM IN Equity","CASH_DVD_COVERAGE","FY 2009","FY 2009","Currency=INR","Period=FY","BEST_FPERIOD_OVERRIDE=FY","FILING_STATUS=MR","EQY_CONSOLIDATED=Y","FA_ADJUSTED=GAAP","Sort=A","Dates=H","DateFormat=P","Fill=—","Direction=H","UseDPDF=Y")</f>
        <v>36.609299999999998</v>
      </c>
      <c r="D10" s="14">
        <f>_xll.BDH("RCOM IN Equity","CASH_DVD_COVERAGE","FY 2010","FY 2010","Currency=INR","Period=FY","BEST_FPERIOD_OVERRIDE=FY","FILING_STATUS=MR","EQY_CONSOLIDATED=Y","FA_ADJUSTED=GAAP","Sort=A","Dates=H","DateFormat=P","Fill=—","Direction=H","UseDPDF=Y")</f>
        <v>26.533300000000001</v>
      </c>
      <c r="E10" s="14">
        <f>_xll.BDH("RCOM IN Equity","CASH_DVD_COVERAGE","FY 2011","FY 2011","Currency=INR","Period=FY","BEST_FPERIOD_OVERRIDE=FY","FILING_STATUS=MR","EQY_CONSOLIDATED=Y","FA_ADJUSTED=GAAP","Sort=A","Dates=H","DateFormat=P","Fill=—","Direction=H","UseDPDF=Y")</f>
        <v>13.058299999999999</v>
      </c>
      <c r="F10" s="14">
        <f>_xll.BDH("RCOM IN Equity","CASH_DVD_COVERAGE","FY 2012","FY 2012","Currency=INR","Period=FY","BEST_FPERIOD_OVERRIDE=FY","FILING_STATUS=MR","EQY_CONSOLIDATED=Y","FA_ADJUSTED=GAAP","Sort=A","Dates=H","DateFormat=P","Fill=—","Direction=H","UseDPDF=Y")</f>
        <v>17.8462</v>
      </c>
      <c r="G10" s="14">
        <f>_xll.BDH("RCOM IN Equity","CASH_DVD_COVERAGE","FY 2013","FY 2013","Currency=INR","Period=FY","BEST_FPERIOD_OVERRIDE=FY","FILING_STATUS=MR","EQY_CONSOLIDATED=Y","FA_ADJUSTED=GAAP","Sort=A","Dates=H","DateFormat=P","Fill=—","Direction=H","UseDPDF=Y")</f>
        <v>12.9231</v>
      </c>
      <c r="H10" s="14" t="str">
        <f>_xll.BDH("RCOM IN Equity","CASH_DVD_COVERAGE","FY 2014","FY 2014","Currency=INR","Period=FY","BEST_FPERIOD_OVERRIDE=FY","FILING_STATUS=MR","EQY_CONSOLIDATED=Y","FA_ADJUSTED=GAAP","Sort=A","Dates=H","DateFormat=P","Fill=—","Direction=H","UseDPDF=Y")</f>
        <v>—</v>
      </c>
      <c r="I10" s="14" t="str">
        <f>_xll.BDH("RCOM IN Equity","CASH_DVD_COVERAGE","FY 2015","FY 2015","Currency=INR","Period=FY","BEST_FPERIOD_OVERRIDE=FY","FILING_STATUS=MR","EQY_CONSOLIDATED=Y","FA_ADJUSTED=GAAP","Sort=A","Dates=H","DateFormat=P","Fill=—","Direction=H","UseDPDF=Y")</f>
        <v>—</v>
      </c>
      <c r="J10" s="14" t="str">
        <f>_xll.BDH("RCOM IN Equity","CASH_DVD_COVERAGE","FY 2016","FY 2016","Currency=INR","Period=FY","BEST_FPERIOD_OVERRIDE=FY","FILING_STATUS=MR","EQY_CONSOLIDATED=Y","FA_ADJUSTED=GAAP","Sort=A","Dates=H","DateFormat=P","Fill=—","Direction=H","UseDPDF=Y")</f>
        <v>—</v>
      </c>
      <c r="K10" s="14" t="str">
        <f>_xll.BDH("RCOM IN Equity","CASH_DVD_COVERAGE","FY 2017","FY 2017","Currency=INR","Period=FY","BEST_FPERIOD_OVERRIDE=FY","FILING_STATUS=MR","EQY_CONSOLIDATED=Y","FA_ADJUSTED=GAAP","Sort=A","Dates=H","DateFormat=P","Fill=—","Direction=H","UseDPDF=Y")</f>
        <v>—</v>
      </c>
      <c r="L10" s="14" t="str">
        <f>_xll.BDH("RCOM IN Equity","CASH_DVD_COVERAGE","FY 2018","FY 2018","Currency=INR","Period=FY","BEST_FPERIOD_OVERRIDE=FY","FILING_STATUS=MR","EQY_CONSOLIDATED=Y","FA_ADJUSTED=GAAP","Sort=A","Dates=H","DateFormat=P","Fill=—","Direction=H","UseDPDF=Y")</f>
        <v>—</v>
      </c>
    </row>
    <row r="11" spans="1:12">
      <c r="A11" s="10" t="s">
        <v>1390</v>
      </c>
      <c r="B11" s="10" t="s">
        <v>1266</v>
      </c>
      <c r="C11" s="13">
        <f>_xll.BDH("RCOM IN Equity","CF_DVD_PAID","FY 2009","FY 2009","Currency=INR","Period=FY","BEST_FPERIOD_OVERRIDE=FY","FILING_STATUS=MR","EQY_CONSOLIDATED=Y","SCALING_FORMAT=MLN","Sort=A","Dates=H","DateFormat=P","Fill=—","Direction=H","UseDPDF=Y")</f>
        <v>-1792.3</v>
      </c>
      <c r="D11" s="13">
        <f>_xll.BDH("RCOM IN Equity","CF_DVD_PAID","FY 2010","FY 2010","Currency=INR","Period=FY","BEST_FPERIOD_OVERRIDE=FY","FILING_STATUS=MR","EQY_CONSOLIDATED=Y","SCALING_FORMAT=MLN","Sort=A","Dates=H","DateFormat=P","Fill=—","Direction=H","UseDPDF=Y")</f>
        <v>-1910.6</v>
      </c>
      <c r="E11" s="13">
        <f>_xll.BDH("RCOM IN Equity","CF_DVD_PAID","FY 2011","FY 2011","Currency=INR","Period=FY","BEST_FPERIOD_OVERRIDE=FY","FILING_STATUS=MR","EQY_CONSOLIDATED=Y","SCALING_FORMAT=MLN","Sort=A","Dates=H","DateFormat=P","Fill=—","Direction=H","UseDPDF=Y")</f>
        <v>-2020</v>
      </c>
      <c r="F11" s="13">
        <f>_xll.BDH("RCOM IN Equity","CF_DVD_PAID","FY 2012","FY 2012","Currency=INR","Period=FY","BEST_FPERIOD_OVERRIDE=FY","FILING_STATUS=MR","EQY_CONSOLIDATED=Y","SCALING_FORMAT=MLN","Sort=A","Dates=H","DateFormat=P","Fill=—","Direction=H","UseDPDF=Y")</f>
        <v>-1190</v>
      </c>
      <c r="G11" s="13">
        <f>_xll.BDH("RCOM IN Equity","CF_DVD_PAID","FY 2013","FY 2013","Currency=INR","Period=FY","BEST_FPERIOD_OVERRIDE=FY","FILING_STATUS=MR","EQY_CONSOLIDATED=Y","SCALING_FORMAT=MLN","Sort=A","Dates=H","DateFormat=P","Fill=—","Direction=H","UseDPDF=Y")</f>
        <v>-600</v>
      </c>
      <c r="H11" s="13">
        <f>_xll.BDH("RCOM IN Equity","CF_DVD_PAID","FY 2014","FY 2014","Currency=INR","Period=FY","BEST_FPERIOD_OVERRIDE=FY","FILING_STATUS=MR","EQY_CONSOLIDATED=Y","SCALING_FORMAT=MLN","Sort=A","Dates=H","DateFormat=P","Fill=—","Direction=H","UseDPDF=Y")</f>
        <v>-610</v>
      </c>
      <c r="I11" s="13">
        <f>_xll.BDH("RCOM IN Equity","CF_DVD_PAID","FY 2015","FY 2015","Currency=INR","Period=FY","BEST_FPERIOD_OVERRIDE=FY","FILING_STATUS=MR","EQY_CONSOLIDATED=Y","SCALING_FORMAT=MLN","Sort=A","Dates=H","DateFormat=P","Fill=—","Direction=H","UseDPDF=Y")</f>
        <v>-10</v>
      </c>
      <c r="J11" s="13">
        <f>_xll.BDH("RCOM IN Equity","CF_DVD_PAID","FY 2016","FY 2016","Currency=INR","Period=FY","BEST_FPERIOD_OVERRIDE=FY","FILING_STATUS=MR","EQY_CONSOLIDATED=Y","SCALING_FORMAT=MLN","Sort=A","Dates=H","DateFormat=P","Fill=—","Direction=H","UseDPDF=Y")</f>
        <v>-20</v>
      </c>
      <c r="K11" s="13">
        <f>_xll.BDH("RCOM IN Equity","CF_DVD_PAID","FY 2017","FY 2017","Currency=INR","Period=FY","BEST_FPERIOD_OVERRIDE=FY","FILING_STATUS=MR","EQY_CONSOLIDATED=Y","SCALING_FORMAT=MLN","Sort=A","Dates=H","DateFormat=P","Fill=—","Direction=H","UseDPDF=Y")</f>
        <v>-20</v>
      </c>
      <c r="L11" s="13">
        <f>_xll.BDH("RCOM IN Equity","CF_DVD_PAID","FY 2018","FY 2018","Currency=INR","Period=FY","BEST_FPERIOD_OVERRIDE=FY","FILING_STATUS=MR","EQY_CONSOLIDATED=Y","SCALING_FORMAT=MLN","Sort=A","Dates=H","DateFormat=P","Fill=—","Direction=H","UseDPDF=Y")</f>
        <v>0</v>
      </c>
    </row>
    <row r="12" spans="1:12">
      <c r="A12" s="10" t="s">
        <v>1722</v>
      </c>
      <c r="B12" s="10" t="s">
        <v>340</v>
      </c>
      <c r="C12" s="13">
        <f>_xll.BDH("RCOM IN Equity","IS_TOT_CASH_PFD_DVD","FY 2009","FY 2009","Currency=INR","Period=FY","BEST_FPERIOD_OVERRIDE=FY","FILING_STATUS=MR","EQY_CONSOLIDATED=Y","SCALING_FORMAT=MLN","Sort=A","Dates=H","DateFormat=P","Fill=—","Direction=H","UseDPDF=Y")</f>
        <v>0</v>
      </c>
      <c r="D12" s="13">
        <f>_xll.BDH("RCOM IN Equity","IS_TOT_CASH_PFD_DVD","FY 2010","FY 2010","Currency=INR","Period=FY","BEST_FPERIOD_OVERRIDE=FY","FILING_STATUS=MR","EQY_CONSOLIDATED=Y","SCALING_FORMAT=MLN","Sort=A","Dates=H","DateFormat=P","Fill=—","Direction=H","UseDPDF=Y")</f>
        <v>0</v>
      </c>
      <c r="E12" s="13">
        <f>_xll.BDH("RCOM IN Equity","IS_TOT_CASH_PFD_DVD","FY 2011","FY 2011","Currency=INR","Period=FY","BEST_FPERIOD_OVERRIDE=FY","FILING_STATUS=MR","EQY_CONSOLIDATED=Y","SCALING_FORMAT=MLN","Sort=A","Dates=H","DateFormat=P","Fill=—","Direction=H","UseDPDF=Y")</f>
        <v>0</v>
      </c>
      <c r="F12" s="13">
        <f>_xll.BDH("RCOM IN Equity","IS_TOT_CASH_PFD_DVD","FY 2012","FY 2012","Currency=INR","Period=FY","BEST_FPERIOD_OVERRIDE=FY","FILING_STATUS=MR","EQY_CONSOLIDATED=Y","SCALING_FORMAT=MLN","Sort=A","Dates=H","DateFormat=P","Fill=—","Direction=H","UseDPDF=Y")</f>
        <v>0</v>
      </c>
      <c r="G12" s="13">
        <f>_xll.BDH("RCOM IN Equity","IS_TOT_CASH_PFD_DVD","FY 2013","FY 2013","Currency=INR","Period=FY","BEST_FPERIOD_OVERRIDE=FY","FILING_STATUS=MR","EQY_CONSOLIDATED=Y","SCALING_FORMAT=MLN","Sort=A","Dates=H","DateFormat=P","Fill=—","Direction=H","UseDPDF=Y")</f>
        <v>0</v>
      </c>
      <c r="H12" s="13">
        <f>_xll.BDH("RCOM IN Equity","IS_TOT_CASH_PFD_DVD","FY 2014","FY 2014","Currency=INR","Period=FY","BEST_FPERIOD_OVERRIDE=FY","FILING_STATUS=MR","EQY_CONSOLIDATED=Y","SCALING_FORMAT=MLN","Sort=A","Dates=H","DateFormat=P","Fill=—","Direction=H","UseDPDF=Y")</f>
        <v>0</v>
      </c>
      <c r="I12" s="13">
        <f>_xll.BDH("RCOM IN Equity","IS_TOT_CASH_PFD_DVD","FY 2015","FY 2015","Currency=INR","Period=FY","BEST_FPERIOD_OVERRIDE=FY","FILING_STATUS=MR","EQY_CONSOLIDATED=Y","SCALING_FORMAT=MLN","Sort=A","Dates=H","DateFormat=P","Fill=—","Direction=H","UseDPDF=Y")</f>
        <v>0</v>
      </c>
      <c r="J12" s="13">
        <f>_xll.BDH("RCOM IN Equity","IS_TOT_CASH_PFD_DVD","FY 2016","FY 2016","Currency=INR","Period=FY","BEST_FPERIOD_OVERRIDE=FY","FILING_STATUS=MR","EQY_CONSOLIDATED=Y","SCALING_FORMAT=MLN","Sort=A","Dates=H","DateFormat=P","Fill=—","Direction=H","UseDPDF=Y")</f>
        <v>0</v>
      </c>
      <c r="K12" s="13">
        <f>_xll.BDH("RCOM IN Equity","IS_TOT_CASH_PFD_DVD","FY 2017","FY 2017","Currency=INR","Period=FY","BEST_FPERIOD_OVERRIDE=FY","FILING_STATUS=MR","EQY_CONSOLIDATED=Y","SCALING_FORMAT=MLN","Sort=A","Dates=H","DateFormat=P","Fill=—","Direction=H","UseDPDF=Y")</f>
        <v>0</v>
      </c>
      <c r="L12" s="13">
        <f>_xll.BDH("RCOM IN Equity","IS_TOT_CASH_PFD_DVD","FY 2018","FY 2018","Currency=INR","Period=FY","BEST_FPERIOD_OVERRIDE=FY","FILING_STATUS=MR","EQY_CONSOLIDATED=Y","SCALING_FORMAT=MLN","Sort=A","Dates=H","DateFormat=P","Fill=—","Direction=H","UseDPDF=Y")</f>
        <v>0</v>
      </c>
    </row>
    <row r="13" spans="1:12">
      <c r="A13" s="10" t="s">
        <v>365</v>
      </c>
      <c r="B13" s="10" t="s">
        <v>366</v>
      </c>
      <c r="C13" s="13">
        <f>_xll.BDH("RCOM IN Equity","IS_TOT_CASH_COM_DVD","FY 2009","FY 2009","Currency=INR","Period=FY","BEST_FPERIOD_OVERRIDE=FY","FILING_STATUS=MR","EQY_CONSOLIDATED=Y","SCALING_FORMAT=MLN","Sort=A","Dates=H","DateFormat=P","Fill=—","Direction=H","UseDPDF=Y")</f>
        <v>1651.2</v>
      </c>
      <c r="D13" s="13">
        <f>_xll.BDH("RCOM IN Equity","IS_TOT_CASH_COM_DVD","FY 2010","FY 2010","Currency=INR","Period=FY","BEST_FPERIOD_OVERRIDE=FY","FILING_STATUS=MR","EQY_CONSOLIDATED=Y","SCALING_FORMAT=MLN","Sort=A","Dates=H","DateFormat=P","Fill=—","Direction=H","UseDPDF=Y")</f>
        <v>1754.4</v>
      </c>
      <c r="E13" s="13">
        <f>_xll.BDH("RCOM IN Equity","IS_TOT_CASH_COM_DVD","FY 2011","FY 2011","Currency=INR","Period=FY","BEST_FPERIOD_OVERRIDE=FY","FILING_STATUS=MR","EQY_CONSOLIDATED=Y","SCALING_FORMAT=MLN","Sort=A","Dates=H","DateFormat=P","Fill=—","Direction=H","UseDPDF=Y")</f>
        <v>1030</v>
      </c>
      <c r="F13" s="13">
        <f>_xll.BDH("RCOM IN Equity","IS_TOT_CASH_COM_DVD","FY 2012","FY 2012","Currency=INR","Period=FY","BEST_FPERIOD_OVERRIDE=FY","FILING_STATUS=MR","EQY_CONSOLIDATED=Y","SCALING_FORMAT=MLN","Sort=A","Dates=H","DateFormat=P","Fill=—","Direction=H","UseDPDF=Y")</f>
        <v>520</v>
      </c>
      <c r="G13" s="13">
        <f>_xll.BDH("RCOM IN Equity","IS_TOT_CASH_COM_DVD","FY 2013","FY 2013","Currency=INR","Period=FY","BEST_FPERIOD_OVERRIDE=FY","FILING_STATUS=MR","EQY_CONSOLIDATED=Y","SCALING_FORMAT=MLN","Sort=A","Dates=H","DateFormat=P","Fill=—","Direction=H","UseDPDF=Y")</f>
        <v>520</v>
      </c>
      <c r="H13" s="13">
        <f>_xll.BDH("RCOM IN Equity","IS_TOT_CASH_COM_DVD","FY 2014","FY 2014","Currency=INR","Period=FY","BEST_FPERIOD_OVERRIDE=FY","FILING_STATUS=MR","EQY_CONSOLIDATED=Y","SCALING_FORMAT=MLN","Sort=A","Dates=H","DateFormat=P","Fill=—","Direction=H","UseDPDF=Y")</f>
        <v>0</v>
      </c>
      <c r="I13" s="13">
        <f>_xll.BDH("RCOM IN Equity","IS_TOT_CASH_COM_DVD","FY 2015","FY 2015","Currency=INR","Period=FY","BEST_FPERIOD_OVERRIDE=FY","FILING_STATUS=MR","EQY_CONSOLIDATED=Y","SCALING_FORMAT=MLN","Sort=A","Dates=H","DateFormat=P","Fill=—","Direction=H","UseDPDF=Y")</f>
        <v>0</v>
      </c>
      <c r="J13" s="13">
        <f>_xll.BDH("RCOM IN Equity","IS_TOT_CASH_COM_DVD","FY 2016","FY 2016","Currency=INR","Period=FY","BEST_FPERIOD_OVERRIDE=FY","FILING_STATUS=MR","EQY_CONSOLIDATED=Y","SCALING_FORMAT=MLN","Sort=A","Dates=H","DateFormat=P","Fill=—","Direction=H","UseDPDF=Y")</f>
        <v>0</v>
      </c>
      <c r="K13" s="13">
        <f>_xll.BDH("RCOM IN Equity","IS_TOT_CASH_COM_DVD","FY 2017","FY 2017","Currency=INR","Period=FY","BEST_FPERIOD_OVERRIDE=FY","FILING_STATUS=MR","EQY_CONSOLIDATED=Y","SCALING_FORMAT=MLN","Sort=A","Dates=H","DateFormat=P","Fill=—","Direction=H","UseDPDF=Y")</f>
        <v>0</v>
      </c>
      <c r="L13" s="13">
        <f>_xll.BDH("RCOM IN Equity","IS_TOT_CASH_COM_DVD","FY 2018","FY 2018","Currency=INR","Period=FY","BEST_FPERIOD_OVERRIDE=FY","FILING_STATUS=MR","EQY_CONSOLIDATED=Y","SCALING_FORMAT=MLN","Sort=A","Dates=H","DateFormat=P","Fill=—","Direction=H","UseDPDF=Y")</f>
        <v>0</v>
      </c>
    </row>
    <row r="14" spans="1:12">
      <c r="A14" s="10" t="s">
        <v>1723</v>
      </c>
      <c r="B14" s="10" t="s">
        <v>1724</v>
      </c>
      <c r="C14" s="13">
        <f>_xll.BDH("RCOM IN Equity","TRAIL_12M_PFD_DVD","FY 2009","FY 2009","Currency=INR","Period=FY","BEST_FPERIOD_OVERRIDE=FY","FILING_STATUS=MR","EQY_CONSOLIDATED=Y","SCALING_FORMAT=MLN","Sort=A","Dates=H","DateFormat=P","Fill=—","Direction=H","UseDPDF=Y")</f>
        <v>0</v>
      </c>
      <c r="D14" s="13">
        <f>_xll.BDH("RCOM IN Equity","TRAIL_12M_PFD_DVD","FY 2010","FY 2010","Currency=INR","Period=FY","BEST_FPERIOD_OVERRIDE=FY","FILING_STATUS=MR","EQY_CONSOLIDATED=Y","SCALING_FORMAT=MLN","Sort=A","Dates=H","DateFormat=P","Fill=—","Direction=H","UseDPDF=Y")</f>
        <v>0</v>
      </c>
      <c r="E14" s="13">
        <f>_xll.BDH("RCOM IN Equity","TRAIL_12M_PFD_DVD","FY 2011","FY 2011","Currency=INR","Period=FY","BEST_FPERIOD_OVERRIDE=FY","FILING_STATUS=MR","EQY_CONSOLIDATED=Y","SCALING_FORMAT=MLN","Sort=A","Dates=H","DateFormat=P","Fill=—","Direction=H","UseDPDF=Y")</f>
        <v>0</v>
      </c>
      <c r="F14" s="13">
        <f>_xll.BDH("RCOM IN Equity","TRAIL_12M_PFD_DVD","FY 2012","FY 2012","Currency=INR","Period=FY","BEST_FPERIOD_OVERRIDE=FY","FILING_STATUS=MR","EQY_CONSOLIDATED=Y","SCALING_FORMAT=MLN","Sort=A","Dates=H","DateFormat=P","Fill=—","Direction=H","UseDPDF=Y")</f>
        <v>0</v>
      </c>
      <c r="G14" s="13">
        <f>_xll.BDH("RCOM IN Equity","TRAIL_12M_PFD_DVD","FY 2013","FY 2013","Currency=INR","Period=FY","BEST_FPERIOD_OVERRIDE=FY","FILING_STATUS=MR","EQY_CONSOLIDATED=Y","SCALING_FORMAT=MLN","Sort=A","Dates=H","DateFormat=P","Fill=—","Direction=H","UseDPDF=Y")</f>
        <v>0</v>
      </c>
      <c r="H14" s="13">
        <f>_xll.BDH("RCOM IN Equity","TRAIL_12M_PFD_DVD","FY 2014","FY 2014","Currency=INR","Period=FY","BEST_FPERIOD_OVERRIDE=FY","FILING_STATUS=MR","EQY_CONSOLIDATED=Y","SCALING_FORMAT=MLN","Sort=A","Dates=H","DateFormat=P","Fill=—","Direction=H","UseDPDF=Y")</f>
        <v>0</v>
      </c>
      <c r="I14" s="13">
        <f>_xll.BDH("RCOM IN Equity","TRAIL_12M_PFD_DVD","FY 2015","FY 2015","Currency=INR","Period=FY","BEST_FPERIOD_OVERRIDE=FY","FILING_STATUS=MR","EQY_CONSOLIDATED=Y","SCALING_FORMAT=MLN","Sort=A","Dates=H","DateFormat=P","Fill=—","Direction=H","UseDPDF=Y")</f>
        <v>0</v>
      </c>
      <c r="J14" s="13">
        <f>_xll.BDH("RCOM IN Equity","TRAIL_12M_PFD_DVD","FY 2016","FY 2016","Currency=INR","Period=FY","BEST_FPERIOD_OVERRIDE=FY","FILING_STATUS=MR","EQY_CONSOLIDATED=Y","SCALING_FORMAT=MLN","Sort=A","Dates=H","DateFormat=P","Fill=—","Direction=H","UseDPDF=Y")</f>
        <v>0</v>
      </c>
      <c r="K14" s="13">
        <f>_xll.BDH("RCOM IN Equity","TRAIL_12M_PFD_DVD","FY 2017","FY 2017","Currency=INR","Period=FY","BEST_FPERIOD_OVERRIDE=FY","FILING_STATUS=MR","EQY_CONSOLIDATED=Y","SCALING_FORMAT=MLN","Sort=A","Dates=H","DateFormat=P","Fill=—","Direction=H","UseDPDF=Y")</f>
        <v>0</v>
      </c>
      <c r="L14" s="13">
        <f>_xll.BDH("RCOM IN Equity","TRAIL_12M_PFD_DVD","FY 2018","FY 2018","Currency=INR","Period=FY","BEST_FPERIOD_OVERRIDE=FY","FILING_STATUS=MR","EQY_CONSOLIDATED=Y","SCALING_FORMAT=MLN","Sort=A","Dates=H","DateFormat=P","Fill=—","Direction=H","UseDPDF=Y")</f>
        <v>0</v>
      </c>
    </row>
    <row r="15" spans="1:12">
      <c r="A15" s="10" t="s">
        <v>1725</v>
      </c>
      <c r="B15" s="10" t="s">
        <v>1726</v>
      </c>
      <c r="C15" s="13">
        <f>_xll.BDH("RCOM IN Equity","TRAIL_12M_COM_DVD","FY 2009","FY 2009","Currency=INR","Period=FY","BEST_FPERIOD_OVERRIDE=FY","FILING_STATUS=MR","EQY_CONSOLIDATED=Y","SCALING_FORMAT=MLN","Sort=A","Dates=H","DateFormat=P","Fill=—","Direction=H","UseDPDF=Y")</f>
        <v>1651.2</v>
      </c>
      <c r="D15" s="13">
        <f>_xll.BDH("RCOM IN Equity","TRAIL_12M_COM_DVD","FY 2010","FY 2010","Currency=INR","Period=FY","BEST_FPERIOD_OVERRIDE=FY","FILING_STATUS=MR","EQY_CONSOLIDATED=Y","SCALING_FORMAT=MLN","Sort=A","Dates=H","DateFormat=P","Fill=—","Direction=H","UseDPDF=Y")</f>
        <v>1754.4</v>
      </c>
      <c r="E15" s="13">
        <f>_xll.BDH("RCOM IN Equity","TRAIL_12M_COM_DVD","FY 2011","FY 2011","Currency=INR","Period=FY","BEST_FPERIOD_OVERRIDE=FY","FILING_STATUS=MR","EQY_CONSOLIDATED=Y","SCALING_FORMAT=MLN","Sort=A","Dates=H","DateFormat=P","Fill=—","Direction=H","UseDPDF=Y")</f>
        <v>1030</v>
      </c>
      <c r="F15" s="13">
        <f>_xll.BDH("RCOM IN Equity","TRAIL_12M_COM_DVD","FY 2012","FY 2012","Currency=INR","Period=FY","BEST_FPERIOD_OVERRIDE=FY","FILING_STATUS=MR","EQY_CONSOLIDATED=Y","SCALING_FORMAT=MLN","Sort=A","Dates=H","DateFormat=P","Fill=—","Direction=H","UseDPDF=Y")</f>
        <v>520</v>
      </c>
      <c r="G15" s="13">
        <f>_xll.BDH("RCOM IN Equity","TRAIL_12M_COM_DVD","FY 2013","FY 2013","Currency=INR","Period=FY","BEST_FPERIOD_OVERRIDE=FY","FILING_STATUS=MR","EQY_CONSOLIDATED=Y","SCALING_FORMAT=MLN","Sort=A","Dates=H","DateFormat=P","Fill=—","Direction=H","UseDPDF=Y")</f>
        <v>520</v>
      </c>
      <c r="H15" s="13">
        <f>_xll.BDH("RCOM IN Equity","TRAIL_12M_COM_DVD","FY 2014","FY 2014","Currency=INR","Period=FY","BEST_FPERIOD_OVERRIDE=FY","FILING_STATUS=MR","EQY_CONSOLIDATED=Y","SCALING_FORMAT=MLN","Sort=A","Dates=H","DateFormat=P","Fill=—","Direction=H","UseDPDF=Y")</f>
        <v>0</v>
      </c>
      <c r="I15" s="13">
        <f>_xll.BDH("RCOM IN Equity","TRAIL_12M_COM_DVD","FY 2015","FY 2015","Currency=INR","Period=FY","BEST_FPERIOD_OVERRIDE=FY","FILING_STATUS=MR","EQY_CONSOLIDATED=Y","SCALING_FORMAT=MLN","Sort=A","Dates=H","DateFormat=P","Fill=—","Direction=H","UseDPDF=Y")</f>
        <v>0</v>
      </c>
      <c r="J15" s="13">
        <f>_xll.BDH("RCOM IN Equity","TRAIL_12M_COM_DVD","FY 2016","FY 2016","Currency=INR","Period=FY","BEST_FPERIOD_OVERRIDE=FY","FILING_STATUS=MR","EQY_CONSOLIDATED=Y","SCALING_FORMAT=MLN","Sort=A","Dates=H","DateFormat=P","Fill=—","Direction=H","UseDPDF=Y")</f>
        <v>0</v>
      </c>
      <c r="K15" s="13">
        <f>_xll.BDH("RCOM IN Equity","TRAIL_12M_COM_DVD","FY 2017","FY 2017","Currency=INR","Period=FY","BEST_FPERIOD_OVERRIDE=FY","FILING_STATUS=MR","EQY_CONSOLIDATED=Y","SCALING_FORMAT=MLN","Sort=A","Dates=H","DateFormat=P","Fill=—","Direction=H","UseDPDF=Y")</f>
        <v>0</v>
      </c>
      <c r="L15" s="13">
        <f>_xll.BDH("RCOM IN Equity","TRAIL_12M_COM_DVD","FY 2018","FY 2018","Currency=INR","Period=FY","BEST_FPERIOD_OVERRIDE=FY","FILING_STATUS=MR","EQY_CONSOLIDATED=Y","SCALING_FORMAT=MLN","Sort=A","Dates=H","DateFormat=P","Fill=—","Direction=H","UseDPDF=Y")</f>
        <v>0</v>
      </c>
    </row>
    <row r="16" spans="1:12">
      <c r="A16" s="10" t="s">
        <v>1727</v>
      </c>
      <c r="B16" s="10" t="s">
        <v>1728</v>
      </c>
      <c r="C16" s="14">
        <f>_xll.BDH("RCOM IN Equity","TRAIL_12M_DVD_PER_SH","FY 2009","FY 2009","Currency=INR","Period=FY","BEST_FPERIOD_OVERRIDE=FY","FILING_STATUS=MR","EQY_CONSOLIDATED=Y","Sort=A","Dates=H","DateFormat=P","Fill=—","Direction=H","UseDPDF=Y")</f>
        <v>0.8</v>
      </c>
      <c r="D16" s="14">
        <f>_xll.BDH("RCOM IN Equity","TRAIL_12M_DVD_PER_SH","FY 2010","FY 2010","Currency=INR","Period=FY","BEST_FPERIOD_OVERRIDE=FY","FILING_STATUS=MR","EQY_CONSOLIDATED=Y","Sort=A","Dates=H","DateFormat=P","Fill=—","Direction=H","UseDPDF=Y")</f>
        <v>0.85</v>
      </c>
      <c r="E16" s="14">
        <f>_xll.BDH("RCOM IN Equity","TRAIL_12M_DVD_PER_SH","FY 2011","FY 2011","Currency=INR","Period=FY","BEST_FPERIOD_OVERRIDE=FY","FILING_STATUS=MR","EQY_CONSOLIDATED=Y","Sort=A","Dates=H","DateFormat=P","Fill=—","Direction=H","UseDPDF=Y")</f>
        <v>0.5</v>
      </c>
      <c r="F16" s="14">
        <f>_xll.BDH("RCOM IN Equity","TRAIL_12M_DVD_PER_SH","FY 2012","FY 2012","Currency=INR","Period=FY","BEST_FPERIOD_OVERRIDE=FY","FILING_STATUS=MR","EQY_CONSOLIDATED=Y","Sort=A","Dates=H","DateFormat=P","Fill=—","Direction=H","UseDPDF=Y")</f>
        <v>0.25</v>
      </c>
      <c r="G16" s="14">
        <f>_xll.BDH("RCOM IN Equity","TRAIL_12M_DVD_PER_SH","FY 2013","FY 2013","Currency=INR","Period=FY","BEST_FPERIOD_OVERRIDE=FY","FILING_STATUS=MR","EQY_CONSOLIDATED=Y","Sort=A","Dates=H","DateFormat=P","Fill=—","Direction=H","UseDPDF=Y")</f>
        <v>0.25</v>
      </c>
      <c r="H16" s="14">
        <f>_xll.BDH("RCOM IN Equity","TRAIL_12M_DVD_PER_SH","FY 2014","FY 2014","Currency=INR","Period=FY","BEST_FPERIOD_OVERRIDE=FY","FILING_STATUS=MR","EQY_CONSOLIDATED=Y","Sort=A","Dates=H","DateFormat=P","Fill=—","Direction=H","UseDPDF=Y")</f>
        <v>0</v>
      </c>
      <c r="I16" s="14">
        <f>_xll.BDH("RCOM IN Equity","TRAIL_12M_DVD_PER_SH","FY 2015","FY 2015","Currency=INR","Period=FY","BEST_FPERIOD_OVERRIDE=FY","FILING_STATUS=MR","EQY_CONSOLIDATED=Y","Sort=A","Dates=H","DateFormat=P","Fill=—","Direction=H","UseDPDF=Y")</f>
        <v>0</v>
      </c>
      <c r="J16" s="14">
        <f>_xll.BDH("RCOM IN Equity","TRAIL_12M_DVD_PER_SH","FY 2016","FY 2016","Currency=INR","Period=FY","BEST_FPERIOD_OVERRIDE=FY","FILING_STATUS=MR","EQY_CONSOLIDATED=Y","Sort=A","Dates=H","DateFormat=P","Fill=—","Direction=H","UseDPDF=Y")</f>
        <v>0</v>
      </c>
      <c r="K16" s="14">
        <f>_xll.BDH("RCOM IN Equity","TRAIL_12M_DVD_PER_SH","FY 2017","FY 2017","Currency=INR","Period=FY","BEST_FPERIOD_OVERRIDE=FY","FILING_STATUS=MR","EQY_CONSOLIDATED=Y","Sort=A","Dates=H","DateFormat=P","Fill=—","Direction=H","UseDPDF=Y")</f>
        <v>0</v>
      </c>
      <c r="L16" s="14">
        <f>_xll.BDH("RCOM IN Equity","TRAIL_12M_DVD_PER_SH","FY 2018","FY 2018","Currency=INR","Period=FY","BEST_FPERIOD_OVERRIDE=FY","FILING_STATUS=MR","EQY_CONSOLIDATED=Y","Sort=A","Dates=H","DateFormat=P","Fill=—","Direction=H","UseDPDF=Y")</f>
        <v>0</v>
      </c>
    </row>
    <row r="17" spans="1:12">
      <c r="A17" s="7" t="s">
        <v>57</v>
      </c>
      <c r="B17" s="7"/>
      <c r="C17" s="7" t="s">
        <v>3</v>
      </c>
      <c r="D17" s="7"/>
      <c r="E17" s="7"/>
      <c r="F17" s="7"/>
      <c r="G17" s="7"/>
      <c r="H17" s="7"/>
      <c r="I17" s="7"/>
      <c r="J17" s="7"/>
      <c r="K17" s="7"/>
      <c r="L17" s="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L18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1729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10" t="s">
        <v>1730</v>
      </c>
      <c r="B6" s="10" t="s">
        <v>1731</v>
      </c>
      <c r="C6" s="13">
        <f>_xll.BDH("RCOM IN Equity","NET_CHNG_ST_DEBT","FY 2009","FY 2009","Currency=INR","Period=FY","BEST_FPERIOD_OVERRIDE=FY","FILING_STATUS=MR","EQY_CONSOLIDATED=Y","SCALING_FORMAT=MLN","Sort=A","Dates=H","DateFormat=P","Fill=—","Direction=H","UseDPDF=Y")</f>
        <v>1579.7</v>
      </c>
      <c r="D6" s="13">
        <f>_xll.BDH("RCOM IN Equity","NET_CHNG_ST_DEBT","FY 2010","FY 2010","Currency=INR","Period=FY","BEST_FPERIOD_OVERRIDE=FY","FILING_STATUS=MR","EQY_CONSOLIDATED=Y","SCALING_FORMAT=MLN","Sort=A","Dates=H","DateFormat=P","Fill=—","Direction=H","UseDPDF=Y")</f>
        <v>-14080.2</v>
      </c>
      <c r="E6" s="13">
        <f>_xll.BDH("RCOM IN Equity","NET_CHNG_ST_DEBT","FY 2011","FY 2011","Currency=INR","Period=FY","BEST_FPERIOD_OVERRIDE=FY","FILING_STATUS=MR","EQY_CONSOLIDATED=Y","SCALING_FORMAT=MLN","Sort=A","Dates=H","DateFormat=P","Fill=—","Direction=H","UseDPDF=Y")</f>
        <v>92944</v>
      </c>
      <c r="F6" s="13">
        <f>_xll.BDH("RCOM IN Equity","NET_CHNG_ST_DEBT","FY 2012","FY 2012","Currency=INR","Period=FY","BEST_FPERIOD_OVERRIDE=FY","FILING_STATUS=MR","EQY_CONSOLIDATED=Y","SCALING_FORMAT=MLN","Sort=A","Dates=H","DateFormat=P","Fill=—","Direction=H","UseDPDF=Y")</f>
        <v>-111010</v>
      </c>
      <c r="G6" s="13">
        <f>_xll.BDH("RCOM IN Equity","NET_CHNG_ST_DEBT","FY 2013","FY 2013","Currency=INR","Period=FY","BEST_FPERIOD_OVERRIDE=FY","FILING_STATUS=MR","EQY_CONSOLIDATED=Y","SCALING_FORMAT=MLN","Sort=A","Dates=H","DateFormat=P","Fill=—","Direction=H","UseDPDF=Y")</f>
        <v>42120</v>
      </c>
      <c r="H6" s="13">
        <f>_xll.BDH("RCOM IN Equity","NET_CHNG_ST_DEBT","FY 2014","FY 2014","Currency=INR","Period=FY","BEST_FPERIOD_OVERRIDE=FY","FILING_STATUS=MR","EQY_CONSOLIDATED=Y","SCALING_FORMAT=MLN","Sort=A","Dates=H","DateFormat=P","Fill=—","Direction=H","UseDPDF=Y")</f>
        <v>12160</v>
      </c>
      <c r="I6" s="13">
        <f>_xll.BDH("RCOM IN Equity","NET_CHNG_ST_DEBT","FY 2015","FY 2015","Currency=INR","Period=FY","BEST_FPERIOD_OVERRIDE=FY","FILING_STATUS=MR","EQY_CONSOLIDATED=Y","SCALING_FORMAT=MLN","Sort=A","Dates=H","DateFormat=P","Fill=—","Direction=H","UseDPDF=Y")</f>
        <v>-46020</v>
      </c>
      <c r="J6" s="13">
        <f>_xll.BDH("RCOM IN Equity","NET_CHNG_ST_DEBT","FY 2016","FY 2016","Currency=INR","Period=FY","BEST_FPERIOD_OVERRIDE=FY","FILING_STATUS=MR","EQY_CONSOLIDATED=Y","SCALING_FORMAT=MLN","Sort=A","Dates=H","DateFormat=P","Fill=—","Direction=H","UseDPDF=Y")</f>
        <v>50200</v>
      </c>
      <c r="K6" s="13">
        <f>_xll.BDH("RCOM IN Equity","NET_CHNG_ST_DEBT","FY 2017","FY 2017","Currency=INR","Period=FY","BEST_FPERIOD_OVERRIDE=FY","FILING_STATUS=MR","EQY_CONSOLIDATED=Y","SCALING_FORMAT=MLN","Sort=A","Dates=H","DateFormat=P","Fill=—","Direction=H","UseDPDF=Y")</f>
        <v>86800</v>
      </c>
      <c r="L6" s="13">
        <f>_xll.BDH("RCOM IN Equity","NET_CHNG_ST_DEBT","FY 2018","FY 2018","Currency=INR","Period=FY","BEST_FPERIOD_OVERRIDE=FY","FILING_STATUS=MR","EQY_CONSOLIDATED=Y","SCALING_FORMAT=MLN","Sort=A","Dates=H","DateFormat=P","Fill=—","Direction=H","UseDPDF=Y")</f>
        <v>110300</v>
      </c>
    </row>
    <row r="7" spans="1:12">
      <c r="A7" s="10" t="s">
        <v>1732</v>
      </c>
      <c r="B7" s="10" t="s">
        <v>1733</v>
      </c>
      <c r="C7" s="13">
        <f>_xll.BDH("RCOM IN Equity","NET_CHNG_LT_DEBT","FY 2009","FY 2009","Currency=INR","Period=FY","BEST_FPERIOD_OVERRIDE=FY","FILING_STATUS=MR","EQY_CONSOLIDATED=Y","SCALING_FORMAT=MLN","Sort=A","Dates=H","DateFormat=P","Fill=—","Direction=H","UseDPDF=Y")</f>
        <v>131825.79999999999</v>
      </c>
      <c r="D7" s="13">
        <f>_xll.BDH("RCOM IN Equity","NET_CHNG_LT_DEBT","FY 2010","FY 2010","Currency=INR","Period=FY","BEST_FPERIOD_OVERRIDE=FY","FILING_STATUS=MR","EQY_CONSOLIDATED=Y","SCALING_FORMAT=MLN","Sort=A","Dates=H","DateFormat=P","Fill=—","Direction=H","UseDPDF=Y")</f>
        <v>-80388.100000000006</v>
      </c>
      <c r="E7" s="13">
        <f>_xll.BDH("RCOM IN Equity","NET_CHNG_LT_DEBT","FY 2011","FY 2011","Currency=INR","Period=FY","BEST_FPERIOD_OVERRIDE=FY","FILING_STATUS=MR","EQY_CONSOLIDATED=Y","SCALING_FORMAT=MLN","Sort=A","Dates=H","DateFormat=P","Fill=—","Direction=H","UseDPDF=Y")</f>
        <v>611.79999999999995</v>
      </c>
      <c r="F7" s="13">
        <f>_xll.BDH("RCOM IN Equity","NET_CHNG_LT_DEBT","FY 2012","FY 2012","Currency=INR","Period=FY","BEST_FPERIOD_OVERRIDE=FY","FILING_STATUS=MR","EQY_CONSOLIDATED=Y","SCALING_FORMAT=MLN","Sort=A","Dates=H","DateFormat=P","Fill=—","Direction=H","UseDPDF=Y")</f>
        <v>103330</v>
      </c>
      <c r="G7" s="13">
        <f>_xll.BDH("RCOM IN Equity","NET_CHNG_LT_DEBT","FY 2013","FY 2013","Currency=INR","Period=FY","BEST_FPERIOD_OVERRIDE=FY","FILING_STATUS=MR","EQY_CONSOLIDATED=Y","SCALING_FORMAT=MLN","Sort=A","Dates=H","DateFormat=P","Fill=—","Direction=H","UseDPDF=Y")</f>
        <v>-9680</v>
      </c>
      <c r="H7" s="13">
        <f>_xll.BDH("RCOM IN Equity","NET_CHNG_LT_DEBT","FY 2014","FY 2014","Currency=INR","Period=FY","BEST_FPERIOD_OVERRIDE=FY","FILING_STATUS=MR","EQY_CONSOLIDATED=Y","SCALING_FORMAT=MLN","Sort=A","Dates=H","DateFormat=P","Fill=—","Direction=H","UseDPDF=Y")</f>
        <v>-4950</v>
      </c>
      <c r="I7" s="13">
        <f>_xll.BDH("RCOM IN Equity","NET_CHNG_LT_DEBT","FY 2015","FY 2015","Currency=INR","Period=FY","BEST_FPERIOD_OVERRIDE=FY","FILING_STATUS=MR","EQY_CONSOLIDATED=Y","SCALING_FORMAT=MLN","Sort=A","Dates=H","DateFormat=P","Fill=—","Direction=H","UseDPDF=Y")</f>
        <v>22980</v>
      </c>
      <c r="J7" s="13">
        <f>_xll.BDH("RCOM IN Equity","NET_CHNG_LT_DEBT","FY 2016","FY 2016","Currency=INR","Period=FY","BEST_FPERIOD_OVERRIDE=FY","FILING_STATUS=MR","EQY_CONSOLIDATED=Y","SCALING_FORMAT=MLN","Sort=A","Dates=H","DateFormat=P","Fill=—","Direction=H","UseDPDF=Y")</f>
        <v>-13670</v>
      </c>
      <c r="K7" s="13">
        <f>_xll.BDH("RCOM IN Equity","NET_CHNG_LT_DEBT","FY 2017","FY 2017","Currency=INR","Period=FY","BEST_FPERIOD_OVERRIDE=FY","FILING_STATUS=MR","EQY_CONSOLIDATED=Y","SCALING_FORMAT=MLN","Sort=A","Dates=H","DateFormat=P","Fill=—","Direction=H","UseDPDF=Y")</f>
        <v>-65640</v>
      </c>
      <c r="L7" s="13">
        <f>_xll.BDH("RCOM IN Equity","NET_CHNG_LT_DEBT","FY 2018","FY 2018","Currency=INR","Period=FY","BEST_FPERIOD_OVERRIDE=FY","FILING_STATUS=MR","EQY_CONSOLIDATED=Y","SCALING_FORMAT=MLN","Sort=A","Dates=H","DateFormat=P","Fill=—","Direction=H","UseDPDF=Y")</f>
        <v>-94800</v>
      </c>
    </row>
    <row r="8" spans="1:12">
      <c r="A8" s="10" t="s">
        <v>1734</v>
      </c>
      <c r="B8" s="10" t="s">
        <v>1735</v>
      </c>
      <c r="C8" s="13">
        <f>_xll.BDH("RCOM IN Equity","NET_CHNG_SRC_OF_CAP_OTHER_LIAB","FY 2009","FY 2009","Currency=INR","Period=FY","BEST_FPERIOD_OVERRIDE=FY","FILING_STATUS=MR","EQY_CONSOLIDATED=Y","SCALING_FORMAT=MLN","Sort=A","Dates=H","DateFormat=P","Fill=—","Direction=H","UseDPDF=Y")</f>
        <v>-18468.900000000001</v>
      </c>
      <c r="D8" s="13">
        <f>_xll.BDH("RCOM IN Equity","NET_CHNG_SRC_OF_CAP_OTHER_LIAB","FY 2010","FY 2010","Currency=INR","Period=FY","BEST_FPERIOD_OVERRIDE=FY","FILING_STATUS=MR","EQY_CONSOLIDATED=Y","SCALING_FORMAT=MLN","Sort=A","Dates=H","DateFormat=P","Fill=—","Direction=H","UseDPDF=Y")</f>
        <v>-12718.5</v>
      </c>
      <c r="E8" s="13">
        <f>_xll.BDH("RCOM IN Equity","NET_CHNG_SRC_OF_CAP_OTHER_LIAB","FY 2011","FY 2011","Currency=INR","Period=FY","BEST_FPERIOD_OVERRIDE=FY","FILING_STATUS=MR","EQY_CONSOLIDATED=Y","SCALING_FORMAT=MLN","Sort=A","Dates=H","DateFormat=P","Fill=—","Direction=H","UseDPDF=Y")</f>
        <v>-43395.7</v>
      </c>
      <c r="F8" s="13">
        <f>_xll.BDH("RCOM IN Equity","NET_CHNG_SRC_OF_CAP_OTHER_LIAB","FY 2012","FY 2012","Currency=INR","Period=FY","BEST_FPERIOD_OVERRIDE=FY","FILING_STATUS=MR","EQY_CONSOLIDATED=Y","SCALING_FORMAT=MLN","Sort=A","Dates=H","DateFormat=P","Fill=—","Direction=H","UseDPDF=Y")</f>
        <v>25130</v>
      </c>
      <c r="G8" s="13">
        <f>_xll.BDH("RCOM IN Equity","NET_CHNG_SRC_OF_CAP_OTHER_LIAB","FY 2013","FY 2013","Currency=INR","Period=FY","BEST_FPERIOD_OVERRIDE=FY","FILING_STATUS=MR","EQY_CONSOLIDATED=Y","SCALING_FORMAT=MLN","Sort=A","Dates=H","DateFormat=P","Fill=—","Direction=H","UseDPDF=Y")</f>
        <v>-28810</v>
      </c>
      <c r="H8" s="13">
        <f>_xll.BDH("RCOM IN Equity","NET_CHNG_SRC_OF_CAP_OTHER_LIAB","FY 2014","FY 2014","Currency=INR","Period=FY","BEST_FPERIOD_OVERRIDE=FY","FILING_STATUS=MR","EQY_CONSOLIDATED=Y","SCALING_FORMAT=MLN","Sort=A","Dates=H","DateFormat=P","Fill=—","Direction=H","UseDPDF=Y")</f>
        <v>8900</v>
      </c>
      <c r="I8" s="13">
        <f>_xll.BDH("RCOM IN Equity","NET_CHNG_SRC_OF_CAP_OTHER_LIAB","FY 2015","FY 2015","Currency=INR","Period=FY","BEST_FPERIOD_OVERRIDE=FY","FILING_STATUS=MR","EQY_CONSOLIDATED=Y","SCALING_FORMAT=MLN","Sort=A","Dates=H","DateFormat=P","Fill=—","Direction=H","UseDPDF=Y")</f>
        <v>-22910</v>
      </c>
      <c r="J8" s="13">
        <f>_xll.BDH("RCOM IN Equity","NET_CHNG_SRC_OF_CAP_OTHER_LIAB","FY 2016","FY 2016","Currency=INR","Period=FY","BEST_FPERIOD_OVERRIDE=FY","FILING_STATUS=MR","EQY_CONSOLIDATED=Y","SCALING_FORMAT=MLN","Sort=A","Dates=H","DateFormat=P","Fill=—","Direction=H","UseDPDF=Y")</f>
        <v>148700</v>
      </c>
      <c r="K8" s="13">
        <f>_xll.BDH("RCOM IN Equity","NET_CHNG_SRC_OF_CAP_OTHER_LIAB","FY 2017","FY 2017","Currency=INR","Period=FY","BEST_FPERIOD_OVERRIDE=FY","FILING_STATUS=MR","EQY_CONSOLIDATED=Y","SCALING_FORMAT=MLN","Sort=A","Dates=H","DateFormat=P","Fill=—","Direction=H","UseDPDF=Y")</f>
        <v>-28250</v>
      </c>
      <c r="L8" s="13">
        <f>_xll.BDH("RCOM IN Equity","NET_CHNG_SRC_OF_CAP_OTHER_LIAB","FY 2018","FY 2018","Currency=INR","Period=FY","BEST_FPERIOD_OVERRIDE=FY","FILING_STATUS=MR","EQY_CONSOLIDATED=Y","SCALING_FORMAT=MLN","Sort=A","Dates=H","DateFormat=P","Fill=—","Direction=H","UseDPDF=Y")</f>
        <v>-9170</v>
      </c>
    </row>
    <row r="9" spans="1:12">
      <c r="A9" s="6" t="s">
        <v>1736</v>
      </c>
      <c r="B9" s="6" t="s">
        <v>1737</v>
      </c>
      <c r="C9" s="19">
        <f>_xll.BDH("RCOM IN Equity","NET_CHANGE_LIABILITIES","FY 2009","FY 2009","Currency=INR","Period=FY","BEST_FPERIOD_OVERRIDE=FY","FILING_STATUS=MR","EQY_CONSOLIDATED=Y","SCALING_FORMAT=MLN","Sort=A","Dates=H","DateFormat=P","Fill=—","Direction=H","UseDPDF=Y")</f>
        <v>132696.70000000001</v>
      </c>
      <c r="D9" s="19">
        <f>_xll.BDH("RCOM IN Equity","NET_CHANGE_LIABILITIES","FY 2010","FY 2010","Currency=INR","Period=FY","BEST_FPERIOD_OVERRIDE=FY","FILING_STATUS=MR","EQY_CONSOLIDATED=Y","SCALING_FORMAT=MLN","Sort=A","Dates=H","DateFormat=P","Fill=—","Direction=H","UseDPDF=Y")</f>
        <v>-107221.5</v>
      </c>
      <c r="E9" s="19">
        <f>_xll.BDH("RCOM IN Equity","NET_CHANGE_LIABILITIES","FY 2011","FY 2011","Currency=INR","Period=FY","BEST_FPERIOD_OVERRIDE=FY","FILING_STATUS=MR","EQY_CONSOLIDATED=Y","SCALING_FORMAT=MLN","Sort=A","Dates=H","DateFormat=P","Fill=—","Direction=H","UseDPDF=Y")</f>
        <v>48504</v>
      </c>
      <c r="F9" s="19">
        <f>_xll.BDH("RCOM IN Equity","NET_CHANGE_LIABILITIES","FY 2012","FY 2012","Currency=INR","Period=FY","BEST_FPERIOD_OVERRIDE=FY","FILING_STATUS=MR","EQY_CONSOLIDATED=Y","SCALING_FORMAT=MLN","Sort=A","Dates=H","DateFormat=P","Fill=—","Direction=H","UseDPDF=Y")</f>
        <v>17090</v>
      </c>
      <c r="G9" s="19">
        <f>_xll.BDH("RCOM IN Equity","NET_CHANGE_LIABILITIES","FY 2013","FY 2013","Currency=INR","Period=FY","BEST_FPERIOD_OVERRIDE=FY","FILING_STATUS=MR","EQY_CONSOLIDATED=Y","SCALING_FORMAT=MLN","Sort=A","Dates=H","DateFormat=P","Fill=—","Direction=H","UseDPDF=Y")</f>
        <v>4980</v>
      </c>
      <c r="H9" s="19">
        <f>_xll.BDH("RCOM IN Equity","NET_CHANGE_LIABILITIES","FY 2014","FY 2014","Currency=INR","Period=FY","BEST_FPERIOD_OVERRIDE=FY","FILING_STATUS=MR","EQY_CONSOLIDATED=Y","SCALING_FORMAT=MLN","Sort=A","Dates=H","DateFormat=P","Fill=—","Direction=H","UseDPDF=Y")</f>
        <v>15930</v>
      </c>
      <c r="I9" s="19">
        <f>_xll.BDH("RCOM IN Equity","NET_CHANGE_LIABILITIES","FY 2015","FY 2015","Currency=INR","Period=FY","BEST_FPERIOD_OVERRIDE=FY","FILING_STATUS=MR","EQY_CONSOLIDATED=Y","SCALING_FORMAT=MLN","Sort=A","Dates=H","DateFormat=P","Fill=—","Direction=H","UseDPDF=Y")</f>
        <v>-43640</v>
      </c>
      <c r="J9" s="19">
        <f>_xll.BDH("RCOM IN Equity","NET_CHANGE_LIABILITIES","FY 2016","FY 2016","Currency=INR","Period=FY","BEST_FPERIOD_OVERRIDE=FY","FILING_STATUS=MR","EQY_CONSOLIDATED=Y","SCALING_FORMAT=MLN","Sort=A","Dates=H","DateFormat=P","Fill=—","Direction=H","UseDPDF=Y")</f>
        <v>187530</v>
      </c>
      <c r="K9" s="19">
        <f>_xll.BDH("RCOM IN Equity","NET_CHANGE_LIABILITIES","FY 2017","FY 2017","Currency=INR","Period=FY","BEST_FPERIOD_OVERRIDE=FY","FILING_STATUS=MR","EQY_CONSOLIDATED=Y","SCALING_FORMAT=MLN","Sort=A","Dates=H","DateFormat=P","Fill=—","Direction=H","UseDPDF=Y")</f>
        <v>-8270</v>
      </c>
      <c r="L9" s="19">
        <f>_xll.BDH("RCOM IN Equity","NET_CHANGE_LIABILITIES","FY 2018","FY 2018","Currency=INR","Period=FY","BEST_FPERIOD_OVERRIDE=FY","FILING_STATUS=MR","EQY_CONSOLIDATED=Y","SCALING_FORMAT=MLN","Sort=A","Dates=H","DateFormat=P","Fill=—","Direction=H","UseDPDF=Y")</f>
        <v>7010</v>
      </c>
    </row>
    <row r="10" spans="1:12">
      <c r="A10" s="6" t="s">
        <v>1738</v>
      </c>
      <c r="B10" s="6" t="s">
        <v>1739</v>
      </c>
      <c r="C10" s="20">
        <f>_xll.BDH("RCOM IN Equity","INCR_IN_LIAB_PCT_OF_TOT","FY 2009","FY 2009","Currency=INR","Period=FY","BEST_FPERIOD_OVERRIDE=FY","FILING_STATUS=MR","EQY_CONSOLIDATED=Y","Sort=A","Dates=H","DateFormat=P","Fill=—","Direction=H","UseDPDF=Y")</f>
        <v>53.619900000000001</v>
      </c>
      <c r="D10" s="20">
        <f>_xll.BDH("RCOM IN Equity","INCR_IN_LIAB_PCT_OF_TOT","FY 2010","FY 2010","Currency=INR","Period=FY","BEST_FPERIOD_OVERRIDE=FY","FILING_STATUS=MR","EQY_CONSOLIDATED=Y","Sort=A","Dates=H","DateFormat=P","Fill=—","Direction=H","UseDPDF=Y")</f>
        <v>111.2445</v>
      </c>
      <c r="E10" s="20">
        <f>_xll.BDH("RCOM IN Equity","INCR_IN_LIAB_PCT_OF_TOT","FY 2011","FY 2011","Currency=INR","Period=FY","BEST_FPERIOD_OVERRIDE=FY","FILING_STATUS=MR","EQY_CONSOLIDATED=Y","Sort=A","Dates=H","DateFormat=P","Fill=—","Direction=H","UseDPDF=Y")</f>
        <v>225.14240000000001</v>
      </c>
      <c r="F10" s="20">
        <f>_xll.BDH("RCOM IN Equity","INCR_IN_LIAB_PCT_OF_TOT","FY 2012","FY 2012","Currency=INR","Period=FY","BEST_FPERIOD_OVERRIDE=FY","FILING_STATUS=MR","EQY_CONSOLIDATED=Y","Sort=A","Dates=H","DateFormat=P","Fill=—","Direction=H","UseDPDF=Y")</f>
        <v>-69.528099999999995</v>
      </c>
      <c r="G10" s="20">
        <f>_xll.BDH("RCOM IN Equity","INCR_IN_LIAB_PCT_OF_TOT","FY 2013","FY 2013","Currency=INR","Period=FY","BEST_FPERIOD_OVERRIDE=FY","FILING_STATUS=MR","EQY_CONSOLIDATED=Y","Sort=A","Dates=H","DateFormat=P","Fill=—","Direction=H","UseDPDF=Y")</f>
        <v>-23.907800000000002</v>
      </c>
      <c r="H10" s="20">
        <f>_xll.BDH("RCOM IN Equity","INCR_IN_LIAB_PCT_OF_TOT","FY 2014","FY 2014","Currency=INR","Period=FY","BEST_FPERIOD_OVERRIDE=FY","FILING_STATUS=MR","EQY_CONSOLIDATED=Y","Sort=A","Dates=H","DateFormat=P","Fill=—","Direction=H","UseDPDF=Y")</f>
        <v>285.99639999999999</v>
      </c>
      <c r="I10" s="20">
        <f>_xll.BDH("RCOM IN Equity","INCR_IN_LIAB_PCT_OF_TOT","FY 2015","FY 2015","Currency=INR","Period=FY","BEST_FPERIOD_OVERRIDE=FY","FILING_STATUS=MR","EQY_CONSOLIDATED=Y","Sort=A","Dates=H","DateFormat=P","Fill=—","Direction=H","UseDPDF=Y")</f>
        <v>-800.73389999999995</v>
      </c>
      <c r="J10" s="20">
        <f>_xll.BDH("RCOM IN Equity","INCR_IN_LIAB_PCT_OF_TOT","FY 2016","FY 2016","Currency=INR","Period=FY","BEST_FPERIOD_OVERRIDE=FY","FILING_STATUS=MR","EQY_CONSOLIDATED=Y","Sort=A","Dates=H","DateFormat=P","Fill=—","Direction=H","UseDPDF=Y")</f>
        <v>154.09200000000001</v>
      </c>
      <c r="K10" s="20">
        <f>_xll.BDH("RCOM IN Equity","INCR_IN_LIAB_PCT_OF_TOT","FY 2017","FY 2017","Currency=INR","Period=FY","BEST_FPERIOD_OVERRIDE=FY","FILING_STATUS=MR","EQY_CONSOLIDATED=Y","Sort=A","Dates=H","DateFormat=P","Fill=—","Direction=H","UseDPDF=Y")</f>
        <v>22.2133</v>
      </c>
      <c r="L10" s="20">
        <f>_xll.BDH("RCOM IN Equity","INCR_IN_LIAB_PCT_OF_TOT","FY 2018","FY 2018","Currency=INR","Period=FY","BEST_FPERIOD_OVERRIDE=FY","FILING_STATUS=MR","EQY_CONSOLIDATED=Y","Sort=A","Dates=H","DateFormat=P","Fill=—","Direction=H","UseDPDF=Y")</f>
        <v>-2.7869000000000002</v>
      </c>
    </row>
    <row r="11" spans="1:12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>
      <c r="A12" s="10" t="s">
        <v>1740</v>
      </c>
      <c r="B12" s="10" t="s">
        <v>1741</v>
      </c>
      <c r="C12" s="13">
        <f>_xll.BDH("RCOM IN Equity","REINVEST_EARN","FY 2009","FY 2009","Currency=INR","Period=FY","BEST_FPERIOD_OVERRIDE=FY","FILING_STATUS=MR","EQY_CONSOLIDATED=Y","SCALING_FORMAT=MLN","FA_ADJUSTED=GAAP","Sort=A","Dates=H","DateFormat=P","Fill=—","Direction=H","UseDPDF=Y")</f>
        <v>58798.1</v>
      </c>
      <c r="D12" s="13">
        <f>_xll.BDH("RCOM IN Equity","REINVEST_EARN","FY 2010","FY 2010","Currency=INR","Period=FY","BEST_FPERIOD_OVERRIDE=FY","FILING_STATUS=MR","EQY_CONSOLIDATED=Y","SCALING_FORMAT=MLN","FA_ADJUSTED=GAAP","Sort=A","Dates=H","DateFormat=P","Fill=—","Direction=H","UseDPDF=Y")</f>
        <v>44795.6</v>
      </c>
      <c r="E12" s="13">
        <f>_xll.BDH("RCOM IN Equity","REINVEST_EARN","FY 2011","FY 2011","Currency=INR","Period=FY","BEST_FPERIOD_OVERRIDE=FY","FILING_STATUS=MR","EQY_CONSOLIDATED=Y","SCALING_FORMAT=MLN","FA_ADJUSTED=GAAP","Sort=A","Dates=H","DateFormat=P","Fill=—","Direction=H","UseDPDF=Y")</f>
        <v>12420</v>
      </c>
      <c r="F12" s="13">
        <f>_xll.BDH("RCOM IN Equity","REINVEST_EARN","FY 2012","FY 2012","Currency=INR","Period=FY","BEST_FPERIOD_OVERRIDE=FY","FILING_STATUS=MR","EQY_CONSOLIDATED=Y","SCALING_FORMAT=MLN","FA_ADJUSTED=GAAP","Sort=A","Dates=H","DateFormat=P","Fill=—","Direction=H","UseDPDF=Y")</f>
        <v>8760</v>
      </c>
      <c r="G12" s="13">
        <f>_xll.BDH("RCOM IN Equity","REINVEST_EARN","FY 2013","FY 2013","Currency=INR","Period=FY","BEST_FPERIOD_OVERRIDE=FY","FILING_STATUS=MR","EQY_CONSOLIDATED=Y","SCALING_FORMAT=MLN","FA_ADJUSTED=GAAP","Sort=A","Dates=H","DateFormat=P","Fill=—","Direction=H","UseDPDF=Y")</f>
        <v>6200</v>
      </c>
      <c r="H12" s="13">
        <f>_xll.BDH("RCOM IN Equity","REINVEST_EARN","FY 2014","FY 2014","Currency=INR","Period=FY","BEST_FPERIOD_OVERRIDE=FY","FILING_STATUS=MR","EQY_CONSOLIDATED=Y","SCALING_FORMAT=MLN","FA_ADJUSTED=GAAP","Sort=A","Dates=H","DateFormat=P","Fill=—","Direction=H","UseDPDF=Y")</f>
        <v>10470</v>
      </c>
      <c r="I12" s="13">
        <f>_xll.BDH("RCOM IN Equity","REINVEST_EARN","FY 2015","FY 2015","Currency=INR","Period=FY","BEST_FPERIOD_OVERRIDE=FY","FILING_STATUS=MR","EQY_CONSOLIDATED=Y","SCALING_FORMAT=MLN","FA_ADJUSTED=GAAP","Sort=A","Dates=H","DateFormat=P","Fill=—","Direction=H","UseDPDF=Y")</f>
        <v>7140</v>
      </c>
      <c r="J12" s="13">
        <f>_xll.BDH("RCOM IN Equity","REINVEST_EARN","FY 2016","FY 2016","Currency=INR","Period=FY","BEST_FPERIOD_OVERRIDE=FY","FILING_STATUS=MR","EQY_CONSOLIDATED=Y","SCALING_FORMAT=MLN","FA_ADJUSTED=GAAP","Sort=A","Dates=H","DateFormat=P","Fill=—","Direction=H","UseDPDF=Y")</f>
        <v>6390</v>
      </c>
      <c r="K12" s="13">
        <f>_xll.BDH("RCOM IN Equity","REINVEST_EARN","FY 2017","FY 2017","Currency=INR","Period=FY","BEST_FPERIOD_OVERRIDE=FY","FILING_STATUS=MR","EQY_CONSOLIDATED=Y","SCALING_FORMAT=MLN","FA_ADJUSTED=GAAP","Sort=A","Dates=H","DateFormat=P","Fill=—","Direction=H","UseDPDF=Y")</f>
        <v>-14030</v>
      </c>
      <c r="L12" s="13">
        <f>_xll.BDH("RCOM IN Equity","REINVEST_EARN","FY 2018","FY 2018","Currency=INR","Period=FY","BEST_FPERIOD_OVERRIDE=FY","FILING_STATUS=MR","EQY_CONSOLIDATED=Y","SCALING_FORMAT=MLN","FA_ADJUSTED=GAAP","Sort=A","Dates=H","DateFormat=P","Fill=—","Direction=H","UseDPDF=Y")</f>
        <v>-238390</v>
      </c>
    </row>
    <row r="13" spans="1:12">
      <c r="A13" s="10" t="s">
        <v>1742</v>
      </c>
      <c r="B13" s="10" t="s">
        <v>1743</v>
      </c>
      <c r="C13" s="13">
        <f>_xll.BDH("RCOM IN Equity","EXTERN_EQY_FNC","FY 2009","FY 2009","Currency=INR","Period=FY","BEST_FPERIOD_OVERRIDE=FY","FILING_STATUS=MR","EQY_CONSOLIDATED=Y","SCALING_FORMAT=MLN","FA_ADJUSTED=GAAP","Sort=A","Dates=H","DateFormat=P","Fill=—","Direction=H","UseDPDF=Y")</f>
        <v>73741.8</v>
      </c>
      <c r="D13" s="13">
        <f>_xll.BDH("RCOM IN Equity","EXTERN_EQY_FNC","FY 2010","FY 2010","Currency=INR","Period=FY","BEST_FPERIOD_OVERRIDE=FY","FILING_STATUS=MR","EQY_CONSOLIDATED=Y","SCALING_FORMAT=MLN","FA_ADJUSTED=GAAP","Sort=A","Dates=H","DateFormat=P","Fill=—","Direction=H","UseDPDF=Y")</f>
        <v>-33992.400000000001</v>
      </c>
      <c r="E13" s="13">
        <f>_xll.BDH("RCOM IN Equity","EXTERN_EQY_FNC","FY 2011","FY 2011","Currency=INR","Period=FY","BEST_FPERIOD_OVERRIDE=FY","FILING_STATUS=MR","EQY_CONSOLIDATED=Y","SCALING_FORMAT=MLN","FA_ADJUSTED=GAAP","Sort=A","Dates=H","DateFormat=P","Fill=—","Direction=H","UseDPDF=Y")</f>
        <v>-41036.400000000001</v>
      </c>
      <c r="F13" s="13">
        <f>_xll.BDH("RCOM IN Equity","EXTERN_EQY_FNC","FY 2012","FY 2012","Currency=INR","Period=FY","BEST_FPERIOD_OVERRIDE=FY","FILING_STATUS=MR","EQY_CONSOLIDATED=Y","SCALING_FORMAT=MLN","FA_ADJUSTED=GAAP","Sort=A","Dates=H","DateFormat=P","Fill=—","Direction=H","UseDPDF=Y")</f>
        <v>-50790</v>
      </c>
      <c r="G13" s="13">
        <f>_xll.BDH("RCOM IN Equity","EXTERN_EQY_FNC","FY 2013","FY 2013","Currency=INR","Period=FY","BEST_FPERIOD_OVERRIDE=FY","FILING_STATUS=MR","EQY_CONSOLIDATED=Y","SCALING_FORMAT=MLN","FA_ADJUSTED=GAAP","Sort=A","Dates=H","DateFormat=P","Fill=—","Direction=H","UseDPDF=Y")</f>
        <v>-30660</v>
      </c>
      <c r="H13" s="13">
        <f>_xll.BDH("RCOM IN Equity","EXTERN_EQY_FNC","FY 2014","FY 2014","Currency=INR","Period=FY","BEST_FPERIOD_OVERRIDE=FY","FILING_STATUS=MR","EQY_CONSOLIDATED=Y","SCALING_FORMAT=MLN","FA_ADJUSTED=GAAP","Sort=A","Dates=H","DateFormat=P","Fill=—","Direction=H","UseDPDF=Y")</f>
        <v>-21010</v>
      </c>
      <c r="I13" s="13">
        <f>_xll.BDH("RCOM IN Equity","EXTERN_EQY_FNC","FY 2015","FY 2015","Currency=INR","Period=FY","BEST_FPERIOD_OVERRIDE=FY","FILING_STATUS=MR","EQY_CONSOLIDATED=Y","SCALING_FORMAT=MLN","FA_ADJUSTED=GAAP","Sort=A","Dates=H","DateFormat=P","Fill=—","Direction=H","UseDPDF=Y")</f>
        <v>44260</v>
      </c>
      <c r="J13" s="13">
        <f>_xll.BDH("RCOM IN Equity","EXTERN_EQY_FNC","FY 2016","FY 2016","Currency=INR","Period=FY","BEST_FPERIOD_OVERRIDE=FY","FILING_STATUS=MR","EQY_CONSOLIDATED=Y","SCALING_FORMAT=MLN","FA_ADJUSTED=GAAP","Sort=A","Dates=H","DateFormat=P","Fill=—","Direction=H","UseDPDF=Y")</f>
        <v>-69920</v>
      </c>
      <c r="K13" s="13">
        <f>_xll.BDH("RCOM IN Equity","EXTERN_EQY_FNC","FY 2017","FY 2017","Currency=INR","Period=FY","BEST_FPERIOD_OVERRIDE=FY","FILING_STATUS=MR","EQY_CONSOLIDATED=Y","SCALING_FORMAT=MLN","FA_ADJUSTED=GAAP","Sort=A","Dates=H","DateFormat=P","Fill=—","Direction=H","UseDPDF=Y")</f>
        <v>-16110</v>
      </c>
      <c r="L13" s="13">
        <f>_xll.BDH("RCOM IN Equity","EXTERN_EQY_FNC","FY 2018","FY 2018","Currency=INR","Period=FY","BEST_FPERIOD_OVERRIDE=FY","FILING_STATUS=MR","EQY_CONSOLIDATED=Y","SCALING_FORMAT=MLN","FA_ADJUSTED=GAAP","Sort=A","Dates=H","DateFormat=P","Fill=—","Direction=H","UseDPDF=Y")</f>
        <v>-19470</v>
      </c>
    </row>
    <row r="14" spans="1:12">
      <c r="A14" s="6" t="s">
        <v>1744</v>
      </c>
      <c r="B14" s="6" t="s">
        <v>1745</v>
      </c>
      <c r="C14" s="19">
        <f>_xll.BDH("RCOM IN Equity","NET_CHANGE_TOTAL_EQUITY","FY 2009","FY 2009","Currency=INR","Period=FY","BEST_FPERIOD_OVERRIDE=FY","FILING_STATUS=MR","EQY_CONSOLIDATED=Y","SCALING_FORMAT=MLN","Sort=A","Dates=H","DateFormat=P","Fill=—","Direction=H","UseDPDF=Y")</f>
        <v>114779.8</v>
      </c>
      <c r="D14" s="19">
        <f>_xll.BDH("RCOM IN Equity","NET_CHANGE_TOTAL_EQUITY","FY 2010","FY 2010","Currency=INR","Period=FY","BEST_FPERIOD_OVERRIDE=FY","FILING_STATUS=MR","EQY_CONSOLIDATED=Y","SCALING_FORMAT=MLN","Sort=A","Dates=H","DateFormat=P","Fill=—","Direction=H","UseDPDF=Y")</f>
        <v>10837.9</v>
      </c>
      <c r="E14" s="19">
        <f>_xll.BDH("RCOM IN Equity","NET_CHANGE_TOTAL_EQUITY","FY 2011","FY 2011","Currency=INR","Period=FY","BEST_FPERIOD_OVERRIDE=FY","FILING_STATUS=MR","EQY_CONSOLIDATED=Y","SCALING_FORMAT=MLN","Sort=A","Dates=H","DateFormat=P","Fill=—","Direction=H","UseDPDF=Y")</f>
        <v>-26960.3</v>
      </c>
      <c r="F14" s="19">
        <f>_xll.BDH("RCOM IN Equity","NET_CHANGE_TOTAL_EQUITY","FY 2012","FY 2012","Currency=INR","Period=FY","BEST_FPERIOD_OVERRIDE=FY","FILING_STATUS=MR","EQY_CONSOLIDATED=Y","SCALING_FORMAT=MLN","Sort=A","Dates=H","DateFormat=P","Fill=—","Direction=H","UseDPDF=Y")</f>
        <v>-41670</v>
      </c>
      <c r="G14" s="19">
        <f>_xll.BDH("RCOM IN Equity","NET_CHANGE_TOTAL_EQUITY","FY 2013","FY 2013","Currency=INR","Period=FY","BEST_FPERIOD_OVERRIDE=FY","FILING_STATUS=MR","EQY_CONSOLIDATED=Y","SCALING_FORMAT=MLN","Sort=A","Dates=H","DateFormat=P","Fill=—","Direction=H","UseDPDF=Y")</f>
        <v>-25810</v>
      </c>
      <c r="H14" s="19">
        <f>_xll.BDH("RCOM IN Equity","NET_CHANGE_TOTAL_EQUITY","FY 2014","FY 2014","Currency=INR","Period=FY","BEST_FPERIOD_OVERRIDE=FY","FILING_STATUS=MR","EQY_CONSOLIDATED=Y","SCALING_FORMAT=MLN","Sort=A","Dates=H","DateFormat=P","Fill=—","Direction=H","UseDPDF=Y")</f>
        <v>-10360</v>
      </c>
      <c r="I14" s="19">
        <f>_xll.BDH("RCOM IN Equity","NET_CHANGE_TOTAL_EQUITY","FY 2015","FY 2015","Currency=INR","Period=FY","BEST_FPERIOD_OVERRIDE=FY","FILING_STATUS=MR","EQY_CONSOLIDATED=Y","SCALING_FORMAT=MLN","Sort=A","Dates=H","DateFormat=P","Fill=—","Direction=H","UseDPDF=Y")</f>
        <v>49090</v>
      </c>
      <c r="J14" s="19">
        <f>_xll.BDH("RCOM IN Equity","NET_CHANGE_TOTAL_EQUITY","FY 2016","FY 2016","Currency=INR","Period=FY","BEST_FPERIOD_OVERRIDE=FY","FILING_STATUS=MR","EQY_CONSOLIDATED=Y","SCALING_FORMAT=MLN","Sort=A","Dates=H","DateFormat=P","Fill=—","Direction=H","UseDPDF=Y")</f>
        <v>-65830</v>
      </c>
      <c r="K14" s="19">
        <f>_xll.BDH("RCOM IN Equity","NET_CHANGE_TOTAL_EQUITY","FY 2017","FY 2017","Currency=INR","Period=FY","BEST_FPERIOD_OVERRIDE=FY","FILING_STATUS=MR","EQY_CONSOLIDATED=Y","SCALING_FORMAT=MLN","Sort=A","Dates=H","DateFormat=P","Fill=—","Direction=H","UseDPDF=Y")</f>
        <v>-28960</v>
      </c>
      <c r="L14" s="19">
        <f>_xll.BDH("RCOM IN Equity","NET_CHANGE_TOTAL_EQUITY","FY 2018","FY 2018","Currency=INR","Period=FY","BEST_FPERIOD_OVERRIDE=FY","FILING_STATUS=MR","EQY_CONSOLIDATED=Y","SCALING_FORMAT=MLN","Sort=A","Dates=H","DateFormat=P","Fill=—","Direction=H","UseDPDF=Y")</f>
        <v>-258540</v>
      </c>
    </row>
    <row r="15" spans="1:12">
      <c r="A15" s="6" t="s">
        <v>1746</v>
      </c>
      <c r="B15" s="6" t="s">
        <v>1747</v>
      </c>
      <c r="C15" s="20">
        <f>_xll.BDH("RCOM IN Equity","INCR_IN_EQY_PCT_OF_TOT","FY 2009","FY 2009","Currency=INR","Period=FY","BEST_FPERIOD_OVERRIDE=FY","FILING_STATUS=MR","EQY_CONSOLIDATED=Y","Sort=A","Dates=H","DateFormat=P","Fill=—","Direction=H","UseDPDF=Y")</f>
        <v>46.380099999999999</v>
      </c>
      <c r="D15" s="20">
        <f>_xll.BDH("RCOM IN Equity","INCR_IN_EQY_PCT_OF_TOT","FY 2010","FY 2010","Currency=INR","Period=FY","BEST_FPERIOD_OVERRIDE=FY","FILING_STATUS=MR","EQY_CONSOLIDATED=Y","Sort=A","Dates=H","DateFormat=P","Fill=—","Direction=H","UseDPDF=Y")</f>
        <v>-11.2445</v>
      </c>
      <c r="E15" s="20">
        <f>_xll.BDH("RCOM IN Equity","INCR_IN_EQY_PCT_OF_TOT","FY 2011","FY 2011","Currency=INR","Period=FY","BEST_FPERIOD_OVERRIDE=FY","FILING_STATUS=MR","EQY_CONSOLIDATED=Y","Sort=A","Dates=H","DateFormat=P","Fill=—","Direction=H","UseDPDF=Y")</f>
        <v>-125.14239999999999</v>
      </c>
      <c r="F15" s="20">
        <f>_xll.BDH("RCOM IN Equity","INCR_IN_EQY_PCT_OF_TOT","FY 2012","FY 2012","Currency=INR","Period=FY","BEST_FPERIOD_OVERRIDE=FY","FILING_STATUS=MR","EQY_CONSOLIDATED=Y","Sort=A","Dates=H","DateFormat=P","Fill=—","Direction=H","UseDPDF=Y")</f>
        <v>169.52809999999999</v>
      </c>
      <c r="G15" s="20">
        <f>_xll.BDH("RCOM IN Equity","INCR_IN_EQY_PCT_OF_TOT","FY 2013","FY 2013","Currency=INR","Period=FY","BEST_FPERIOD_OVERRIDE=FY","FILING_STATUS=MR","EQY_CONSOLIDATED=Y","Sort=A","Dates=H","DateFormat=P","Fill=—","Direction=H","UseDPDF=Y")</f>
        <v>123.90779999999999</v>
      </c>
      <c r="H15" s="20">
        <f>_xll.BDH("RCOM IN Equity","INCR_IN_EQY_PCT_OF_TOT","FY 2014","FY 2014","Currency=INR","Period=FY","BEST_FPERIOD_OVERRIDE=FY","FILING_STATUS=MR","EQY_CONSOLIDATED=Y","Sort=A","Dates=H","DateFormat=P","Fill=—","Direction=H","UseDPDF=Y")</f>
        <v>-185.99639999999999</v>
      </c>
      <c r="I15" s="20">
        <f>_xll.BDH("RCOM IN Equity","INCR_IN_EQY_PCT_OF_TOT","FY 2015","FY 2015","Currency=INR","Period=FY","BEST_FPERIOD_OVERRIDE=FY","FILING_STATUS=MR","EQY_CONSOLIDATED=Y","Sort=A","Dates=H","DateFormat=P","Fill=—","Direction=H","UseDPDF=Y")</f>
        <v>900.73389999999995</v>
      </c>
      <c r="J15" s="20">
        <f>_xll.BDH("RCOM IN Equity","INCR_IN_EQY_PCT_OF_TOT","FY 2016","FY 2016","Currency=INR","Period=FY","BEST_FPERIOD_OVERRIDE=FY","FILING_STATUS=MR","EQY_CONSOLIDATED=Y","Sort=A","Dates=H","DateFormat=P","Fill=—","Direction=H","UseDPDF=Y")</f>
        <v>-54.091999999999999</v>
      </c>
      <c r="K15" s="20">
        <f>_xll.BDH("RCOM IN Equity","INCR_IN_EQY_PCT_OF_TOT","FY 2017","FY 2017","Currency=INR","Period=FY","BEST_FPERIOD_OVERRIDE=FY","FILING_STATUS=MR","EQY_CONSOLIDATED=Y","Sort=A","Dates=H","DateFormat=P","Fill=—","Direction=H","UseDPDF=Y")</f>
        <v>77.786699999999996</v>
      </c>
      <c r="L15" s="20">
        <f>_xll.BDH("RCOM IN Equity","INCR_IN_EQY_PCT_OF_TOT","FY 2018","FY 2018","Currency=INR","Period=FY","BEST_FPERIOD_OVERRIDE=FY","FILING_STATUS=MR","EQY_CONSOLIDATED=Y","Sort=A","Dates=H","DateFormat=P","Fill=—","Direction=H","UseDPDF=Y")</f>
        <v>102.7869</v>
      </c>
    </row>
    <row r="16" spans="1:12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>
      <c r="A17" s="6" t="s">
        <v>1748</v>
      </c>
      <c r="B17" s="6" t="s">
        <v>1749</v>
      </c>
      <c r="C17" s="19">
        <f>_xll.BDH("RCOM IN Equity","CAPITAL_EMPLOYED","FY 2009","FY 2009","Currency=INR","Period=FY","BEST_FPERIOD_OVERRIDE=FY","FILING_STATUS=MR","EQY_CONSOLIDATED=Y","SCALING_FORMAT=MLN","Sort=A","Dates=H","DateFormat=P","Fill=—","Direction=H","UseDPDF=Y")</f>
        <v>451624.8</v>
      </c>
      <c r="D17" s="19">
        <f>_xll.BDH("RCOM IN Equity","CAPITAL_EMPLOYED","FY 2010","FY 2010","Currency=INR","Period=FY","BEST_FPERIOD_OVERRIDE=FY","FILING_STATUS=MR","EQY_CONSOLIDATED=Y","SCALING_FORMAT=MLN","Sort=A","Dates=H","DateFormat=P","Fill=—","Direction=H","UseDPDF=Y")</f>
        <v>404123.9</v>
      </c>
      <c r="E17" s="19">
        <f>_xll.BDH("RCOM IN Equity","CAPITAL_EMPLOYED","FY 2011","FY 2011","Currency=INR","Period=FY","BEST_FPERIOD_OVERRIDE=FY","FILING_STATUS=MR","EQY_CONSOLIDATED=Y","SCALING_FORMAT=MLN","Sort=A","Dates=H","DateFormat=P","Fill=—","Direction=H","UseDPDF=Y")</f>
        <v>400330</v>
      </c>
      <c r="F17" s="19">
        <f>_xll.BDH("RCOM IN Equity","CAPITAL_EMPLOYED","FY 2012","FY 2012","Currency=INR","Period=FY","BEST_FPERIOD_OVERRIDE=FY","FILING_STATUS=MR","EQY_CONSOLIDATED=Y","SCALING_FORMAT=MLN","Sort=A","Dates=H","DateFormat=P","Fill=—","Direction=H","UseDPDF=Y")</f>
        <v>387180</v>
      </c>
      <c r="G17" s="19">
        <f>_xll.BDH("RCOM IN Equity","CAPITAL_EMPLOYED","FY 2013","FY 2013","Currency=INR","Period=FY","BEST_FPERIOD_OVERRIDE=FY","FILING_STATUS=MR","EQY_CONSOLIDATED=Y","SCALING_FORMAT=MLN","Sort=A","Dates=H","DateFormat=P","Fill=—","Direction=H","UseDPDF=Y")</f>
        <v>370250</v>
      </c>
      <c r="H17" s="19">
        <f>_xll.BDH("RCOM IN Equity","CAPITAL_EMPLOYED","FY 2014","FY 2014","Currency=INR","Period=FY","BEST_FPERIOD_OVERRIDE=FY","FILING_STATUS=MR","EQY_CONSOLIDATED=Y","SCALING_FORMAT=MLN","Sort=A","Dates=H","DateFormat=P","Fill=—","Direction=H","UseDPDF=Y")</f>
        <v>349630</v>
      </c>
      <c r="I17" s="19">
        <f>_xll.BDH("RCOM IN Equity","CAPITAL_EMPLOYED","FY 2015","FY 2015","Currency=INR","Period=FY","BEST_FPERIOD_OVERRIDE=FY","FILING_STATUS=MR","EQY_CONSOLIDATED=Y","SCALING_FORMAT=MLN","Sort=A","Dates=H","DateFormat=P","Fill=—","Direction=H","UseDPDF=Y")</f>
        <v>431450</v>
      </c>
      <c r="J17" s="19">
        <f>_xll.BDH("RCOM IN Equity","CAPITAL_EMPLOYED","FY 2016","FY 2016","Currency=INR","Period=FY","BEST_FPERIOD_OVERRIDE=FY","FILING_STATUS=MR","EQY_CONSOLIDATED=Y","SCALING_FORMAT=MLN","Sort=A","Dates=H","DateFormat=P","Fill=—","Direction=H","UseDPDF=Y")</f>
        <v>366130</v>
      </c>
      <c r="K17" s="19">
        <f>_xll.BDH("RCOM IN Equity","CAPITAL_EMPLOYED","FY 2017","FY 2017","Currency=INR","Period=FY","BEST_FPERIOD_OVERRIDE=FY","FILING_STATUS=MR","EQY_CONSOLIDATED=Y","SCALING_FORMAT=MLN","Sort=A","Dates=H","DateFormat=P","Fill=—","Direction=H","UseDPDF=Y")</f>
        <v>286830</v>
      </c>
      <c r="L17" s="19">
        <f>_xll.BDH("RCOM IN Equity","CAPITAL_EMPLOYED","FY 2018","FY 2018","Currency=INR","Period=FY","BEST_FPERIOD_OVERRIDE=FY","FILING_STATUS=MR","EQY_CONSOLIDATED=Y","SCALING_FORMAT=MLN","Sort=A","Dates=H","DateFormat=P","Fill=—","Direction=H","UseDPDF=Y")</f>
        <v>97470</v>
      </c>
    </row>
    <row r="18" spans="1:12">
      <c r="A18" s="7" t="s">
        <v>57</v>
      </c>
      <c r="B18" s="7"/>
      <c r="C18" s="7" t="s">
        <v>3</v>
      </c>
      <c r="D18" s="7"/>
      <c r="E18" s="7"/>
      <c r="F18" s="7"/>
      <c r="G18" s="7"/>
      <c r="H18" s="7"/>
      <c r="I18" s="7"/>
      <c r="J18" s="7"/>
      <c r="K18" s="7"/>
      <c r="L18" s="7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L17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1750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209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</row>
    <row r="6" spans="1:12">
      <c r="A6" s="6" t="s">
        <v>116</v>
      </c>
      <c r="B6" s="6" t="s">
        <v>338</v>
      </c>
      <c r="C6" s="19">
        <f>_xll.BDH("RCOM IN Equity","NET_INCOME","FY 2010","FY 2010","Currency=INR","Period=FY","BEST_FPERIOD_OVERRIDE=FY","FILING_STATUS=MR","EQY_CONSOLIDATED=Y","SCALING_FORMAT=MLN","FA_ADJUSTED=GAAP","Sort=A","Dates=H","DateFormat=P","Fill=—","Direction=H","UseDPDF=Y")</f>
        <v>46550</v>
      </c>
      <c r="D6" s="19">
        <f>_xll.BDH("RCOM IN Equity","NET_INCOME","FY 2011","FY 2011","Currency=INR","Period=FY","BEST_FPERIOD_OVERRIDE=FY","FILING_STATUS=MR","EQY_CONSOLIDATED=Y","SCALING_FORMAT=MLN","FA_ADJUSTED=GAAP","Sort=A","Dates=H","DateFormat=P","Fill=—","Direction=H","UseDPDF=Y")</f>
        <v>13450</v>
      </c>
      <c r="E6" s="19">
        <f>_xll.BDH("RCOM IN Equity","NET_INCOME","FY 2012","FY 2012","Currency=INR","Period=FY","BEST_FPERIOD_OVERRIDE=FY","FILING_STATUS=MR","EQY_CONSOLIDATED=Y","SCALING_FORMAT=MLN","FA_ADJUSTED=GAAP","Sort=A","Dates=H","DateFormat=P","Fill=—","Direction=H","UseDPDF=Y")</f>
        <v>9280</v>
      </c>
      <c r="F6" s="19">
        <f>_xll.BDH("RCOM IN Equity","NET_INCOME","FY 2013","FY 2013","Currency=INR","Period=FY","BEST_FPERIOD_OVERRIDE=FY","FILING_STATUS=MR","EQY_CONSOLIDATED=Y","SCALING_FORMAT=MLN","FA_ADJUSTED=GAAP","Sort=A","Dates=H","DateFormat=P","Fill=—","Direction=H","UseDPDF=Y")</f>
        <v>6720</v>
      </c>
      <c r="G6" s="19">
        <f>_xll.BDH("RCOM IN Equity","NET_INCOME","FY 2014","FY 2014","Currency=INR","Period=FY","BEST_FPERIOD_OVERRIDE=FY","FILING_STATUS=MR","EQY_CONSOLIDATED=Y","SCALING_FORMAT=MLN","FA_ADJUSTED=GAAP","Sort=A","Dates=H","DateFormat=P","Fill=—","Direction=H","UseDPDF=Y")</f>
        <v>10470</v>
      </c>
      <c r="H6" s="19">
        <f>_xll.BDH("RCOM IN Equity","NET_INCOME","FY 2015","FY 2015","Currency=INR","Period=FY","BEST_FPERIOD_OVERRIDE=FY","FILING_STATUS=MR","EQY_CONSOLIDATED=Y","SCALING_FORMAT=MLN","FA_ADJUSTED=GAAP","Sort=A","Dates=H","DateFormat=P","Fill=—","Direction=H","UseDPDF=Y")</f>
        <v>7140</v>
      </c>
      <c r="I6" s="19">
        <f>_xll.BDH("RCOM IN Equity","NET_INCOME","FY 2016","FY 2016","Currency=INR","Period=FY","BEST_FPERIOD_OVERRIDE=FY","FILING_STATUS=MR","EQY_CONSOLIDATED=Y","SCALING_FORMAT=MLN","FA_ADJUSTED=GAAP","Sort=A","Dates=H","DateFormat=P","Fill=—","Direction=H","UseDPDF=Y")</f>
        <v>6390</v>
      </c>
      <c r="J6" s="19">
        <f>_xll.BDH("RCOM IN Equity","NET_INCOME","FY 2017","FY 2017","Currency=INR","Period=FY","BEST_FPERIOD_OVERRIDE=FY","FILING_STATUS=MR","EQY_CONSOLIDATED=Y","SCALING_FORMAT=MLN","FA_ADJUSTED=GAAP","Sort=A","Dates=H","DateFormat=P","Fill=—","Direction=H","UseDPDF=Y")</f>
        <v>-14030</v>
      </c>
      <c r="K6" s="19">
        <f>_xll.BDH("RCOM IN Equity","NET_INCOME","FY 2018","FY 2018","Currency=INR","Period=FY","BEST_FPERIOD_OVERRIDE=FY","FILING_STATUS=MR","EQY_CONSOLIDATED=Y","SCALING_FORMAT=MLN","FA_ADJUSTED=GAAP","Sort=A","Dates=H","DateFormat=P","Fill=—","Direction=H","UseDPDF=Y")</f>
        <v>-238390</v>
      </c>
      <c r="L6" s="22">
        <v>-192140</v>
      </c>
    </row>
    <row r="7" spans="1:12">
      <c r="A7" s="10" t="s">
        <v>1751</v>
      </c>
      <c r="B7" s="10" t="s">
        <v>1752</v>
      </c>
      <c r="C7" s="13" t="str">
        <f>_xll.BDH("RCOM IN Equity","IS_FOREIGN_CRNCY_TRANS_ADJ","FY 2010","FY 2010","Currency=INR","Period=FY","BEST_FPERIOD_OVERRIDE=FY","FILING_STATUS=MR","EQY_CONSOLIDATED=Y","SCALING_FORMAT=MLN","Sort=A","Dates=H","DateFormat=P","Fill=—","Direction=H","UseDPDF=Y")</f>
        <v>—</v>
      </c>
      <c r="D7" s="13" t="str">
        <f>_xll.BDH("RCOM IN Equity","IS_FOREIGN_CRNCY_TRANS_ADJ","FY 2011","FY 2011","Currency=INR","Period=FY","BEST_FPERIOD_OVERRIDE=FY","FILING_STATUS=MR","EQY_CONSOLIDATED=Y","SCALING_FORMAT=MLN","Sort=A","Dates=H","DateFormat=P","Fill=—","Direction=H","UseDPDF=Y")</f>
        <v>—</v>
      </c>
      <c r="E7" s="13" t="str">
        <f>_xll.BDH("RCOM IN Equity","IS_FOREIGN_CRNCY_TRANS_ADJ","FY 2012","FY 2012","Currency=INR","Period=FY","BEST_FPERIOD_OVERRIDE=FY","FILING_STATUS=MR","EQY_CONSOLIDATED=Y","SCALING_FORMAT=MLN","Sort=A","Dates=H","DateFormat=P","Fill=—","Direction=H","UseDPDF=Y")</f>
        <v>—</v>
      </c>
      <c r="F7" s="13" t="str">
        <f>_xll.BDH("RCOM IN Equity","IS_FOREIGN_CRNCY_TRANS_ADJ","FY 2013","FY 2013","Currency=INR","Period=FY","BEST_FPERIOD_OVERRIDE=FY","FILING_STATUS=MR","EQY_CONSOLIDATED=Y","SCALING_FORMAT=MLN","Sort=A","Dates=H","DateFormat=P","Fill=—","Direction=H","UseDPDF=Y")</f>
        <v>—</v>
      </c>
      <c r="G7" s="13" t="str">
        <f>_xll.BDH("RCOM IN Equity","IS_FOREIGN_CRNCY_TRANS_ADJ","FY 2014","FY 2014","Currency=INR","Period=FY","BEST_FPERIOD_OVERRIDE=FY","FILING_STATUS=MR","EQY_CONSOLIDATED=Y","SCALING_FORMAT=MLN","Sort=A","Dates=H","DateFormat=P","Fill=—","Direction=H","UseDPDF=Y")</f>
        <v>—</v>
      </c>
      <c r="H7" s="13" t="str">
        <f>_xll.BDH("RCOM IN Equity","IS_FOREIGN_CRNCY_TRANS_ADJ","FY 2015","FY 2015","Currency=INR","Period=FY","BEST_FPERIOD_OVERRIDE=FY","FILING_STATUS=MR","EQY_CONSOLIDATED=Y","SCALING_FORMAT=MLN","Sort=A","Dates=H","DateFormat=P","Fill=—","Direction=H","UseDPDF=Y")</f>
        <v>—</v>
      </c>
      <c r="I7" s="13">
        <f>_xll.BDH("RCOM IN Equity","IS_FOREIGN_CRNCY_TRANS_ADJ","FY 2016","FY 2016","Currency=INR","Period=FY","BEST_FPERIOD_OVERRIDE=FY","FILING_STATUS=MR","EQY_CONSOLIDATED=Y","SCALING_FORMAT=MLN","Sort=A","Dates=H","DateFormat=P","Fill=—","Direction=H","UseDPDF=Y")</f>
        <v>0</v>
      </c>
      <c r="J7" s="13">
        <f>_xll.BDH("RCOM IN Equity","IS_FOREIGN_CRNCY_TRANS_ADJ","FY 2017","FY 2017","Currency=INR","Period=FY","BEST_FPERIOD_OVERRIDE=FY","FILING_STATUS=MR","EQY_CONSOLIDATED=Y","SCALING_FORMAT=MLN","Sort=A","Dates=H","DateFormat=P","Fill=—","Direction=H","UseDPDF=Y")</f>
        <v>0</v>
      </c>
      <c r="K7" s="13">
        <f>_xll.BDH("RCOM IN Equity","IS_FOREIGN_CRNCY_TRANS_ADJ","FY 2018","FY 2018","Currency=INR","Period=FY","BEST_FPERIOD_OVERRIDE=FY","FILING_STATUS=MR","EQY_CONSOLIDATED=Y","SCALING_FORMAT=MLN","Sort=A","Dates=H","DateFormat=P","Fill=—","Direction=H","UseDPDF=Y")</f>
        <v>0</v>
      </c>
      <c r="L7" s="16"/>
    </row>
    <row r="8" spans="1:12">
      <c r="A8" s="10" t="s">
        <v>1753</v>
      </c>
      <c r="B8" s="10" t="s">
        <v>1754</v>
      </c>
      <c r="C8" s="13" t="str">
        <f>_xll.BDH("RCOM IN Equity","IS_UNREALIZED_GAIN_LOSS_COMP_INC","FY 2010","FY 2010","Currency=INR","Period=FY","BEST_FPERIOD_OVERRIDE=FY","FILING_STATUS=MR","EQY_CONSOLIDATED=Y","SCALING_FORMAT=MLN","Sort=A","Dates=H","DateFormat=P","Fill=—","Direction=H","UseDPDF=Y")</f>
        <v>—</v>
      </c>
      <c r="D8" s="13" t="str">
        <f>_xll.BDH("RCOM IN Equity","IS_UNREALIZED_GAIN_LOSS_COMP_INC","FY 2011","FY 2011","Currency=INR","Period=FY","BEST_FPERIOD_OVERRIDE=FY","FILING_STATUS=MR","EQY_CONSOLIDATED=Y","SCALING_FORMAT=MLN","Sort=A","Dates=H","DateFormat=P","Fill=—","Direction=H","UseDPDF=Y")</f>
        <v>—</v>
      </c>
      <c r="E8" s="13" t="str">
        <f>_xll.BDH("RCOM IN Equity","IS_UNREALIZED_GAIN_LOSS_COMP_INC","FY 2012","FY 2012","Currency=INR","Period=FY","BEST_FPERIOD_OVERRIDE=FY","FILING_STATUS=MR","EQY_CONSOLIDATED=Y","SCALING_FORMAT=MLN","Sort=A","Dates=H","DateFormat=P","Fill=—","Direction=H","UseDPDF=Y")</f>
        <v>—</v>
      </c>
      <c r="F8" s="13" t="str">
        <f>_xll.BDH("RCOM IN Equity","IS_UNREALIZED_GAIN_LOSS_COMP_INC","FY 2013","FY 2013","Currency=INR","Period=FY","BEST_FPERIOD_OVERRIDE=FY","FILING_STATUS=MR","EQY_CONSOLIDATED=Y","SCALING_FORMAT=MLN","Sort=A","Dates=H","DateFormat=P","Fill=—","Direction=H","UseDPDF=Y")</f>
        <v>—</v>
      </c>
      <c r="G8" s="13" t="str">
        <f>_xll.BDH("RCOM IN Equity","IS_UNREALIZED_GAIN_LOSS_COMP_INC","FY 2014","FY 2014","Currency=INR","Period=FY","BEST_FPERIOD_OVERRIDE=FY","FILING_STATUS=MR","EQY_CONSOLIDATED=Y","SCALING_FORMAT=MLN","Sort=A","Dates=H","DateFormat=P","Fill=—","Direction=H","UseDPDF=Y")</f>
        <v>—</v>
      </c>
      <c r="H8" s="13" t="str">
        <f>_xll.BDH("RCOM IN Equity","IS_UNREALIZED_GAIN_LOSS_COMP_INC","FY 2015","FY 2015","Currency=INR","Period=FY","BEST_FPERIOD_OVERRIDE=FY","FILING_STATUS=MR","EQY_CONSOLIDATED=Y","SCALING_FORMAT=MLN","Sort=A","Dates=H","DateFormat=P","Fill=—","Direction=H","UseDPDF=Y")</f>
        <v>—</v>
      </c>
      <c r="I8" s="13">
        <f>_xll.BDH("RCOM IN Equity","IS_UNREALIZED_GAIN_LOSS_COMP_INC","FY 2016","FY 2016","Currency=INR","Period=FY","BEST_FPERIOD_OVERRIDE=FY","FILING_STATUS=MR","EQY_CONSOLIDATED=Y","SCALING_FORMAT=MLN","Sort=A","Dates=H","DateFormat=P","Fill=—","Direction=H","UseDPDF=Y")</f>
        <v>0</v>
      </c>
      <c r="J8" s="13">
        <f>_xll.BDH("RCOM IN Equity","IS_UNREALIZED_GAIN_LOSS_COMP_INC","FY 2017","FY 2017","Currency=INR","Period=FY","BEST_FPERIOD_OVERRIDE=FY","FILING_STATUS=MR","EQY_CONSOLIDATED=Y","SCALING_FORMAT=MLN","Sort=A","Dates=H","DateFormat=P","Fill=—","Direction=H","UseDPDF=Y")</f>
        <v>0</v>
      </c>
      <c r="K8" s="13">
        <f>_xll.BDH("RCOM IN Equity","IS_UNREALIZED_GAIN_LOSS_COMP_INC","FY 2018","FY 2018","Currency=INR","Period=FY","BEST_FPERIOD_OVERRIDE=FY","FILING_STATUS=MR","EQY_CONSOLIDATED=Y","SCALING_FORMAT=MLN","Sort=A","Dates=H","DateFormat=P","Fill=—","Direction=H","UseDPDF=Y")</f>
        <v>0</v>
      </c>
      <c r="L8" s="16"/>
    </row>
    <row r="9" spans="1:12">
      <c r="A9" s="10" t="s">
        <v>1755</v>
      </c>
      <c r="B9" s="10" t="s">
        <v>1756</v>
      </c>
      <c r="C9" s="13" t="str">
        <f>_xll.BDH("RCOM IN Equity","IS_OTHER_COMPREHENSIVE_INCOME","FY 2010","FY 2010","Currency=INR","Period=FY","BEST_FPERIOD_OVERRIDE=FY","FILING_STATUS=MR","EQY_CONSOLIDATED=Y","SCALING_FORMAT=MLN","Sort=A","Dates=H","DateFormat=P","Fill=—","Direction=H","UseDPDF=Y")</f>
        <v>—</v>
      </c>
      <c r="D9" s="13" t="str">
        <f>_xll.BDH("RCOM IN Equity","IS_OTHER_COMPREHENSIVE_INCOME","FY 2011","FY 2011","Currency=INR","Period=FY","BEST_FPERIOD_OVERRIDE=FY","FILING_STATUS=MR","EQY_CONSOLIDATED=Y","SCALING_FORMAT=MLN","Sort=A","Dates=H","DateFormat=P","Fill=—","Direction=H","UseDPDF=Y")</f>
        <v>—</v>
      </c>
      <c r="E9" s="13" t="str">
        <f>_xll.BDH("RCOM IN Equity","IS_OTHER_COMPREHENSIVE_INCOME","FY 2012","FY 2012","Currency=INR","Period=FY","BEST_FPERIOD_OVERRIDE=FY","FILING_STATUS=MR","EQY_CONSOLIDATED=Y","SCALING_FORMAT=MLN","Sort=A","Dates=H","DateFormat=P","Fill=—","Direction=H","UseDPDF=Y")</f>
        <v>—</v>
      </c>
      <c r="F9" s="13" t="str">
        <f>_xll.BDH("RCOM IN Equity","IS_OTHER_COMPREHENSIVE_INCOME","FY 2013","FY 2013","Currency=INR","Period=FY","BEST_FPERIOD_OVERRIDE=FY","FILING_STATUS=MR","EQY_CONSOLIDATED=Y","SCALING_FORMAT=MLN","Sort=A","Dates=H","DateFormat=P","Fill=—","Direction=H","UseDPDF=Y")</f>
        <v>—</v>
      </c>
      <c r="G9" s="13" t="str">
        <f>_xll.BDH("RCOM IN Equity","IS_OTHER_COMPREHENSIVE_INCOME","FY 2014","FY 2014","Currency=INR","Period=FY","BEST_FPERIOD_OVERRIDE=FY","FILING_STATUS=MR","EQY_CONSOLIDATED=Y","SCALING_FORMAT=MLN","Sort=A","Dates=H","DateFormat=P","Fill=—","Direction=H","UseDPDF=Y")</f>
        <v>—</v>
      </c>
      <c r="H9" s="13" t="str">
        <f>_xll.BDH("RCOM IN Equity","IS_OTHER_COMPREHENSIVE_INCOME","FY 2015","FY 2015","Currency=INR","Period=FY","BEST_FPERIOD_OVERRIDE=FY","FILING_STATUS=MR","EQY_CONSOLIDATED=Y","SCALING_FORMAT=MLN","Sort=A","Dates=H","DateFormat=P","Fill=—","Direction=H","UseDPDF=Y")</f>
        <v>—</v>
      </c>
      <c r="I9" s="13">
        <f>_xll.BDH("RCOM IN Equity","IS_OTHER_COMPREHENSIVE_INCOME","FY 2016","FY 2016","Currency=INR","Period=FY","BEST_FPERIOD_OVERRIDE=FY","FILING_STATUS=MR","EQY_CONSOLIDATED=Y","SCALING_FORMAT=MLN","Sort=A","Dates=H","DateFormat=P","Fill=—","Direction=H","UseDPDF=Y")</f>
        <v>-10</v>
      </c>
      <c r="J9" s="13">
        <f>_xll.BDH("RCOM IN Equity","IS_OTHER_COMPREHENSIVE_INCOME","FY 2017","FY 2017","Currency=INR","Period=FY","BEST_FPERIOD_OVERRIDE=FY","FILING_STATUS=MR","EQY_CONSOLIDATED=Y","SCALING_FORMAT=MLN","Sort=A","Dates=H","DateFormat=P","Fill=—","Direction=H","UseDPDF=Y")</f>
        <v>-10</v>
      </c>
      <c r="K9" s="13">
        <f>_xll.BDH("RCOM IN Equity","IS_OTHER_COMPREHENSIVE_INCOME","FY 2018","FY 2018","Currency=INR","Period=FY","BEST_FPERIOD_OVERRIDE=FY","FILING_STATUS=MR","EQY_CONSOLIDATED=Y","SCALING_FORMAT=MLN","Sort=A","Dates=H","DateFormat=P","Fill=—","Direction=H","UseDPDF=Y")</f>
        <v>40</v>
      </c>
      <c r="L9" s="16"/>
    </row>
    <row r="10" spans="1:12">
      <c r="A10" s="10" t="s">
        <v>1757</v>
      </c>
      <c r="B10" s="10" t="s">
        <v>1758</v>
      </c>
      <c r="C10" s="13" t="str">
        <f>_xll.BDH("RCOM IN Equity","IS_OTHER_ADJ_COMP_INC","FY 2010","FY 2010","Currency=INR","Period=FY","BEST_FPERIOD_OVERRIDE=FY","FILING_STATUS=MR","EQY_CONSOLIDATED=Y","SCALING_FORMAT=MLN","Sort=A","Dates=H","DateFormat=P","Fill=—","Direction=H","UseDPDF=Y")</f>
        <v>—</v>
      </c>
      <c r="D10" s="13" t="str">
        <f>_xll.BDH("RCOM IN Equity","IS_OTHER_ADJ_COMP_INC","FY 2011","FY 2011","Currency=INR","Period=FY","BEST_FPERIOD_OVERRIDE=FY","FILING_STATUS=MR","EQY_CONSOLIDATED=Y","SCALING_FORMAT=MLN","Sort=A","Dates=H","DateFormat=P","Fill=—","Direction=H","UseDPDF=Y")</f>
        <v>—</v>
      </c>
      <c r="E10" s="13" t="str">
        <f>_xll.BDH("RCOM IN Equity","IS_OTHER_ADJ_COMP_INC","FY 2012","FY 2012","Currency=INR","Period=FY","BEST_FPERIOD_OVERRIDE=FY","FILING_STATUS=MR","EQY_CONSOLIDATED=Y","SCALING_FORMAT=MLN","Sort=A","Dates=H","DateFormat=P","Fill=—","Direction=H","UseDPDF=Y")</f>
        <v>—</v>
      </c>
      <c r="F10" s="13" t="str">
        <f>_xll.BDH("RCOM IN Equity","IS_OTHER_ADJ_COMP_INC","FY 2013","FY 2013","Currency=INR","Period=FY","BEST_FPERIOD_OVERRIDE=FY","FILING_STATUS=MR","EQY_CONSOLIDATED=Y","SCALING_FORMAT=MLN","Sort=A","Dates=H","DateFormat=P","Fill=—","Direction=H","UseDPDF=Y")</f>
        <v>—</v>
      </c>
      <c r="G10" s="13" t="str">
        <f>_xll.BDH("RCOM IN Equity","IS_OTHER_ADJ_COMP_INC","FY 2014","FY 2014","Currency=INR","Period=FY","BEST_FPERIOD_OVERRIDE=FY","FILING_STATUS=MR","EQY_CONSOLIDATED=Y","SCALING_FORMAT=MLN","Sort=A","Dates=H","DateFormat=P","Fill=—","Direction=H","UseDPDF=Y")</f>
        <v>—</v>
      </c>
      <c r="H10" s="13" t="str">
        <f>_xll.BDH("RCOM IN Equity","IS_OTHER_ADJ_COMP_INC","FY 2015","FY 2015","Currency=INR","Period=FY","BEST_FPERIOD_OVERRIDE=FY","FILING_STATUS=MR","EQY_CONSOLIDATED=Y","SCALING_FORMAT=MLN","Sort=A","Dates=H","DateFormat=P","Fill=—","Direction=H","UseDPDF=Y")</f>
        <v>—</v>
      </c>
      <c r="I10" s="13">
        <f>_xll.BDH("RCOM IN Equity","IS_OTHER_ADJ_COMP_INC","FY 2016","FY 2016","Currency=INR","Period=FY","BEST_FPERIOD_OVERRIDE=FY","FILING_STATUS=MR","EQY_CONSOLIDATED=Y","SCALING_FORMAT=MLN","Sort=A","Dates=H","DateFormat=P","Fill=—","Direction=H","UseDPDF=Y")</f>
        <v>30</v>
      </c>
      <c r="J10" s="13">
        <f>_xll.BDH("RCOM IN Equity","IS_OTHER_ADJ_COMP_INC","FY 2017","FY 2017","Currency=INR","Period=FY","BEST_FPERIOD_OVERRIDE=FY","FILING_STATUS=MR","EQY_CONSOLIDATED=Y","SCALING_FORMAT=MLN","Sort=A","Dates=H","DateFormat=P","Fill=—","Direction=H","UseDPDF=Y")</f>
        <v>-10</v>
      </c>
      <c r="K10" s="13">
        <f>_xll.BDH("RCOM IN Equity","IS_OTHER_ADJ_COMP_INC","FY 2018","FY 2018","Currency=INR","Period=FY","BEST_FPERIOD_OVERRIDE=FY","FILING_STATUS=MR","EQY_CONSOLIDATED=Y","SCALING_FORMAT=MLN","Sort=A","Dates=H","DateFormat=P","Fill=—","Direction=H","UseDPDF=Y")</f>
        <v>477640</v>
      </c>
      <c r="L10" s="16">
        <v>2440</v>
      </c>
    </row>
    <row r="11" spans="1:12">
      <c r="A11" s="10" t="s">
        <v>1759</v>
      </c>
      <c r="B11" s="10" t="s">
        <v>1760</v>
      </c>
      <c r="C11" s="13" t="str">
        <f>_xll.BDH("RCOM IN Equity","IS_INC_TAX_EXP_OTHER_COMP_INC","FY 2010","FY 2010","Currency=INR","Period=FY","BEST_FPERIOD_OVERRIDE=FY","FILING_STATUS=MR","EQY_CONSOLIDATED=Y","SCALING_FORMAT=MLN","Sort=A","Dates=H","DateFormat=P","Fill=—","Direction=H","UseDPDF=Y")</f>
        <v>—</v>
      </c>
      <c r="D11" s="13" t="str">
        <f>_xll.BDH("RCOM IN Equity","IS_INC_TAX_EXP_OTHER_COMP_INC","FY 2011","FY 2011","Currency=INR","Period=FY","BEST_FPERIOD_OVERRIDE=FY","FILING_STATUS=MR","EQY_CONSOLIDATED=Y","SCALING_FORMAT=MLN","Sort=A","Dates=H","DateFormat=P","Fill=—","Direction=H","UseDPDF=Y")</f>
        <v>—</v>
      </c>
      <c r="E11" s="13" t="str">
        <f>_xll.BDH("RCOM IN Equity","IS_INC_TAX_EXP_OTHER_COMP_INC","FY 2012","FY 2012","Currency=INR","Period=FY","BEST_FPERIOD_OVERRIDE=FY","FILING_STATUS=MR","EQY_CONSOLIDATED=Y","SCALING_FORMAT=MLN","Sort=A","Dates=H","DateFormat=P","Fill=—","Direction=H","UseDPDF=Y")</f>
        <v>—</v>
      </c>
      <c r="F11" s="13" t="str">
        <f>_xll.BDH("RCOM IN Equity","IS_INC_TAX_EXP_OTHER_COMP_INC","FY 2013","FY 2013","Currency=INR","Period=FY","BEST_FPERIOD_OVERRIDE=FY","FILING_STATUS=MR","EQY_CONSOLIDATED=Y","SCALING_FORMAT=MLN","Sort=A","Dates=H","DateFormat=P","Fill=—","Direction=H","UseDPDF=Y")</f>
        <v>—</v>
      </c>
      <c r="G11" s="13" t="str">
        <f>_xll.BDH("RCOM IN Equity","IS_INC_TAX_EXP_OTHER_COMP_INC","FY 2014","FY 2014","Currency=INR","Period=FY","BEST_FPERIOD_OVERRIDE=FY","FILING_STATUS=MR","EQY_CONSOLIDATED=Y","SCALING_FORMAT=MLN","Sort=A","Dates=H","DateFormat=P","Fill=—","Direction=H","UseDPDF=Y")</f>
        <v>—</v>
      </c>
      <c r="H11" s="13" t="str">
        <f>_xll.BDH("RCOM IN Equity","IS_INC_TAX_EXP_OTHER_COMP_INC","FY 2015","FY 2015","Currency=INR","Period=FY","BEST_FPERIOD_OVERRIDE=FY","FILING_STATUS=MR","EQY_CONSOLIDATED=Y","SCALING_FORMAT=MLN","Sort=A","Dates=H","DateFormat=P","Fill=—","Direction=H","UseDPDF=Y")</f>
        <v>—</v>
      </c>
      <c r="I11" s="13">
        <f>_xll.BDH("RCOM IN Equity","IS_INC_TAX_EXP_OTHER_COMP_INC","FY 2016","FY 2016","Currency=INR","Period=FY","BEST_FPERIOD_OVERRIDE=FY","FILING_STATUS=MR","EQY_CONSOLIDATED=Y","SCALING_FORMAT=MLN","Sort=A","Dates=H","DateFormat=P","Fill=—","Direction=H","UseDPDF=Y")</f>
        <v>1360</v>
      </c>
      <c r="J11" s="13">
        <f>_xll.BDH("RCOM IN Equity","IS_INC_TAX_EXP_OTHER_COMP_INC","FY 2017","FY 2017","Currency=INR","Period=FY","BEST_FPERIOD_OVERRIDE=FY","FILING_STATUS=MR","EQY_CONSOLIDATED=Y","SCALING_FORMAT=MLN","Sort=A","Dates=H","DateFormat=P","Fill=—","Direction=H","UseDPDF=Y")</f>
        <v>-350</v>
      </c>
      <c r="K11" s="13">
        <f>_xll.BDH("RCOM IN Equity","IS_INC_TAX_EXP_OTHER_COMP_INC","FY 2018","FY 2018","Currency=INR","Period=FY","BEST_FPERIOD_OVERRIDE=FY","FILING_STATUS=MR","EQY_CONSOLIDATED=Y","SCALING_FORMAT=MLN","Sort=A","Dates=H","DateFormat=P","Fill=—","Direction=H","UseDPDF=Y")</f>
        <v>-470</v>
      </c>
      <c r="L11" s="16"/>
    </row>
    <row r="12" spans="1:12">
      <c r="A12" s="6" t="s">
        <v>1761</v>
      </c>
      <c r="B12" s="6" t="s">
        <v>1762</v>
      </c>
      <c r="C12" s="19" t="str">
        <f>_xll.BDH("RCOM IN Equity","IS_COMPREHENSIVE_INCOME","FY 2010","FY 2010","Currency=INR","Period=FY","BEST_FPERIOD_OVERRIDE=FY","FILING_STATUS=MR","EQY_CONSOLIDATED=Y","SCALING_FORMAT=MLN","Sort=A","Dates=H","DateFormat=P","Fill=—","Direction=H","UseDPDF=Y")</f>
        <v>—</v>
      </c>
      <c r="D12" s="19" t="str">
        <f>_xll.BDH("RCOM IN Equity","IS_COMPREHENSIVE_INCOME","FY 2011","FY 2011","Currency=INR","Period=FY","BEST_FPERIOD_OVERRIDE=FY","FILING_STATUS=MR","EQY_CONSOLIDATED=Y","SCALING_FORMAT=MLN","Sort=A","Dates=H","DateFormat=P","Fill=—","Direction=H","UseDPDF=Y")</f>
        <v>—</v>
      </c>
      <c r="E12" s="19" t="str">
        <f>_xll.BDH("RCOM IN Equity","IS_COMPREHENSIVE_INCOME","FY 2012","FY 2012","Currency=INR","Period=FY","BEST_FPERIOD_OVERRIDE=FY","FILING_STATUS=MR","EQY_CONSOLIDATED=Y","SCALING_FORMAT=MLN","Sort=A","Dates=H","DateFormat=P","Fill=—","Direction=H","UseDPDF=Y")</f>
        <v>—</v>
      </c>
      <c r="F12" s="19" t="str">
        <f>_xll.BDH("RCOM IN Equity","IS_COMPREHENSIVE_INCOME","FY 2013","FY 2013","Currency=INR","Period=FY","BEST_FPERIOD_OVERRIDE=FY","FILING_STATUS=MR","EQY_CONSOLIDATED=Y","SCALING_FORMAT=MLN","Sort=A","Dates=H","DateFormat=P","Fill=—","Direction=H","UseDPDF=Y")</f>
        <v>—</v>
      </c>
      <c r="G12" s="19" t="str">
        <f>_xll.BDH("RCOM IN Equity","IS_COMPREHENSIVE_INCOME","FY 2014","FY 2014","Currency=INR","Period=FY","BEST_FPERIOD_OVERRIDE=FY","FILING_STATUS=MR","EQY_CONSOLIDATED=Y","SCALING_FORMAT=MLN","Sort=A","Dates=H","DateFormat=P","Fill=—","Direction=H","UseDPDF=Y")</f>
        <v>—</v>
      </c>
      <c r="H12" s="19" t="str">
        <f>_xll.BDH("RCOM IN Equity","IS_COMPREHENSIVE_INCOME","FY 2015","FY 2015","Currency=INR","Period=FY","BEST_FPERIOD_OVERRIDE=FY","FILING_STATUS=MR","EQY_CONSOLIDATED=Y","SCALING_FORMAT=MLN","Sort=A","Dates=H","DateFormat=P","Fill=—","Direction=H","UseDPDF=Y")</f>
        <v>—</v>
      </c>
      <c r="I12" s="19">
        <f>_xll.BDH("RCOM IN Equity","IS_COMPREHENSIVE_INCOME","FY 2016","FY 2016","Currency=INR","Period=FY","BEST_FPERIOD_OVERRIDE=FY","FILING_STATUS=MR","EQY_CONSOLIDATED=Y","SCALING_FORMAT=MLN","Sort=A","Dates=H","DateFormat=P","Fill=—","Direction=H","UseDPDF=Y")</f>
        <v>7770</v>
      </c>
      <c r="J12" s="19">
        <f>_xll.BDH("RCOM IN Equity","IS_COMPREHENSIVE_INCOME","FY 2017","FY 2017","Currency=INR","Period=FY","BEST_FPERIOD_OVERRIDE=FY","FILING_STATUS=MR","EQY_CONSOLIDATED=Y","SCALING_FORMAT=MLN","Sort=A","Dates=H","DateFormat=P","Fill=—","Direction=H","UseDPDF=Y")</f>
        <v>-14400</v>
      </c>
      <c r="K12" s="19">
        <f>_xll.BDH("RCOM IN Equity","IS_COMPREHENSIVE_INCOME","FY 2018","FY 2018","Currency=INR","Period=FY","BEST_FPERIOD_OVERRIDE=FY","FILING_STATUS=MR","EQY_CONSOLIDATED=Y","SCALING_FORMAT=MLN","Sort=A","Dates=H","DateFormat=P","Fill=—","Direction=H","UseDPDF=Y")</f>
        <v>238820</v>
      </c>
      <c r="L12" s="22">
        <v>-189700</v>
      </c>
    </row>
    <row r="13" spans="1:12">
      <c r="A13" s="6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21"/>
    </row>
    <row r="14" spans="1:12">
      <c r="A14" s="6" t="s">
        <v>1763</v>
      </c>
      <c r="B14" s="6" t="s">
        <v>1764</v>
      </c>
      <c r="C14" s="20" t="str">
        <f>_xll.BDH("RCOM IN Equity","IS_COMPREHENSIVE_INCOME_PER_SHR","FY 2010","FY 2010","Currency=INR","Period=FY","BEST_FPERIOD_OVERRIDE=FY","FILING_STATUS=MR","EQY_CONSOLIDATED=Y","Sort=A","Dates=H","DateFormat=P","Fill=—","Direction=H","UseDPDF=Y")</f>
        <v>—</v>
      </c>
      <c r="D14" s="20" t="str">
        <f>_xll.BDH("RCOM IN Equity","IS_COMPREHENSIVE_INCOME_PER_SHR","FY 2011","FY 2011","Currency=INR","Period=FY","BEST_FPERIOD_OVERRIDE=FY","FILING_STATUS=MR","EQY_CONSOLIDATED=Y","Sort=A","Dates=H","DateFormat=P","Fill=—","Direction=H","UseDPDF=Y")</f>
        <v>—</v>
      </c>
      <c r="E14" s="20" t="str">
        <f>_xll.BDH("RCOM IN Equity","IS_COMPREHENSIVE_INCOME_PER_SHR","FY 2012","FY 2012","Currency=INR","Period=FY","BEST_FPERIOD_OVERRIDE=FY","FILING_STATUS=MR","EQY_CONSOLIDATED=Y","Sort=A","Dates=H","DateFormat=P","Fill=—","Direction=H","UseDPDF=Y")</f>
        <v>—</v>
      </c>
      <c r="F14" s="20" t="str">
        <f>_xll.BDH("RCOM IN Equity","IS_COMPREHENSIVE_INCOME_PER_SHR","FY 2013","FY 2013","Currency=INR","Period=FY","BEST_FPERIOD_OVERRIDE=FY","FILING_STATUS=MR","EQY_CONSOLIDATED=Y","Sort=A","Dates=H","DateFormat=P","Fill=—","Direction=H","UseDPDF=Y")</f>
        <v>—</v>
      </c>
      <c r="G14" s="20" t="str">
        <f>_xll.BDH("RCOM IN Equity","IS_COMPREHENSIVE_INCOME_PER_SHR","FY 2014","FY 2014","Currency=INR","Period=FY","BEST_FPERIOD_OVERRIDE=FY","FILING_STATUS=MR","EQY_CONSOLIDATED=Y","Sort=A","Dates=H","DateFormat=P","Fill=—","Direction=H","UseDPDF=Y")</f>
        <v>—</v>
      </c>
      <c r="H14" s="20" t="str">
        <f>_xll.BDH("RCOM IN Equity","IS_COMPREHENSIVE_INCOME_PER_SHR","FY 2015","FY 2015","Currency=INR","Period=FY","BEST_FPERIOD_OVERRIDE=FY","FILING_STATUS=MR","EQY_CONSOLIDATED=Y","Sort=A","Dates=H","DateFormat=P","Fill=—","Direction=H","UseDPDF=Y")</f>
        <v>—</v>
      </c>
      <c r="I14" s="20">
        <f>_xll.BDH("RCOM IN Equity","IS_COMPREHENSIVE_INCOME_PER_SHR","FY 2016","FY 2016","Currency=INR","Period=FY","BEST_FPERIOD_OVERRIDE=FY","FILING_STATUS=MR","EQY_CONSOLIDATED=Y","Sort=A","Dates=H","DateFormat=P","Fill=—","Direction=H","UseDPDF=Y")</f>
        <v>3.1486999999999998</v>
      </c>
      <c r="J14" s="20">
        <f>_xll.BDH("RCOM IN Equity","IS_COMPREHENSIVE_INCOME_PER_SHR","FY 2017","FY 2017","Currency=INR","Period=FY","BEST_FPERIOD_OVERRIDE=FY","FILING_STATUS=MR","EQY_CONSOLIDATED=Y","Sort=A","Dates=H","DateFormat=P","Fill=—","Direction=H","UseDPDF=Y")</f>
        <v>-5.8353999999999999</v>
      </c>
      <c r="K14" s="20">
        <f>_xll.BDH("RCOM IN Equity","IS_COMPREHENSIVE_INCOME_PER_SHR","FY 2018","FY 2018","Currency=INR","Period=FY","BEST_FPERIOD_OVERRIDE=FY","FILING_STATUS=MR","EQY_CONSOLIDATED=Y","Sort=A","Dates=H","DateFormat=P","Fill=—","Direction=H","UseDPDF=Y")</f>
        <v>92.463099999999997</v>
      </c>
      <c r="L14" s="23">
        <v>-73.647593333351097</v>
      </c>
    </row>
    <row r="15" spans="1:12">
      <c r="A15" s="6" t="s">
        <v>451</v>
      </c>
      <c r="B15" s="6" t="s">
        <v>67</v>
      </c>
      <c r="C15" s="20">
        <f>_xll.BDH("RCOM IN Equity","IS_EPS","FY 2010","FY 2010","Currency=INR","Period=FY","BEST_FPERIOD_OVERRIDE=FY","FILING_STATUS=MR","EQY_CONSOLIDATED=Y","FA_ADJUSTED=GAAP","Sort=A","Dates=H","DateFormat=P","Fill=—","Direction=H","UseDPDF=Y")</f>
        <v>22.553000000000001</v>
      </c>
      <c r="D15" s="20">
        <f>_xll.BDH("RCOM IN Equity","IS_EPS","FY 2011","FY 2011","Currency=INR","Period=FY","BEST_FPERIOD_OVERRIDE=FY","FILING_STATUS=MR","EQY_CONSOLIDATED=Y","FA_ADJUSTED=GAAP","Sort=A","Dates=H","DateFormat=P","Fill=—","Direction=H","UseDPDF=Y")</f>
        <v>6.5164</v>
      </c>
      <c r="E15" s="20">
        <f>_xll.BDH("RCOM IN Equity","IS_EPS","FY 2012","FY 2012","Currency=INR","Period=FY","BEST_FPERIOD_OVERRIDE=FY","FILING_STATUS=MR","EQY_CONSOLIDATED=Y","FA_ADJUSTED=GAAP","Sort=A","Dates=H","DateFormat=P","Fill=—","Direction=H","UseDPDF=Y")</f>
        <v>4.5</v>
      </c>
      <c r="F15" s="20">
        <f>_xll.BDH("RCOM IN Equity","IS_EPS","FY 2013","FY 2013","Currency=INR","Period=FY","BEST_FPERIOD_OVERRIDE=FY","FILING_STATUS=MR","EQY_CONSOLIDATED=Y","FA_ADJUSTED=GAAP","Sort=A","Dates=H","DateFormat=P","Fill=—","Direction=H","UseDPDF=Y")</f>
        <v>3.26</v>
      </c>
      <c r="G15" s="20">
        <f>_xll.BDH("RCOM IN Equity","IS_EPS","FY 2014","FY 2014","Currency=INR","Period=FY","BEST_FPERIOD_OVERRIDE=FY","FILING_STATUS=MR","EQY_CONSOLIDATED=Y","FA_ADJUSTED=GAAP","Sort=A","Dates=H","DateFormat=P","Fill=—","Direction=H","UseDPDF=Y")</f>
        <v>5.07</v>
      </c>
      <c r="H15" s="20">
        <f>_xll.BDH("RCOM IN Equity","IS_EPS","FY 2015","FY 2015","Currency=INR","Period=FY","BEST_FPERIOD_OVERRIDE=FY","FILING_STATUS=MR","EQY_CONSOLIDATED=Y","FA_ADJUSTED=GAAP","Sort=A","Dates=H","DateFormat=P","Fill=—","Direction=H","UseDPDF=Y")</f>
        <v>3.05</v>
      </c>
      <c r="I15" s="20">
        <f>_xll.BDH("RCOM IN Equity","IS_EPS","FY 2016","FY 2016","Currency=INR","Period=FY","BEST_FPERIOD_OVERRIDE=FY","FILING_STATUS=MR","EQY_CONSOLIDATED=Y","FA_ADJUSTED=GAAP","Sort=A","Dates=H","DateFormat=P","Fill=—","Direction=H","UseDPDF=Y")</f>
        <v>2.59</v>
      </c>
      <c r="J15" s="20">
        <f>_xll.BDH("RCOM IN Equity","IS_EPS","FY 2017","FY 2017","Currency=INR","Period=FY","BEST_FPERIOD_OVERRIDE=FY","FILING_STATUS=MR","EQY_CONSOLIDATED=Y","FA_ADJUSTED=GAAP","Sort=A","Dates=H","DateFormat=P","Fill=—","Direction=H","UseDPDF=Y")</f>
        <v>-5.6855000000000002</v>
      </c>
      <c r="K15" s="20">
        <f>_xll.BDH("RCOM IN Equity","IS_EPS","FY 2018","FY 2018","Currency=INR","Period=FY","BEST_FPERIOD_OVERRIDE=FY","FILING_STATUS=MR","EQY_CONSOLIDATED=Y","FA_ADJUSTED=GAAP","Sort=A","Dates=H","DateFormat=P","Fill=—","Direction=H","UseDPDF=Y")</f>
        <v>-92.296599999999998</v>
      </c>
      <c r="L15" s="23">
        <v>-74.560955000000007</v>
      </c>
    </row>
    <row r="16" spans="1:12">
      <c r="A16" s="10" t="s">
        <v>70</v>
      </c>
      <c r="B16" s="10" t="s">
        <v>71</v>
      </c>
      <c r="C16" s="13">
        <f>_xll.BDH("RCOM IN Equity","IS_AVG_NUM_SH_FOR_EPS","FY 2010","FY 2010","Currency=INR","Period=FY","BEST_FPERIOD_OVERRIDE=FY","FILING_STATUS=MR","EQY_CONSOLIDATED=Y","Sort=A","Dates=H","DateFormat=P","Fill=—","Direction=H","UseDPDF=Y")</f>
        <v>2064.0268999999998</v>
      </c>
      <c r="D16" s="13">
        <f>_xll.BDH("RCOM IN Equity","IS_AVG_NUM_SH_FOR_EPS","FY 2011","FY 2011","Currency=INR","Period=FY","BEST_FPERIOD_OVERRIDE=FY","FILING_STATUS=MR","EQY_CONSOLIDATED=Y","Sort=A","Dates=H","DateFormat=P","Fill=—","Direction=H","UseDPDF=Y")</f>
        <v>2064.0268999999998</v>
      </c>
      <c r="E16" s="13">
        <f>_xll.BDH("RCOM IN Equity","IS_AVG_NUM_SH_FOR_EPS","FY 2012","FY 2012","Currency=INR","Period=FY","BEST_FPERIOD_OVERRIDE=FY","FILING_STATUS=MR","EQY_CONSOLIDATED=Y","Sort=A","Dates=H","DateFormat=P","Fill=—","Direction=H","UseDPDF=Y")</f>
        <v>2064.0268999999998</v>
      </c>
      <c r="F16" s="13">
        <f>_xll.BDH("RCOM IN Equity","IS_AVG_NUM_SH_FOR_EPS","FY 2013","FY 2013","Currency=INR","Period=FY","BEST_FPERIOD_OVERRIDE=FY","FILING_STATUS=MR","EQY_CONSOLIDATED=Y","Sort=A","Dates=H","DateFormat=P","Fill=—","Direction=H","UseDPDF=Y")</f>
        <v>2064.0268999999998</v>
      </c>
      <c r="G16" s="13">
        <f>_xll.BDH("RCOM IN Equity","IS_AVG_NUM_SH_FOR_EPS","FY 2014","FY 2014","Currency=INR","Period=FY","BEST_FPERIOD_OVERRIDE=FY","FILING_STATUS=MR","EQY_CONSOLIDATED=Y","Sort=A","Dates=H","DateFormat=P","Fill=—","Direction=H","UseDPDF=Y")</f>
        <v>2064.0268999999998</v>
      </c>
      <c r="H16" s="13">
        <f>_xll.BDH("RCOM IN Equity","IS_AVG_NUM_SH_FOR_EPS","FY 2015","FY 2015","Currency=INR","Period=FY","BEST_FPERIOD_OVERRIDE=FY","FILING_STATUS=MR","EQY_CONSOLIDATED=Y","Sort=A","Dates=H","DateFormat=P","Fill=—","Direction=H","UseDPDF=Y")</f>
        <v>2333.9049</v>
      </c>
      <c r="I16" s="13">
        <f>_xll.BDH("RCOM IN Equity","IS_AVG_NUM_SH_FOR_EPS","FY 2016","FY 2016","Currency=INR","Period=FY","BEST_FPERIOD_OVERRIDE=FY","FILING_STATUS=MR","EQY_CONSOLIDATED=Y","Sort=A","Dates=H","DateFormat=P","Fill=—","Direction=H","UseDPDF=Y")</f>
        <v>2467.7006999999999</v>
      </c>
      <c r="J16" s="13">
        <f>_xll.BDH("RCOM IN Equity","IS_AVG_NUM_SH_FOR_EPS","FY 2017","FY 2017","Currency=INR","Period=FY","BEST_FPERIOD_OVERRIDE=FY","FILING_STATUS=MR","EQY_CONSOLIDATED=Y","Sort=A","Dates=H","DateFormat=P","Fill=—","Direction=H","UseDPDF=Y")</f>
        <v>2467.7006999999999</v>
      </c>
      <c r="K16" s="13">
        <f>_xll.BDH("RCOM IN Equity","IS_AVG_NUM_SH_FOR_EPS","FY 2018","FY 2018","Currency=INR","Period=FY","BEST_FPERIOD_OVERRIDE=FY","FILING_STATUS=MR","EQY_CONSOLIDATED=Y","Sort=A","Dates=H","DateFormat=P","Fill=—","Direction=H","UseDPDF=Y")</f>
        <v>2582.8681000000001</v>
      </c>
      <c r="L16" s="16">
        <v>2766</v>
      </c>
    </row>
    <row r="17" spans="1:12">
      <c r="A17" s="7" t="s">
        <v>57</v>
      </c>
      <c r="B17" s="7"/>
      <c r="C17" s="7" t="s">
        <v>3</v>
      </c>
      <c r="D17" s="7"/>
      <c r="E17" s="7"/>
      <c r="F17" s="7"/>
      <c r="G17" s="7"/>
      <c r="H17" s="7"/>
      <c r="I17" s="7"/>
      <c r="J17" s="7"/>
      <c r="K17" s="7"/>
      <c r="L17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L28"/>
  <sheetViews>
    <sheetView tabSelected="1"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1701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60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</row>
    <row r="5" spans="1:12">
      <c r="A5" s="9" t="s">
        <v>16</v>
      </c>
      <c r="B5" s="9"/>
      <c r="C5" s="5" t="s">
        <v>61</v>
      </c>
      <c r="D5" s="5" t="s">
        <v>17</v>
      </c>
      <c r="E5" s="5" t="s">
        <v>18</v>
      </c>
      <c r="F5" s="5" t="s">
        <v>19</v>
      </c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</row>
    <row r="6" spans="1:12">
      <c r="A6" s="6" t="s">
        <v>1765</v>
      </c>
      <c r="B6" s="6" t="s">
        <v>1766</v>
      </c>
      <c r="C6" s="20">
        <f>_xll.BDH("RCOM IN Equity","ESG_DISCLOSURE_SCORE","FY 2009","FY 2009","Currency=INR","Period=FY","BEST_FPERIOD_OVERRIDE=FY","FILING_STATUS=MR","EQY_CONSOLIDATED=Y","Sort=A","Dates=H","DateFormat=P","Fill=—","Direction=H","UseDPDF=Y")</f>
        <v>11.1111</v>
      </c>
      <c r="D6" s="20" t="str">
        <f>_xll.BDH("RCOM IN Equity","ESG_DISCLOSURE_SCORE","FY 2010","FY 2010","Currency=INR","Period=FY","BEST_FPERIOD_OVERRIDE=FY","FILING_STATUS=MR","EQY_CONSOLIDATED=Y","Sort=A","Dates=H","DateFormat=P","Fill=—","Direction=H","UseDPDF=Y")</f>
        <v>—</v>
      </c>
      <c r="E6" s="20">
        <f>_xll.BDH("RCOM IN Equity","ESG_DISCLOSURE_SCORE","FY 2011","FY 2011","Currency=INR","Period=FY","BEST_FPERIOD_OVERRIDE=FY","FILING_STATUS=MR","EQY_CONSOLIDATED=Y","Sort=A","Dates=H","DateFormat=P","Fill=—","Direction=H","UseDPDF=Y")</f>
        <v>11.1111</v>
      </c>
      <c r="F6" s="20" t="str">
        <f>_xll.BDH("RCOM IN Equity","ESG_DISCLOSURE_SCORE","FY 2012","FY 2012","Currency=INR","Period=FY","BEST_FPERIOD_OVERRIDE=FY","FILING_STATUS=MR","EQY_CONSOLIDATED=Y","Sort=A","Dates=H","DateFormat=P","Fill=—","Direction=H","UseDPDF=Y")</f>
        <v>—</v>
      </c>
      <c r="G6" s="20">
        <f>_xll.BDH("RCOM IN Equity","ESG_DISCLOSURE_SCORE","FY 2013","FY 2013","Currency=INR","Period=FY","BEST_FPERIOD_OVERRIDE=FY","FILING_STATUS=MR","EQY_CONSOLIDATED=Y","Sort=A","Dates=H","DateFormat=P","Fill=—","Direction=H","UseDPDF=Y")</f>
        <v>11.1111</v>
      </c>
      <c r="H6" s="20">
        <f>_xll.BDH("RCOM IN Equity","ESG_DISCLOSURE_SCORE","FY 2014","FY 2014","Currency=INR","Period=FY","BEST_FPERIOD_OVERRIDE=FY","FILING_STATUS=MR","EQY_CONSOLIDATED=Y","Sort=A","Dates=H","DateFormat=P","Fill=—","Direction=H","UseDPDF=Y")</f>
        <v>11.1111</v>
      </c>
      <c r="I6" s="20">
        <f>_xll.BDH("RCOM IN Equity","ESG_DISCLOSURE_SCORE","FY 2015","FY 2015","Currency=INR","Period=FY","BEST_FPERIOD_OVERRIDE=FY","FILING_STATUS=MR","EQY_CONSOLIDATED=Y","Sort=A","Dates=H","DateFormat=P","Fill=—","Direction=H","UseDPDF=Y")</f>
        <v>11.1111</v>
      </c>
      <c r="J6" s="20">
        <f>_xll.BDH("RCOM IN Equity","ESG_DISCLOSURE_SCORE","FY 2016","FY 2016","Currency=INR","Period=FY","BEST_FPERIOD_OVERRIDE=FY","FILING_STATUS=MR","EQY_CONSOLIDATED=Y","Sort=A","Dates=H","DateFormat=P","Fill=—","Direction=H","UseDPDF=Y")</f>
        <v>15.6379</v>
      </c>
      <c r="K6" s="20">
        <f>_xll.BDH("RCOM IN Equity","ESG_DISCLOSURE_SCORE","FY 2017","FY 2017","Currency=INR","Period=FY","BEST_FPERIOD_OVERRIDE=FY","FILING_STATUS=MR","EQY_CONSOLIDATED=Y","Sort=A","Dates=H","DateFormat=P","Fill=—","Direction=H","UseDPDF=Y")</f>
        <v>24.691400000000002</v>
      </c>
      <c r="L6" s="20">
        <f>_xll.BDH("RCOM IN Equity","ESG_DISCLOSURE_SCORE","FY 2018","FY 2018","Currency=INR","Period=FY","BEST_FPERIOD_OVERRIDE=FY","FILING_STATUS=MR","EQY_CONSOLIDATED=Y","Sort=A","Dates=H","DateFormat=P","Fill=—","Direction=H","UseDPDF=Y")</f>
        <v>24.691400000000002</v>
      </c>
    </row>
    <row r="7" spans="1:12">
      <c r="A7" s="10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</row>
    <row r="8" spans="1:12">
      <c r="A8" s="6" t="s">
        <v>1767</v>
      </c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</row>
    <row r="9" spans="1:12">
      <c r="A9" s="6" t="s">
        <v>1768</v>
      </c>
      <c r="B9" s="6" t="s">
        <v>1769</v>
      </c>
      <c r="C9" s="20" t="str">
        <f>_xll.BDH("RCOM IN Equity","ENVIRON_DISCLOSURE_SCORE","FY 2009","FY 2009","Currency=INR","Period=FY","BEST_FPERIOD_OVERRIDE=FY","FILING_STATUS=MR","EQY_CONSOLIDATED=Y","Sort=A","Dates=H","DateFormat=P","Fill=—","Direction=H","UseDPDF=Y")</f>
        <v>—</v>
      </c>
      <c r="D9" s="20" t="str">
        <f>_xll.BDH("RCOM IN Equity","ENVIRON_DISCLOSURE_SCORE","FY 2010","FY 2010","Currency=INR","Period=FY","BEST_FPERIOD_OVERRIDE=FY","FILING_STATUS=MR","EQY_CONSOLIDATED=Y","Sort=A","Dates=H","DateFormat=P","Fill=—","Direction=H","UseDPDF=Y")</f>
        <v>—</v>
      </c>
      <c r="E9" s="20" t="str">
        <f>_xll.BDH("RCOM IN Equity","ENVIRON_DISCLOSURE_SCORE","FY 2011","FY 2011","Currency=INR","Period=FY","BEST_FPERIOD_OVERRIDE=FY","FILING_STATUS=MR","EQY_CONSOLIDATED=Y","Sort=A","Dates=H","DateFormat=P","Fill=—","Direction=H","UseDPDF=Y")</f>
        <v>—</v>
      </c>
      <c r="F9" s="20" t="str">
        <f>_xll.BDH("RCOM IN Equity","ENVIRON_DISCLOSURE_SCORE","FY 2012","FY 2012","Currency=INR","Period=FY","BEST_FPERIOD_OVERRIDE=FY","FILING_STATUS=MR","EQY_CONSOLIDATED=Y","Sort=A","Dates=H","DateFormat=P","Fill=—","Direction=H","UseDPDF=Y")</f>
        <v>—</v>
      </c>
      <c r="G9" s="20" t="str">
        <f>_xll.BDH("RCOM IN Equity","ENVIRON_DISCLOSURE_SCORE","FY 2013","FY 2013","Currency=INR","Period=FY","BEST_FPERIOD_OVERRIDE=FY","FILING_STATUS=MR","EQY_CONSOLIDATED=Y","Sort=A","Dates=H","DateFormat=P","Fill=—","Direction=H","UseDPDF=Y")</f>
        <v>—</v>
      </c>
      <c r="H9" s="20" t="str">
        <f>_xll.BDH("RCOM IN Equity","ENVIRON_DISCLOSURE_SCORE","FY 2014","FY 2014","Currency=INR","Period=FY","BEST_FPERIOD_OVERRIDE=FY","FILING_STATUS=MR","EQY_CONSOLIDATED=Y","Sort=A","Dates=H","DateFormat=P","Fill=—","Direction=H","UseDPDF=Y")</f>
        <v>—</v>
      </c>
      <c r="I9" s="20" t="str">
        <f>_xll.BDH("RCOM IN Equity","ENVIRON_DISCLOSURE_SCORE","FY 2015","FY 2015","Currency=INR","Period=FY","BEST_FPERIOD_OVERRIDE=FY","FILING_STATUS=MR","EQY_CONSOLIDATED=Y","Sort=A","Dates=H","DateFormat=P","Fill=—","Direction=H","UseDPDF=Y")</f>
        <v>—</v>
      </c>
      <c r="J9" s="20">
        <f>_xll.BDH("RCOM IN Equity","ENVIRON_DISCLOSURE_SCORE","FY 2016","FY 2016","Currency=INR","Period=FY","BEST_FPERIOD_OVERRIDE=FY","FILING_STATUS=MR","EQY_CONSOLIDATED=Y","Sort=A","Dates=H","DateFormat=P","Fill=—","Direction=H","UseDPDF=Y")</f>
        <v>2.4390000000000001</v>
      </c>
      <c r="K9" s="20">
        <f>_xll.BDH("RCOM IN Equity","ENVIRON_DISCLOSURE_SCORE","FY 2017","FY 2017","Currency=INR","Period=FY","BEST_FPERIOD_OVERRIDE=FY","FILING_STATUS=MR","EQY_CONSOLIDATED=Y","Sort=A","Dates=H","DateFormat=P","Fill=—","Direction=H","UseDPDF=Y")</f>
        <v>9.7561</v>
      </c>
      <c r="L9" s="20">
        <f>_xll.BDH("RCOM IN Equity","ENVIRON_DISCLOSURE_SCORE","FY 2018","FY 2018","Currency=INR","Period=FY","BEST_FPERIOD_OVERRIDE=FY","FILING_STATUS=MR","EQY_CONSOLIDATED=Y","Sort=A","Dates=H","DateFormat=P","Fill=—","Direction=H","UseDPDF=Y")</f>
        <v>9.7561</v>
      </c>
    </row>
    <row r="10" spans="1:12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>
      <c r="A13" s="6" t="s">
        <v>1770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>
      <c r="A14" s="6" t="s">
        <v>1771</v>
      </c>
      <c r="B14" s="6" t="s">
        <v>1772</v>
      </c>
      <c r="C14" s="20" t="str">
        <f>_xll.BDH("RCOM IN Equity","SOCIAL_DISCLOSURE_SCORE","FY 2009","FY 2009","Currency=INR","Period=FY","BEST_FPERIOD_OVERRIDE=FY","FILING_STATUS=MR","EQY_CONSOLIDATED=Y","Sort=A","Dates=H","DateFormat=P","Fill=—","Direction=H","UseDPDF=Y")</f>
        <v>—</v>
      </c>
      <c r="D14" s="20" t="str">
        <f>_xll.BDH("RCOM IN Equity","SOCIAL_DISCLOSURE_SCORE","FY 2010","FY 2010","Currency=INR","Period=FY","BEST_FPERIOD_OVERRIDE=FY","FILING_STATUS=MR","EQY_CONSOLIDATED=Y","Sort=A","Dates=H","DateFormat=P","Fill=—","Direction=H","UseDPDF=Y")</f>
        <v>—</v>
      </c>
      <c r="E14" s="20" t="str">
        <f>_xll.BDH("RCOM IN Equity","SOCIAL_DISCLOSURE_SCORE","FY 2011","FY 2011","Currency=INR","Period=FY","BEST_FPERIOD_OVERRIDE=FY","FILING_STATUS=MR","EQY_CONSOLIDATED=Y","Sort=A","Dates=H","DateFormat=P","Fill=—","Direction=H","UseDPDF=Y")</f>
        <v>—</v>
      </c>
      <c r="F14" s="20" t="str">
        <f>_xll.BDH("RCOM IN Equity","SOCIAL_DISCLOSURE_SCORE","FY 2012","FY 2012","Currency=INR","Period=FY","BEST_FPERIOD_OVERRIDE=FY","FILING_STATUS=MR","EQY_CONSOLIDATED=Y","Sort=A","Dates=H","DateFormat=P","Fill=—","Direction=H","UseDPDF=Y")</f>
        <v>—</v>
      </c>
      <c r="G14" s="20" t="str">
        <f>_xll.BDH("RCOM IN Equity","SOCIAL_DISCLOSURE_SCORE","FY 2013","FY 2013","Currency=INR","Period=FY","BEST_FPERIOD_OVERRIDE=FY","FILING_STATUS=MR","EQY_CONSOLIDATED=Y","Sort=A","Dates=H","DateFormat=P","Fill=—","Direction=H","UseDPDF=Y")</f>
        <v>—</v>
      </c>
      <c r="H14" s="20" t="str">
        <f>_xll.BDH("RCOM IN Equity","SOCIAL_DISCLOSURE_SCORE","FY 2014","FY 2014","Currency=INR","Period=FY","BEST_FPERIOD_OVERRIDE=FY","FILING_STATUS=MR","EQY_CONSOLIDATED=Y","Sort=A","Dates=H","DateFormat=P","Fill=—","Direction=H","UseDPDF=Y")</f>
        <v>—</v>
      </c>
      <c r="I14" s="20" t="str">
        <f>_xll.BDH("RCOM IN Equity","SOCIAL_DISCLOSURE_SCORE","FY 2015","FY 2015","Currency=INR","Period=FY","BEST_FPERIOD_OVERRIDE=FY","FILING_STATUS=MR","EQY_CONSOLIDATED=Y","Sort=A","Dates=H","DateFormat=P","Fill=—","Direction=H","UseDPDF=Y")</f>
        <v>—</v>
      </c>
      <c r="J14" s="20">
        <f>_xll.BDH("RCOM IN Equity","SOCIAL_DISCLOSURE_SCORE","FY 2016","FY 2016","Currency=INR","Period=FY","BEST_FPERIOD_OVERRIDE=FY","FILING_STATUS=MR","EQY_CONSOLIDATED=Y","Sort=A","Dates=H","DateFormat=P","Fill=—","Direction=H","UseDPDF=Y")</f>
        <v>9.375</v>
      </c>
      <c r="K14" s="20">
        <f>_xll.BDH("RCOM IN Equity","SOCIAL_DISCLOSURE_SCORE","FY 2017","FY 2017","Currency=INR","Period=FY","BEST_FPERIOD_OVERRIDE=FY","FILING_STATUS=MR","EQY_CONSOLIDATED=Y","Sort=A","Dates=H","DateFormat=P","Fill=—","Direction=H","UseDPDF=Y")</f>
        <v>29.6875</v>
      </c>
      <c r="L14" s="20">
        <f>_xll.BDH("RCOM IN Equity","SOCIAL_DISCLOSURE_SCORE","FY 2018","FY 2018","Currency=INR","Period=FY","BEST_FPERIOD_OVERRIDE=FY","FILING_STATUS=MR","EQY_CONSOLIDATED=Y","Sort=A","Dates=H","DateFormat=P","Fill=—","Direction=H","UseDPDF=Y")</f>
        <v>29.6875</v>
      </c>
    </row>
    <row r="15" spans="1:12">
      <c r="A15" s="6" t="s">
        <v>850</v>
      </c>
      <c r="B15" s="6" t="s">
        <v>1773</v>
      </c>
      <c r="C15" s="20" t="str">
        <f>_xll.BDH("RCOM IN Equity","NUMBER_EMPLOYEES_CSR","FY 2009","FY 2009","Currency=INR","Period=FY","BEST_FPERIOD_OVERRIDE=FY","FILING_STATUS=MR","EQY_CONSOLIDATED=Y","Sort=A","Dates=H","DateFormat=P","Fill=—","Direction=H","UseDPDF=Y")</f>
        <v>—</v>
      </c>
      <c r="D15" s="20" t="str">
        <f>_xll.BDH("RCOM IN Equity","NUMBER_EMPLOYEES_CSR","FY 2010","FY 2010","Currency=INR","Period=FY","BEST_FPERIOD_OVERRIDE=FY","FILING_STATUS=MR","EQY_CONSOLIDATED=Y","Sort=A","Dates=H","DateFormat=P","Fill=—","Direction=H","UseDPDF=Y")</f>
        <v>—</v>
      </c>
      <c r="E15" s="20" t="str">
        <f>_xll.BDH("RCOM IN Equity","NUMBER_EMPLOYEES_CSR","FY 2011","FY 2011","Currency=INR","Period=FY","BEST_FPERIOD_OVERRIDE=FY","FILING_STATUS=MR","EQY_CONSOLIDATED=Y","Sort=A","Dates=H","DateFormat=P","Fill=—","Direction=H","UseDPDF=Y")</f>
        <v>—</v>
      </c>
      <c r="F15" s="20" t="str">
        <f>_xll.BDH("RCOM IN Equity","NUMBER_EMPLOYEES_CSR","FY 2012","FY 2012","Currency=INR","Period=FY","BEST_FPERIOD_OVERRIDE=FY","FILING_STATUS=MR","EQY_CONSOLIDATED=Y","Sort=A","Dates=H","DateFormat=P","Fill=—","Direction=H","UseDPDF=Y")</f>
        <v>—</v>
      </c>
      <c r="G15" s="20" t="str">
        <f>_xll.BDH("RCOM IN Equity","NUMBER_EMPLOYEES_CSR","FY 2013","FY 2013","Currency=INR","Period=FY","BEST_FPERIOD_OVERRIDE=FY","FILING_STATUS=MR","EQY_CONSOLIDATED=Y","Sort=A","Dates=H","DateFormat=P","Fill=—","Direction=H","UseDPDF=Y")</f>
        <v>—</v>
      </c>
      <c r="H15" s="20" t="str">
        <f>_xll.BDH("RCOM IN Equity","NUMBER_EMPLOYEES_CSR","FY 2014","FY 2014","Currency=INR","Period=FY","BEST_FPERIOD_OVERRIDE=FY","FILING_STATUS=MR","EQY_CONSOLIDATED=Y","Sort=A","Dates=H","DateFormat=P","Fill=—","Direction=H","UseDPDF=Y")</f>
        <v>—</v>
      </c>
      <c r="I15" s="20" t="str">
        <f>_xll.BDH("RCOM IN Equity","NUMBER_EMPLOYEES_CSR","FY 2015","FY 2015","Currency=INR","Period=FY","BEST_FPERIOD_OVERRIDE=FY","FILING_STATUS=MR","EQY_CONSOLIDATED=Y","Sort=A","Dates=H","DateFormat=P","Fill=—","Direction=H","UseDPDF=Y")</f>
        <v>—</v>
      </c>
      <c r="J15" s="20" t="str">
        <f>_xll.BDH("RCOM IN Equity","NUMBER_EMPLOYEES_CSR","FY 2016","FY 2016","Currency=INR","Period=FY","BEST_FPERIOD_OVERRIDE=FY","FILING_STATUS=MR","EQY_CONSOLIDATED=Y","Sort=A","Dates=H","DateFormat=P","Fill=—","Direction=H","UseDPDF=Y")</f>
        <v>—</v>
      </c>
      <c r="K15" s="20">
        <f>_xll.BDH("RCOM IN Equity","NUMBER_EMPLOYEES_CSR","FY 2017","FY 2017","Currency=INR","Period=FY","BEST_FPERIOD_OVERRIDE=FY","FILING_STATUS=MR","EQY_CONSOLIDATED=Y","Sort=A","Dates=H","DateFormat=P","Fill=—","Direction=H","UseDPDF=Y")</f>
        <v>8314</v>
      </c>
      <c r="L15" s="20">
        <f>_xll.BDH("RCOM IN Equity","NUMBER_EMPLOYEES_CSR","FY 2018","FY 2018","Currency=INR","Period=FY","BEST_FPERIOD_OVERRIDE=FY","FILING_STATUS=MR","EQY_CONSOLIDATED=Y","Sort=A","Dates=H","DateFormat=P","Fill=—","Direction=H","UseDPDF=Y")</f>
        <v>4257</v>
      </c>
    </row>
    <row r="16" spans="1:12">
      <c r="A16" s="10" t="s">
        <v>1774</v>
      </c>
      <c r="B16" s="10" t="s">
        <v>1775</v>
      </c>
      <c r="C16" s="14" t="str">
        <f>_xll.BDH("RCOM IN Equity","PCT_EMPLOYEES_UNIONIZED","FY 2009","FY 2009","Currency=INR","Period=FY","BEST_FPERIOD_OVERRIDE=FY","FILING_STATUS=MR","EQY_CONSOLIDATED=Y","Sort=A","Dates=H","DateFormat=P","Fill=—","Direction=H","UseDPDF=Y")</f>
        <v>—</v>
      </c>
      <c r="D16" s="14" t="str">
        <f>_xll.BDH("RCOM IN Equity","PCT_EMPLOYEES_UNIONIZED","FY 2010","FY 2010","Currency=INR","Period=FY","BEST_FPERIOD_OVERRIDE=FY","FILING_STATUS=MR","EQY_CONSOLIDATED=Y","Sort=A","Dates=H","DateFormat=P","Fill=—","Direction=H","UseDPDF=Y")</f>
        <v>—</v>
      </c>
      <c r="E16" s="14" t="str">
        <f>_xll.BDH("RCOM IN Equity","PCT_EMPLOYEES_UNIONIZED","FY 2011","FY 2011","Currency=INR","Period=FY","BEST_FPERIOD_OVERRIDE=FY","FILING_STATUS=MR","EQY_CONSOLIDATED=Y","Sort=A","Dates=H","DateFormat=P","Fill=—","Direction=H","UseDPDF=Y")</f>
        <v>—</v>
      </c>
      <c r="F16" s="14" t="str">
        <f>_xll.BDH("RCOM IN Equity","PCT_EMPLOYEES_UNIONIZED","FY 2012","FY 2012","Currency=INR","Period=FY","BEST_FPERIOD_OVERRIDE=FY","FILING_STATUS=MR","EQY_CONSOLIDATED=Y","Sort=A","Dates=H","DateFormat=P","Fill=—","Direction=H","UseDPDF=Y")</f>
        <v>—</v>
      </c>
      <c r="G16" s="14" t="str">
        <f>_xll.BDH("RCOM IN Equity","PCT_EMPLOYEES_UNIONIZED","FY 2013","FY 2013","Currency=INR","Period=FY","BEST_FPERIOD_OVERRIDE=FY","FILING_STATUS=MR","EQY_CONSOLIDATED=Y","Sort=A","Dates=H","DateFormat=P","Fill=—","Direction=H","UseDPDF=Y")</f>
        <v>—</v>
      </c>
      <c r="H16" s="14" t="str">
        <f>_xll.BDH("RCOM IN Equity","PCT_EMPLOYEES_UNIONIZED","FY 2014","FY 2014","Currency=INR","Period=FY","BEST_FPERIOD_OVERRIDE=FY","FILING_STATUS=MR","EQY_CONSOLIDATED=Y","Sort=A","Dates=H","DateFormat=P","Fill=—","Direction=H","UseDPDF=Y")</f>
        <v>—</v>
      </c>
      <c r="I16" s="14" t="str">
        <f>_xll.BDH("RCOM IN Equity","PCT_EMPLOYEES_UNIONIZED","FY 2015","FY 2015","Currency=INR","Period=FY","BEST_FPERIOD_OVERRIDE=FY","FILING_STATUS=MR","EQY_CONSOLIDATED=Y","Sort=A","Dates=H","DateFormat=P","Fill=—","Direction=H","UseDPDF=Y")</f>
        <v>—</v>
      </c>
      <c r="J16" s="14" t="str">
        <f>_xll.BDH("RCOM IN Equity","PCT_EMPLOYEES_UNIONIZED","FY 2016","FY 2016","Currency=INR","Period=FY","BEST_FPERIOD_OVERRIDE=FY","FILING_STATUS=MR","EQY_CONSOLIDATED=Y","Sort=A","Dates=H","DateFormat=P","Fill=—","Direction=H","UseDPDF=Y")</f>
        <v>—</v>
      </c>
      <c r="K16" s="14">
        <f>_xll.BDH("RCOM IN Equity","PCT_EMPLOYEES_UNIONIZED","FY 2017","FY 2017","Currency=INR","Period=FY","BEST_FPERIOD_OVERRIDE=FY","FILING_STATUS=MR","EQY_CONSOLIDATED=Y","Sort=A","Dates=H","DateFormat=P","Fill=—","Direction=H","UseDPDF=Y")</f>
        <v>0</v>
      </c>
      <c r="L16" s="14">
        <f>_xll.BDH("RCOM IN Equity","PCT_EMPLOYEES_UNIONIZED","FY 2018","FY 2018","Currency=INR","Period=FY","BEST_FPERIOD_OVERRIDE=FY","FILING_STATUS=MR","EQY_CONSOLIDATED=Y","Sort=A","Dates=H","DateFormat=P","Fill=—","Direction=H","UseDPDF=Y")</f>
        <v>0</v>
      </c>
    </row>
    <row r="17" spans="1:12">
      <c r="A17" s="10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0" t="s">
        <v>1776</v>
      </c>
      <c r="B18" s="10" t="s">
        <v>1777</v>
      </c>
      <c r="C18" s="13" t="str">
        <f>_xll.BDH("RCOM IN Equity","COMMUNITY_SPENDING","FY 2009","FY 2009","Currency=INR","Period=FY","BEST_FPERIOD_OVERRIDE=FY","FILING_STATUS=MR","EQY_CONSOLIDATED=Y","SCALING_FORMAT=MLN","Sort=A","Dates=H","DateFormat=P","Fill=—","Direction=H","UseDPDF=Y")</f>
        <v>—</v>
      </c>
      <c r="D18" s="13" t="str">
        <f>_xll.BDH("RCOM IN Equity","COMMUNITY_SPENDING","FY 2010","FY 2010","Currency=INR","Period=FY","BEST_FPERIOD_OVERRIDE=FY","FILING_STATUS=MR","EQY_CONSOLIDATED=Y","SCALING_FORMAT=MLN","Sort=A","Dates=H","DateFormat=P","Fill=—","Direction=H","UseDPDF=Y")</f>
        <v>—</v>
      </c>
      <c r="E18" s="13" t="str">
        <f>_xll.BDH("RCOM IN Equity","COMMUNITY_SPENDING","FY 2011","FY 2011","Currency=INR","Period=FY","BEST_FPERIOD_OVERRIDE=FY","FILING_STATUS=MR","EQY_CONSOLIDATED=Y","SCALING_FORMAT=MLN","Sort=A","Dates=H","DateFormat=P","Fill=—","Direction=H","UseDPDF=Y")</f>
        <v>—</v>
      </c>
      <c r="F18" s="13" t="str">
        <f>_xll.BDH("RCOM IN Equity","COMMUNITY_SPENDING","FY 2012","FY 2012","Currency=INR","Period=FY","BEST_FPERIOD_OVERRIDE=FY","FILING_STATUS=MR","EQY_CONSOLIDATED=Y","SCALING_FORMAT=MLN","Sort=A","Dates=H","DateFormat=P","Fill=—","Direction=H","UseDPDF=Y")</f>
        <v>—</v>
      </c>
      <c r="G18" s="13" t="str">
        <f>_xll.BDH("RCOM IN Equity","COMMUNITY_SPENDING","FY 2013","FY 2013","Currency=INR","Period=FY","BEST_FPERIOD_OVERRIDE=FY","FILING_STATUS=MR","EQY_CONSOLIDATED=Y","SCALING_FORMAT=MLN","Sort=A","Dates=H","DateFormat=P","Fill=—","Direction=H","UseDPDF=Y")</f>
        <v>—</v>
      </c>
      <c r="H18" s="13" t="str">
        <f>_xll.BDH("RCOM IN Equity","COMMUNITY_SPENDING","FY 2014","FY 2014","Currency=INR","Period=FY","BEST_FPERIOD_OVERRIDE=FY","FILING_STATUS=MR","EQY_CONSOLIDATED=Y","SCALING_FORMAT=MLN","Sort=A","Dates=H","DateFormat=P","Fill=—","Direction=H","UseDPDF=Y")</f>
        <v>—</v>
      </c>
      <c r="I18" s="13" t="str">
        <f>_xll.BDH("RCOM IN Equity","COMMUNITY_SPENDING","FY 2015","FY 2015","Currency=INR","Period=FY","BEST_FPERIOD_OVERRIDE=FY","FILING_STATUS=MR","EQY_CONSOLIDATED=Y","SCALING_FORMAT=MLN","Sort=A","Dates=H","DateFormat=P","Fill=—","Direction=H","UseDPDF=Y")</f>
        <v>—</v>
      </c>
      <c r="J18" s="13">
        <f>_xll.BDH("RCOM IN Equity","COMMUNITY_SPENDING","FY 2016","FY 2016","Currency=INR","Period=FY","BEST_FPERIOD_OVERRIDE=FY","FILING_STATUS=MR","EQY_CONSOLIDATED=Y","SCALING_FORMAT=MLN","Sort=A","Dates=H","DateFormat=P","Fill=—","Direction=H","UseDPDF=Y")</f>
        <v>100</v>
      </c>
      <c r="K18" s="13">
        <f>_xll.BDH("RCOM IN Equity","COMMUNITY_SPENDING","FY 2017","FY 2017","Currency=INR","Period=FY","BEST_FPERIOD_OVERRIDE=FY","FILING_STATUS=MR","EQY_CONSOLIDATED=Y","SCALING_FORMAT=MLN","Sort=A","Dates=H","DateFormat=P","Fill=—","Direction=H","UseDPDF=Y")</f>
        <v>210</v>
      </c>
      <c r="L18" s="13">
        <f>_xll.BDH("RCOM IN Equity","COMMUNITY_SPENDING","FY 2018","FY 2018","Currency=INR","Period=FY","BEST_FPERIOD_OVERRIDE=FY","FILING_STATUS=MR","EQY_CONSOLIDATED=Y","SCALING_FORMAT=MLN","Sort=A","Dates=H","DateFormat=P","Fill=—","Direction=H","UseDPDF=Y")</f>
        <v>350</v>
      </c>
    </row>
    <row r="19" spans="1:12">
      <c r="A19" s="10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  <row r="20" spans="1:12">
      <c r="A20" s="6" t="s">
        <v>1778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>
      <c r="A21" s="6" t="s">
        <v>1779</v>
      </c>
      <c r="B21" s="6" t="s">
        <v>1780</v>
      </c>
      <c r="C21" s="20">
        <f>_xll.BDH("RCOM IN Equity","GOVNCE_DISCLOSURE_SCORE","FY 2009","FY 2009","Currency=INR","Period=FY","BEST_FPERIOD_OVERRIDE=FY","FILING_STATUS=MR","EQY_CONSOLIDATED=Y","Sort=A","Dates=H","DateFormat=P","Fill=—","Direction=H","UseDPDF=Y")</f>
        <v>48.214300000000001</v>
      </c>
      <c r="D21" s="20" t="str">
        <f>_xll.BDH("RCOM IN Equity","GOVNCE_DISCLOSURE_SCORE","FY 2010","FY 2010","Currency=INR","Period=FY","BEST_FPERIOD_OVERRIDE=FY","FILING_STATUS=MR","EQY_CONSOLIDATED=Y","Sort=A","Dates=H","DateFormat=P","Fill=—","Direction=H","UseDPDF=Y")</f>
        <v>—</v>
      </c>
      <c r="E21" s="20">
        <f>_xll.BDH("RCOM IN Equity","GOVNCE_DISCLOSURE_SCORE","FY 2011","FY 2011","Currency=INR","Period=FY","BEST_FPERIOD_OVERRIDE=FY","FILING_STATUS=MR","EQY_CONSOLIDATED=Y","Sort=A","Dates=H","DateFormat=P","Fill=—","Direction=H","UseDPDF=Y")</f>
        <v>48.214300000000001</v>
      </c>
      <c r="F21" s="20" t="str">
        <f>_xll.BDH("RCOM IN Equity","GOVNCE_DISCLOSURE_SCORE","FY 2012","FY 2012","Currency=INR","Period=FY","BEST_FPERIOD_OVERRIDE=FY","FILING_STATUS=MR","EQY_CONSOLIDATED=Y","Sort=A","Dates=H","DateFormat=P","Fill=—","Direction=H","UseDPDF=Y")</f>
        <v>—</v>
      </c>
      <c r="G21" s="20">
        <f>_xll.BDH("RCOM IN Equity","GOVNCE_DISCLOSURE_SCORE","FY 2013","FY 2013","Currency=INR","Period=FY","BEST_FPERIOD_OVERRIDE=FY","FILING_STATUS=MR","EQY_CONSOLIDATED=Y","Sort=A","Dates=H","DateFormat=P","Fill=—","Direction=H","UseDPDF=Y")</f>
        <v>48.214300000000001</v>
      </c>
      <c r="H21" s="20">
        <f>_xll.BDH("RCOM IN Equity","GOVNCE_DISCLOSURE_SCORE","FY 2014","FY 2014","Currency=INR","Period=FY","BEST_FPERIOD_OVERRIDE=FY","FILING_STATUS=MR","EQY_CONSOLIDATED=Y","Sort=A","Dates=H","DateFormat=P","Fill=—","Direction=H","UseDPDF=Y")</f>
        <v>48.214300000000001</v>
      </c>
      <c r="I21" s="20">
        <f>_xll.BDH("RCOM IN Equity","GOVNCE_DISCLOSURE_SCORE","FY 2015","FY 2015","Currency=INR","Period=FY","BEST_FPERIOD_OVERRIDE=FY","FILING_STATUS=MR","EQY_CONSOLIDATED=Y","Sort=A","Dates=H","DateFormat=P","Fill=—","Direction=H","UseDPDF=Y")</f>
        <v>48.214300000000001</v>
      </c>
      <c r="J21" s="20">
        <f>_xll.BDH("RCOM IN Equity","GOVNCE_DISCLOSURE_SCORE","FY 2016","FY 2016","Currency=INR","Period=FY","BEST_FPERIOD_OVERRIDE=FY","FILING_STATUS=MR","EQY_CONSOLIDATED=Y","Sort=A","Dates=H","DateFormat=P","Fill=—","Direction=H","UseDPDF=Y")</f>
        <v>51.785699999999999</v>
      </c>
      <c r="K21" s="20">
        <f>_xll.BDH("RCOM IN Equity","GOVNCE_DISCLOSURE_SCORE","FY 2017","FY 2017","Currency=INR","Period=FY","BEST_FPERIOD_OVERRIDE=FY","FILING_STATUS=MR","EQY_CONSOLIDATED=Y","Sort=A","Dates=H","DateFormat=P","Fill=—","Direction=H","UseDPDF=Y")</f>
        <v>51.785699999999999</v>
      </c>
      <c r="L21" s="20">
        <f>_xll.BDH("RCOM IN Equity","GOVNCE_DISCLOSURE_SCORE","FY 2018","FY 2018","Currency=INR","Period=FY","BEST_FPERIOD_OVERRIDE=FY","FILING_STATUS=MR","EQY_CONSOLIDATED=Y","Sort=A","Dates=H","DateFormat=P","Fill=—","Direction=H","UseDPDF=Y")</f>
        <v>51.785699999999999</v>
      </c>
    </row>
    <row r="22" spans="1:12">
      <c r="A22" s="10" t="s">
        <v>1781</v>
      </c>
      <c r="B22" s="10" t="s">
        <v>1782</v>
      </c>
      <c r="C22" s="14">
        <f>_xll.BDH("RCOM IN Equity","BOARD_SIZE","FY 2009","FY 2009","Currency=INR","Period=FY","BEST_FPERIOD_OVERRIDE=FY","FILING_STATUS=MR","EQY_CONSOLIDATED=Y","Sort=A","Dates=H","DateFormat=P","Fill=—","Direction=H","UseDPDF=Y")</f>
        <v>5</v>
      </c>
      <c r="D22" s="14">
        <f>_xll.BDH("RCOM IN Equity","BOARD_SIZE","FY 2010","FY 2010","Currency=INR","Period=FY","BEST_FPERIOD_OVERRIDE=FY","FILING_STATUS=MR","EQY_CONSOLIDATED=Y","Sort=A","Dates=H","DateFormat=P","Fill=—","Direction=H","UseDPDF=Y")</f>
        <v>5</v>
      </c>
      <c r="E22" s="14">
        <f>_xll.BDH("RCOM IN Equity","BOARD_SIZE","FY 2011","FY 2011","Currency=INR","Period=FY","BEST_FPERIOD_OVERRIDE=FY","FILING_STATUS=MR","EQY_CONSOLIDATED=Y","Sort=A","Dates=H","DateFormat=P","Fill=—","Direction=H","UseDPDF=Y")</f>
        <v>5</v>
      </c>
      <c r="F22" s="14">
        <f>_xll.BDH("RCOM IN Equity","BOARD_SIZE","FY 2012","FY 2012","Currency=INR","Period=FY","BEST_FPERIOD_OVERRIDE=FY","FILING_STATUS=MR","EQY_CONSOLIDATED=Y","Sort=A","Dates=H","DateFormat=P","Fill=—","Direction=H","UseDPDF=Y")</f>
        <v>5</v>
      </c>
      <c r="G22" s="14">
        <f>_xll.BDH("RCOM IN Equity","BOARD_SIZE","FY 2013","FY 2013","Currency=INR","Period=FY","BEST_FPERIOD_OVERRIDE=FY","FILING_STATUS=MR","EQY_CONSOLIDATED=Y","Sort=A","Dates=H","DateFormat=P","Fill=—","Direction=H","UseDPDF=Y")</f>
        <v>5</v>
      </c>
      <c r="H22" s="14">
        <f>_xll.BDH("RCOM IN Equity","BOARD_SIZE","FY 2014","FY 2014","Currency=INR","Period=FY","BEST_FPERIOD_OVERRIDE=FY","FILING_STATUS=MR","EQY_CONSOLIDATED=Y","Sort=A","Dates=H","DateFormat=P","Fill=—","Direction=H","UseDPDF=Y")</f>
        <v>5</v>
      </c>
      <c r="I22" s="14">
        <f>_xll.BDH("RCOM IN Equity","BOARD_SIZE","FY 2015","FY 2015","Currency=INR","Period=FY","BEST_FPERIOD_OVERRIDE=FY","FILING_STATUS=MR","EQY_CONSOLIDATED=Y","Sort=A","Dates=H","DateFormat=P","Fill=—","Direction=H","UseDPDF=Y")</f>
        <v>6</v>
      </c>
      <c r="J22" s="14">
        <f>_xll.BDH("RCOM IN Equity","BOARD_SIZE","FY 2016","FY 2016","Currency=INR","Period=FY","BEST_FPERIOD_OVERRIDE=FY","FILING_STATUS=MR","EQY_CONSOLIDATED=Y","Sort=A","Dates=H","DateFormat=P","Fill=—","Direction=H","UseDPDF=Y")</f>
        <v>6</v>
      </c>
      <c r="K22" s="14">
        <f>_xll.BDH("RCOM IN Equity","BOARD_SIZE","FY 2017","FY 2017","Currency=INR","Period=FY","BEST_FPERIOD_OVERRIDE=FY","FILING_STATUS=MR","EQY_CONSOLIDATED=Y","Sort=A","Dates=H","DateFormat=P","Fill=—","Direction=H","UseDPDF=Y")</f>
        <v>6</v>
      </c>
      <c r="L22" s="14">
        <f>_xll.BDH("RCOM IN Equity","BOARD_SIZE","FY 2018","FY 2018","Currency=INR","Period=FY","BEST_FPERIOD_OVERRIDE=FY","FILING_STATUS=MR","EQY_CONSOLIDATED=Y","Sort=A","Dates=H","DateFormat=P","Fill=—","Direction=H","UseDPDF=Y")</f>
        <v>11</v>
      </c>
    </row>
    <row r="23" spans="1:12">
      <c r="A23" s="10" t="s">
        <v>1783</v>
      </c>
      <c r="B23" s="10" t="s">
        <v>1784</v>
      </c>
      <c r="C23" s="14">
        <f>_xll.BDH("RCOM IN Equity","INDEPENDENT_DIRECTORS","FY 2009","FY 2009","Currency=INR","Period=FY","BEST_FPERIOD_OVERRIDE=FY","FILING_STATUS=MR","EQY_CONSOLIDATED=Y","Sort=A","Dates=H","DateFormat=P","Fill=—","Direction=H","UseDPDF=Y")</f>
        <v>4</v>
      </c>
      <c r="D23" s="14">
        <f>_xll.BDH("RCOM IN Equity","INDEPENDENT_DIRECTORS","FY 2010","FY 2010","Currency=INR","Period=FY","BEST_FPERIOD_OVERRIDE=FY","FILING_STATUS=MR","EQY_CONSOLIDATED=Y","Sort=A","Dates=H","DateFormat=P","Fill=—","Direction=H","UseDPDF=Y")</f>
        <v>4</v>
      </c>
      <c r="E23" s="14">
        <f>_xll.BDH("RCOM IN Equity","INDEPENDENT_DIRECTORS","FY 2011","FY 2011","Currency=INR","Period=FY","BEST_FPERIOD_OVERRIDE=FY","FILING_STATUS=MR","EQY_CONSOLIDATED=Y","Sort=A","Dates=H","DateFormat=P","Fill=—","Direction=H","UseDPDF=Y")</f>
        <v>4</v>
      </c>
      <c r="F23" s="14">
        <f>_xll.BDH("RCOM IN Equity","INDEPENDENT_DIRECTORS","FY 2012","FY 2012","Currency=INR","Period=FY","BEST_FPERIOD_OVERRIDE=FY","FILING_STATUS=MR","EQY_CONSOLIDATED=Y","Sort=A","Dates=H","DateFormat=P","Fill=—","Direction=H","UseDPDF=Y")</f>
        <v>4</v>
      </c>
      <c r="G23" s="14">
        <f>_xll.BDH("RCOM IN Equity","INDEPENDENT_DIRECTORS","FY 2013","FY 2013","Currency=INR","Period=FY","BEST_FPERIOD_OVERRIDE=FY","FILING_STATUS=MR","EQY_CONSOLIDATED=Y","Sort=A","Dates=H","DateFormat=P","Fill=—","Direction=H","UseDPDF=Y")</f>
        <v>4</v>
      </c>
      <c r="H23" s="14">
        <f>_xll.BDH("RCOM IN Equity","INDEPENDENT_DIRECTORS","FY 2014","FY 2014","Currency=INR","Period=FY","BEST_FPERIOD_OVERRIDE=FY","FILING_STATUS=MR","EQY_CONSOLIDATED=Y","Sort=A","Dates=H","DateFormat=P","Fill=—","Direction=H","UseDPDF=Y")</f>
        <v>4</v>
      </c>
      <c r="I23" s="14">
        <f>_xll.BDH("RCOM IN Equity","INDEPENDENT_DIRECTORS","FY 2015","FY 2015","Currency=INR","Period=FY","BEST_FPERIOD_OVERRIDE=FY","FILING_STATUS=MR","EQY_CONSOLIDATED=Y","Sort=A","Dates=H","DateFormat=P","Fill=—","Direction=H","UseDPDF=Y")</f>
        <v>4</v>
      </c>
      <c r="J23" s="14">
        <f>_xll.BDH("RCOM IN Equity","INDEPENDENT_DIRECTORS","FY 2016","FY 2016","Currency=INR","Period=FY","BEST_FPERIOD_OVERRIDE=FY","FILING_STATUS=MR","EQY_CONSOLIDATED=Y","Sort=A","Dates=H","DateFormat=P","Fill=—","Direction=H","UseDPDF=Y")</f>
        <v>4</v>
      </c>
      <c r="K23" s="14">
        <f>_xll.BDH("RCOM IN Equity","INDEPENDENT_DIRECTORS","FY 2017","FY 2017","Currency=INR","Period=FY","BEST_FPERIOD_OVERRIDE=FY","FILING_STATUS=MR","EQY_CONSOLIDATED=Y","Sort=A","Dates=H","DateFormat=P","Fill=—","Direction=H","UseDPDF=Y")</f>
        <v>4</v>
      </c>
      <c r="L23" s="14">
        <f>_xll.BDH("RCOM IN Equity","INDEPENDENT_DIRECTORS","FY 2018","FY 2018","Currency=INR","Period=FY","BEST_FPERIOD_OVERRIDE=FY","FILING_STATUS=MR","EQY_CONSOLIDATED=Y","Sort=A","Dates=H","DateFormat=P","Fill=—","Direction=H","UseDPDF=Y")</f>
        <v>6</v>
      </c>
    </row>
    <row r="24" spans="1:12">
      <c r="A24" s="6" t="s">
        <v>1785</v>
      </c>
      <c r="B24" s="6" t="s">
        <v>1786</v>
      </c>
      <c r="C24" s="20">
        <f>_xll.BDH("RCOM IN Equity","PCT_INDEPENDENT_DIRECTORS","FY 2009","FY 2009","Currency=INR","Period=FY","BEST_FPERIOD_OVERRIDE=FY","FILING_STATUS=MR","EQY_CONSOLIDATED=Y","Sort=A","Dates=H","DateFormat=P","Fill=—","Direction=H","UseDPDF=Y")</f>
        <v>80</v>
      </c>
      <c r="D24" s="20">
        <f>_xll.BDH("RCOM IN Equity","PCT_INDEPENDENT_DIRECTORS","FY 2010","FY 2010","Currency=INR","Period=FY","BEST_FPERIOD_OVERRIDE=FY","FILING_STATUS=MR","EQY_CONSOLIDATED=Y","Sort=A","Dates=H","DateFormat=P","Fill=—","Direction=H","UseDPDF=Y")</f>
        <v>80</v>
      </c>
      <c r="E24" s="20">
        <f>_xll.BDH("RCOM IN Equity","PCT_INDEPENDENT_DIRECTORS","FY 2011","FY 2011","Currency=INR","Period=FY","BEST_FPERIOD_OVERRIDE=FY","FILING_STATUS=MR","EQY_CONSOLIDATED=Y","Sort=A","Dates=H","DateFormat=P","Fill=—","Direction=H","UseDPDF=Y")</f>
        <v>80</v>
      </c>
      <c r="F24" s="20">
        <f>_xll.BDH("RCOM IN Equity","PCT_INDEPENDENT_DIRECTORS","FY 2012","FY 2012","Currency=INR","Period=FY","BEST_FPERIOD_OVERRIDE=FY","FILING_STATUS=MR","EQY_CONSOLIDATED=Y","Sort=A","Dates=H","DateFormat=P","Fill=—","Direction=H","UseDPDF=Y")</f>
        <v>80</v>
      </c>
      <c r="G24" s="20">
        <f>_xll.BDH("RCOM IN Equity","PCT_INDEPENDENT_DIRECTORS","FY 2013","FY 2013","Currency=INR","Period=FY","BEST_FPERIOD_OVERRIDE=FY","FILING_STATUS=MR","EQY_CONSOLIDATED=Y","Sort=A","Dates=H","DateFormat=P","Fill=—","Direction=H","UseDPDF=Y")</f>
        <v>80</v>
      </c>
      <c r="H24" s="20">
        <f>_xll.BDH("RCOM IN Equity","PCT_INDEPENDENT_DIRECTORS","FY 2014","FY 2014","Currency=INR","Period=FY","BEST_FPERIOD_OVERRIDE=FY","FILING_STATUS=MR","EQY_CONSOLIDATED=Y","Sort=A","Dates=H","DateFormat=P","Fill=—","Direction=H","UseDPDF=Y")</f>
        <v>80</v>
      </c>
      <c r="I24" s="20">
        <f>_xll.BDH("RCOM IN Equity","PCT_INDEPENDENT_DIRECTORS","FY 2015","FY 2015","Currency=INR","Period=FY","BEST_FPERIOD_OVERRIDE=FY","FILING_STATUS=MR","EQY_CONSOLIDATED=Y","Sort=A","Dates=H","DateFormat=P","Fill=—","Direction=H","UseDPDF=Y")</f>
        <v>66.667000000000002</v>
      </c>
      <c r="J24" s="20">
        <f>_xll.BDH("RCOM IN Equity","PCT_INDEPENDENT_DIRECTORS","FY 2016","FY 2016","Currency=INR","Period=FY","BEST_FPERIOD_OVERRIDE=FY","FILING_STATUS=MR","EQY_CONSOLIDATED=Y","Sort=A","Dates=H","DateFormat=P","Fill=—","Direction=H","UseDPDF=Y")</f>
        <v>66.667000000000002</v>
      </c>
      <c r="K24" s="20">
        <f>_xll.BDH("RCOM IN Equity","PCT_INDEPENDENT_DIRECTORS","FY 2017","FY 2017","Currency=INR","Period=FY","BEST_FPERIOD_OVERRIDE=FY","FILING_STATUS=MR","EQY_CONSOLIDATED=Y","Sort=A","Dates=H","DateFormat=P","Fill=—","Direction=H","UseDPDF=Y")</f>
        <v>66.667000000000002</v>
      </c>
      <c r="L24" s="20">
        <f>_xll.BDH("RCOM IN Equity","PCT_INDEPENDENT_DIRECTORS","FY 2018","FY 2018","Currency=INR","Period=FY","BEST_FPERIOD_OVERRIDE=FY","FILING_STATUS=MR","EQY_CONSOLIDATED=Y","Sort=A","Dates=H","DateFormat=P","Fill=—","Direction=H","UseDPDF=Y")</f>
        <v>54.545999999999999</v>
      </c>
    </row>
    <row r="25" spans="1:12">
      <c r="A25" s="10" t="s">
        <v>1787</v>
      </c>
      <c r="B25" s="10" t="s">
        <v>1788</v>
      </c>
      <c r="C25" s="14">
        <f>_xll.BDH("RCOM IN Equity","BOARD_DURATION","FY 2009","FY 2009","Currency=INR","Period=FY","BEST_FPERIOD_OVERRIDE=FY","FILING_STATUS=MR","EQY_CONSOLIDATED=Y","Sort=A","Dates=H","DateFormat=P","Fill=—","Direction=H","UseDPDF=Y")</f>
        <v>3</v>
      </c>
      <c r="D25" s="14">
        <f>_xll.BDH("RCOM IN Equity","BOARD_DURATION","FY 2010","FY 2010","Currency=INR","Period=FY","BEST_FPERIOD_OVERRIDE=FY","FILING_STATUS=MR","EQY_CONSOLIDATED=Y","Sort=A","Dates=H","DateFormat=P","Fill=—","Direction=H","UseDPDF=Y")</f>
        <v>3</v>
      </c>
      <c r="E25" s="14">
        <f>_xll.BDH("RCOM IN Equity","BOARD_DURATION","FY 2011","FY 2011","Currency=INR","Period=FY","BEST_FPERIOD_OVERRIDE=FY","FILING_STATUS=MR","EQY_CONSOLIDATED=Y","Sort=A","Dates=H","DateFormat=P","Fill=—","Direction=H","UseDPDF=Y")</f>
        <v>3</v>
      </c>
      <c r="F25" s="14">
        <f>_xll.BDH("RCOM IN Equity","BOARD_DURATION","FY 2012","FY 2012","Currency=INR","Period=FY","BEST_FPERIOD_OVERRIDE=FY","FILING_STATUS=MR","EQY_CONSOLIDATED=Y","Sort=A","Dates=H","DateFormat=P","Fill=—","Direction=H","UseDPDF=Y")</f>
        <v>3</v>
      </c>
      <c r="G25" s="14">
        <f>_xll.BDH("RCOM IN Equity","BOARD_DURATION","FY 2013","FY 2013","Currency=INR","Period=FY","BEST_FPERIOD_OVERRIDE=FY","FILING_STATUS=MR","EQY_CONSOLIDATED=Y","Sort=A","Dates=H","DateFormat=P","Fill=—","Direction=H","UseDPDF=Y")</f>
        <v>3</v>
      </c>
      <c r="H25" s="14">
        <f>_xll.BDH("RCOM IN Equity","BOARD_DURATION","FY 2014","FY 2014","Currency=INR","Period=FY","BEST_FPERIOD_OVERRIDE=FY","FILING_STATUS=MR","EQY_CONSOLIDATED=Y","Sort=A","Dates=H","DateFormat=P","Fill=—","Direction=H","UseDPDF=Y")</f>
        <v>3</v>
      </c>
      <c r="I25" s="14">
        <f>_xll.BDH("RCOM IN Equity","BOARD_DURATION","FY 2015","FY 2015","Currency=INR","Period=FY","BEST_FPERIOD_OVERRIDE=FY","FILING_STATUS=MR","EQY_CONSOLIDATED=Y","Sort=A","Dates=H","DateFormat=P","Fill=—","Direction=H","UseDPDF=Y")</f>
        <v>5</v>
      </c>
      <c r="J25" s="14">
        <f>_xll.BDH("RCOM IN Equity","BOARD_DURATION","FY 2016","FY 2016","Currency=INR","Period=FY","BEST_FPERIOD_OVERRIDE=FY","FILING_STATUS=MR","EQY_CONSOLIDATED=Y","Sort=A","Dates=H","DateFormat=P","Fill=—","Direction=H","UseDPDF=Y")</f>
        <v>5</v>
      </c>
      <c r="K25" s="14">
        <f>_xll.BDH("RCOM IN Equity","BOARD_DURATION","FY 2017","FY 2017","Currency=INR","Period=FY","BEST_FPERIOD_OVERRIDE=FY","FILING_STATUS=MR","EQY_CONSOLIDATED=Y","Sort=A","Dates=H","DateFormat=P","Fill=—","Direction=H","UseDPDF=Y")</f>
        <v>5</v>
      </c>
      <c r="L25" s="14">
        <f>_xll.BDH("RCOM IN Equity","BOARD_DURATION","FY 2018","FY 2018","Currency=INR","Period=FY","BEST_FPERIOD_OVERRIDE=FY","FILING_STATUS=MR","EQY_CONSOLIDATED=Y","Sort=A","Dates=H","DateFormat=P","Fill=—","Direction=H","UseDPDF=Y")</f>
        <v>5</v>
      </c>
    </row>
    <row r="26" spans="1:12">
      <c r="A26" s="10" t="s">
        <v>1789</v>
      </c>
      <c r="B26" s="10" t="s">
        <v>1790</v>
      </c>
      <c r="C26" s="14">
        <f>_xll.BDH("RCOM IN Equity","BOARD_MEETINGS_PER_YR","FY 2009","FY 2009","Currency=INR","Period=FY","BEST_FPERIOD_OVERRIDE=FY","FILING_STATUS=MR","EQY_CONSOLIDATED=Y","Sort=A","Dates=H","DateFormat=P","Fill=—","Direction=H","UseDPDF=Y")</f>
        <v>4</v>
      </c>
      <c r="D26" s="14">
        <f>_xll.BDH("RCOM IN Equity","BOARD_MEETINGS_PER_YR","FY 2010","FY 2010","Currency=INR","Period=FY","BEST_FPERIOD_OVERRIDE=FY","FILING_STATUS=MR","EQY_CONSOLIDATED=Y","Sort=A","Dates=H","DateFormat=P","Fill=—","Direction=H","UseDPDF=Y")</f>
        <v>8</v>
      </c>
      <c r="E26" s="14">
        <f>_xll.BDH("RCOM IN Equity","BOARD_MEETINGS_PER_YR","FY 2011","FY 2011","Currency=INR","Period=FY","BEST_FPERIOD_OVERRIDE=FY","FILING_STATUS=MR","EQY_CONSOLIDATED=Y","Sort=A","Dates=H","DateFormat=P","Fill=—","Direction=H","UseDPDF=Y")</f>
        <v>6</v>
      </c>
      <c r="F26" s="14">
        <f>_xll.BDH("RCOM IN Equity","BOARD_MEETINGS_PER_YR","FY 2012","FY 2012","Currency=INR","Period=FY","BEST_FPERIOD_OVERRIDE=FY","FILING_STATUS=MR","EQY_CONSOLIDATED=Y","Sort=A","Dates=H","DateFormat=P","Fill=—","Direction=H","UseDPDF=Y")</f>
        <v>4</v>
      </c>
      <c r="G26" s="14">
        <f>_xll.BDH("RCOM IN Equity","BOARD_MEETINGS_PER_YR","FY 2013","FY 2013","Currency=INR","Period=FY","BEST_FPERIOD_OVERRIDE=FY","FILING_STATUS=MR","EQY_CONSOLIDATED=Y","Sort=A","Dates=H","DateFormat=P","Fill=—","Direction=H","UseDPDF=Y")</f>
        <v>5</v>
      </c>
      <c r="H26" s="14">
        <f>_xll.BDH("RCOM IN Equity","BOARD_MEETINGS_PER_YR","FY 2014","FY 2014","Currency=INR","Period=FY","BEST_FPERIOD_OVERRIDE=FY","FILING_STATUS=MR","EQY_CONSOLIDATED=Y","Sort=A","Dates=H","DateFormat=P","Fill=—","Direction=H","UseDPDF=Y")</f>
        <v>5</v>
      </c>
      <c r="I26" s="14">
        <f>_xll.BDH("RCOM IN Equity","BOARD_MEETINGS_PER_YR","FY 2015","FY 2015","Currency=INR","Period=FY","BEST_FPERIOD_OVERRIDE=FY","FILING_STATUS=MR","EQY_CONSOLIDATED=Y","Sort=A","Dates=H","DateFormat=P","Fill=—","Direction=H","UseDPDF=Y")</f>
        <v>6</v>
      </c>
      <c r="J26" s="14">
        <f>_xll.BDH("RCOM IN Equity","BOARD_MEETINGS_PER_YR","FY 2016","FY 2016","Currency=INR","Period=FY","BEST_FPERIOD_OVERRIDE=FY","FILING_STATUS=MR","EQY_CONSOLIDATED=Y","Sort=A","Dates=H","DateFormat=P","Fill=—","Direction=H","UseDPDF=Y")</f>
        <v>7</v>
      </c>
      <c r="K26" s="14">
        <f>_xll.BDH("RCOM IN Equity","BOARD_MEETINGS_PER_YR","FY 2017","FY 2017","Currency=INR","Period=FY","BEST_FPERIOD_OVERRIDE=FY","FILING_STATUS=MR","EQY_CONSOLIDATED=Y","Sort=A","Dates=H","DateFormat=P","Fill=—","Direction=H","UseDPDF=Y")</f>
        <v>8</v>
      </c>
      <c r="L26" s="14">
        <f>_xll.BDH("RCOM IN Equity","BOARD_MEETINGS_PER_YR","FY 2018","FY 2018","Currency=INR","Period=FY","BEST_FPERIOD_OVERRIDE=FY","FILING_STATUS=MR","EQY_CONSOLIDATED=Y","Sort=A","Dates=H","DateFormat=P","Fill=—","Direction=H","UseDPDF=Y")</f>
        <v>9</v>
      </c>
    </row>
    <row r="27" spans="1:12">
      <c r="A27" s="10" t="s">
        <v>1791</v>
      </c>
      <c r="B27" s="10" t="s">
        <v>1792</v>
      </c>
      <c r="C27" s="14">
        <f>_xll.BDH("RCOM IN Equity","BOARD_MEETING_ATTENDANCE_PCT","FY 2009","FY 2009","Currency=INR","Period=FY","BEST_FPERIOD_OVERRIDE=FY","FILING_STATUS=MR","EQY_CONSOLIDATED=Y","Sort=A","Dates=H","DateFormat=P","Fill=—","Direction=H","UseDPDF=Y")</f>
        <v>95</v>
      </c>
      <c r="D27" s="14">
        <f>_xll.BDH("RCOM IN Equity","BOARD_MEETING_ATTENDANCE_PCT","FY 2010","FY 2010","Currency=INR","Period=FY","BEST_FPERIOD_OVERRIDE=FY","FILING_STATUS=MR","EQY_CONSOLIDATED=Y","Sort=A","Dates=H","DateFormat=P","Fill=—","Direction=H","UseDPDF=Y")</f>
        <v>92.5</v>
      </c>
      <c r="E27" s="14">
        <f>_xll.BDH("RCOM IN Equity","BOARD_MEETING_ATTENDANCE_PCT","FY 2011","FY 2011","Currency=INR","Period=FY","BEST_FPERIOD_OVERRIDE=FY","FILING_STATUS=MR","EQY_CONSOLIDATED=Y","Sort=A","Dates=H","DateFormat=P","Fill=—","Direction=H","UseDPDF=Y")</f>
        <v>86.67</v>
      </c>
      <c r="F27" s="14">
        <f>_xll.BDH("RCOM IN Equity","BOARD_MEETING_ATTENDANCE_PCT","FY 2012","FY 2012","Currency=INR","Period=FY","BEST_FPERIOD_OVERRIDE=FY","FILING_STATUS=MR","EQY_CONSOLIDATED=Y","Sort=A","Dates=H","DateFormat=P","Fill=—","Direction=H","UseDPDF=Y")</f>
        <v>95</v>
      </c>
      <c r="G27" s="14">
        <f>_xll.BDH("RCOM IN Equity","BOARD_MEETING_ATTENDANCE_PCT","FY 2013","FY 2013","Currency=INR","Period=FY","BEST_FPERIOD_OVERRIDE=FY","FILING_STATUS=MR","EQY_CONSOLIDATED=Y","Sort=A","Dates=H","DateFormat=P","Fill=—","Direction=H","UseDPDF=Y")</f>
        <v>96</v>
      </c>
      <c r="H27" s="14">
        <f>_xll.BDH("RCOM IN Equity","BOARD_MEETING_ATTENDANCE_PCT","FY 2014","FY 2014","Currency=INR","Period=FY","BEST_FPERIOD_OVERRIDE=FY","FILING_STATUS=MR","EQY_CONSOLIDATED=Y","Sort=A","Dates=H","DateFormat=P","Fill=—","Direction=H","UseDPDF=Y")</f>
        <v>76</v>
      </c>
      <c r="I27" s="14">
        <f>_xll.BDH("RCOM IN Equity","BOARD_MEETING_ATTENDANCE_PCT","FY 2015","FY 2015","Currency=INR","Period=FY","BEST_FPERIOD_OVERRIDE=FY","FILING_STATUS=MR","EQY_CONSOLIDATED=Y","Sort=A","Dates=H","DateFormat=P","Fill=—","Direction=H","UseDPDF=Y")</f>
        <v>81.819999999999993</v>
      </c>
      <c r="J27" s="14">
        <f>_xll.BDH("RCOM IN Equity","BOARD_MEETING_ATTENDANCE_PCT","FY 2016","FY 2016","Currency=INR","Period=FY","BEST_FPERIOD_OVERRIDE=FY","FILING_STATUS=MR","EQY_CONSOLIDATED=Y","Sort=A","Dates=H","DateFormat=P","Fill=—","Direction=H","UseDPDF=Y")</f>
        <v>85.71</v>
      </c>
      <c r="K27" s="14">
        <f>_xll.BDH("RCOM IN Equity","BOARD_MEETING_ATTENDANCE_PCT","FY 2017","FY 2017","Currency=INR","Period=FY","BEST_FPERIOD_OVERRIDE=FY","FILING_STATUS=MR","EQY_CONSOLIDATED=Y","Sort=A","Dates=H","DateFormat=P","Fill=—","Direction=H","UseDPDF=Y")</f>
        <v>85.41</v>
      </c>
      <c r="L27" s="14">
        <f>_xll.BDH("RCOM IN Equity","BOARD_MEETING_ATTENDANCE_PCT","FY 2018","FY 2018","Currency=INR","Period=FY","BEST_FPERIOD_OVERRIDE=FY","FILING_STATUS=MR","EQY_CONSOLIDATED=Y","Sort=A","Dates=H","DateFormat=P","Fill=—","Direction=H","UseDPDF=Y")</f>
        <v>80.88</v>
      </c>
    </row>
    <row r="28" spans="1:12">
      <c r="A28" s="7" t="s">
        <v>57</v>
      </c>
      <c r="B28" s="7"/>
      <c r="C28" s="7" t="s">
        <v>3</v>
      </c>
      <c r="D28" s="7"/>
      <c r="E28" s="7"/>
      <c r="F28" s="7"/>
      <c r="G28" s="7"/>
      <c r="H28" s="7"/>
      <c r="I28" s="7"/>
      <c r="J28" s="7"/>
      <c r="K28" s="7"/>
      <c r="L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4"/>
  <sheetViews>
    <sheetView topLeftCell="A4"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118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119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120</v>
      </c>
    </row>
    <row r="6" spans="1:12">
      <c r="A6" s="6" t="s">
        <v>27</v>
      </c>
      <c r="B6" s="6" t="s">
        <v>28</v>
      </c>
      <c r="C6" s="19">
        <f>_xll.BDH("RCOM IN Equity","HISTORICAL_MARKET_CAP","FY 2010","FY 2010","Currency=INR","Period=FY","BEST_FPERIOD_OVERRIDE=FY","FILING_STATUS=MR","EQY_CONSOLIDATED=Y","SCALING_FORMAT=MLN","Sort=A","Dates=H","DateFormat=P","Fill=—","Direction=H","UseDPDF=Y")</f>
        <v>350781.36839999998</v>
      </c>
      <c r="D6" s="19">
        <f>_xll.BDH("RCOM IN Equity","HISTORICAL_MARKET_CAP","FY 2011","FY 2011","Currency=INR","Period=FY","BEST_FPERIOD_OVERRIDE=FY","FILING_STATUS=MR","EQY_CONSOLIDATED=Y","SCALING_FORMAT=MLN","Sort=A","Dates=H","DateFormat=P","Fill=—","Direction=H","UseDPDF=Y")</f>
        <v>222192.49369999999</v>
      </c>
      <c r="E6" s="19">
        <f>_xll.BDH("RCOM IN Equity","HISTORICAL_MARKET_CAP","FY 2012","FY 2012","Currency=INR","Period=FY","BEST_FPERIOD_OVERRIDE=FY","FILING_STATUS=MR","EQY_CONSOLIDATED=Y","SCALING_FORMAT=MLN","Sort=A","Dates=H","DateFormat=P","Fill=—","Direction=H","UseDPDF=Y")</f>
        <v>173481.45929999999</v>
      </c>
      <c r="F6" s="19">
        <f>_xll.BDH("RCOM IN Equity","HISTORICAL_MARKET_CAP","FY 2013","FY 2013","Currency=INR","Period=FY","BEST_FPERIOD_OVERRIDE=FY","FILING_STATUS=MR","EQY_CONSOLIDATED=Y","SCALING_FORMAT=MLN","Sort=A","Dates=H","DateFormat=P","Fill=—","Direction=H","UseDPDF=Y")</f>
        <v>114140.6865</v>
      </c>
      <c r="G6" s="19">
        <f>_xll.BDH("RCOM IN Equity","HISTORICAL_MARKET_CAP","FY 2014","FY 2014","Currency=INR","Period=FY","BEST_FPERIOD_OVERRIDE=FY","FILING_STATUS=MR","EQY_CONSOLIDATED=Y","SCALING_FORMAT=MLN","Sort=A","Dates=H","DateFormat=P","Fill=—","Direction=H","UseDPDF=Y")</f>
        <v>266053.065</v>
      </c>
      <c r="H6" s="19">
        <f>_xll.BDH("RCOM IN Equity","HISTORICAL_MARKET_CAP","FY 2015","FY 2015","Currency=INR","Period=FY","BEST_FPERIOD_OVERRIDE=FY","FILING_STATUS=MR","EQY_CONSOLIDATED=Y","SCALING_FORMAT=MLN","Sort=A","Dates=H","DateFormat=P","Fill=—","Direction=H","UseDPDF=Y")</f>
        <v>147472.04990000001</v>
      </c>
      <c r="I6" s="19">
        <f>_xll.BDH("RCOM IN Equity","HISTORICAL_MARKET_CAP","FY 2016","FY 2016","Currency=INR","Period=FY","BEST_FPERIOD_OVERRIDE=FY","FILING_STATUS=MR","EQY_CONSOLIDATED=Y","SCALING_FORMAT=MLN","Sort=A","Dates=H","DateFormat=P","Fill=—","Direction=H","UseDPDF=Y")</f>
        <v>124448.98729999999</v>
      </c>
      <c r="J6" s="19">
        <f>_xll.BDH("RCOM IN Equity","HISTORICAL_MARKET_CAP","FY 2017","FY 2017","Currency=INR","Period=FY","BEST_FPERIOD_OVERRIDE=FY","FILING_STATUS=MR","EQY_CONSOLIDATED=Y","SCALING_FORMAT=MLN","Sort=A","Dates=H","DateFormat=P","Fill=—","Direction=H","UseDPDF=Y")</f>
        <v>95327.924199999994</v>
      </c>
      <c r="K6" s="19">
        <f>_xll.BDH("RCOM IN Equity","HISTORICAL_MARKET_CAP","FY 2018","FY 2018","Currency=INR","Period=FY","BEST_FPERIOD_OVERRIDE=FY","FILING_STATUS=MR","EQY_CONSOLIDATED=Y","SCALING_FORMAT=MLN","Sort=A","Dates=H","DateFormat=P","Fill=—","Direction=H","UseDPDF=Y")</f>
        <v>60150.343800000002</v>
      </c>
      <c r="L6" s="22">
        <v>18252.51813</v>
      </c>
    </row>
    <row r="7" spans="1:12">
      <c r="A7" s="10" t="s">
        <v>121</v>
      </c>
      <c r="B7" s="10" t="s">
        <v>30</v>
      </c>
      <c r="C7" s="13">
        <f>_xll.BDH("RCOM IN Equity","CASH_AND_MARKETABLE_SECURITIES","FY 2010","FY 2010","Currency=INR","Period=FY","BEST_FPERIOD_OVERRIDE=FY","FILING_STATUS=MR","EQY_CONSOLIDATED=Y","SCALING_FORMAT=MLN","Sort=A","Dates=H","DateFormat=P","Fill=—","Direction=H","UseDPDF=Y")</f>
        <v>48584.800000000003</v>
      </c>
      <c r="D7" s="13">
        <f>_xll.BDH("RCOM IN Equity","CASH_AND_MARKETABLE_SECURITIES","FY 2011","FY 2011","Currency=INR","Period=FY","BEST_FPERIOD_OVERRIDE=FY","FILING_STATUS=MR","EQY_CONSOLIDATED=Y","SCALING_FORMAT=MLN","Sort=A","Dates=H","DateFormat=P","Fill=—","Direction=H","UseDPDF=Y")</f>
        <v>53180</v>
      </c>
      <c r="E7" s="13">
        <f>_xll.BDH("RCOM IN Equity","CASH_AND_MARKETABLE_SECURITIES","FY 2012","FY 2012","Currency=INR","Period=FY","BEST_FPERIOD_OVERRIDE=FY","FILING_STATUS=MR","EQY_CONSOLIDATED=Y","SCALING_FORMAT=MLN","Sort=A","Dates=H","DateFormat=P","Fill=—","Direction=H","UseDPDF=Y")</f>
        <v>10690</v>
      </c>
      <c r="F7" s="13">
        <f>_xll.BDH("RCOM IN Equity","CASH_AND_MARKETABLE_SECURITIES","FY 2013","FY 2013","Currency=INR","Period=FY","BEST_FPERIOD_OVERRIDE=FY","FILING_STATUS=MR","EQY_CONSOLIDATED=Y","SCALING_FORMAT=MLN","Sort=A","Dates=H","DateFormat=P","Fill=—","Direction=H","UseDPDF=Y")</f>
        <v>12820</v>
      </c>
      <c r="G7" s="13">
        <f>_xll.BDH("RCOM IN Equity","CASH_AND_MARKETABLE_SECURITIES","FY 2014","FY 2014","Currency=INR","Period=FY","BEST_FPERIOD_OVERRIDE=FY","FILING_STATUS=MR","EQY_CONSOLIDATED=Y","SCALING_FORMAT=MLN","Sort=A","Dates=H","DateFormat=P","Fill=—","Direction=H","UseDPDF=Y")</f>
        <v>11090</v>
      </c>
      <c r="H7" s="13">
        <f>_xll.BDH("RCOM IN Equity","CASH_AND_MARKETABLE_SECURITIES","FY 2015","FY 2015","Currency=INR","Period=FY","BEST_FPERIOD_OVERRIDE=FY","FILING_STATUS=MR","EQY_CONSOLIDATED=Y","SCALING_FORMAT=MLN","Sort=A","Dates=H","DateFormat=P","Fill=—","Direction=H","UseDPDF=Y")</f>
        <v>26780</v>
      </c>
      <c r="I7" s="13">
        <f>_xll.BDH("RCOM IN Equity","CASH_AND_MARKETABLE_SECURITIES","FY 2016","FY 2016","Currency=INR","Period=FY","BEST_FPERIOD_OVERRIDE=FY","FILING_STATUS=MR","EQY_CONSOLIDATED=Y","SCALING_FORMAT=MLN","Sort=A","Dates=H","DateFormat=P","Fill=—","Direction=H","UseDPDF=Y")</f>
        <v>15170</v>
      </c>
      <c r="J7" s="13">
        <f>_xll.BDH("RCOM IN Equity","CASH_AND_MARKETABLE_SECURITIES","FY 2017","FY 2017","Currency=INR","Period=FY","BEST_FPERIOD_OVERRIDE=FY","FILING_STATUS=MR","EQY_CONSOLIDATED=Y","SCALING_FORMAT=MLN","Sort=A","Dates=H","DateFormat=P","Fill=—","Direction=H","UseDPDF=Y")</f>
        <v>13140</v>
      </c>
      <c r="K7" s="13">
        <f>_xll.BDH("RCOM IN Equity","CASH_AND_MARKETABLE_SECURITIES","FY 2018","FY 2018","Currency=INR","Period=FY","BEST_FPERIOD_OVERRIDE=FY","FILING_STATUS=MR","EQY_CONSOLIDATED=Y","SCALING_FORMAT=MLN","Sort=A","Dates=H","DateFormat=P","Fill=—","Direction=H","UseDPDF=Y")</f>
        <v>7360</v>
      </c>
      <c r="L7" s="16">
        <v>8240</v>
      </c>
    </row>
    <row r="8" spans="1:12">
      <c r="A8" s="10" t="s">
        <v>122</v>
      </c>
      <c r="B8" s="10" t="s">
        <v>123</v>
      </c>
      <c r="C8" s="13">
        <f>_xll.BDH("RCOM IN Equity","BS_PFD_EQTY_&amp;_HYBRID_CPTL","FY 2010","FY 2010","Currency=INR","Period=FY","BEST_FPERIOD_OVERRIDE=FY","FILING_STATUS=MR","EQY_CONSOLIDATED=Y","SCALING_FORMAT=MLN","Sort=A","Dates=H","DateFormat=P","Fill=—","Direction=H","UseDPDF=Y")</f>
        <v>0</v>
      </c>
      <c r="D8" s="13">
        <f>_xll.BDH("RCOM IN Equity","BS_PFD_EQTY_&amp;_HYBRID_CPTL","FY 2011","FY 2011","Currency=INR","Period=FY","BEST_FPERIOD_OVERRIDE=FY","FILING_STATUS=MR","EQY_CONSOLIDATED=Y","SCALING_FORMAT=MLN","Sort=A","Dates=H","DateFormat=P","Fill=—","Direction=H","UseDPDF=Y")</f>
        <v>0</v>
      </c>
      <c r="E8" s="13">
        <f>_xll.BDH("RCOM IN Equity","BS_PFD_EQTY_&amp;_HYBRID_CPTL","FY 2012","FY 2012","Currency=INR","Period=FY","BEST_FPERIOD_OVERRIDE=FY","FILING_STATUS=MR","EQY_CONSOLIDATED=Y","SCALING_FORMAT=MLN","Sort=A","Dates=H","DateFormat=P","Fill=—","Direction=H","UseDPDF=Y")</f>
        <v>0</v>
      </c>
      <c r="F8" s="13">
        <f>_xll.BDH("RCOM IN Equity","BS_PFD_EQTY_&amp;_HYBRID_CPTL","FY 2013","FY 2013","Currency=INR","Period=FY","BEST_FPERIOD_OVERRIDE=FY","FILING_STATUS=MR","EQY_CONSOLIDATED=Y","SCALING_FORMAT=MLN","Sort=A","Dates=H","DateFormat=P","Fill=—","Direction=H","UseDPDF=Y")</f>
        <v>0</v>
      </c>
      <c r="G8" s="13">
        <f>_xll.BDH("RCOM IN Equity","BS_PFD_EQTY_&amp;_HYBRID_CPTL","FY 2014","FY 2014","Currency=INR","Period=FY","BEST_FPERIOD_OVERRIDE=FY","FILING_STATUS=MR","EQY_CONSOLIDATED=Y","SCALING_FORMAT=MLN","Sort=A","Dates=H","DateFormat=P","Fill=—","Direction=H","UseDPDF=Y")</f>
        <v>0</v>
      </c>
      <c r="H8" s="13">
        <f>_xll.BDH("RCOM IN Equity","BS_PFD_EQTY_&amp;_HYBRID_CPTL","FY 2015","FY 2015","Currency=INR","Period=FY","BEST_FPERIOD_OVERRIDE=FY","FILING_STATUS=MR","EQY_CONSOLIDATED=Y","SCALING_FORMAT=MLN","Sort=A","Dates=H","DateFormat=P","Fill=—","Direction=H","UseDPDF=Y")</f>
        <v>0</v>
      </c>
      <c r="I8" s="13">
        <f>_xll.BDH("RCOM IN Equity","BS_PFD_EQTY_&amp;_HYBRID_CPTL","FY 2016","FY 2016","Currency=INR","Period=FY","BEST_FPERIOD_OVERRIDE=FY","FILING_STATUS=MR","EQY_CONSOLIDATED=Y","SCALING_FORMAT=MLN","Sort=A","Dates=H","DateFormat=P","Fill=—","Direction=H","UseDPDF=Y")</f>
        <v>0</v>
      </c>
      <c r="J8" s="13">
        <f>_xll.BDH("RCOM IN Equity","BS_PFD_EQTY_&amp;_HYBRID_CPTL","FY 2017","FY 2017","Currency=INR","Period=FY","BEST_FPERIOD_OVERRIDE=FY","FILING_STATUS=MR","EQY_CONSOLIDATED=Y","SCALING_FORMAT=MLN","Sort=A","Dates=H","DateFormat=P","Fill=—","Direction=H","UseDPDF=Y")</f>
        <v>0</v>
      </c>
      <c r="K8" s="13">
        <f>_xll.BDH("RCOM IN Equity","BS_PFD_EQTY_&amp;_HYBRID_CPTL","FY 2018","FY 2018","Currency=INR","Period=FY","BEST_FPERIOD_OVERRIDE=FY","FILING_STATUS=MR","EQY_CONSOLIDATED=Y","SCALING_FORMAT=MLN","Sort=A","Dates=H","DateFormat=P","Fill=—","Direction=H","UseDPDF=Y")</f>
        <v>0</v>
      </c>
      <c r="L8" s="16">
        <v>0</v>
      </c>
    </row>
    <row r="9" spans="1:12">
      <c r="A9" s="10" t="s">
        <v>124</v>
      </c>
      <c r="B9" s="10" t="s">
        <v>125</v>
      </c>
      <c r="C9" s="13">
        <f>_xll.BDH("RCOM IN Equity","MINORITY_NONCONTROLLING_INTEREST","FY 2010","FY 2010","Currency=INR","Period=FY","BEST_FPERIOD_OVERRIDE=FY","FILING_STATUS=MR","EQY_CONSOLIDATED=Y","SCALING_FORMAT=MLN","Sort=A","Dates=H","DateFormat=P","Fill=—","Direction=H","UseDPDF=Y")</f>
        <v>6583.9</v>
      </c>
      <c r="D9" s="13">
        <f>_xll.BDH("RCOM IN Equity","MINORITY_NONCONTROLLING_INTEREST","FY 2011","FY 2011","Currency=INR","Period=FY","BEST_FPERIOD_OVERRIDE=FY","FILING_STATUS=MR","EQY_CONSOLIDATED=Y","SCALING_FORMAT=MLN","Sort=A","Dates=H","DateFormat=P","Fill=—","Direction=H","UseDPDF=Y")</f>
        <v>8240</v>
      </c>
      <c r="E9" s="13">
        <f>_xll.BDH("RCOM IN Equity","MINORITY_NONCONTROLLING_INTEREST","FY 2012","FY 2012","Currency=INR","Period=FY","BEST_FPERIOD_OVERRIDE=FY","FILING_STATUS=MR","EQY_CONSOLIDATED=Y","SCALING_FORMAT=MLN","Sort=A","Dates=H","DateFormat=P","Fill=—","Direction=H","UseDPDF=Y")</f>
        <v>8600</v>
      </c>
      <c r="F9" s="13">
        <f>_xll.BDH("RCOM IN Equity","MINORITY_NONCONTROLLING_INTEREST","FY 2013","FY 2013","Currency=INR","Period=FY","BEST_FPERIOD_OVERRIDE=FY","FILING_STATUS=MR","EQY_CONSOLIDATED=Y","SCALING_FORMAT=MLN","Sort=A","Dates=H","DateFormat=P","Fill=—","Direction=H","UseDPDF=Y")</f>
        <v>7250</v>
      </c>
      <c r="G9" s="13">
        <f>_xll.BDH("RCOM IN Equity","MINORITY_NONCONTROLLING_INTEREST","FY 2014","FY 2014","Currency=INR","Period=FY","BEST_FPERIOD_OVERRIDE=FY","FILING_STATUS=MR","EQY_CONSOLIDATED=Y","SCALING_FORMAT=MLN","Sort=A","Dates=H","DateFormat=P","Fill=—","Direction=H","UseDPDF=Y")</f>
        <v>7430</v>
      </c>
      <c r="H9" s="13">
        <f>_xll.BDH("RCOM IN Equity","MINORITY_NONCONTROLLING_INTEREST","FY 2015","FY 2015","Currency=INR","Period=FY","BEST_FPERIOD_OVERRIDE=FY","FILING_STATUS=MR","EQY_CONSOLIDATED=Y","SCALING_FORMAT=MLN","Sort=A","Dates=H","DateFormat=P","Fill=—","Direction=H","UseDPDF=Y")</f>
        <v>5120</v>
      </c>
      <c r="I9" s="13">
        <f>_xll.BDH("RCOM IN Equity","MINORITY_NONCONTROLLING_INTEREST","FY 2016","FY 2016","Currency=INR","Period=FY","BEST_FPERIOD_OVERRIDE=FY","FILING_STATUS=MR","EQY_CONSOLIDATED=Y","SCALING_FORMAT=MLN","Sort=A","Dates=H","DateFormat=P","Fill=—","Direction=H","UseDPDF=Y")</f>
        <v>2820</v>
      </c>
      <c r="J9" s="13">
        <f>_xll.BDH("RCOM IN Equity","MINORITY_NONCONTROLLING_INTEREST","FY 2017","FY 2017","Currency=INR","Period=FY","BEST_FPERIOD_OVERRIDE=FY","FILING_STATUS=MR","EQY_CONSOLIDATED=Y","SCALING_FORMAT=MLN","Sort=A","Dates=H","DateFormat=P","Fill=—","Direction=H","UseDPDF=Y")</f>
        <v>4000</v>
      </c>
      <c r="K9" s="13">
        <f>_xll.BDH("RCOM IN Equity","MINORITY_NONCONTROLLING_INTEREST","FY 2018","FY 2018","Currency=INR","Period=FY","BEST_FPERIOD_OVERRIDE=FY","FILING_STATUS=MR","EQY_CONSOLIDATED=Y","SCALING_FORMAT=MLN","Sort=A","Dates=H","DateFormat=P","Fill=—","Direction=H","UseDPDF=Y")</f>
        <v>3320</v>
      </c>
      <c r="L9" s="16">
        <v>3350</v>
      </c>
    </row>
    <row r="10" spans="1:12">
      <c r="A10" s="10" t="s">
        <v>126</v>
      </c>
      <c r="B10" s="10" t="s">
        <v>34</v>
      </c>
      <c r="C10" s="13">
        <f>_xll.BDH("RCOM IN Equity","SHORT_AND_LONG_TERM_DEBT","FY 2010","FY 2010","Currency=INR","Period=FY","BEST_FPERIOD_OVERRIDE=FY","FILING_STATUS=MR","EQY_CONSOLIDATED=Y","SCALING_FORMAT=MLN","Sort=A","Dates=H","DateFormat=P","Fill=—","Direction=H","UseDPDF=Y")</f>
        <v>297154.2</v>
      </c>
      <c r="D10" s="13">
        <f>_xll.BDH("RCOM IN Equity","SHORT_AND_LONG_TERM_DEBT","FY 2011","FY 2011","Currency=INR","Period=FY","BEST_FPERIOD_OVERRIDE=FY","FILING_STATUS=MR","EQY_CONSOLIDATED=Y","SCALING_FORMAT=MLN","Sort=A","Dates=H","DateFormat=P","Fill=—","Direction=H","UseDPDF=Y")</f>
        <v>390710</v>
      </c>
      <c r="E10" s="13">
        <f>_xll.BDH("RCOM IN Equity","SHORT_AND_LONG_TERM_DEBT","FY 2012","FY 2012","Currency=INR","Period=FY","BEST_FPERIOD_OVERRIDE=FY","FILING_STATUS=MR","EQY_CONSOLIDATED=Y","SCALING_FORMAT=MLN","Sort=A","Dates=H","DateFormat=P","Fill=—","Direction=H","UseDPDF=Y")</f>
        <v>383030</v>
      </c>
      <c r="F10" s="13">
        <f>_xll.BDH("RCOM IN Equity","SHORT_AND_LONG_TERM_DEBT","FY 2013","FY 2013","Currency=INR","Period=FY","BEST_FPERIOD_OVERRIDE=FY","FILING_STATUS=MR","EQY_CONSOLIDATED=Y","SCALING_FORMAT=MLN","Sort=A","Dates=H","DateFormat=P","Fill=—","Direction=H","UseDPDF=Y")</f>
        <v>415470</v>
      </c>
      <c r="G10" s="13">
        <f>_xll.BDH("RCOM IN Equity","SHORT_AND_LONG_TERM_DEBT","FY 2014","FY 2014","Currency=INR","Period=FY","BEST_FPERIOD_OVERRIDE=FY","FILING_STATUS=MR","EQY_CONSOLIDATED=Y","SCALING_FORMAT=MLN","Sort=A","Dates=H","DateFormat=P","Fill=—","Direction=H","UseDPDF=Y")</f>
        <v>422680</v>
      </c>
      <c r="H10" s="13">
        <f>_xll.BDH("RCOM IN Equity","SHORT_AND_LONG_TERM_DEBT","FY 2015","FY 2015","Currency=INR","Period=FY","BEST_FPERIOD_OVERRIDE=FY","FILING_STATUS=MR","EQY_CONSOLIDATED=Y","SCALING_FORMAT=MLN","Sort=A","Dates=H","DateFormat=P","Fill=—","Direction=H","UseDPDF=Y")</f>
        <v>399640</v>
      </c>
      <c r="I10" s="13">
        <f>_xll.BDH("RCOM IN Equity","SHORT_AND_LONG_TERM_DEBT","FY 2016","FY 2016","Currency=INR","Period=FY","BEST_FPERIOD_OVERRIDE=FY","FILING_STATUS=MR","EQY_CONSOLIDATED=Y","SCALING_FORMAT=MLN","Sort=A","Dates=H","DateFormat=P","Fill=—","Direction=H","UseDPDF=Y")</f>
        <v>436170</v>
      </c>
      <c r="J10" s="13">
        <f>_xll.BDH("RCOM IN Equity","SHORT_AND_LONG_TERM_DEBT","FY 2017","FY 2017","Currency=INR","Period=FY","BEST_FPERIOD_OVERRIDE=FY","FILING_STATUS=MR","EQY_CONSOLIDATED=Y","SCALING_FORMAT=MLN","Sort=A","Dates=H","DateFormat=P","Fill=—","Direction=H","UseDPDF=Y")</f>
        <v>457330</v>
      </c>
      <c r="K10" s="13">
        <f>_xll.BDH("RCOM IN Equity","SHORT_AND_LONG_TERM_DEBT","FY 2018","FY 2018","Currency=INR","Period=FY","BEST_FPERIOD_OVERRIDE=FY","FILING_STATUS=MR","EQY_CONSOLIDATED=Y","SCALING_FORMAT=MLN","Sort=A","Dates=H","DateFormat=P","Fill=—","Direction=H","UseDPDF=Y")</f>
        <v>472830</v>
      </c>
      <c r="L10" s="16">
        <v>327530</v>
      </c>
    </row>
    <row r="11" spans="1:12">
      <c r="A11" s="6" t="s">
        <v>35</v>
      </c>
      <c r="B11" s="6" t="s">
        <v>36</v>
      </c>
      <c r="C11" s="19">
        <f>_xll.BDH("RCOM IN Equity","ENTERPRISE_VALUE","FY 2010","FY 2010","Currency=INR","Period=FY","BEST_FPERIOD_OVERRIDE=FY","FILING_STATUS=MR","EQY_CONSOLIDATED=Y","SCALING_FORMAT=MLN","Sort=A","Dates=H","DateFormat=P","Fill=—","Direction=H","UseDPDF=Y")</f>
        <v>605934.66839999997</v>
      </c>
      <c r="D11" s="19">
        <f>_xll.BDH("RCOM IN Equity","ENTERPRISE_VALUE","FY 2011","FY 2011","Currency=INR","Period=FY","BEST_FPERIOD_OVERRIDE=FY","FILING_STATUS=MR","EQY_CONSOLIDATED=Y","SCALING_FORMAT=MLN","Sort=A","Dates=H","DateFormat=P","Fill=—","Direction=H","UseDPDF=Y")</f>
        <v>567962.49369999999</v>
      </c>
      <c r="E11" s="19">
        <f>_xll.BDH("RCOM IN Equity","ENTERPRISE_VALUE","FY 2012","FY 2012","Currency=INR","Period=FY","BEST_FPERIOD_OVERRIDE=FY","FILING_STATUS=MR","EQY_CONSOLIDATED=Y","SCALING_FORMAT=MLN","Sort=A","Dates=H","DateFormat=P","Fill=—","Direction=H","UseDPDF=Y")</f>
        <v>554421.45929999999</v>
      </c>
      <c r="F11" s="19">
        <f>_xll.BDH("RCOM IN Equity","ENTERPRISE_VALUE","FY 2013","FY 2013","Currency=INR","Period=FY","BEST_FPERIOD_OVERRIDE=FY","FILING_STATUS=MR","EQY_CONSOLIDATED=Y","SCALING_FORMAT=MLN","Sort=A","Dates=H","DateFormat=P","Fill=—","Direction=H","UseDPDF=Y")</f>
        <v>524040.68650000001</v>
      </c>
      <c r="G11" s="19">
        <f>_xll.BDH("RCOM IN Equity","ENTERPRISE_VALUE","FY 2014","FY 2014","Currency=INR","Period=FY","BEST_FPERIOD_OVERRIDE=FY","FILING_STATUS=MR","EQY_CONSOLIDATED=Y","SCALING_FORMAT=MLN","Sort=A","Dates=H","DateFormat=P","Fill=—","Direction=H","UseDPDF=Y")</f>
        <v>685073.06499999994</v>
      </c>
      <c r="H11" s="19">
        <f>_xll.BDH("RCOM IN Equity","ENTERPRISE_VALUE","FY 2015","FY 2015","Currency=INR","Period=FY","BEST_FPERIOD_OVERRIDE=FY","FILING_STATUS=MR","EQY_CONSOLIDATED=Y","SCALING_FORMAT=MLN","Sort=A","Dates=H","DateFormat=P","Fill=—","Direction=H","UseDPDF=Y")</f>
        <v>525452.04989999998</v>
      </c>
      <c r="I11" s="19">
        <f>_xll.BDH("RCOM IN Equity","ENTERPRISE_VALUE","FY 2016","FY 2016","Currency=INR","Period=FY","BEST_FPERIOD_OVERRIDE=FY","FILING_STATUS=MR","EQY_CONSOLIDATED=Y","SCALING_FORMAT=MLN","Sort=A","Dates=H","DateFormat=P","Fill=—","Direction=H","UseDPDF=Y")</f>
        <v>548268.98730000004</v>
      </c>
      <c r="J11" s="19">
        <f>_xll.BDH("RCOM IN Equity","ENTERPRISE_VALUE","FY 2017","FY 2017","Currency=INR","Period=FY","BEST_FPERIOD_OVERRIDE=FY","FILING_STATUS=MR","EQY_CONSOLIDATED=Y","SCALING_FORMAT=MLN","Sort=A","Dates=H","DateFormat=P","Fill=—","Direction=H","UseDPDF=Y")</f>
        <v>543517.92420000001</v>
      </c>
      <c r="K11" s="19">
        <f>_xll.BDH("RCOM IN Equity","ENTERPRISE_VALUE","FY 2018","FY 2018","Currency=INR","Period=FY","BEST_FPERIOD_OVERRIDE=FY","FILING_STATUS=MR","EQY_CONSOLIDATED=Y","SCALING_FORMAT=MLN","Sort=A","Dates=H","DateFormat=P","Fill=—","Direction=H","UseDPDF=Y")</f>
        <v>528940.34380000003</v>
      </c>
      <c r="L11" s="22">
        <v>340892.51812999998</v>
      </c>
    </row>
    <row r="12" spans="1:12">
      <c r="A12" s="6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21"/>
    </row>
    <row r="13" spans="1:12">
      <c r="A13" s="6" t="s">
        <v>127</v>
      </c>
      <c r="B13" s="6" t="s">
        <v>128</v>
      </c>
      <c r="C13" s="19">
        <f>_xll.BDH("RCOM IN Equity","BS_TOT_CAP","FY 2010","FY 2010","Currency=INR","Period=FY","BEST_FPERIOD_OVERRIDE=FY","FILING_STATUS=MR","EQY_CONSOLIDATED=Y","SCALING_FORMAT=MLN","Sort=A","Dates=H","DateFormat=P","Fill=—","Direction=H","UseDPDF=Y")</f>
        <v>737344.5</v>
      </c>
      <c r="D13" s="19">
        <f>_xll.BDH("RCOM IN Equity","BS_TOT_CAP","FY 2011","FY 2011","Currency=INR","Period=FY","BEST_FPERIOD_OVERRIDE=FY","FILING_STATUS=MR","EQY_CONSOLIDATED=Y","SCALING_FORMAT=MLN","Sort=A","Dates=H","DateFormat=P","Fill=—","Direction=H","UseDPDF=Y")</f>
        <v>803940</v>
      </c>
      <c r="E13" s="19">
        <f>_xll.BDH("RCOM IN Equity","BS_TOT_CAP","FY 2012","FY 2012","Currency=INR","Period=FY","BEST_FPERIOD_OVERRIDE=FY","FILING_STATUS=MR","EQY_CONSOLIDATED=Y","SCALING_FORMAT=MLN","Sort=A","Dates=H","DateFormat=P","Fill=—","Direction=H","UseDPDF=Y")</f>
        <v>754590</v>
      </c>
      <c r="F13" s="19">
        <f>_xll.BDH("RCOM IN Equity","BS_TOT_CAP","FY 2013","FY 2013","Currency=INR","Period=FY","BEST_FPERIOD_OVERRIDE=FY","FILING_STATUS=MR","EQY_CONSOLIDATED=Y","SCALING_FORMAT=MLN","Sort=A","Dates=H","DateFormat=P","Fill=—","Direction=H","UseDPDF=Y")</f>
        <v>761220</v>
      </c>
      <c r="G13" s="19">
        <f>_xll.BDH("RCOM IN Equity","BS_TOT_CAP","FY 2014","FY 2014","Currency=INR","Period=FY","BEST_FPERIOD_OVERRIDE=FY","FILING_STATUS=MR","EQY_CONSOLIDATED=Y","SCALING_FORMAT=MLN","Sort=A","Dates=H","DateFormat=P","Fill=—","Direction=H","UseDPDF=Y")</f>
        <v>758070</v>
      </c>
      <c r="H13" s="19">
        <f>_xll.BDH("RCOM IN Equity","BS_TOT_CAP","FY 2015","FY 2015","Currency=INR","Period=FY","BEST_FPERIOD_OVERRIDE=FY","FILING_STATUS=MR","EQY_CONSOLIDATED=Y","SCALING_FORMAT=MLN","Sort=A","Dates=H","DateFormat=P","Fill=—","Direction=H","UseDPDF=Y")</f>
        <v>784120</v>
      </c>
      <c r="I13" s="19">
        <f>_xll.BDH("RCOM IN Equity","BS_TOT_CAP","FY 2016","FY 2016","Currency=INR","Period=FY","BEST_FPERIOD_OVERRIDE=FY","FILING_STATUS=MR","EQY_CONSOLIDATED=Y","SCALING_FORMAT=MLN","Sort=A","Dates=H","DateFormat=P","Fill=—","Direction=H","UseDPDF=Y")</f>
        <v>754820</v>
      </c>
      <c r="J13" s="19">
        <f>_xll.BDH("RCOM IN Equity","BS_TOT_CAP","FY 2017","FY 2017","Currency=INR","Period=FY","BEST_FPERIOD_OVERRIDE=FY","FILING_STATUS=MR","EQY_CONSOLIDATED=Y","SCALING_FORMAT=MLN","Sort=A","Dates=H","DateFormat=P","Fill=—","Direction=H","UseDPDF=Y")</f>
        <v>747020</v>
      </c>
      <c r="K13" s="19">
        <f>_xll.BDH("RCOM IN Equity","BS_TOT_CAP","FY 2018","FY 2018","Currency=INR","Period=FY","BEST_FPERIOD_OVERRIDE=FY","FILING_STATUS=MR","EQY_CONSOLIDATED=Y","SCALING_FORMAT=MLN","Sort=A","Dates=H","DateFormat=P","Fill=—","Direction=H","UseDPDF=Y")</f>
        <v>503980</v>
      </c>
      <c r="L13" s="22"/>
    </row>
    <row r="14" spans="1:12">
      <c r="A14" s="10" t="s">
        <v>129</v>
      </c>
      <c r="B14" s="10" t="s">
        <v>130</v>
      </c>
      <c r="C14" s="14">
        <f>_xll.BDH("RCOM IN Equity","TOT_DEBT_TO_TOT_CAP","FY 2010","FY 2010","Currency=INR","Period=FY","BEST_FPERIOD_OVERRIDE=FY","FILING_STATUS=MR","EQY_CONSOLIDATED=Y","Sort=A","Dates=H","DateFormat=P","Fill=—","Direction=H","UseDPDF=Y")</f>
        <v>40.300600000000003</v>
      </c>
      <c r="D14" s="14">
        <f>_xll.BDH("RCOM IN Equity","TOT_DEBT_TO_TOT_CAP","FY 2011","FY 2011","Currency=INR","Period=FY","BEST_FPERIOD_OVERRIDE=FY","FILING_STATUS=MR","EQY_CONSOLIDATED=Y","Sort=A","Dates=H","DateFormat=P","Fill=—","Direction=H","UseDPDF=Y")</f>
        <v>48.599400000000003</v>
      </c>
      <c r="E14" s="14">
        <f>_xll.BDH("RCOM IN Equity","TOT_DEBT_TO_TOT_CAP","FY 2012","FY 2012","Currency=INR","Period=FY","BEST_FPERIOD_OVERRIDE=FY","FILING_STATUS=MR","EQY_CONSOLIDATED=Y","Sort=A","Dates=H","DateFormat=P","Fill=—","Direction=H","UseDPDF=Y")</f>
        <v>50.76</v>
      </c>
      <c r="F14" s="14">
        <f>_xll.BDH("RCOM IN Equity","TOT_DEBT_TO_TOT_CAP","FY 2013","FY 2013","Currency=INR","Period=FY","BEST_FPERIOD_OVERRIDE=FY","FILING_STATUS=MR","EQY_CONSOLIDATED=Y","Sort=A","Dates=H","DateFormat=P","Fill=—","Direction=H","UseDPDF=Y")</f>
        <v>54.579500000000003</v>
      </c>
      <c r="G14" s="14">
        <f>_xll.BDH("RCOM IN Equity","TOT_DEBT_TO_TOT_CAP","FY 2014","FY 2014","Currency=INR","Period=FY","BEST_FPERIOD_OVERRIDE=FY","FILING_STATUS=MR","EQY_CONSOLIDATED=Y","Sort=A","Dates=H","DateFormat=P","Fill=—","Direction=H","UseDPDF=Y")</f>
        <v>55.757399999999997</v>
      </c>
      <c r="H14" s="14">
        <f>_xll.BDH("RCOM IN Equity","TOT_DEBT_TO_TOT_CAP","FY 2015","FY 2015","Currency=INR","Period=FY","BEST_FPERIOD_OVERRIDE=FY","FILING_STATUS=MR","EQY_CONSOLIDATED=Y","Sort=A","Dates=H","DateFormat=P","Fill=—","Direction=H","UseDPDF=Y")</f>
        <v>50.966700000000003</v>
      </c>
      <c r="I14" s="14">
        <f>_xll.BDH("RCOM IN Equity","TOT_DEBT_TO_TOT_CAP","FY 2016","FY 2016","Currency=INR","Period=FY","BEST_FPERIOD_OVERRIDE=FY","FILING_STATUS=MR","EQY_CONSOLIDATED=Y","Sort=A","Dates=H","DateFormat=P","Fill=—","Direction=H","UseDPDF=Y")</f>
        <v>57.784599999999998</v>
      </c>
      <c r="J14" s="14">
        <f>_xll.BDH("RCOM IN Equity","TOT_DEBT_TO_TOT_CAP","FY 2017","FY 2017","Currency=INR","Period=FY","BEST_FPERIOD_OVERRIDE=FY","FILING_STATUS=MR","EQY_CONSOLIDATED=Y","Sort=A","Dates=H","DateFormat=P","Fill=—","Direction=H","UseDPDF=Y")</f>
        <v>61.220599999999997</v>
      </c>
      <c r="K14" s="14">
        <f>_xll.BDH("RCOM IN Equity","TOT_DEBT_TO_TOT_CAP","FY 2018","FY 2018","Currency=INR","Period=FY","BEST_FPERIOD_OVERRIDE=FY","FILING_STATUS=MR","EQY_CONSOLIDATED=Y","Sort=A","Dates=H","DateFormat=P","Fill=—","Direction=H","UseDPDF=Y")</f>
        <v>93.819199999999995</v>
      </c>
      <c r="L14" s="17"/>
    </row>
    <row r="15" spans="1:12">
      <c r="A15" s="10" t="s">
        <v>131</v>
      </c>
      <c r="B15" s="10" t="s">
        <v>132</v>
      </c>
      <c r="C15" s="14">
        <f>_xll.BDH("RCOM IN Equity","TOTAL_DEBT_TO_EV","FY 2010","FY 2010","Currency=INR","Period=FY","BEST_FPERIOD_OVERRIDE=FY","FILING_STATUS=MR","EQY_CONSOLIDATED=Y","Sort=A","Dates=H","DateFormat=P","Fill=—","Direction=H","UseDPDF=Y")</f>
        <v>0.4904</v>
      </c>
      <c r="D15" s="14">
        <f>_xll.BDH("RCOM IN Equity","TOTAL_DEBT_TO_EV","FY 2011","FY 2011","Currency=INR","Period=FY","BEST_FPERIOD_OVERRIDE=FY","FILING_STATUS=MR","EQY_CONSOLIDATED=Y","Sort=A","Dates=H","DateFormat=P","Fill=—","Direction=H","UseDPDF=Y")</f>
        <v>0.68789999999999996</v>
      </c>
      <c r="E15" s="14">
        <f>_xll.BDH("RCOM IN Equity","TOTAL_DEBT_TO_EV","FY 2012","FY 2012","Currency=INR","Period=FY","BEST_FPERIOD_OVERRIDE=FY","FILING_STATUS=MR","EQY_CONSOLIDATED=Y","Sort=A","Dates=H","DateFormat=P","Fill=—","Direction=H","UseDPDF=Y")</f>
        <v>0.69089999999999996</v>
      </c>
      <c r="F15" s="14">
        <f>_xll.BDH("RCOM IN Equity","TOTAL_DEBT_TO_EV","FY 2013","FY 2013","Currency=INR","Period=FY","BEST_FPERIOD_OVERRIDE=FY","FILING_STATUS=MR","EQY_CONSOLIDATED=Y","Sort=A","Dates=H","DateFormat=P","Fill=—","Direction=H","UseDPDF=Y")</f>
        <v>0.79279999999999995</v>
      </c>
      <c r="G15" s="14">
        <f>_xll.BDH("RCOM IN Equity","TOTAL_DEBT_TO_EV","FY 2014","FY 2014","Currency=INR","Period=FY","BEST_FPERIOD_OVERRIDE=FY","FILING_STATUS=MR","EQY_CONSOLIDATED=Y","Sort=A","Dates=H","DateFormat=P","Fill=—","Direction=H","UseDPDF=Y")</f>
        <v>0.61699999999999999</v>
      </c>
      <c r="H15" s="14">
        <f>_xll.BDH("RCOM IN Equity","TOTAL_DEBT_TO_EV","FY 2015","FY 2015","Currency=INR","Period=FY","BEST_FPERIOD_OVERRIDE=FY","FILING_STATUS=MR","EQY_CONSOLIDATED=Y","Sort=A","Dates=H","DateFormat=P","Fill=—","Direction=H","UseDPDF=Y")</f>
        <v>0.76060000000000005</v>
      </c>
      <c r="I15" s="14">
        <f>_xll.BDH("RCOM IN Equity","TOTAL_DEBT_TO_EV","FY 2016","FY 2016","Currency=INR","Period=FY","BEST_FPERIOD_OVERRIDE=FY","FILING_STATUS=MR","EQY_CONSOLIDATED=Y","Sort=A","Dates=H","DateFormat=P","Fill=—","Direction=H","UseDPDF=Y")</f>
        <v>0.79549999999999998</v>
      </c>
      <c r="J15" s="14">
        <f>_xll.BDH("RCOM IN Equity","TOTAL_DEBT_TO_EV","FY 2017","FY 2017","Currency=INR","Period=FY","BEST_FPERIOD_OVERRIDE=FY","FILING_STATUS=MR","EQY_CONSOLIDATED=Y","Sort=A","Dates=H","DateFormat=P","Fill=—","Direction=H","UseDPDF=Y")</f>
        <v>0.84140000000000004</v>
      </c>
      <c r="K15" s="14">
        <f>_xll.BDH("RCOM IN Equity","TOTAL_DEBT_TO_EV","FY 2018","FY 2018","Currency=INR","Period=FY","BEST_FPERIOD_OVERRIDE=FY","FILING_STATUS=MR","EQY_CONSOLIDATED=Y","Sort=A","Dates=H","DateFormat=P","Fill=—","Direction=H","UseDPDF=Y")</f>
        <v>0.89390000000000003</v>
      </c>
      <c r="L15" s="17">
        <v>0.96080137457019799</v>
      </c>
    </row>
    <row r="16" spans="1:12">
      <c r="A16" s="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21"/>
    </row>
    <row r="17" spans="1:12">
      <c r="A17" s="6" t="s">
        <v>133</v>
      </c>
      <c r="B17" s="6" t="s">
        <v>134</v>
      </c>
      <c r="C17" s="20">
        <f>_xll.BDH("RCOM IN Equity","EV_TO_T12M_SALES","FY 2010","FY 2010","Currency=INR","Period=FY","BEST_FPERIOD_OVERRIDE=FY","FILING_STATUS=MR","EQY_CONSOLIDATED=Y","FA_ADJUSTED=GAAP","Sort=A","Dates=H","DateFormat=P","Fill=—","Direction=H","UseDPDF=Y")</f>
        <v>2.9293</v>
      </c>
      <c r="D17" s="20">
        <f>_xll.BDH("RCOM IN Equity","EV_TO_T12M_SALES","FY 2011","FY 2011","Currency=INR","Period=FY","BEST_FPERIOD_OVERRIDE=FY","FILING_STATUS=MR","EQY_CONSOLIDATED=Y","FA_ADJUSTED=GAAP","Sort=A","Dates=H","DateFormat=P","Fill=—","Direction=H","UseDPDF=Y")</f>
        <v>2.5712000000000002</v>
      </c>
      <c r="E17" s="20">
        <f>_xll.BDH("RCOM IN Equity","EV_TO_T12M_SALES","FY 2012","FY 2012","Currency=INR","Period=FY","BEST_FPERIOD_OVERRIDE=FY","FILING_STATUS=MR","EQY_CONSOLIDATED=Y","FA_ADJUSTED=GAAP","Sort=A","Dates=H","DateFormat=P","Fill=—","Direction=H","UseDPDF=Y")</f>
        <v>2.9622999999999999</v>
      </c>
      <c r="F17" s="20">
        <f>_xll.BDH("RCOM IN Equity","EV_TO_T12M_SALES","FY 2013","FY 2013","Currency=INR","Period=FY","BEST_FPERIOD_OVERRIDE=FY","FILING_STATUS=MR","EQY_CONSOLIDATED=Y","FA_ADJUSTED=GAAP","Sort=A","Dates=H","DateFormat=P","Fill=—","Direction=H","UseDPDF=Y")</f>
        <v>2.7161</v>
      </c>
      <c r="G17" s="20">
        <f>_xll.BDH("RCOM IN Equity","EV_TO_T12M_SALES","FY 2014","FY 2014","Currency=INR","Period=FY","BEST_FPERIOD_OVERRIDE=FY","FILING_STATUS=MR","EQY_CONSOLIDATED=Y","FA_ADJUSTED=GAAP","Sort=A","Dates=H","DateFormat=P","Fill=—","Direction=H","UseDPDF=Y")</f>
        <v>3.2715999999999998</v>
      </c>
      <c r="H17" s="20">
        <f>_xll.BDH("RCOM IN Equity","EV_TO_T12M_SALES","FY 2015","FY 2015","Currency=INR","Period=FY","BEST_FPERIOD_OVERRIDE=FY","FILING_STATUS=MR","EQY_CONSOLIDATED=Y","FA_ADJUSTED=GAAP","Sort=A","Dates=H","DateFormat=P","Fill=—","Direction=H","UseDPDF=Y")</f>
        <v>2.4527000000000001</v>
      </c>
      <c r="I17" s="20">
        <f>_xll.BDH("RCOM IN Equity","EV_TO_T12M_SALES","FY 2016","FY 2016","Currency=INR","Period=FY","BEST_FPERIOD_OVERRIDE=FY","FILING_STATUS=MR","EQY_CONSOLIDATED=Y","FA_ADJUSTED=GAAP","Sort=A","Dates=H","DateFormat=P","Fill=—","Direction=H","UseDPDF=Y")</f>
        <v>2.5215999999999998</v>
      </c>
      <c r="J17" s="20">
        <f>_xll.BDH("RCOM IN Equity","EV_TO_T12M_SALES","FY 2017","FY 2017","Currency=INR","Period=FY","BEST_FPERIOD_OVERRIDE=FY","FILING_STATUS=MR","EQY_CONSOLIDATED=Y","FA_ADJUSTED=GAAP","Sort=A","Dates=H","DateFormat=P","Fill=—","Direction=H","UseDPDF=Y")</f>
        <v>8.2928999999999995</v>
      </c>
      <c r="K17" s="20">
        <f>_xll.BDH("RCOM IN Equity","EV_TO_T12M_SALES","FY 2018","FY 2018","Currency=INR","Period=FY","BEST_FPERIOD_OVERRIDE=FY","FILING_STATUS=MR","EQY_CONSOLIDATED=Y","FA_ADJUSTED=GAAP","Sort=A","Dates=H","DateFormat=P","Fill=—","Direction=H","UseDPDF=Y")</f>
        <v>11.5162</v>
      </c>
      <c r="L17" s="23">
        <v>8.5180539262868606</v>
      </c>
    </row>
    <row r="18" spans="1:12">
      <c r="A18" s="6" t="s">
        <v>135</v>
      </c>
      <c r="B18" s="6" t="s">
        <v>136</v>
      </c>
      <c r="C18" s="20">
        <f>_xll.BDH("RCOM IN Equity","EV_TO_T12M_EBITDA","FY 2010","FY 2010","Currency=INR","Period=FY","BEST_FPERIOD_OVERRIDE=FY","FILING_STATUS=MR","EQY_CONSOLIDATED=Y","FA_ADJUSTED=GAAP","Sort=A","Dates=H","DateFormat=P","Fill=—","Direction=H","UseDPDF=Y")</f>
        <v>8.6698000000000004</v>
      </c>
      <c r="D18" s="20">
        <f>_xll.BDH("RCOM IN Equity","EV_TO_T12M_EBITDA","FY 2011","FY 2011","Currency=INR","Period=FY","BEST_FPERIOD_OVERRIDE=FY","FILING_STATUS=MR","EQY_CONSOLIDATED=Y","FA_ADJUSTED=GAAP","Sort=A","Dates=H","DateFormat=P","Fill=—","Direction=H","UseDPDF=Y")</f>
        <v>6.7808000000000002</v>
      </c>
      <c r="E18" s="20">
        <f>_xll.BDH("RCOM IN Equity","EV_TO_T12M_EBITDA","FY 2012","FY 2012","Currency=INR","Period=FY","BEST_FPERIOD_OVERRIDE=FY","FILING_STATUS=MR","EQY_CONSOLIDATED=Y","FA_ADJUSTED=GAAP","Sort=A","Dates=H","DateFormat=P","Fill=—","Direction=H","UseDPDF=Y")</f>
        <v>9.5671999999999997</v>
      </c>
      <c r="F18" s="20">
        <f>_xll.BDH("RCOM IN Equity","EV_TO_T12M_EBITDA","FY 2013","FY 2013","Currency=INR","Period=FY","BEST_FPERIOD_OVERRIDE=FY","FILING_STATUS=MR","EQY_CONSOLIDATED=Y","FA_ADJUSTED=GAAP","Sort=A","Dates=H","DateFormat=P","Fill=—","Direction=H","UseDPDF=Y")</f>
        <v>8.8207000000000004</v>
      </c>
      <c r="G18" s="20">
        <f>_xll.BDH("RCOM IN Equity","EV_TO_T12M_EBITDA","FY 2014","FY 2014","Currency=INR","Period=FY","BEST_FPERIOD_OVERRIDE=FY","FILING_STATUS=MR","EQY_CONSOLIDATED=Y","FA_ADJUSTED=GAAP","Sort=A","Dates=H","DateFormat=P","Fill=—","Direction=H","UseDPDF=Y")</f>
        <v>10.2158</v>
      </c>
      <c r="H18" s="20">
        <f>_xll.BDH("RCOM IN Equity","EV_TO_T12M_EBITDA","FY 2015","FY 2015","Currency=INR","Period=FY","BEST_FPERIOD_OVERRIDE=FY","FILING_STATUS=MR","EQY_CONSOLIDATED=Y","FA_ADJUSTED=GAAP","Sort=A","Dates=H","DateFormat=P","Fill=—","Direction=H","UseDPDF=Y")</f>
        <v>7.2919</v>
      </c>
      <c r="I18" s="20">
        <f>_xll.BDH("RCOM IN Equity","EV_TO_T12M_EBITDA","FY 2016","FY 2016","Currency=INR","Period=FY","BEST_FPERIOD_OVERRIDE=FY","FILING_STATUS=MR","EQY_CONSOLIDATED=Y","FA_ADJUSTED=GAAP","Sort=A","Dates=H","DateFormat=P","Fill=—","Direction=H","UseDPDF=Y")</f>
        <v>7.5518999999999998</v>
      </c>
      <c r="J18" s="20">
        <f>_xll.BDH("RCOM IN Equity","EV_TO_T12M_EBITDA","FY 2017","FY 2017","Currency=INR","Period=FY","BEST_FPERIOD_OVERRIDE=FY","FILING_STATUS=MR","EQY_CONSOLIDATED=Y","FA_ADJUSTED=GAAP","Sort=A","Dates=H","DateFormat=P","Fill=—","Direction=H","UseDPDF=Y")</f>
        <v>11.661</v>
      </c>
      <c r="K18" s="20">
        <f>_xll.BDH("RCOM IN Equity","EV_TO_T12M_EBITDA","FY 2018","FY 2018","Currency=INR","Period=FY","BEST_FPERIOD_OVERRIDE=FY","FILING_STATUS=MR","EQY_CONSOLIDATED=Y","FA_ADJUSTED=GAAP","Sort=A","Dates=H","DateFormat=P","Fill=—","Direction=H","UseDPDF=Y")</f>
        <v>17.0077</v>
      </c>
      <c r="L18" s="23">
        <v>57.7783929033898</v>
      </c>
    </row>
    <row r="19" spans="1:12">
      <c r="A19" s="6" t="s">
        <v>137</v>
      </c>
      <c r="B19" s="6" t="s">
        <v>138</v>
      </c>
      <c r="C19" s="20">
        <f>_xll.BDH("RCOM IN Equity","EV_TO_T12M_EBIT","FY 2010","FY 2010","Currency=INR","Period=FY","BEST_FPERIOD_OVERRIDE=FY","FILING_STATUS=MR","EQY_CONSOLIDATED=Y","FA_ADJUSTED=GAAP","Sort=A","Dates=H","DateFormat=P","Fill=—","Direction=H","UseDPDF=Y")</f>
        <v>18.687100000000001</v>
      </c>
      <c r="D19" s="20">
        <f>_xll.BDH("RCOM IN Equity","EV_TO_T12M_EBIT","FY 2011","FY 2011","Currency=INR","Period=FY","BEST_FPERIOD_OVERRIDE=FY","FILING_STATUS=MR","EQY_CONSOLIDATED=Y","FA_ADJUSTED=GAAP","Sort=A","Dates=H","DateFormat=P","Fill=—","Direction=H","UseDPDF=Y")</f>
        <v>30.3399</v>
      </c>
      <c r="E19" s="20">
        <f>_xll.BDH("RCOM IN Equity","EV_TO_T12M_EBIT","FY 2012","FY 2012","Currency=INR","Period=FY","BEST_FPERIOD_OVERRIDE=FY","FILING_STATUS=MR","EQY_CONSOLIDATED=Y","FA_ADJUSTED=GAAP","Sort=A","Dates=H","DateFormat=P","Fill=—","Direction=H","UseDPDF=Y")</f>
        <v>30.513000000000002</v>
      </c>
      <c r="F19" s="20">
        <f>_xll.BDH("RCOM IN Equity","EV_TO_T12M_EBIT","FY 2013","FY 2013","Currency=INR","Period=FY","BEST_FPERIOD_OVERRIDE=FY","FILING_STATUS=MR","EQY_CONSOLIDATED=Y","FA_ADJUSTED=GAAP","Sort=A","Dates=H","DateFormat=P","Fill=—","Direction=H","UseDPDF=Y")</f>
        <v>25.001899999999999</v>
      </c>
      <c r="G19" s="20">
        <f>_xll.BDH("RCOM IN Equity","EV_TO_T12M_EBIT","FY 2014","FY 2014","Currency=INR","Period=FY","BEST_FPERIOD_OVERRIDE=FY","FILING_STATUS=MR","EQY_CONSOLIDATED=Y","FA_ADJUSTED=GAAP","Sort=A","Dates=H","DateFormat=P","Fill=—","Direction=H","UseDPDF=Y")</f>
        <v>31.555599999999998</v>
      </c>
      <c r="H19" s="20">
        <f>_xll.BDH("RCOM IN Equity","EV_TO_T12M_EBIT","FY 2015","FY 2015","Currency=INR","Period=FY","BEST_FPERIOD_OVERRIDE=FY","FILING_STATUS=MR","EQY_CONSOLIDATED=Y","FA_ADJUSTED=GAAP","Sort=A","Dates=H","DateFormat=P","Fill=—","Direction=H","UseDPDF=Y")</f>
        <v>15.5046</v>
      </c>
      <c r="I19" s="20">
        <f>_xll.BDH("RCOM IN Equity","EV_TO_T12M_EBIT","FY 2016","FY 2016","Currency=INR","Period=FY","BEST_FPERIOD_OVERRIDE=FY","FILING_STATUS=MR","EQY_CONSOLIDATED=Y","FA_ADJUSTED=GAAP","Sort=A","Dates=H","DateFormat=P","Fill=—","Direction=H","UseDPDF=Y")</f>
        <v>19.750299999999999</v>
      </c>
      <c r="J19" s="20">
        <f>_xll.BDH("RCOM IN Equity","EV_TO_T12M_EBIT","FY 2017","FY 2017","Currency=INR","Period=FY","BEST_FPERIOD_OVERRIDE=FY","FILING_STATUS=MR","EQY_CONSOLIDATED=Y","FA_ADJUSTED=GAAP","Sort=A","Dates=H","DateFormat=P","Fill=—","Direction=H","UseDPDF=Y")</f>
        <v>123.52679999999999</v>
      </c>
      <c r="K19" s="20">
        <f>_xll.BDH("RCOM IN Equity","EV_TO_T12M_EBIT","FY 2018","FY 2018","Currency=INR","Period=FY","BEST_FPERIOD_OVERRIDE=FY","FILING_STATUS=MR","EQY_CONSOLIDATED=Y","FA_ADJUSTED=GAAP","Sort=A","Dates=H","DateFormat=P","Fill=—","Direction=H","UseDPDF=Y")</f>
        <v>217.67089999999999</v>
      </c>
      <c r="L19" s="23"/>
    </row>
    <row r="20" spans="1:12">
      <c r="A20" s="6" t="s">
        <v>139</v>
      </c>
      <c r="B20" s="6" t="s">
        <v>140</v>
      </c>
      <c r="C20" s="20">
        <f>_xll.BDH("RCOM IN Equity","EV_TO_T12M_CASH_FLOW_FIRM","FY 2010","FY 2010","Currency=INR","Period=FY","BEST_FPERIOD_OVERRIDE=FY","FILING_STATUS=MR","EQY_CONSOLIDATED=Y","FA_ADJUSTED=GAAP","Sort=A","Dates=H","DateFormat=P","Fill=—","Direction=H","UseDPDF=Y")</f>
        <v>6.4437999999999995</v>
      </c>
      <c r="D20" s="20">
        <f>_xll.BDH("RCOM IN Equity","EV_TO_T12M_CASH_FLOW_FIRM","FY 2011","FY 2011","Currency=INR","Period=FY","BEST_FPERIOD_OVERRIDE=FY","FILING_STATUS=MR","EQY_CONSOLIDATED=Y","FA_ADJUSTED=GAAP","Sort=A","Dates=H","DateFormat=P","Fill=—","Direction=H","UseDPDF=Y")</f>
        <v>28.8765</v>
      </c>
      <c r="E20" s="20" t="str">
        <f>_xll.BDH("RCOM IN Equity","EV_TO_T12M_CASH_FLOW_FIRM","FY 2012","FY 2012","Currency=INR","Period=FY","BEST_FPERIOD_OVERRIDE=FY","FILING_STATUS=MR","EQY_CONSOLIDATED=Y","FA_ADJUSTED=GAAP","Sort=A","Dates=H","DateFormat=P","Fill=—","Direction=H","UseDPDF=Y")</f>
        <v>—</v>
      </c>
      <c r="F20" s="20">
        <f>_xll.BDH("RCOM IN Equity","EV_TO_T12M_CASH_FLOW_FIRM","FY 2013","FY 2013","Currency=INR","Period=FY","BEST_FPERIOD_OVERRIDE=FY","FILING_STATUS=MR","EQY_CONSOLIDATED=Y","FA_ADJUSTED=GAAP","Sort=A","Dates=H","DateFormat=P","Fill=—","Direction=H","UseDPDF=Y")</f>
        <v>15.244</v>
      </c>
      <c r="G20" s="20" t="str">
        <f>_xll.BDH("RCOM IN Equity","EV_TO_T12M_CASH_FLOW_FIRM","FY 2014","FY 2014","Currency=INR","Period=FY","BEST_FPERIOD_OVERRIDE=FY","FILING_STATUS=MR","EQY_CONSOLIDATED=Y","FA_ADJUSTED=GAAP","Sort=A","Dates=H","DateFormat=P","Fill=—","Direction=H","UseDPDF=Y")</f>
        <v>—</v>
      </c>
      <c r="H20" s="20">
        <f>_xll.BDH("RCOM IN Equity","EV_TO_T12M_CASH_FLOW_FIRM","FY 2015","FY 2015","Currency=INR","Period=FY","BEST_FPERIOD_OVERRIDE=FY","FILING_STATUS=MR","EQY_CONSOLIDATED=Y","FA_ADJUSTED=GAAP","Sort=A","Dates=H","DateFormat=P","Fill=—","Direction=H","UseDPDF=Y")</f>
        <v>25.026599999999998</v>
      </c>
      <c r="I20" s="20" t="str">
        <f>_xll.BDH("RCOM IN Equity","EV_TO_T12M_CASH_FLOW_FIRM","FY 2016","FY 2016","Currency=INR","Period=FY","BEST_FPERIOD_OVERRIDE=FY","FILING_STATUS=MR","EQY_CONSOLIDATED=Y","FA_ADJUSTED=GAAP","Sort=A","Dates=H","DateFormat=P","Fill=—","Direction=H","UseDPDF=Y")</f>
        <v>—</v>
      </c>
      <c r="J20" s="20" t="str">
        <f>_xll.BDH("RCOM IN Equity","EV_TO_T12M_CASH_FLOW_FIRM","FY 2017","FY 2017","Currency=INR","Period=FY","BEST_FPERIOD_OVERRIDE=FY","FILING_STATUS=MR","EQY_CONSOLIDATED=Y","FA_ADJUSTED=GAAP","Sort=A","Dates=H","DateFormat=P","Fill=—","Direction=H","UseDPDF=Y")</f>
        <v>—</v>
      </c>
      <c r="K20" s="20" t="str">
        <f>_xll.BDH("RCOM IN Equity","EV_TO_T12M_CASH_FLOW_FIRM","FY 2018","FY 2018","Currency=INR","Period=FY","BEST_FPERIOD_OVERRIDE=FY","FILING_STATUS=MR","EQY_CONSOLIDATED=Y","FA_ADJUSTED=GAAP","Sort=A","Dates=H","DateFormat=P","Fill=—","Direction=H","UseDPDF=Y")</f>
        <v>—</v>
      </c>
      <c r="L20" s="23"/>
    </row>
    <row r="21" spans="1:12">
      <c r="A21" s="6" t="s">
        <v>141</v>
      </c>
      <c r="B21" s="6" t="s">
        <v>142</v>
      </c>
      <c r="C21" s="20">
        <f>_xll.BDH("RCOM IN Equity","EV_TO_T12M_FREE_CASH_FLOW_FIRM","FY 2010","FY 2010","Currency=INR","Period=FY","BEST_FPERIOD_OVERRIDE=FY","FILING_STATUS=MR","EQY_CONSOLIDATED=Y","FA_ADJUSTED=GAAP","Sort=A","Dates=H","DateFormat=P","Fill=—","Direction=H","UseDPDF=Y")</f>
        <v>31.7684</v>
      </c>
      <c r="D21" s="20" t="str">
        <f>_xll.BDH("RCOM IN Equity","EV_TO_T12M_FREE_CASH_FLOW_FIRM","FY 2011","FY 2011","Currency=INR","Period=FY","BEST_FPERIOD_OVERRIDE=FY","FILING_STATUS=MR","EQY_CONSOLIDATED=Y","FA_ADJUSTED=GAAP","Sort=A","Dates=H","DateFormat=P","Fill=—","Direction=H","UseDPDF=Y")</f>
        <v>—</v>
      </c>
      <c r="E21" s="20" t="str">
        <f>_xll.BDH("RCOM IN Equity","EV_TO_T12M_FREE_CASH_FLOW_FIRM","FY 2012","FY 2012","Currency=INR","Period=FY","BEST_FPERIOD_OVERRIDE=FY","FILING_STATUS=MR","EQY_CONSOLIDATED=Y","FA_ADJUSTED=GAAP","Sort=A","Dates=H","DateFormat=P","Fill=—","Direction=H","UseDPDF=Y")</f>
        <v>—</v>
      </c>
      <c r="F21" s="20">
        <f>_xll.BDH("RCOM IN Equity","EV_TO_T12M_FREE_CASH_FLOW_FIRM","FY 2013","FY 2013","Currency=INR","Period=FY","BEST_FPERIOD_OVERRIDE=FY","FILING_STATUS=MR","EQY_CONSOLIDATED=Y","FA_ADJUSTED=GAAP","Sort=A","Dates=H","DateFormat=P","Fill=—","Direction=H","UseDPDF=Y")</f>
        <v>39.589700000000001</v>
      </c>
      <c r="G21" s="20" t="str">
        <f>_xll.BDH("RCOM IN Equity","EV_TO_T12M_FREE_CASH_FLOW_FIRM","FY 2014","FY 2014","Currency=INR","Period=FY","BEST_FPERIOD_OVERRIDE=FY","FILING_STATUS=MR","EQY_CONSOLIDATED=Y","FA_ADJUSTED=GAAP","Sort=A","Dates=H","DateFormat=P","Fill=—","Direction=H","UseDPDF=Y")</f>
        <v>—</v>
      </c>
      <c r="H21" s="20" t="str">
        <f>_xll.BDH("RCOM IN Equity","EV_TO_T12M_FREE_CASH_FLOW_FIRM","FY 2015","FY 2015","Currency=INR","Period=FY","BEST_FPERIOD_OVERRIDE=FY","FILING_STATUS=MR","EQY_CONSOLIDATED=Y","FA_ADJUSTED=GAAP","Sort=A","Dates=H","DateFormat=P","Fill=—","Direction=H","UseDPDF=Y")</f>
        <v>—</v>
      </c>
      <c r="I21" s="20" t="str">
        <f>_xll.BDH("RCOM IN Equity","EV_TO_T12M_FREE_CASH_FLOW_FIRM","FY 2016","FY 2016","Currency=INR","Period=FY","BEST_FPERIOD_OVERRIDE=FY","FILING_STATUS=MR","EQY_CONSOLIDATED=Y","FA_ADJUSTED=GAAP","Sort=A","Dates=H","DateFormat=P","Fill=—","Direction=H","UseDPDF=Y")</f>
        <v>—</v>
      </c>
      <c r="J21" s="20" t="str">
        <f>_xll.BDH("RCOM IN Equity","EV_TO_T12M_FREE_CASH_FLOW_FIRM","FY 2017","FY 2017","Currency=INR","Period=FY","BEST_FPERIOD_OVERRIDE=FY","FILING_STATUS=MR","EQY_CONSOLIDATED=Y","FA_ADJUSTED=GAAP","Sort=A","Dates=H","DateFormat=P","Fill=—","Direction=H","UseDPDF=Y")</f>
        <v>—</v>
      </c>
      <c r="K21" s="20" t="str">
        <f>_xll.BDH("RCOM IN Equity","EV_TO_T12M_FREE_CASH_FLOW_FIRM","FY 2018","FY 2018","Currency=INR","Period=FY","BEST_FPERIOD_OVERRIDE=FY","FILING_STATUS=MR","EQY_CONSOLIDATED=Y","FA_ADJUSTED=GAAP","Sort=A","Dates=H","DateFormat=P","Fill=—","Direction=H","UseDPDF=Y")</f>
        <v>—</v>
      </c>
      <c r="L21" s="23"/>
    </row>
    <row r="22" spans="1:12">
      <c r="A22" s="6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21"/>
    </row>
    <row r="23" spans="1:12">
      <c r="A23" s="6" t="s">
        <v>143</v>
      </c>
      <c r="B23" s="6" t="s">
        <v>144</v>
      </c>
      <c r="C23" s="19">
        <f>_xll.BDH("RCOM IN Equity","DILUTED_MKT_CAP","FY 2010","FY 2010","Currency=INR","Period=FY","BEST_FPERIOD_OVERRIDE=FY","FILING_STATUS=MR","EQY_CONSOLIDATED=Y","SCALING_FORMAT=MLN","Sort=A","Dates=H","DateFormat=P","Fill=—","Direction=H","UseDPDF=Y")</f>
        <v>365930.53009999997</v>
      </c>
      <c r="D23" s="19">
        <f>_xll.BDH("RCOM IN Equity","DILUTED_MKT_CAP","FY 2011","FY 2011","Currency=INR","Period=FY","BEST_FPERIOD_OVERRIDE=FY","FILING_STATUS=MR","EQY_CONSOLIDATED=Y","SCALING_FORMAT=MLN","Sort=A","Dates=H","DateFormat=P","Fill=—","Direction=H","UseDPDF=Y")</f>
        <v>231788.29990000001</v>
      </c>
      <c r="E23" s="19">
        <f>_xll.BDH("RCOM IN Equity","DILUTED_MKT_CAP","FY 2012","FY 2012","Currency=INR","Period=FY","BEST_FPERIOD_OVERRIDE=FY","FILING_STATUS=MR","EQY_CONSOLIDATED=Y","SCALING_FORMAT=MLN","Sort=A","Dates=H","DateFormat=P","Fill=—","Direction=H","UseDPDF=Y")</f>
        <v>176845.14499999999</v>
      </c>
      <c r="F23" s="19">
        <f>_xll.BDH("RCOM IN Equity","DILUTED_MKT_CAP","FY 2013","FY 2013","Currency=INR","Period=FY","BEST_FPERIOD_OVERRIDE=FY","FILING_STATUS=MR","EQY_CONSOLIDATED=Y","SCALING_FORMAT=MLN","Sort=A","Dates=H","DateFormat=P","Fill=—","Direction=H","UseDPDF=Y")</f>
        <v>114140.6865</v>
      </c>
      <c r="G23" s="19">
        <f>_xll.BDH("RCOM IN Equity","DILUTED_MKT_CAP","FY 2014","FY 2014","Currency=INR","Period=FY","BEST_FPERIOD_OVERRIDE=FY","FILING_STATUS=MR","EQY_CONSOLIDATED=Y","SCALING_FORMAT=MLN","Sort=A","Dates=H","DateFormat=P","Fill=—","Direction=H","UseDPDF=Y")</f>
        <v>266053.065</v>
      </c>
      <c r="H23" s="19">
        <f>_xll.BDH("RCOM IN Equity","DILUTED_MKT_CAP","FY 2015","FY 2015","Currency=INR","Period=FY","BEST_FPERIOD_OVERRIDE=FY","FILING_STATUS=MR","EQY_CONSOLIDATED=Y","SCALING_FORMAT=MLN","Sort=A","Dates=H","DateFormat=P","Fill=—","Direction=H","UseDPDF=Y")</f>
        <v>138283.8634</v>
      </c>
      <c r="I23" s="19">
        <f>_xll.BDH("RCOM IN Equity","DILUTED_MKT_CAP","FY 2016","FY 2016","Currency=INR","Period=FY","BEST_FPERIOD_OVERRIDE=FY","FILING_STATUS=MR","EQY_CONSOLIDATED=Y","SCALING_FORMAT=MLN","Sort=A","Dates=H","DateFormat=P","Fill=—","Direction=H","UseDPDF=Y")</f>
        <v>123385.0373</v>
      </c>
      <c r="J23" s="19">
        <f>_xll.BDH("RCOM IN Equity","DILUTED_MKT_CAP","FY 2017","FY 2017","Currency=INR","Period=FY","BEST_FPERIOD_OVERRIDE=FY","FILING_STATUS=MR","EQY_CONSOLIDATED=Y","SCALING_FORMAT=MLN","Sort=A","Dates=H","DateFormat=P","Fill=—","Direction=H","UseDPDF=Y")</f>
        <v>94512.938500000004</v>
      </c>
      <c r="K23" s="19">
        <f>_xll.BDH("RCOM IN Equity","DILUTED_MKT_CAP","FY 2018","FY 2018","Currency=INR","Period=FY","BEST_FPERIOD_OVERRIDE=FY","FILING_STATUS=MR","EQY_CONSOLIDATED=Y","SCALING_FORMAT=MLN","Sort=A","Dates=H","DateFormat=P","Fill=—","Direction=H","UseDPDF=Y")</f>
        <v>56177.3822</v>
      </c>
      <c r="L23" s="22">
        <v>17046.9295370785</v>
      </c>
    </row>
    <row r="24" spans="1:12">
      <c r="A24" s="6" t="s">
        <v>145</v>
      </c>
      <c r="B24" s="6" t="s">
        <v>146</v>
      </c>
      <c r="C24" s="19">
        <f>_xll.BDH("RCOM IN Equity","DILUTED_EV","FY 2010","FY 2010","Currency=INR","Period=FY","BEST_FPERIOD_OVERRIDE=FY","FILING_STATUS=MR","EQY_CONSOLIDATED=Y","SCALING_FORMAT=MLN","Sort=A","Dates=H","DateFormat=P","Fill=—","Direction=H","UseDPDF=Y")</f>
        <v>621083.83010000002</v>
      </c>
      <c r="D24" s="19">
        <f>_xll.BDH("RCOM IN Equity","DILUTED_EV","FY 2011","FY 2011","Currency=INR","Period=FY","BEST_FPERIOD_OVERRIDE=FY","FILING_STATUS=MR","EQY_CONSOLIDATED=Y","SCALING_FORMAT=MLN","Sort=A","Dates=H","DateFormat=P","Fill=—","Direction=H","UseDPDF=Y")</f>
        <v>577558.29989999998</v>
      </c>
      <c r="E24" s="19">
        <f>_xll.BDH("RCOM IN Equity","DILUTED_EV","FY 2012","FY 2012","Currency=INR","Period=FY","BEST_FPERIOD_OVERRIDE=FY","FILING_STATUS=MR","EQY_CONSOLIDATED=Y","SCALING_FORMAT=MLN","Sort=A","Dates=H","DateFormat=P","Fill=—","Direction=H","UseDPDF=Y")</f>
        <v>557785.14500000002</v>
      </c>
      <c r="F24" s="19">
        <f>_xll.BDH("RCOM IN Equity","DILUTED_EV","FY 2013","FY 2013","Currency=INR","Period=FY","BEST_FPERIOD_OVERRIDE=FY","FILING_STATUS=MR","EQY_CONSOLIDATED=Y","SCALING_FORMAT=MLN","Sort=A","Dates=H","DateFormat=P","Fill=—","Direction=H","UseDPDF=Y")</f>
        <v>524040.68650000001</v>
      </c>
      <c r="G24" s="19">
        <f>_xll.BDH("RCOM IN Equity","DILUTED_EV","FY 2014","FY 2014","Currency=INR","Period=FY","BEST_FPERIOD_OVERRIDE=FY","FILING_STATUS=MR","EQY_CONSOLIDATED=Y","SCALING_FORMAT=MLN","Sort=A","Dates=H","DateFormat=P","Fill=—","Direction=H","UseDPDF=Y")</f>
        <v>685073.06499999994</v>
      </c>
      <c r="H24" s="19">
        <f>_xll.BDH("RCOM IN Equity","DILUTED_EV","FY 2015","FY 2015","Currency=INR","Period=FY","BEST_FPERIOD_OVERRIDE=FY","FILING_STATUS=MR","EQY_CONSOLIDATED=Y","SCALING_FORMAT=MLN","Sort=A","Dates=H","DateFormat=P","Fill=—","Direction=H","UseDPDF=Y")</f>
        <v>516263.86339999997</v>
      </c>
      <c r="I24" s="19">
        <f>_xll.BDH("RCOM IN Equity","DILUTED_EV","FY 2016","FY 2016","Currency=INR","Period=FY","BEST_FPERIOD_OVERRIDE=FY","FILING_STATUS=MR","EQY_CONSOLIDATED=Y","SCALING_FORMAT=MLN","Sort=A","Dates=H","DateFormat=P","Fill=—","Direction=H","UseDPDF=Y")</f>
        <v>547205.03729999997</v>
      </c>
      <c r="J24" s="19">
        <f>_xll.BDH("RCOM IN Equity","DILUTED_EV","FY 2017","FY 2017","Currency=INR","Period=FY","BEST_FPERIOD_OVERRIDE=FY","FILING_STATUS=MR","EQY_CONSOLIDATED=Y","SCALING_FORMAT=MLN","Sort=A","Dates=H","DateFormat=P","Fill=—","Direction=H","UseDPDF=Y")</f>
        <v>542702.93850000005</v>
      </c>
      <c r="K24" s="19">
        <f>_xll.BDH("RCOM IN Equity","DILUTED_EV","FY 2018","FY 2018","Currency=INR","Period=FY","BEST_FPERIOD_OVERRIDE=FY","FILING_STATUS=MR","EQY_CONSOLIDATED=Y","SCALING_FORMAT=MLN","Sort=A","Dates=H","DateFormat=P","Fill=—","Direction=H","UseDPDF=Y")</f>
        <v>524967.38219999999</v>
      </c>
      <c r="L24" s="22">
        <v>485836.92953707802</v>
      </c>
    </row>
    <row r="25" spans="1:12">
      <c r="A25" s="6" t="s">
        <v>147</v>
      </c>
      <c r="B25" s="6" t="s">
        <v>148</v>
      </c>
      <c r="C25" s="20">
        <f>_xll.BDH("RCOM IN Equity","EV_TO_SH_OUT","FY 2010","FY 2010","Currency=INR","Period=FY","BEST_FPERIOD_OVERRIDE=FY","FILING_STATUS=MR","EQY_CONSOLIDATED=Y","Sort=A","Dates=H","DateFormat=P","Fill=—","Direction=H","UseDPDF=Y")</f>
        <v>293.56920000000002</v>
      </c>
      <c r="D25" s="20">
        <f>_xll.BDH("RCOM IN Equity","EV_TO_SH_OUT","FY 2011","FY 2011","Currency=INR","Period=FY","BEST_FPERIOD_OVERRIDE=FY","FILING_STATUS=MR","EQY_CONSOLIDATED=Y","Sort=A","Dates=H","DateFormat=P","Fill=—","Direction=H","UseDPDF=Y")</f>
        <v>275.17200000000003</v>
      </c>
      <c r="E25" s="20">
        <f>_xll.BDH("RCOM IN Equity","EV_TO_SH_OUT","FY 2012","FY 2012","Currency=INR","Period=FY","BEST_FPERIOD_OVERRIDE=FY","FILING_STATUS=MR","EQY_CONSOLIDATED=Y","Sort=A","Dates=H","DateFormat=P","Fill=—","Direction=H","UseDPDF=Y")</f>
        <v>268.61149999999998</v>
      </c>
      <c r="F25" s="20">
        <f>_xll.BDH("RCOM IN Equity","EV_TO_SH_OUT","FY 2013","FY 2013","Currency=INR","Period=FY","BEST_FPERIOD_OVERRIDE=FY","FILING_STATUS=MR","EQY_CONSOLIDATED=Y","Sort=A","Dates=H","DateFormat=P","Fill=—","Direction=H","UseDPDF=Y")</f>
        <v>253.89240000000001</v>
      </c>
      <c r="G25" s="20">
        <f>_xll.BDH("RCOM IN Equity","EV_TO_SH_OUT","FY 2014","FY 2014","Currency=INR","Period=FY","BEST_FPERIOD_OVERRIDE=FY","FILING_STATUS=MR","EQY_CONSOLIDATED=Y","Sort=A","Dates=H","DateFormat=P","Fill=—","Direction=H","UseDPDF=Y")</f>
        <v>331.91090000000003</v>
      </c>
      <c r="H25" s="20">
        <f>_xll.BDH("RCOM IN Equity","EV_TO_SH_OUT","FY 2015","FY 2015","Currency=INR","Period=FY","BEST_FPERIOD_OVERRIDE=FY","FILING_STATUS=MR","EQY_CONSOLIDATED=Y","Sort=A","Dates=H","DateFormat=P","Fill=—","Direction=H","UseDPDF=Y")</f>
        <v>211.1114</v>
      </c>
      <c r="I25" s="20">
        <f>_xll.BDH("RCOM IN Equity","EV_TO_SH_OUT","FY 2016","FY 2016","Currency=INR","Period=FY","BEST_FPERIOD_OVERRIDE=FY","FILING_STATUS=MR","EQY_CONSOLIDATED=Y","Sort=A","Dates=H","DateFormat=P","Fill=—","Direction=H","UseDPDF=Y")</f>
        <v>220.27860000000001</v>
      </c>
      <c r="J25" s="20">
        <f>_xll.BDH("RCOM IN Equity","EV_TO_SH_OUT","FY 2017","FY 2017","Currency=INR","Period=FY","BEST_FPERIOD_OVERRIDE=FY","FILING_STATUS=MR","EQY_CONSOLIDATED=Y","Sort=A","Dates=H","DateFormat=P","Fill=—","Direction=H","UseDPDF=Y")</f>
        <v>218.3698</v>
      </c>
      <c r="K25" s="20">
        <f>_xll.BDH("RCOM IN Equity","EV_TO_SH_OUT","FY 2018","FY 2018","Currency=INR","Period=FY","BEST_FPERIOD_OVERRIDE=FY","FILING_STATUS=MR","EQY_CONSOLIDATED=Y","Sort=A","Dates=H","DateFormat=P","Fill=—","Direction=H","UseDPDF=Y")</f>
        <v>191.26159999999999</v>
      </c>
      <c r="L25" s="23"/>
    </row>
    <row r="26" spans="1:12">
      <c r="A26" s="6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21"/>
    </row>
    <row r="27" spans="1:12">
      <c r="A27" s="6" t="s">
        <v>2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21"/>
    </row>
    <row r="28" spans="1:12">
      <c r="A28" s="11" t="s">
        <v>149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7"/>
    </row>
    <row r="29" spans="1:12">
      <c r="A29" s="10" t="s">
        <v>150</v>
      </c>
      <c r="B29" s="10" t="s">
        <v>151</v>
      </c>
      <c r="C29" s="13">
        <f>_xll.BDH("RCOM IN Equity","TRAIL_12M_NET_SALES","FY 2010","FY 2010","Currency=INR","Period=FY","BEST_FPERIOD_OVERRIDE=FY","FILING_STATUS=MR","EQY_CONSOLIDATED=Y","SCALING_FORMAT=MLN","FA_ADJUSTED=GAAP","Sort=A","Dates=H","DateFormat=P","Fill=—","Direction=H","UseDPDF=Y")</f>
        <v>206850.5</v>
      </c>
      <c r="D29" s="13">
        <f>_xll.BDH("RCOM IN Equity","TRAIL_12M_NET_SALES","FY 2011","FY 2011","Currency=INR","Period=FY","BEST_FPERIOD_OVERRIDE=FY","FILING_STATUS=MR","EQY_CONSOLIDATED=Y","SCALING_FORMAT=MLN","FA_ADJUSTED=GAAP","Sort=A","Dates=H","DateFormat=P","Fill=—","Direction=H","UseDPDF=Y")</f>
        <v>220890</v>
      </c>
      <c r="E29" s="13">
        <f>_xll.BDH("RCOM IN Equity","TRAIL_12M_NET_SALES","FY 2012","FY 2012","Currency=INR","Period=FY","BEST_FPERIOD_OVERRIDE=FY","FILING_STATUS=MR","EQY_CONSOLIDATED=Y","SCALING_FORMAT=MLN","FA_ADJUSTED=GAAP","Sort=A","Dates=H","DateFormat=P","Fill=—","Direction=H","UseDPDF=Y")</f>
        <v>187160</v>
      </c>
      <c r="F29" s="13">
        <f>_xll.BDH("RCOM IN Equity","TRAIL_12M_NET_SALES","FY 2013","FY 2013","Currency=INR","Period=FY","BEST_FPERIOD_OVERRIDE=FY","FILING_STATUS=MR","EQY_CONSOLIDATED=Y","SCALING_FORMAT=MLN","FA_ADJUSTED=GAAP","Sort=A","Dates=H","DateFormat=P","Fill=—","Direction=H","UseDPDF=Y")</f>
        <v>192940</v>
      </c>
      <c r="G29" s="13">
        <f>_xll.BDH("RCOM IN Equity","TRAIL_12M_NET_SALES","FY 2014","FY 2014","Currency=INR","Period=FY","BEST_FPERIOD_OVERRIDE=FY","FILING_STATUS=MR","EQY_CONSOLIDATED=Y","SCALING_FORMAT=MLN","FA_ADJUSTED=GAAP","Sort=A","Dates=H","DateFormat=P","Fill=—","Direction=H","UseDPDF=Y")</f>
        <v>209400</v>
      </c>
      <c r="H29" s="13">
        <f>_xll.BDH("RCOM IN Equity","TRAIL_12M_NET_SALES","FY 2015","FY 2015","Currency=INR","Period=FY","BEST_FPERIOD_OVERRIDE=FY","FILING_STATUS=MR","EQY_CONSOLIDATED=Y","SCALING_FORMAT=MLN","FA_ADJUSTED=GAAP","Sort=A","Dates=H","DateFormat=P","Fill=—","Direction=H","UseDPDF=Y")</f>
        <v>214230</v>
      </c>
      <c r="I29" s="13">
        <f>_xll.BDH("RCOM IN Equity","TRAIL_12M_NET_SALES","FY 2016","FY 2016","Currency=INR","Period=FY","BEST_FPERIOD_OVERRIDE=FY","FILING_STATUS=MR","EQY_CONSOLIDATED=Y","SCALING_FORMAT=MLN","FA_ADJUSTED=GAAP","Sort=A","Dates=H","DateFormat=P","Fill=—","Direction=H","UseDPDF=Y")</f>
        <v>217430</v>
      </c>
      <c r="J29" s="13">
        <f>_xll.BDH("RCOM IN Equity","TRAIL_12M_NET_SALES","FY 2017","FY 2017","Currency=INR","Period=FY","BEST_FPERIOD_OVERRIDE=FY","FILING_STATUS=MR","EQY_CONSOLIDATED=Y","SCALING_FORMAT=MLN","FA_ADJUSTED=GAAP","Sort=A","Dates=H","DateFormat=P","Fill=—","Direction=H","UseDPDF=Y")</f>
        <v>65540</v>
      </c>
      <c r="K29" s="13">
        <f>_xll.BDH("RCOM IN Equity","TRAIL_12M_NET_SALES","FY 2018","FY 2018","Currency=INR","Period=FY","BEST_FPERIOD_OVERRIDE=FY","FILING_STATUS=MR","EQY_CONSOLIDATED=Y","SCALING_FORMAT=MLN","FA_ADJUSTED=GAAP","Sort=A","Dates=H","DateFormat=P","Fill=—","Direction=H","UseDPDF=Y")</f>
        <v>45930</v>
      </c>
      <c r="L29" s="16">
        <v>40020</v>
      </c>
    </row>
    <row r="30" spans="1:12">
      <c r="A30" s="10" t="s">
        <v>46</v>
      </c>
      <c r="B30" s="10" t="s">
        <v>152</v>
      </c>
      <c r="C30" s="13">
        <f>_xll.BDH("RCOM IN Equity","TRAIL_12M_EBITDA","FY 2010","FY 2010","Currency=INR","Period=FY","BEST_FPERIOD_OVERRIDE=FY","FILING_STATUS=MR","EQY_CONSOLIDATED=Y","SCALING_FORMAT=MLN","FA_ADJUSTED=GAAP","Sort=A","Dates=H","DateFormat=P","Fill=—","Direction=H","UseDPDF=Y")</f>
        <v>69890.399999999994</v>
      </c>
      <c r="D30" s="13">
        <f>_xll.BDH("RCOM IN Equity","TRAIL_12M_EBITDA","FY 2011","FY 2011","Currency=INR","Period=FY","BEST_FPERIOD_OVERRIDE=FY","FILING_STATUS=MR","EQY_CONSOLIDATED=Y","SCALING_FORMAT=MLN","FA_ADJUSTED=GAAP","Sort=A","Dates=H","DateFormat=P","Fill=—","Direction=H","UseDPDF=Y")</f>
        <v>83760</v>
      </c>
      <c r="E30" s="13">
        <f>_xll.BDH("RCOM IN Equity","TRAIL_12M_EBITDA","FY 2012","FY 2012","Currency=INR","Period=FY","BEST_FPERIOD_OVERRIDE=FY","FILING_STATUS=MR","EQY_CONSOLIDATED=Y","SCALING_FORMAT=MLN","FA_ADJUSTED=GAAP","Sort=A","Dates=H","DateFormat=P","Fill=—","Direction=H","UseDPDF=Y")</f>
        <v>57950</v>
      </c>
      <c r="F30" s="13">
        <f>_xll.BDH("RCOM IN Equity","TRAIL_12M_EBITDA","FY 2013","FY 2013","Currency=INR","Period=FY","BEST_FPERIOD_OVERRIDE=FY","FILING_STATUS=MR","EQY_CONSOLIDATED=Y","SCALING_FORMAT=MLN","FA_ADJUSTED=GAAP","Sort=A","Dates=H","DateFormat=P","Fill=—","Direction=H","UseDPDF=Y")</f>
        <v>59410</v>
      </c>
      <c r="G30" s="13">
        <f>_xll.BDH("RCOM IN Equity","TRAIL_12M_EBITDA","FY 2014","FY 2014","Currency=INR","Period=FY","BEST_FPERIOD_OVERRIDE=FY","FILING_STATUS=MR","EQY_CONSOLIDATED=Y","SCALING_FORMAT=MLN","FA_ADJUSTED=GAAP","Sort=A","Dates=H","DateFormat=P","Fill=—","Direction=H","UseDPDF=Y")</f>
        <v>67060</v>
      </c>
      <c r="H30" s="13">
        <f>_xll.BDH("RCOM IN Equity","TRAIL_12M_EBITDA","FY 2015","FY 2015","Currency=INR","Period=FY","BEST_FPERIOD_OVERRIDE=FY","FILING_STATUS=MR","EQY_CONSOLIDATED=Y","SCALING_FORMAT=MLN","FA_ADJUSTED=GAAP","Sort=A","Dates=H","DateFormat=P","Fill=—","Direction=H","UseDPDF=Y")</f>
        <v>72060</v>
      </c>
      <c r="I30" s="13">
        <f>_xll.BDH("RCOM IN Equity","TRAIL_12M_EBITDA","FY 2016","FY 2016","Currency=INR","Period=FY","BEST_FPERIOD_OVERRIDE=FY","FILING_STATUS=MR","EQY_CONSOLIDATED=Y","SCALING_FORMAT=MLN","FA_ADJUSTED=GAAP","Sort=A","Dates=H","DateFormat=P","Fill=—","Direction=H","UseDPDF=Y")</f>
        <v>72600</v>
      </c>
      <c r="J30" s="13">
        <f>_xll.BDH("RCOM IN Equity","TRAIL_12M_EBITDA","FY 2017","FY 2017","Currency=INR","Period=FY","BEST_FPERIOD_OVERRIDE=FY","FILING_STATUS=MR","EQY_CONSOLIDATED=Y","SCALING_FORMAT=MLN","FA_ADJUSTED=GAAP","Sort=A","Dates=H","DateFormat=P","Fill=—","Direction=H","UseDPDF=Y")</f>
        <v>46610</v>
      </c>
      <c r="K30" s="13">
        <f>_xll.BDH("RCOM IN Equity","TRAIL_12M_EBITDA","FY 2018","FY 2018","Currency=INR","Period=FY","BEST_FPERIOD_OVERRIDE=FY","FILING_STATUS=MR","EQY_CONSOLIDATED=Y","SCALING_FORMAT=MLN","FA_ADJUSTED=GAAP","Sort=A","Dates=H","DateFormat=P","Fill=—","Direction=H","UseDPDF=Y")</f>
        <v>31100</v>
      </c>
      <c r="L30" s="16">
        <v>5160</v>
      </c>
    </row>
    <row r="31" spans="1:12">
      <c r="A31" s="10" t="s">
        <v>102</v>
      </c>
      <c r="B31" s="10" t="s">
        <v>153</v>
      </c>
      <c r="C31" s="13">
        <f>_xll.BDH("RCOM IN Equity","TRAIL_12M_OPER_INC","FY 2010","FY 2010","Currency=INR","Period=FY","BEST_FPERIOD_OVERRIDE=FY","FILING_STATUS=MR","EQY_CONSOLIDATED=Y","SCALING_FORMAT=MLN","FA_ADJUSTED=GAAP","Sort=A","Dates=H","DateFormat=P","Fill=—","Direction=H","UseDPDF=Y")</f>
        <v>32425.3</v>
      </c>
      <c r="D31" s="13">
        <f>_xll.BDH("RCOM IN Equity","TRAIL_12M_OPER_INC","FY 2011","FY 2011","Currency=INR","Period=FY","BEST_FPERIOD_OVERRIDE=FY","FILING_STATUS=MR","EQY_CONSOLIDATED=Y","SCALING_FORMAT=MLN","FA_ADJUSTED=GAAP","Sort=A","Dates=H","DateFormat=P","Fill=—","Direction=H","UseDPDF=Y")</f>
        <v>18720</v>
      </c>
      <c r="E31" s="13">
        <f>_xll.BDH("RCOM IN Equity","TRAIL_12M_OPER_INC","FY 2012","FY 2012","Currency=INR","Period=FY","BEST_FPERIOD_OVERRIDE=FY","FILING_STATUS=MR","EQY_CONSOLIDATED=Y","SCALING_FORMAT=MLN","FA_ADJUSTED=GAAP","Sort=A","Dates=H","DateFormat=P","Fill=—","Direction=H","UseDPDF=Y")</f>
        <v>18170</v>
      </c>
      <c r="F31" s="13">
        <f>_xll.BDH("RCOM IN Equity","TRAIL_12M_OPER_INC","FY 2013","FY 2013","Currency=INR","Period=FY","BEST_FPERIOD_OVERRIDE=FY","FILING_STATUS=MR","EQY_CONSOLIDATED=Y","SCALING_FORMAT=MLN","FA_ADJUSTED=GAAP","Sort=A","Dates=H","DateFormat=P","Fill=—","Direction=H","UseDPDF=Y")</f>
        <v>20960</v>
      </c>
      <c r="G31" s="13">
        <f>_xll.BDH("RCOM IN Equity","TRAIL_12M_OPER_INC","FY 2014","FY 2014","Currency=INR","Period=FY","BEST_FPERIOD_OVERRIDE=FY","FILING_STATUS=MR","EQY_CONSOLIDATED=Y","SCALING_FORMAT=MLN","FA_ADJUSTED=GAAP","Sort=A","Dates=H","DateFormat=P","Fill=—","Direction=H","UseDPDF=Y")</f>
        <v>21710</v>
      </c>
      <c r="H31" s="13">
        <f>_xll.BDH("RCOM IN Equity","TRAIL_12M_OPER_INC","FY 2015","FY 2015","Currency=INR","Period=FY","BEST_FPERIOD_OVERRIDE=FY","FILING_STATUS=MR","EQY_CONSOLIDATED=Y","SCALING_FORMAT=MLN","FA_ADJUSTED=GAAP","Sort=A","Dates=H","DateFormat=P","Fill=—","Direction=H","UseDPDF=Y")</f>
        <v>33890</v>
      </c>
      <c r="I31" s="13">
        <f>_xll.BDH("RCOM IN Equity","TRAIL_12M_OPER_INC","FY 2016","FY 2016","Currency=INR","Period=FY","BEST_FPERIOD_OVERRIDE=FY","FILING_STATUS=MR","EQY_CONSOLIDATED=Y","SCALING_FORMAT=MLN","FA_ADJUSTED=GAAP","Sort=A","Dates=H","DateFormat=P","Fill=—","Direction=H","UseDPDF=Y")</f>
        <v>27760</v>
      </c>
      <c r="J31" s="13">
        <f>_xll.BDH("RCOM IN Equity","TRAIL_12M_OPER_INC","FY 2017","FY 2017","Currency=INR","Period=FY","BEST_FPERIOD_OVERRIDE=FY","FILING_STATUS=MR","EQY_CONSOLIDATED=Y","SCALING_FORMAT=MLN","FA_ADJUSTED=GAAP","Sort=A","Dates=H","DateFormat=P","Fill=—","Direction=H","UseDPDF=Y")</f>
        <v>4400</v>
      </c>
      <c r="K31" s="13">
        <f>_xll.BDH("RCOM IN Equity","TRAIL_12M_OPER_INC","FY 2018","FY 2018","Currency=INR","Period=FY","BEST_FPERIOD_OVERRIDE=FY","FILING_STATUS=MR","EQY_CONSOLIDATED=Y","SCALING_FORMAT=MLN","FA_ADJUSTED=GAAP","Sort=A","Dates=H","DateFormat=P","Fill=—","Direction=H","UseDPDF=Y")</f>
        <v>2430</v>
      </c>
      <c r="L31" s="16">
        <v>-2810</v>
      </c>
    </row>
    <row r="32" spans="1:12">
      <c r="A32" s="10" t="s">
        <v>154</v>
      </c>
      <c r="B32" s="10" t="s">
        <v>155</v>
      </c>
      <c r="C32" s="13">
        <f>_xll.BDH("RCOM IN Equity","TRAIL_12M_CASH_FLOW_FIRM","FY 2010","FY 2010","Currency=INR","Period=FY","BEST_FPERIOD_OVERRIDE=FY","FILING_STATUS=MR","EQY_CONSOLIDATED=Y","SCALING_FORMAT=MLN","FA_ADJUSTED=GAAP","Sort=A","Dates=H","DateFormat=P","Fill=—","Direction=H","UseDPDF=Y")</f>
        <v>94033.805099999998</v>
      </c>
      <c r="D32" s="13">
        <f>_xll.BDH("RCOM IN Equity","TRAIL_12M_CASH_FLOW_FIRM","FY 2011","FY 2011","Currency=INR","Period=FY","BEST_FPERIOD_OVERRIDE=FY","FILING_STATUS=MR","EQY_CONSOLIDATED=Y","SCALING_FORMAT=MLN","FA_ADJUSTED=GAAP","Sort=A","Dates=H","DateFormat=P","Fill=—","Direction=H","UseDPDF=Y")</f>
        <v>19668.6486</v>
      </c>
      <c r="E32" s="13" t="str">
        <f>_xll.BDH("RCOM IN Equity","TRAIL_12M_CASH_FLOW_FIRM","FY 2012","FY 2012","Currency=INR","Period=FY","BEST_FPERIOD_OVERRIDE=FY","FILING_STATUS=MR","EQY_CONSOLIDATED=Y","SCALING_FORMAT=MLN","FA_ADJUSTED=GAAP","Sort=A","Dates=H","DateFormat=P","Fill=—","Direction=H","UseDPDF=Y")</f>
        <v>—</v>
      </c>
      <c r="F32" s="13">
        <f>_xll.BDH("RCOM IN Equity","TRAIL_12M_CASH_FLOW_FIRM","FY 2013","FY 2013","Currency=INR","Period=FY","BEST_FPERIOD_OVERRIDE=FY","FILING_STATUS=MR","EQY_CONSOLIDATED=Y","SCALING_FORMAT=MLN","FA_ADJUSTED=GAAP","Sort=A","Dates=H","DateFormat=P","Fill=—","Direction=H","UseDPDF=Y")</f>
        <v>34376.809800000003</v>
      </c>
      <c r="G32" s="13" t="str">
        <f>_xll.BDH("RCOM IN Equity","TRAIL_12M_CASH_FLOW_FIRM","FY 2014","FY 2014","Currency=INR","Period=FY","BEST_FPERIOD_OVERRIDE=FY","FILING_STATUS=MR","EQY_CONSOLIDATED=Y","SCALING_FORMAT=MLN","FA_ADJUSTED=GAAP","Sort=A","Dates=H","DateFormat=P","Fill=—","Direction=H","UseDPDF=Y")</f>
        <v>—</v>
      </c>
      <c r="H32" s="13">
        <f>_xll.BDH("RCOM IN Equity","TRAIL_12M_CASH_FLOW_FIRM","FY 2015","FY 2015","Currency=INR","Period=FY","BEST_FPERIOD_OVERRIDE=FY","FILING_STATUS=MR","EQY_CONSOLIDATED=Y","SCALING_FORMAT=MLN","FA_ADJUSTED=GAAP","Sort=A","Dates=H","DateFormat=P","Fill=—","Direction=H","UseDPDF=Y")</f>
        <v>20995.7294</v>
      </c>
      <c r="I32" s="13" t="str">
        <f>_xll.BDH("RCOM IN Equity","TRAIL_12M_CASH_FLOW_FIRM","FY 2016","FY 2016","Currency=INR","Period=FY","BEST_FPERIOD_OVERRIDE=FY","FILING_STATUS=MR","EQY_CONSOLIDATED=Y","SCALING_FORMAT=MLN","FA_ADJUSTED=GAAP","Sort=A","Dates=H","DateFormat=P","Fill=—","Direction=H","UseDPDF=Y")</f>
        <v>—</v>
      </c>
      <c r="J32" s="13" t="str">
        <f>_xll.BDH("RCOM IN Equity","TRAIL_12M_CASH_FLOW_FIRM","FY 2017","FY 2017","Currency=INR","Period=FY","BEST_FPERIOD_OVERRIDE=FY","FILING_STATUS=MR","EQY_CONSOLIDATED=Y","SCALING_FORMAT=MLN","FA_ADJUSTED=GAAP","Sort=A","Dates=H","DateFormat=P","Fill=—","Direction=H","UseDPDF=Y")</f>
        <v>—</v>
      </c>
      <c r="K32" s="13" t="str">
        <f>_xll.BDH("RCOM IN Equity","TRAIL_12M_CASH_FLOW_FIRM","FY 2018","FY 2018","Currency=INR","Period=FY","BEST_FPERIOD_OVERRIDE=FY","FILING_STATUS=MR","EQY_CONSOLIDATED=Y","SCALING_FORMAT=MLN","FA_ADJUSTED=GAAP","Sort=A","Dates=H","DateFormat=P","Fill=—","Direction=H","UseDPDF=Y")</f>
        <v>—</v>
      </c>
      <c r="L32" s="16"/>
    </row>
    <row r="33" spans="1:12">
      <c r="A33" s="10" t="s">
        <v>156</v>
      </c>
      <c r="B33" s="10" t="s">
        <v>157</v>
      </c>
      <c r="C33" s="13">
        <f>_xll.BDH("RCOM IN Equity","TRAIL_12M_FREE_CASH_FLOW_FIRM","FY 2010","FY 2010","Currency=INR","Period=FY","BEST_FPERIOD_OVERRIDE=FY","FILING_STATUS=MR","EQY_CONSOLIDATED=Y","SCALING_FORMAT=MLN","FA_ADJUSTED=GAAP","Sort=A","Dates=H","DateFormat=P","Fill=—","Direction=H","UseDPDF=Y")</f>
        <v>19073.505099999998</v>
      </c>
      <c r="D33" s="13">
        <f>_xll.BDH("RCOM IN Equity","TRAIL_12M_FREE_CASH_FLOW_FIRM","FY 2011","FY 2011","Currency=INR","Period=FY","BEST_FPERIOD_OVERRIDE=FY","FILING_STATUS=MR","EQY_CONSOLIDATED=Y","SCALING_FORMAT=MLN","FA_ADJUSTED=GAAP","Sort=A","Dates=H","DateFormat=P","Fill=—","Direction=H","UseDPDF=Y")</f>
        <v>-83601.3514</v>
      </c>
      <c r="E33" s="13" t="str">
        <f>_xll.BDH("RCOM IN Equity","TRAIL_12M_FREE_CASH_FLOW_FIRM","FY 2012","FY 2012","Currency=INR","Period=FY","BEST_FPERIOD_OVERRIDE=FY","FILING_STATUS=MR","EQY_CONSOLIDATED=Y","SCALING_FORMAT=MLN","FA_ADJUSTED=GAAP","Sort=A","Dates=H","DateFormat=P","Fill=—","Direction=H","UseDPDF=Y")</f>
        <v>—</v>
      </c>
      <c r="F33" s="13">
        <f>_xll.BDH("RCOM IN Equity","TRAIL_12M_FREE_CASH_FLOW_FIRM","FY 2013","FY 2013","Currency=INR","Period=FY","BEST_FPERIOD_OVERRIDE=FY","FILING_STATUS=MR","EQY_CONSOLIDATED=Y","SCALING_FORMAT=MLN","FA_ADJUSTED=GAAP","Sort=A","Dates=H","DateFormat=P","Fill=—","Direction=H","UseDPDF=Y")</f>
        <v>13236.809800000001</v>
      </c>
      <c r="G33" s="13" t="str">
        <f>_xll.BDH("RCOM IN Equity","TRAIL_12M_FREE_CASH_FLOW_FIRM","FY 2014","FY 2014","Currency=INR","Period=FY","BEST_FPERIOD_OVERRIDE=FY","FILING_STATUS=MR","EQY_CONSOLIDATED=Y","SCALING_FORMAT=MLN","FA_ADJUSTED=GAAP","Sort=A","Dates=H","DateFormat=P","Fill=—","Direction=H","UseDPDF=Y")</f>
        <v>—</v>
      </c>
      <c r="H33" s="13">
        <f>_xll.BDH("RCOM IN Equity","TRAIL_12M_FREE_CASH_FLOW_FIRM","FY 2015","FY 2015","Currency=INR","Period=FY","BEST_FPERIOD_OVERRIDE=FY","FILING_STATUS=MR","EQY_CONSOLIDATED=Y","SCALING_FORMAT=MLN","FA_ADJUSTED=GAAP","Sort=A","Dates=H","DateFormat=P","Fill=—","Direction=H","UseDPDF=Y")</f>
        <v>-3964.2705999999998</v>
      </c>
      <c r="I33" s="13" t="str">
        <f>_xll.BDH("RCOM IN Equity","TRAIL_12M_FREE_CASH_FLOW_FIRM","FY 2016","FY 2016","Currency=INR","Period=FY","BEST_FPERIOD_OVERRIDE=FY","FILING_STATUS=MR","EQY_CONSOLIDATED=Y","SCALING_FORMAT=MLN","FA_ADJUSTED=GAAP","Sort=A","Dates=H","DateFormat=P","Fill=—","Direction=H","UseDPDF=Y")</f>
        <v>—</v>
      </c>
      <c r="J33" s="13" t="str">
        <f>_xll.BDH("RCOM IN Equity","TRAIL_12M_FREE_CASH_FLOW_FIRM","FY 2017","FY 2017","Currency=INR","Period=FY","BEST_FPERIOD_OVERRIDE=FY","FILING_STATUS=MR","EQY_CONSOLIDATED=Y","SCALING_FORMAT=MLN","FA_ADJUSTED=GAAP","Sort=A","Dates=H","DateFormat=P","Fill=—","Direction=H","UseDPDF=Y")</f>
        <v>—</v>
      </c>
      <c r="K33" s="13" t="str">
        <f>_xll.BDH("RCOM IN Equity","TRAIL_12M_FREE_CASH_FLOW_FIRM","FY 2018","FY 2018","Currency=INR","Period=FY","BEST_FPERIOD_OVERRIDE=FY","FILING_STATUS=MR","EQY_CONSOLIDATED=Y","SCALING_FORMAT=MLN","FA_ADJUSTED=GAAP","Sort=A","Dates=H","DateFormat=P","Fill=—","Direction=H","UseDPDF=Y")</f>
        <v>—</v>
      </c>
      <c r="L33" s="16"/>
    </row>
    <row r="34" spans="1:12">
      <c r="A34" s="7" t="s">
        <v>57</v>
      </c>
      <c r="B34" s="7"/>
      <c r="C34" s="7" t="s">
        <v>3</v>
      </c>
      <c r="D34" s="7"/>
      <c r="E34" s="7"/>
      <c r="F34" s="7"/>
      <c r="G34" s="7"/>
      <c r="H34" s="7"/>
      <c r="I34" s="7"/>
      <c r="J34" s="7"/>
      <c r="K34" s="7"/>
      <c r="L34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59"/>
  <sheetViews>
    <sheetView topLeftCell="A7"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158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119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120</v>
      </c>
    </row>
    <row r="6" spans="1:12">
      <c r="A6" s="6" t="s">
        <v>159</v>
      </c>
      <c r="B6" s="6" t="s">
        <v>160</v>
      </c>
      <c r="C6" s="20">
        <f>_xll.BDH("RCOM IN Equity","PE_RATIO","FY 2010","FY 2010","Currency=INR","Period=FY","BEST_FPERIOD_OVERRIDE=FY","FILING_STATUS=MR","EQY_CONSOLIDATED=Y","Sort=A","Dates=H","DateFormat=P","Fill=—","Direction=H","UseDPDF=Y")</f>
        <v>7.5355999999999996</v>
      </c>
      <c r="D6" s="20">
        <f>_xll.BDH("RCOM IN Equity","PE_RATIO","FY 2011","FY 2011","Currency=INR","Period=FY","BEST_FPERIOD_OVERRIDE=FY","FILING_STATUS=MR","EQY_CONSOLIDATED=Y","Sort=A","Dates=H","DateFormat=P","Fill=—","Direction=H","UseDPDF=Y")</f>
        <v>16.5199</v>
      </c>
      <c r="E6" s="20">
        <f>_xll.BDH("RCOM IN Equity","PE_RATIO","FY 2012","FY 2012","Currency=INR","Period=FY","BEST_FPERIOD_OVERRIDE=FY","FILING_STATUS=MR","EQY_CONSOLIDATED=Y","Sort=A","Dates=H","DateFormat=P","Fill=—","Direction=H","UseDPDF=Y")</f>
        <v>18.677800000000001</v>
      </c>
      <c r="F6" s="20">
        <f>_xll.BDH("RCOM IN Equity","PE_RATIO","FY 2013","FY 2013","Currency=INR","Period=FY","BEST_FPERIOD_OVERRIDE=FY","FILING_STATUS=MR","EQY_CONSOLIDATED=Y","Sort=A","Dates=H","DateFormat=P","Fill=—","Direction=H","UseDPDF=Y")</f>
        <v>16.963200000000001</v>
      </c>
      <c r="G6" s="20">
        <f>_xll.BDH("RCOM IN Equity","PE_RATIO","FY 2014","FY 2014","Currency=INR","Period=FY","BEST_FPERIOD_OVERRIDE=FY","FILING_STATUS=MR","EQY_CONSOLIDATED=Y","Sort=A","Dates=H","DateFormat=P","Fill=—","Direction=H","UseDPDF=Y")</f>
        <v>25.424099999999999</v>
      </c>
      <c r="H6" s="20">
        <f>_xll.BDH("RCOM IN Equity","PE_RATIO","FY 2015","FY 2015","Currency=INR","Period=FY","BEST_FPERIOD_OVERRIDE=FY","FILING_STATUS=MR","EQY_CONSOLIDATED=Y","Sort=A","Dates=H","DateFormat=P","Fill=—","Direction=H","UseDPDF=Y")</f>
        <v>19.426200000000001</v>
      </c>
      <c r="I6" s="20">
        <f>_xll.BDH("RCOM IN Equity","PE_RATIO","FY 2016","FY 2016","Currency=INR","Period=FY","BEST_FPERIOD_OVERRIDE=FY","FILING_STATUS=MR","EQY_CONSOLIDATED=Y","Sort=A","Dates=H","DateFormat=P","Fill=—","Direction=H","UseDPDF=Y")</f>
        <v>19.305</v>
      </c>
      <c r="J6" s="20">
        <f>_xll.BDH("RCOM IN Equity","PE_RATIO","FY 2017","FY 2017","Currency=INR","Period=FY","BEST_FPERIOD_OVERRIDE=FY","FILING_STATUS=MR","EQY_CONSOLIDATED=Y","Sort=A","Dates=H","DateFormat=P","Fill=—","Direction=H","UseDPDF=Y")</f>
        <v>75.610399999999998</v>
      </c>
      <c r="K6" s="20">
        <f>_xll.BDH("RCOM IN Equity","PE_RATIO","FY 2018","FY 2018","Currency=INR","Period=FY","BEST_FPERIOD_OVERRIDE=FY","FILING_STATUS=MR","EQY_CONSOLIDATED=Y","Sort=A","Dates=H","DateFormat=P","Fill=—","Direction=H","UseDPDF=Y")</f>
        <v>114.64749999999999</v>
      </c>
      <c r="L6" s="23">
        <v>34.789575275325603</v>
      </c>
    </row>
    <row r="7" spans="1:12">
      <c r="A7" s="10" t="s">
        <v>161</v>
      </c>
      <c r="B7" s="10" t="s">
        <v>162</v>
      </c>
      <c r="C7" s="14">
        <f>_xll.BDH("RCOM IN Equity","AVERAGE_PRICE_EARNINGS_RATIO","FY 2010","FY 2010","Currency=INR","Period=FY","BEST_FPERIOD_OVERRIDE=FY","FILING_STATUS=MR","EQY_CONSOLIDATED=Y","Sort=A","Dates=H","DateFormat=P","Fill=—","Direction=H","UseDPDF=Y")</f>
        <v>7.8164999999999996</v>
      </c>
      <c r="D7" s="14">
        <f>_xll.BDH("RCOM IN Equity","AVERAGE_PRICE_EARNINGS_RATIO","FY 2011","FY 2011","Currency=INR","Period=FY","BEST_FPERIOD_OVERRIDE=FY","FILING_STATUS=MR","EQY_CONSOLIDATED=Y","Sort=A","Dates=H","DateFormat=P","Fill=—","Direction=H","UseDPDF=Y")</f>
        <v>6.8169000000000004</v>
      </c>
      <c r="E7" s="14">
        <f>_xll.BDH("RCOM IN Equity","AVERAGE_PRICE_EARNINGS_RATIO","FY 2012","FY 2012","Currency=INR","Period=FY","BEST_FPERIOD_OVERRIDE=FY","FILING_STATUS=MR","EQY_CONSOLIDATED=Y","Sort=A","Dates=H","DateFormat=P","Fill=—","Direction=H","UseDPDF=Y")</f>
        <v>13.4343</v>
      </c>
      <c r="F7" s="14">
        <f>_xll.BDH("RCOM IN Equity","AVERAGE_PRICE_EARNINGS_RATIO","FY 2013","FY 2013","Currency=INR","Period=FY","BEST_FPERIOD_OVERRIDE=FY","FILING_STATUS=MR","EQY_CONSOLIDATED=Y","Sort=A","Dates=H","DateFormat=P","Fill=—","Direction=H","UseDPDF=Y")</f>
        <v>14.854900000000001</v>
      </c>
      <c r="G7" s="14">
        <f>_xll.BDH("RCOM IN Equity","AVERAGE_PRICE_EARNINGS_RATIO","FY 2014","FY 2014","Currency=INR","Period=FY","BEST_FPERIOD_OVERRIDE=FY","FILING_STATUS=MR","EQY_CONSOLIDATED=Y","Sort=A","Dates=H","DateFormat=P","Fill=—","Direction=H","UseDPDF=Y")</f>
        <v>38.248699999999999</v>
      </c>
      <c r="H7" s="14">
        <f>_xll.BDH("RCOM IN Equity","AVERAGE_PRICE_EARNINGS_RATIO","FY 2015","FY 2015","Currency=INR","Period=FY","BEST_FPERIOD_OVERRIDE=FY","FILING_STATUS=MR","EQY_CONSOLIDATED=Y","Sort=A","Dates=H","DateFormat=P","Fill=—","Direction=H","UseDPDF=Y")</f>
        <v>21.170400000000001</v>
      </c>
      <c r="I7" s="14">
        <f>_xll.BDH("RCOM IN Equity","AVERAGE_PRICE_EARNINGS_RATIO","FY 2016","FY 2016","Currency=INR","Period=FY","BEST_FPERIOD_OVERRIDE=FY","FILING_STATUS=MR","EQY_CONSOLIDATED=Y","Sort=A","Dates=H","DateFormat=P","Fill=—","Direction=H","UseDPDF=Y")</f>
        <v>21.760200000000001</v>
      </c>
      <c r="J7" s="14">
        <f>_xll.BDH("RCOM IN Equity","AVERAGE_PRICE_EARNINGS_RATIO","FY 2017","FY 2017","Currency=INR","Period=FY","BEST_FPERIOD_OVERRIDE=FY","FILING_STATUS=MR","EQY_CONSOLIDATED=Y","Sort=A","Dates=H","DateFormat=P","Fill=—","Direction=H","UseDPDF=Y")</f>
        <v>17.3353</v>
      </c>
      <c r="K7" s="14">
        <f>_xll.BDH("RCOM IN Equity","AVERAGE_PRICE_EARNINGS_RATIO","FY 2018","FY 2018","Currency=INR","Period=FY","BEST_FPERIOD_OVERRIDE=FY","FILING_STATUS=MR","EQY_CONSOLIDATED=Y","Sort=A","Dates=H","DateFormat=P","Fill=—","Direction=H","UseDPDF=Y")</f>
        <v>46.626100000000001</v>
      </c>
      <c r="L7" s="17"/>
    </row>
    <row r="8" spans="1:12">
      <c r="A8" s="10" t="s">
        <v>163</v>
      </c>
      <c r="B8" s="10" t="s">
        <v>164</v>
      </c>
      <c r="C8" s="14">
        <f>_xll.BDH("RCOM IN Equity","PX_ERN_RATIO_WITH_HIGH_CLOS_PX","FY 2010","FY 2010","Currency=INR","Period=FY","BEST_FPERIOD_OVERRIDE=FY","FILING_STATUS=MR","EQY_CONSOLIDATED=Y","Sort=A","Dates=H","DateFormat=P","Fill=—","Direction=H","UseDPDF=Y")</f>
        <v>11.959199999999999</v>
      </c>
      <c r="D8" s="14">
        <f>_xll.BDH("RCOM IN Equity","PX_ERN_RATIO_WITH_HIGH_CLOS_PX","FY 2011","FY 2011","Currency=INR","Period=FY","BEST_FPERIOD_OVERRIDE=FY","FILING_STATUS=MR","EQY_CONSOLIDATED=Y","Sort=A","Dates=H","DateFormat=P","Fill=—","Direction=H","UseDPDF=Y")</f>
        <v>16.5199</v>
      </c>
      <c r="E8" s="14">
        <f>_xll.BDH("RCOM IN Equity","PX_ERN_RATIO_WITH_HIGH_CLOS_PX","FY 2012","FY 2012","Currency=INR","Period=FY","BEST_FPERIOD_OVERRIDE=FY","FILING_STATUS=MR","EQY_CONSOLIDATED=Y","Sort=A","Dates=H","DateFormat=P","Fill=—","Direction=H","UseDPDF=Y")</f>
        <v>18.677800000000001</v>
      </c>
      <c r="F8" s="14">
        <f>_xll.BDH("RCOM IN Equity","PX_ERN_RATIO_WITH_HIGH_CLOS_PX","FY 2013","FY 2013","Currency=INR","Period=FY","BEST_FPERIOD_OVERRIDE=FY","FILING_STATUS=MR","EQY_CONSOLIDATED=Y","Sort=A","Dates=H","DateFormat=P","Fill=—","Direction=H","UseDPDF=Y")</f>
        <v>19.777799999999999</v>
      </c>
      <c r="G8" s="14">
        <f>_xll.BDH("RCOM IN Equity","PX_ERN_RATIO_WITH_HIGH_CLOS_PX","FY 2014","FY 2014","Currency=INR","Period=FY","BEST_FPERIOD_OVERRIDE=FY","FILING_STATUS=MR","EQY_CONSOLIDATED=Y","Sort=A","Dates=H","DateFormat=P","Fill=—","Direction=H","UseDPDF=Y")</f>
        <v>49.309800000000003</v>
      </c>
      <c r="H8" s="14">
        <f>_xll.BDH("RCOM IN Equity","PX_ERN_RATIO_WITH_HIGH_CLOS_PX","FY 2015","FY 2015","Currency=INR","Period=FY","BEST_FPERIOD_OVERRIDE=FY","FILING_STATUS=MR","EQY_CONSOLIDATED=Y","Sort=A","Dates=H","DateFormat=P","Fill=—","Direction=H","UseDPDF=Y")</f>
        <v>30.532499999999999</v>
      </c>
      <c r="I8" s="14">
        <f>_xll.BDH("RCOM IN Equity","PX_ERN_RATIO_WITH_HIGH_CLOS_PX","FY 2016","FY 2016","Currency=INR","Period=FY","BEST_FPERIOD_OVERRIDE=FY","FILING_STATUS=MR","EQY_CONSOLIDATED=Y","Sort=A","Dates=H","DateFormat=P","Fill=—","Direction=H","UseDPDF=Y")</f>
        <v>29.704899999999999</v>
      </c>
      <c r="J8" s="14">
        <f>_xll.BDH("RCOM IN Equity","PX_ERN_RATIO_WITH_HIGH_CLOS_PX","FY 2017","FY 2017","Currency=INR","Period=FY","BEST_FPERIOD_OVERRIDE=FY","FILING_STATUS=MR","EQY_CONSOLIDATED=Y","Sort=A","Dates=H","DateFormat=P","Fill=—","Direction=H","UseDPDF=Y")</f>
        <v>75.610399999999998</v>
      </c>
      <c r="K8" s="14">
        <f>_xll.BDH("RCOM IN Equity","PX_ERN_RATIO_WITH_HIGH_CLOS_PX","FY 2018","FY 2018","Currency=INR","Period=FY","BEST_FPERIOD_OVERRIDE=FY","FILING_STATUS=MR","EQY_CONSOLIDATED=Y","Sort=A","Dates=H","DateFormat=P","Fill=—","Direction=H","UseDPDF=Y")</f>
        <v>114.64749999999999</v>
      </c>
      <c r="L8" s="17"/>
    </row>
    <row r="9" spans="1:12">
      <c r="A9" s="10" t="s">
        <v>165</v>
      </c>
      <c r="B9" s="10" t="s">
        <v>166</v>
      </c>
      <c r="C9" s="14">
        <f>_xll.BDH("RCOM IN Equity","PX_ERN_RATIO_WITH_LOW_CLOS_PX","FY 2010","FY 2010","Currency=INR","Period=FY","BEST_FPERIOD_OVERRIDE=FY","FILING_STATUS=MR","EQY_CONSOLIDATED=Y","Sort=A","Dates=H","DateFormat=P","Fill=—","Direction=H","UseDPDF=Y")</f>
        <v>5.2821999999999996</v>
      </c>
      <c r="D9" s="14">
        <f>_xll.BDH("RCOM IN Equity","PX_ERN_RATIO_WITH_LOW_CLOS_PX","FY 2011","FY 2011","Currency=INR","Period=FY","BEST_FPERIOD_OVERRIDE=FY","FILING_STATUS=MR","EQY_CONSOLIDATED=Y","Sort=A","Dates=H","DateFormat=P","Fill=—","Direction=H","UseDPDF=Y")</f>
        <v>3.8022</v>
      </c>
      <c r="E9" s="14">
        <f>_xll.BDH("RCOM IN Equity","PX_ERN_RATIO_WITH_LOW_CLOS_PX","FY 2012","FY 2012","Currency=INR","Period=FY","BEST_FPERIOD_OVERRIDE=FY","FILING_STATUS=MR","EQY_CONSOLIDATED=Y","Sort=A","Dates=H","DateFormat=P","Fill=—","Direction=H","UseDPDF=Y")</f>
        <v>9.5297999999999998</v>
      </c>
      <c r="F9" s="14">
        <f>_xll.BDH("RCOM IN Equity","PX_ERN_RATIO_WITH_LOW_CLOS_PX","FY 2013","FY 2013","Currency=INR","Period=FY","BEST_FPERIOD_OVERRIDE=FY","FILING_STATUS=MR","EQY_CONSOLIDATED=Y","Sort=A","Dates=H","DateFormat=P","Fill=—","Direction=H","UseDPDF=Y")</f>
        <v>10.644399999999999</v>
      </c>
      <c r="G9" s="14">
        <f>_xll.BDH("RCOM IN Equity","PX_ERN_RATIO_WITH_LOW_CLOS_PX","FY 2014","FY 2014","Currency=INR","Period=FY","BEST_FPERIOD_OVERRIDE=FY","FILING_STATUS=MR","EQY_CONSOLIDATED=Y","Sort=A","Dates=H","DateFormat=P","Fill=—","Direction=H","UseDPDF=Y")</f>
        <v>17.5</v>
      </c>
      <c r="H9" s="14">
        <f>_xll.BDH("RCOM IN Equity","PX_ERN_RATIO_WITH_LOW_CLOS_PX","FY 2015","FY 2015","Currency=INR","Period=FY","BEST_FPERIOD_OVERRIDE=FY","FILING_STATUS=MR","EQY_CONSOLIDATED=Y","Sort=A","Dates=H","DateFormat=P","Fill=—","Direction=H","UseDPDF=Y")</f>
        <v>11.508900000000001</v>
      </c>
      <c r="I9" s="14">
        <f>_xll.BDH("RCOM IN Equity","PX_ERN_RATIO_WITH_LOW_CLOS_PX","FY 2016","FY 2016","Currency=INR","Period=FY","BEST_FPERIOD_OVERRIDE=FY","FILING_STATUS=MR","EQY_CONSOLIDATED=Y","Sort=A","Dates=H","DateFormat=P","Fill=—","Direction=H","UseDPDF=Y")</f>
        <v>16.213100000000001</v>
      </c>
      <c r="J9" s="14">
        <f>_xll.BDH("RCOM IN Equity","PX_ERN_RATIO_WITH_LOW_CLOS_PX","FY 2017","FY 2017","Currency=INR","Period=FY","BEST_FPERIOD_OVERRIDE=FY","FILING_STATUS=MR","EQY_CONSOLIDATED=Y","Sort=A","Dates=H","DateFormat=P","Fill=—","Direction=H","UseDPDF=Y")</f>
        <v>11.911200000000001</v>
      </c>
      <c r="K9" s="14">
        <f>_xll.BDH("RCOM IN Equity","PX_ERN_RATIO_WITH_LOW_CLOS_PX","FY 2018","FY 2018","Currency=INR","Period=FY","BEST_FPERIOD_OVERRIDE=FY","FILING_STATUS=MR","EQY_CONSOLIDATED=Y","Sort=A","Dates=H","DateFormat=P","Fill=—","Direction=H","UseDPDF=Y")</f>
        <v>19.939</v>
      </c>
      <c r="L9" s="17"/>
    </row>
    <row r="10" spans="1:12">
      <c r="A10" s="6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21"/>
    </row>
    <row r="11" spans="1:12">
      <c r="A11" s="6" t="s">
        <v>167</v>
      </c>
      <c r="B11" s="6" t="s">
        <v>168</v>
      </c>
      <c r="C11" s="20">
        <f>_xll.BDH("RCOM IN Equity","PX_TO_BOOK_RATIO","FY 2010","FY 2010","Currency=INR","Period=FY","BEST_FPERIOD_OVERRIDE=FY","FILING_STATUS=MR","EQY_CONSOLIDATED=Y","Sort=A","Dates=H","DateFormat=P","Fill=—","Direction=H","UseDPDF=Y")</f>
        <v>0.80900000000000005</v>
      </c>
      <c r="D11" s="20">
        <f>_xll.BDH("RCOM IN Equity","PX_TO_BOOK_RATIO","FY 2011","FY 2011","Currency=INR","Period=FY","BEST_FPERIOD_OVERRIDE=FY","FILING_STATUS=MR","EQY_CONSOLIDATED=Y","Sort=A","Dates=H","DateFormat=P","Fill=—","Direction=H","UseDPDF=Y")</f>
        <v>0.54859999999999998</v>
      </c>
      <c r="E11" s="20">
        <f>_xll.BDH("RCOM IN Equity","PX_TO_BOOK_RATIO","FY 2012","FY 2012","Currency=INR","Period=FY","BEST_FPERIOD_OVERRIDE=FY","FILING_STATUS=MR","EQY_CONSOLIDATED=Y","Sort=A","Dates=H","DateFormat=P","Fill=—","Direction=H","UseDPDF=Y")</f>
        <v>0.47799999999999998</v>
      </c>
      <c r="F11" s="20">
        <f>_xll.BDH("RCOM IN Equity","PX_TO_BOOK_RATIO","FY 2013","FY 2013","Currency=INR","Period=FY","BEST_FPERIOD_OVERRIDE=FY","FILING_STATUS=MR","EQY_CONSOLIDATED=Y","Sort=A","Dates=H","DateFormat=P","Fill=—","Direction=H","UseDPDF=Y")</f>
        <v>0.3372</v>
      </c>
      <c r="G11" s="20">
        <f>_xll.BDH("RCOM IN Equity","PX_TO_BOOK_RATIO","FY 2014","FY 2014","Currency=INR","Period=FY","BEST_FPERIOD_OVERRIDE=FY","FILING_STATUS=MR","EQY_CONSOLIDATED=Y","Sort=A","Dates=H","DateFormat=P","Fill=—","Direction=H","UseDPDF=Y")</f>
        <v>0.81120000000000003</v>
      </c>
      <c r="H11" s="20">
        <f>_xll.BDH("RCOM IN Equity","PX_TO_BOOK_RATIO","FY 2015","FY 2015","Currency=INR","Period=FY","BEST_FPERIOD_OVERRIDE=FY","FILING_STATUS=MR","EQY_CONSOLIDATED=Y","Sort=A","Dates=H","DateFormat=P","Fill=—","Direction=H","UseDPDF=Y")</f>
        <v>0.38869999999999999</v>
      </c>
      <c r="I11" s="20">
        <f>_xll.BDH("RCOM IN Equity","PX_TO_BOOK_RATIO","FY 2016","FY 2016","Currency=INR","Period=FY","BEST_FPERIOD_OVERRIDE=FY","FILING_STATUS=MR","EQY_CONSOLIDATED=Y","Sort=A","Dates=H","DateFormat=P","Fill=—","Direction=H","UseDPDF=Y")</f>
        <v>0.39400000000000002</v>
      </c>
      <c r="J11" s="20">
        <f>_xll.BDH("RCOM IN Equity","PX_TO_BOOK_RATIO","FY 2017","FY 2017","Currency=INR","Period=FY","BEST_FPERIOD_OVERRIDE=FY","FILING_STATUS=MR","EQY_CONSOLIDATED=Y","Sort=A","Dates=H","DateFormat=P","Fill=—","Direction=H","UseDPDF=Y")</f>
        <v>0.3337</v>
      </c>
      <c r="K11" s="20">
        <f>_xll.BDH("RCOM IN Equity","PX_TO_BOOK_RATIO","FY 2018","FY 2018","Currency=INR","Period=FY","BEST_FPERIOD_OVERRIDE=FY","FILING_STATUS=MR","EQY_CONSOLIDATED=Y","Sort=A","Dates=H","DateFormat=P","Fill=—","Direction=H","UseDPDF=Y")</f>
        <v>2.1612999999999998</v>
      </c>
      <c r="L11" s="23">
        <v>0.65585763083931803</v>
      </c>
    </row>
    <row r="12" spans="1:12">
      <c r="A12" s="10" t="s">
        <v>161</v>
      </c>
      <c r="B12" s="10" t="s">
        <v>169</v>
      </c>
      <c r="C12" s="14">
        <f>_xll.BDH("RCOM IN Equity","AVERAGE_PRICE_TO_BOOK_RATIO","FY 2010","FY 2010","Currency=INR","Period=FY","BEST_FPERIOD_OVERRIDE=FY","FILING_STATUS=MR","EQY_CONSOLIDATED=Y","Sort=A","Dates=H","DateFormat=P","Fill=—","Direction=H","UseDPDF=Y")</f>
        <v>1.1164000000000001</v>
      </c>
      <c r="D12" s="14">
        <f>_xll.BDH("RCOM IN Equity","AVERAGE_PRICE_TO_BOOK_RATIO","FY 2011","FY 2011","Currency=INR","Period=FY","BEST_FPERIOD_OVERRIDE=FY","FILING_STATUS=MR","EQY_CONSOLIDATED=Y","Sort=A","Dates=H","DateFormat=P","Fill=—","Direction=H","UseDPDF=Y")</f>
        <v>0.72699999999999998</v>
      </c>
      <c r="E12" s="14">
        <f>_xll.BDH("RCOM IN Equity","AVERAGE_PRICE_TO_BOOK_RATIO","FY 2012","FY 2012","Currency=INR","Period=FY","BEST_FPERIOD_OVERRIDE=FY","FILING_STATUS=MR","EQY_CONSOLIDATED=Y","Sort=A","Dates=H","DateFormat=P","Fill=—","Direction=H","UseDPDF=Y")</f>
        <v>0.4456</v>
      </c>
      <c r="F12" s="14">
        <f>_xll.BDH("RCOM IN Equity","AVERAGE_PRICE_TO_BOOK_RATIO","FY 2013","FY 2013","Currency=INR","Period=FY","BEST_FPERIOD_OVERRIDE=FY","FILING_STATUS=MR","EQY_CONSOLIDATED=Y","Sort=A","Dates=H","DateFormat=P","Fill=—","Direction=H","UseDPDF=Y")</f>
        <v>0.37969999999999998</v>
      </c>
      <c r="G12" s="14">
        <f>_xll.BDH("RCOM IN Equity","AVERAGE_PRICE_TO_BOOK_RATIO","FY 2014","FY 2014","Currency=INR","Period=FY","BEST_FPERIOD_OVERRIDE=FY","FILING_STATUS=MR","EQY_CONSOLIDATED=Y","Sort=A","Dates=H","DateFormat=P","Fill=—","Direction=H","UseDPDF=Y")</f>
        <v>0.76149999999999995</v>
      </c>
      <c r="H12" s="14">
        <f>_xll.BDH("RCOM IN Equity","AVERAGE_PRICE_TO_BOOK_RATIO","FY 2015","FY 2015","Currency=INR","Period=FY","BEST_FPERIOD_OVERRIDE=FY","FILING_STATUS=MR","EQY_CONSOLIDATED=Y","Sort=A","Dates=H","DateFormat=P","Fill=—","Direction=H","UseDPDF=Y")</f>
        <v>0.67459999999999998</v>
      </c>
      <c r="I12" s="14">
        <f>_xll.BDH("RCOM IN Equity","AVERAGE_PRICE_TO_BOOK_RATIO","FY 2016","FY 2016","Currency=INR","Period=FY","BEST_FPERIOD_OVERRIDE=FY","FILING_STATUS=MR","EQY_CONSOLIDATED=Y","Sort=A","Dates=H","DateFormat=P","Fill=—","Direction=H","UseDPDF=Y")</f>
        <v>0.4355</v>
      </c>
      <c r="J12" s="14">
        <f>_xll.BDH("RCOM IN Equity","AVERAGE_PRICE_TO_BOOK_RATIO","FY 2017","FY 2017","Currency=INR","Period=FY","BEST_FPERIOD_OVERRIDE=FY","FILING_STATUS=MR","EQY_CONSOLIDATED=Y","Sort=A","Dates=H","DateFormat=P","Fill=—","Direction=H","UseDPDF=Y")</f>
        <v>0.34899999999999998</v>
      </c>
      <c r="K12" s="14">
        <f>_xll.BDH("RCOM IN Equity","AVERAGE_PRICE_TO_BOOK_RATIO","FY 2018","FY 2018","Currency=INR","Period=FY","BEST_FPERIOD_OVERRIDE=FY","FILING_STATUS=MR","EQY_CONSOLIDATED=Y","Sort=A","Dates=H","DateFormat=P","Fill=—","Direction=H","UseDPDF=Y")</f>
        <v>0.21249999999999999</v>
      </c>
      <c r="L12" s="17"/>
    </row>
    <row r="13" spans="1:12">
      <c r="A13" s="10" t="s">
        <v>163</v>
      </c>
      <c r="B13" s="10" t="s">
        <v>170</v>
      </c>
      <c r="C13" s="14">
        <f>_xll.BDH("RCOM IN Equity","HIGH_CLOSING_PRICE_TO_BOOK_RATIO","FY 2010","FY 2010","Currency=INR","Period=FY","BEST_FPERIOD_OVERRIDE=FY","FILING_STATUS=MR","EQY_CONSOLIDATED=Y","Sort=A","Dates=H","DateFormat=P","Fill=—","Direction=H","UseDPDF=Y")</f>
        <v>1.7098</v>
      </c>
      <c r="D13" s="14">
        <f>_xll.BDH("RCOM IN Equity","HIGH_CLOSING_PRICE_TO_BOOK_RATIO","FY 2011","FY 2011","Currency=INR","Period=FY","BEST_FPERIOD_OVERRIDE=FY","FILING_STATUS=MR","EQY_CONSOLIDATED=Y","Sort=A","Dates=H","DateFormat=P","Fill=—","Direction=H","UseDPDF=Y")</f>
        <v>0.95989999999999998</v>
      </c>
      <c r="E13" s="14">
        <f>_xll.BDH("RCOM IN Equity","HIGH_CLOSING_PRICE_TO_BOOK_RATIO","FY 2012","FY 2012","Currency=INR","Period=FY","BEST_FPERIOD_OVERRIDE=FY","FILING_STATUS=MR","EQY_CONSOLIDATED=Y","Sort=A","Dates=H","DateFormat=P","Fill=—","Direction=H","UseDPDF=Y")</f>
        <v>0.57210000000000005</v>
      </c>
      <c r="F13" s="14">
        <f>_xll.BDH("RCOM IN Equity","HIGH_CLOSING_PRICE_TO_BOOK_RATIO","FY 2013","FY 2013","Currency=INR","Period=FY","BEST_FPERIOD_OVERRIDE=FY","FILING_STATUS=MR","EQY_CONSOLIDATED=Y","Sort=A","Dates=H","DateFormat=P","Fill=—","Direction=H","UseDPDF=Y")</f>
        <v>0.50609999999999999</v>
      </c>
      <c r="G13" s="14">
        <f>_xll.BDH("RCOM IN Equity","HIGH_CLOSING_PRICE_TO_BOOK_RATIO","FY 2014","FY 2014","Currency=INR","Period=FY","BEST_FPERIOD_OVERRIDE=FY","FILING_STATUS=MR","EQY_CONSOLIDATED=Y","Sort=A","Dates=H","DateFormat=P","Fill=—","Direction=H","UseDPDF=Y")</f>
        <v>0.98019999999999996</v>
      </c>
      <c r="H13" s="14">
        <f>_xll.BDH("RCOM IN Equity","HIGH_CLOSING_PRICE_TO_BOOK_RATIO","FY 2015","FY 2015","Currency=INR","Period=FY","BEST_FPERIOD_OVERRIDE=FY","FILING_STATUS=MR","EQY_CONSOLIDATED=Y","Sort=A","Dates=H","DateFormat=P","Fill=—","Direction=H","UseDPDF=Y")</f>
        <v>0.97419999999999995</v>
      </c>
      <c r="I13" s="14">
        <f>_xll.BDH("RCOM IN Equity","HIGH_CLOSING_PRICE_TO_BOOK_RATIO","FY 2016","FY 2016","Currency=INR","Period=FY","BEST_FPERIOD_OVERRIDE=FY","FILING_STATUS=MR","EQY_CONSOLIDATED=Y","Sort=A","Dates=H","DateFormat=P","Fill=—","Direction=H","UseDPDF=Y")</f>
        <v>0.59440000000000004</v>
      </c>
      <c r="J13" s="14">
        <f>_xll.BDH("RCOM IN Equity","HIGH_CLOSING_PRICE_TO_BOOK_RATIO","FY 2017","FY 2017","Currency=INR","Period=FY","BEST_FPERIOD_OVERRIDE=FY","FILING_STATUS=MR","EQY_CONSOLIDATED=Y","Sort=A","Dates=H","DateFormat=P","Fill=—","Direction=H","UseDPDF=Y")</f>
        <v>0.46810000000000002</v>
      </c>
      <c r="K13" s="14">
        <f>_xll.BDH("RCOM IN Equity","HIGH_CLOSING_PRICE_TO_BOOK_RATIO","FY 2018","FY 2018","Currency=INR","Period=FY","BEST_FPERIOD_OVERRIDE=FY","FILING_STATUS=MR","EQY_CONSOLIDATED=Y","Sort=A","Dates=H","DateFormat=P","Fill=—","Direction=H","UseDPDF=Y")</f>
        <v>2.1612999999999998</v>
      </c>
      <c r="L13" s="17"/>
    </row>
    <row r="14" spans="1:12">
      <c r="A14" s="10" t="s">
        <v>165</v>
      </c>
      <c r="B14" s="10" t="s">
        <v>171</v>
      </c>
      <c r="C14" s="14">
        <f>_xll.BDH("RCOM IN Equity","LOW_CLOSING_PRICE_TO_BOOK_RATIO","FY 2010","FY 2010","Currency=INR","Period=FY","BEST_FPERIOD_OVERRIDE=FY","FILING_STATUS=MR","EQY_CONSOLIDATED=Y","Sort=A","Dates=H","DateFormat=P","Fill=—","Direction=H","UseDPDF=Y")</f>
        <v>0.75519999999999998</v>
      </c>
      <c r="D14" s="14">
        <f>_xll.BDH("RCOM IN Equity","LOW_CLOSING_PRICE_TO_BOOK_RATIO","FY 2011","FY 2011","Currency=INR","Period=FY","BEST_FPERIOD_OVERRIDE=FY","FILING_STATUS=MR","EQY_CONSOLIDATED=Y","Sort=A","Dates=H","DateFormat=P","Fill=—","Direction=H","UseDPDF=Y")</f>
        <v>0.40820000000000001</v>
      </c>
      <c r="E14" s="14">
        <f>_xll.BDH("RCOM IN Equity","LOW_CLOSING_PRICE_TO_BOOK_RATIO","FY 2012","FY 2012","Currency=INR","Period=FY","BEST_FPERIOD_OVERRIDE=FY","FILING_STATUS=MR","EQY_CONSOLIDATED=Y","Sort=A","Dates=H","DateFormat=P","Fill=—","Direction=H","UseDPDF=Y")</f>
        <v>0.3165</v>
      </c>
      <c r="F14" s="14">
        <f>_xll.BDH("RCOM IN Equity","LOW_CLOSING_PRICE_TO_BOOK_RATIO","FY 2013","FY 2013","Currency=INR","Period=FY","BEST_FPERIOD_OVERRIDE=FY","FILING_STATUS=MR","EQY_CONSOLIDATED=Y","Sort=A","Dates=H","DateFormat=P","Fill=—","Direction=H","UseDPDF=Y")</f>
        <v>0.27239999999999998</v>
      </c>
      <c r="G14" s="14">
        <f>_xll.BDH("RCOM IN Equity","LOW_CLOSING_PRICE_TO_BOOK_RATIO","FY 2014","FY 2014","Currency=INR","Period=FY","BEST_FPERIOD_OVERRIDE=FY","FILING_STATUS=MR","EQY_CONSOLIDATED=Y","Sort=A","Dates=H","DateFormat=P","Fill=—","Direction=H","UseDPDF=Y")</f>
        <v>0.34789999999999999</v>
      </c>
      <c r="H14" s="14">
        <f>_xll.BDH("RCOM IN Equity","LOW_CLOSING_PRICE_TO_BOOK_RATIO","FY 2015","FY 2015","Currency=INR","Period=FY","BEST_FPERIOD_OVERRIDE=FY","FILING_STATUS=MR","EQY_CONSOLIDATED=Y","Sort=A","Dates=H","DateFormat=P","Fill=—","Direction=H","UseDPDF=Y")</f>
        <v>0.36720000000000003</v>
      </c>
      <c r="I14" s="14">
        <f>_xll.BDH("RCOM IN Equity","LOW_CLOSING_PRICE_TO_BOOK_RATIO","FY 2016","FY 2016","Currency=INR","Period=FY","BEST_FPERIOD_OVERRIDE=FY","FILING_STATUS=MR","EQY_CONSOLIDATED=Y","Sort=A","Dates=H","DateFormat=P","Fill=—","Direction=H","UseDPDF=Y")</f>
        <v>0.32440000000000002</v>
      </c>
      <c r="J14" s="14">
        <f>_xll.BDH("RCOM IN Equity","LOW_CLOSING_PRICE_TO_BOOK_RATIO","FY 2017","FY 2017","Currency=INR","Period=FY","BEST_FPERIOD_OVERRIDE=FY","FILING_STATUS=MR","EQY_CONSOLIDATED=Y","Sort=A","Dates=H","DateFormat=P","Fill=—","Direction=H","UseDPDF=Y")</f>
        <v>0.24310000000000001</v>
      </c>
      <c r="K14" s="14">
        <f>_xll.BDH("RCOM IN Equity","LOW_CLOSING_PRICE_TO_BOOK_RATIO","FY 2018","FY 2018","Currency=INR","Period=FY","BEST_FPERIOD_OVERRIDE=FY","FILING_STATUS=MR","EQY_CONSOLIDATED=Y","Sort=A","Dates=H","DateFormat=P","Fill=—","Direction=H","UseDPDF=Y")</f>
        <v>8.7999999999999995E-2</v>
      </c>
      <c r="L14" s="17"/>
    </row>
    <row r="15" spans="1:12">
      <c r="A15" s="6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21"/>
    </row>
    <row r="16" spans="1:12">
      <c r="A16" s="6" t="s">
        <v>172</v>
      </c>
      <c r="B16" s="6" t="s">
        <v>173</v>
      </c>
      <c r="C16" s="20">
        <f>_xll.BDH("RCOM IN Equity","PX_TO_TANG_BV_PER_SH","FY 2010","FY 2010","Currency=INR","Period=FY","BEST_FPERIOD_OVERRIDE=FY","FILING_STATUS=MR","EQY_CONSOLIDATED=Y","Sort=A","Dates=H","DateFormat=P","Fill=—","Direction=H","UseDPDF=Y")</f>
        <v>1.7092000000000001</v>
      </c>
      <c r="D16" s="20">
        <f>_xll.BDH("RCOM IN Equity","PX_TO_TANG_BV_PER_SH","FY 2011","FY 2011","Currency=INR","Period=FY","BEST_FPERIOD_OVERRIDE=FY","FILING_STATUS=MR","EQY_CONSOLIDATED=Y","Sort=A","Dates=H","DateFormat=P","Fill=—","Direction=H","UseDPDF=Y")</f>
        <v>1.0952</v>
      </c>
      <c r="E16" s="20">
        <f>_xll.BDH("RCOM IN Equity","PX_TO_TANG_BV_PER_SH","FY 2012","FY 2012","Currency=INR","Period=FY","BEST_FPERIOD_OVERRIDE=FY","FILING_STATUS=MR","EQY_CONSOLIDATED=Y","Sort=A","Dates=H","DateFormat=P","Fill=—","Direction=H","UseDPDF=Y")</f>
        <v>2.0687000000000002</v>
      </c>
      <c r="F16" s="20">
        <f>_xll.BDH("RCOM IN Equity","PX_TO_TANG_BV_PER_SH","FY 2013","FY 2013","Currency=INR","Period=FY","BEST_FPERIOD_OVERRIDE=FY","FILING_STATUS=MR","EQY_CONSOLIDATED=Y","Sort=A","Dates=H","DateFormat=P","Fill=—","Direction=H","UseDPDF=Y")</f>
        <v>1.4870000000000001</v>
      </c>
      <c r="G16" s="20">
        <f>_xll.BDH("RCOM IN Equity","PX_TO_TANG_BV_PER_SH","FY 2014","FY 2014","Currency=INR","Period=FY","BEST_FPERIOD_OVERRIDE=FY","FILING_STATUS=MR","EQY_CONSOLIDATED=Y","Sort=A","Dates=H","DateFormat=P","Fill=—","Direction=H","UseDPDF=Y")</f>
        <v>3.2536999999999998</v>
      </c>
      <c r="H16" s="20">
        <f>_xll.BDH("RCOM IN Equity","PX_TO_TANG_BV_PER_SH","FY 2015","FY 2015","Currency=INR","Period=FY","BEST_FPERIOD_OVERRIDE=FY","FILING_STATUS=MR","EQY_CONSOLIDATED=Y","Sort=A","Dates=H","DateFormat=P","Fill=—","Direction=H","UseDPDF=Y")</f>
        <v>0.95209999999999995</v>
      </c>
      <c r="I16" s="20">
        <f>_xll.BDH("RCOM IN Equity","PX_TO_TANG_BV_PER_SH","FY 2016","FY 2016","Currency=INR","Period=FY","BEST_FPERIOD_OVERRIDE=FY","FILING_STATUS=MR","EQY_CONSOLIDATED=Y","Sort=A","Dates=H","DateFormat=P","Fill=—","Direction=H","UseDPDF=Y")</f>
        <v>2.7297000000000002</v>
      </c>
      <c r="J16" s="20">
        <f>_xll.BDH("RCOM IN Equity","PX_TO_TANG_BV_PER_SH","FY 2017","FY 2017","Currency=INR","Period=FY","BEST_FPERIOD_OVERRIDE=FY","FILING_STATUS=MR","EQY_CONSOLIDATED=Y","Sort=A","Dates=H","DateFormat=P","Fill=—","Direction=H","UseDPDF=Y")</f>
        <v>1.4562999999999999</v>
      </c>
      <c r="K16" s="20" t="str">
        <f>_xll.BDH("RCOM IN Equity","PX_TO_TANG_BV_PER_SH","FY 2018","FY 2018","Currency=INR","Period=FY","BEST_FPERIOD_OVERRIDE=FY","FILING_STATUS=MR","EQY_CONSOLIDATED=Y","Sort=A","Dates=H","DateFormat=P","Fill=—","Direction=H","UseDPDF=Y")</f>
        <v>—</v>
      </c>
      <c r="L16" s="23"/>
    </row>
    <row r="17" spans="1:12">
      <c r="A17" s="10" t="s">
        <v>161</v>
      </c>
      <c r="B17" s="10" t="s">
        <v>174</v>
      </c>
      <c r="C17" s="14">
        <f>_xll.BDH("RCOM IN Equity","AVERAGE_PRICE_TO_TANGIBLE_BPS","FY 2010","FY 2010","Currency=INR","Period=FY","BEST_FPERIOD_OVERRIDE=FY","FILING_STATUS=MR","EQY_CONSOLIDATED=Y","Sort=A","Dates=H","DateFormat=P","Fill=—","Direction=H","UseDPDF=Y")</f>
        <v>2.7008999999999999</v>
      </c>
      <c r="D17" s="14">
        <f>_xll.BDH("RCOM IN Equity","AVERAGE_PRICE_TO_TANGIBLE_BPS","FY 2011","FY 2011","Currency=INR","Period=FY","BEST_FPERIOD_OVERRIDE=FY","FILING_STATUS=MR","EQY_CONSOLIDATED=Y","Sort=A","Dates=H","DateFormat=P","Fill=—","Direction=H","UseDPDF=Y")</f>
        <v>1.5358000000000001</v>
      </c>
      <c r="E17" s="14">
        <f>_xll.BDH("RCOM IN Equity","AVERAGE_PRICE_TO_TANGIBLE_BPS","FY 2012","FY 2012","Currency=INR","Period=FY","BEST_FPERIOD_OVERRIDE=FY","FILING_STATUS=MR","EQY_CONSOLIDATED=Y","Sort=A","Dates=H","DateFormat=P","Fill=—","Direction=H","UseDPDF=Y")</f>
        <v>0.89400000000000002</v>
      </c>
      <c r="F17" s="14">
        <f>_xll.BDH("RCOM IN Equity","AVERAGE_PRICE_TO_TANGIBLE_BPS","FY 2013","FY 2013","Currency=INR","Period=FY","BEST_FPERIOD_OVERRIDE=FY","FILING_STATUS=MR","EQY_CONSOLIDATED=Y","Sort=A","Dates=H","DateFormat=P","Fill=—","Direction=H","UseDPDF=Y")</f>
        <v>1.6436999999999999</v>
      </c>
      <c r="G17" s="14">
        <f>_xll.BDH("RCOM IN Equity","AVERAGE_PRICE_TO_TANGIBLE_BPS","FY 2014","FY 2014","Currency=INR","Period=FY","BEST_FPERIOD_OVERRIDE=FY","FILING_STATUS=MR","EQY_CONSOLIDATED=Y","Sort=A","Dates=H","DateFormat=P","Fill=—","Direction=H","UseDPDF=Y")</f>
        <v>3.3569</v>
      </c>
      <c r="H17" s="14">
        <f>_xll.BDH("RCOM IN Equity","AVERAGE_PRICE_TO_TANGIBLE_BPS","FY 2015","FY 2015","Currency=INR","Period=FY","BEST_FPERIOD_OVERRIDE=FY","FILING_STATUS=MR","EQY_CONSOLIDATED=Y","Sort=A","Dates=H","DateFormat=P","Fill=—","Direction=H","UseDPDF=Y")</f>
        <v>2.7029999999999998</v>
      </c>
      <c r="I17" s="14">
        <f>_xll.BDH("RCOM IN Equity","AVERAGE_PRICE_TO_TANGIBLE_BPS","FY 2016","FY 2016","Currency=INR","Period=FY","BEST_FPERIOD_OVERRIDE=FY","FILING_STATUS=MR","EQY_CONSOLIDATED=Y","Sort=A","Dates=H","DateFormat=P","Fill=—","Direction=H","UseDPDF=Y")</f>
        <v>1.0737000000000001</v>
      </c>
      <c r="J17" s="14">
        <f>_xll.BDH("RCOM IN Equity","AVERAGE_PRICE_TO_TANGIBLE_BPS","FY 2017","FY 2017","Currency=INR","Period=FY","BEST_FPERIOD_OVERRIDE=FY","FILING_STATUS=MR","EQY_CONSOLIDATED=Y","Sort=A","Dates=H","DateFormat=P","Fill=—","Direction=H","UseDPDF=Y")</f>
        <v>2.4140000000000001</v>
      </c>
      <c r="K17" s="14">
        <f>_xll.BDH("RCOM IN Equity","AVERAGE_PRICE_TO_TANGIBLE_BPS","FY 2018","FY 2018","Currency=INR","Period=FY","BEST_FPERIOD_OVERRIDE=FY","FILING_STATUS=MR","EQY_CONSOLIDATED=Y","Sort=A","Dates=H","DateFormat=P","Fill=—","Direction=H","UseDPDF=Y")</f>
        <v>0.89270000000000005</v>
      </c>
      <c r="L17" s="17"/>
    </row>
    <row r="18" spans="1:12">
      <c r="A18" s="10" t="s">
        <v>163</v>
      </c>
      <c r="B18" s="10" t="s">
        <v>175</v>
      </c>
      <c r="C18" s="14">
        <f>_xll.BDH("RCOM IN Equity","HIGH_PRICE_TO_TANGIBLE_BPS","FY 2010","FY 2010","Currency=INR","Period=FY","BEST_FPERIOD_OVERRIDE=FY","FILING_STATUS=MR","EQY_CONSOLIDATED=Y","Sort=A","Dates=H","DateFormat=P","Fill=—","Direction=H","UseDPDF=Y")</f>
        <v>4.1379999999999999</v>
      </c>
      <c r="D18" s="14">
        <f>_xll.BDH("RCOM IN Equity","HIGH_PRICE_TO_TANGIBLE_BPS","FY 2011","FY 2011","Currency=INR","Period=FY","BEST_FPERIOD_OVERRIDE=FY","FILING_STATUS=MR","EQY_CONSOLIDATED=Y","Sort=A","Dates=H","DateFormat=P","Fill=—","Direction=H","UseDPDF=Y")</f>
        <v>2.028</v>
      </c>
      <c r="E18" s="14">
        <f>_xll.BDH("RCOM IN Equity","HIGH_PRICE_TO_TANGIBLE_BPS","FY 2012","FY 2012","Currency=INR","Period=FY","BEST_FPERIOD_OVERRIDE=FY","FILING_STATUS=MR","EQY_CONSOLIDATED=Y","Sort=A","Dates=H","DateFormat=P","Fill=—","Direction=H","UseDPDF=Y")</f>
        <v>2.0687000000000002</v>
      </c>
      <c r="F18" s="14">
        <f>_xll.BDH("RCOM IN Equity","HIGH_PRICE_TO_TANGIBLE_BPS","FY 2013","FY 2013","Currency=INR","Period=FY","BEST_FPERIOD_OVERRIDE=FY","FILING_STATUS=MR","EQY_CONSOLIDATED=Y","Sort=A","Dates=H","DateFormat=P","Fill=—","Direction=H","UseDPDF=Y")</f>
        <v>2.1905000000000001</v>
      </c>
      <c r="G18" s="14">
        <f>_xll.BDH("RCOM IN Equity","HIGH_PRICE_TO_TANGIBLE_BPS","FY 2014","FY 2014","Currency=INR","Period=FY","BEST_FPERIOD_OVERRIDE=FY","FILING_STATUS=MR","EQY_CONSOLIDATED=Y","Sort=A","Dates=H","DateFormat=P","Fill=—","Direction=H","UseDPDF=Y")</f>
        <v>4.3224999999999998</v>
      </c>
      <c r="H18" s="14">
        <f>_xll.BDH("RCOM IN Equity","HIGH_PRICE_TO_TANGIBLE_BPS","FY 2015","FY 2015","Currency=INR","Period=FY","BEST_FPERIOD_OVERRIDE=FY","FILING_STATUS=MR","EQY_CONSOLIDATED=Y","Sort=A","Dates=H","DateFormat=P","Fill=—","Direction=H","UseDPDF=Y")</f>
        <v>3.9074</v>
      </c>
      <c r="I18" s="14">
        <f>_xll.BDH("RCOM IN Equity","HIGH_PRICE_TO_TANGIBLE_BPS","FY 2016","FY 2016","Currency=INR","Period=FY","BEST_FPERIOD_OVERRIDE=FY","FILING_STATUS=MR","EQY_CONSOLIDATED=Y","Sort=A","Dates=H","DateFormat=P","Fill=—","Direction=H","UseDPDF=Y")</f>
        <v>2.7297000000000002</v>
      </c>
      <c r="J18" s="14">
        <f>_xll.BDH("RCOM IN Equity","HIGH_PRICE_TO_TANGIBLE_BPS","FY 2017","FY 2017","Currency=INR","Period=FY","BEST_FPERIOD_OVERRIDE=FY","FILING_STATUS=MR","EQY_CONSOLIDATED=Y","Sort=A","Dates=H","DateFormat=P","Fill=—","Direction=H","UseDPDF=Y")</f>
        <v>3.2429000000000001</v>
      </c>
      <c r="K18" s="14">
        <f>_xll.BDH("RCOM IN Equity","HIGH_PRICE_TO_TANGIBLE_BPS","FY 2018","FY 2018","Currency=INR","Period=FY","BEST_FPERIOD_OVERRIDE=FY","FILING_STATUS=MR","EQY_CONSOLIDATED=Y","Sort=A","Dates=H","DateFormat=P","Fill=—","Direction=H","UseDPDF=Y")</f>
        <v>1.5512999999999999</v>
      </c>
      <c r="L18" s="17"/>
    </row>
    <row r="19" spans="1:12">
      <c r="A19" s="10" t="s">
        <v>165</v>
      </c>
      <c r="B19" s="10" t="s">
        <v>176</v>
      </c>
      <c r="C19" s="14">
        <f>_xll.BDH("RCOM IN Equity","LOW_PRICE_TO_TANGIBLE_BPS","FY 2010","FY 2010","Currency=INR","Period=FY","BEST_FPERIOD_OVERRIDE=FY","FILING_STATUS=MR","EQY_CONSOLIDATED=Y","Sort=A","Dates=H","DateFormat=P","Fill=—","Direction=H","UseDPDF=Y")</f>
        <v>1.7092000000000001</v>
      </c>
      <c r="D19" s="14">
        <f>_xll.BDH("RCOM IN Equity","LOW_PRICE_TO_TANGIBLE_BPS","FY 2011","FY 2011","Currency=INR","Period=FY","BEST_FPERIOD_OVERRIDE=FY","FILING_STATUS=MR","EQY_CONSOLIDATED=Y","Sort=A","Dates=H","DateFormat=P","Fill=—","Direction=H","UseDPDF=Y")</f>
        <v>0.86240000000000006</v>
      </c>
      <c r="E19" s="14">
        <f>_xll.BDH("RCOM IN Equity","LOW_PRICE_TO_TANGIBLE_BPS","FY 2012","FY 2012","Currency=INR","Period=FY","BEST_FPERIOD_OVERRIDE=FY","FILING_STATUS=MR","EQY_CONSOLIDATED=Y","Sort=A","Dates=H","DateFormat=P","Fill=—","Direction=H","UseDPDF=Y")</f>
        <v>0.63180000000000003</v>
      </c>
      <c r="F19" s="14">
        <f>_xll.BDH("RCOM IN Equity","LOW_PRICE_TO_TANGIBLE_BPS","FY 2013","FY 2013","Currency=INR","Period=FY","BEST_FPERIOD_OVERRIDE=FY","FILING_STATUS=MR","EQY_CONSOLIDATED=Y","Sort=A","Dates=H","DateFormat=P","Fill=—","Direction=H","UseDPDF=Y")</f>
        <v>1.179</v>
      </c>
      <c r="G19" s="14">
        <f>_xll.BDH("RCOM IN Equity","LOW_PRICE_TO_TANGIBLE_BPS","FY 2014","FY 2014","Currency=INR","Period=FY","BEST_FPERIOD_OVERRIDE=FY","FILING_STATUS=MR","EQY_CONSOLIDATED=Y","Sort=A","Dates=H","DateFormat=P","Fill=—","Direction=H","UseDPDF=Y")</f>
        <v>1.534</v>
      </c>
      <c r="H19" s="14">
        <f>_xll.BDH("RCOM IN Equity","LOW_PRICE_TO_TANGIBLE_BPS","FY 2015","FY 2015","Currency=INR","Period=FY","BEST_FPERIOD_OVERRIDE=FY","FILING_STATUS=MR","EQY_CONSOLIDATED=Y","Sort=A","Dates=H","DateFormat=P","Fill=—","Direction=H","UseDPDF=Y")</f>
        <v>0.95209999999999995</v>
      </c>
      <c r="I19" s="14">
        <f>_xll.BDH("RCOM IN Equity","LOW_PRICE_TO_TANGIBLE_BPS","FY 2016","FY 2016","Currency=INR","Period=FY","BEST_FPERIOD_OVERRIDE=FY","FILING_STATUS=MR","EQY_CONSOLIDATED=Y","Sort=A","Dates=H","DateFormat=P","Fill=—","Direction=H","UseDPDF=Y")</f>
        <v>0.79459999999999997</v>
      </c>
      <c r="J19" s="14">
        <f>_xll.BDH("RCOM IN Equity","LOW_PRICE_TO_TANGIBLE_BPS","FY 2017","FY 2017","Currency=INR","Period=FY","BEST_FPERIOD_OVERRIDE=FY","FILING_STATUS=MR","EQY_CONSOLIDATED=Y","Sort=A","Dates=H","DateFormat=P","Fill=—","Direction=H","UseDPDF=Y")</f>
        <v>1.4562999999999999</v>
      </c>
      <c r="K19" s="14">
        <f>_xll.BDH("RCOM IN Equity","LOW_PRICE_TO_TANGIBLE_BPS","FY 2018","FY 2018","Currency=INR","Period=FY","BEST_FPERIOD_OVERRIDE=FY","FILING_STATUS=MR","EQY_CONSOLIDATED=Y","Sort=A","Dates=H","DateFormat=P","Fill=—","Direction=H","UseDPDF=Y")</f>
        <v>0.38400000000000001</v>
      </c>
      <c r="L19" s="17"/>
    </row>
    <row r="20" spans="1:12">
      <c r="A20" s="6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21"/>
    </row>
    <row r="21" spans="1:12">
      <c r="A21" s="6" t="s">
        <v>177</v>
      </c>
      <c r="B21" s="6" t="s">
        <v>178</v>
      </c>
      <c r="C21" s="20">
        <f>_xll.BDH("RCOM IN Equity","PX_TO_SALES_RATIO","FY 2010","FY 2010","Currency=INR","Period=FY","BEST_FPERIOD_OVERRIDE=FY","FILING_STATUS=MR","EQY_CONSOLIDATED=Y","FA_ADJUSTED=GAAP","Sort=A","Dates=H","DateFormat=P","Fill=—","Direction=H","UseDPDF=Y")</f>
        <v>1.6958</v>
      </c>
      <c r="D21" s="20">
        <f>_xll.BDH("RCOM IN Equity","PX_TO_SALES_RATIO","FY 2011","FY 2011","Currency=INR","Period=FY","BEST_FPERIOD_OVERRIDE=FY","FILING_STATUS=MR","EQY_CONSOLIDATED=Y","FA_ADJUSTED=GAAP","Sort=A","Dates=H","DateFormat=P","Fill=—","Direction=H","UseDPDF=Y")</f>
        <v>1.0059</v>
      </c>
      <c r="E21" s="20">
        <f>_xll.BDH("RCOM IN Equity","PX_TO_SALES_RATIO","FY 2012","FY 2012","Currency=INR","Period=FY","BEST_FPERIOD_OVERRIDE=FY","FILING_STATUS=MR","EQY_CONSOLIDATED=Y","FA_ADJUSTED=GAAP","Sort=A","Dates=H","DateFormat=P","Fill=—","Direction=H","UseDPDF=Y")</f>
        <v>0.92689999999999995</v>
      </c>
      <c r="F21" s="20">
        <f>_xll.BDH("RCOM IN Equity","PX_TO_SALES_RATIO","FY 2013","FY 2013","Currency=INR","Period=FY","BEST_FPERIOD_OVERRIDE=FY","FILING_STATUS=MR","EQY_CONSOLIDATED=Y","FA_ADJUSTED=GAAP","Sort=A","Dates=H","DateFormat=P","Fill=—","Direction=H","UseDPDF=Y")</f>
        <v>0.59160000000000001</v>
      </c>
      <c r="G21" s="20">
        <f>_xll.BDH("RCOM IN Equity","PX_TO_SALES_RATIO","FY 2014","FY 2014","Currency=INR","Period=FY","BEST_FPERIOD_OVERRIDE=FY","FILING_STATUS=MR","EQY_CONSOLIDATED=Y","FA_ADJUSTED=GAAP","Sort=A","Dates=H","DateFormat=P","Fill=—","Direction=H","UseDPDF=Y")</f>
        <v>1.2705</v>
      </c>
      <c r="H21" s="20">
        <f>_xll.BDH("RCOM IN Equity","PX_TO_SALES_RATIO","FY 2015","FY 2015","Currency=INR","Period=FY","BEST_FPERIOD_OVERRIDE=FY","FILING_STATUS=MR","EQY_CONSOLIDATED=Y","FA_ADJUSTED=GAAP","Sort=A","Dates=H","DateFormat=P","Fill=—","Direction=H","UseDPDF=Y")</f>
        <v>0.64549999999999996</v>
      </c>
      <c r="I21" s="20">
        <f>_xll.BDH("RCOM IN Equity","PX_TO_SALES_RATIO","FY 2016","FY 2016","Currency=INR","Period=FY","BEST_FPERIOD_OVERRIDE=FY","FILING_STATUS=MR","EQY_CONSOLIDATED=Y","FA_ADJUSTED=GAAP","Sort=A","Dates=H","DateFormat=P","Fill=—","Direction=H","UseDPDF=Y")</f>
        <v>0.5675</v>
      </c>
      <c r="J21" s="20">
        <f>_xll.BDH("RCOM IN Equity","PX_TO_SALES_RATIO","FY 2017","FY 2017","Currency=INR","Period=FY","BEST_FPERIOD_OVERRIDE=FY","FILING_STATUS=MR","EQY_CONSOLIDATED=Y","FA_ADJUSTED=GAAP","Sort=A","Dates=H","DateFormat=P","Fill=—","Direction=H","UseDPDF=Y")</f>
        <v>1.4420999999999999</v>
      </c>
      <c r="K21" s="20">
        <f>_xll.BDH("RCOM IN Equity","PX_TO_SALES_RATIO","FY 2018","FY 2018","Currency=INR","Period=FY","BEST_FPERIOD_OVERRIDE=FY","FILING_STATUS=MR","EQY_CONSOLIDATED=Y","FA_ADJUSTED=GAAP","Sort=A","Dates=H","DateFormat=P","Fill=—","Direction=H","UseDPDF=Y")</f>
        <v>1.2231000000000001</v>
      </c>
      <c r="L21" s="23">
        <v>0.37115021852990399</v>
      </c>
    </row>
    <row r="22" spans="1:12">
      <c r="A22" s="10" t="s">
        <v>161</v>
      </c>
      <c r="B22" s="10" t="s">
        <v>179</v>
      </c>
      <c r="C22" s="14">
        <f>_xll.BDH("RCOM IN Equity","AVERAGE_PRICE_TO_SALES_RATIO","FY 2010","FY 2010","Currency=INR","Period=FY","BEST_FPERIOD_OVERRIDE=FY","FILING_STATUS=MR","EQY_CONSOLIDATED=Y","FA_ADJUSTED=GAAP","Sort=A","Dates=H","DateFormat=P","Fill=—","Direction=H","UseDPDF=Y")</f>
        <v>2.2757999999999998</v>
      </c>
      <c r="D22" s="14">
        <f>_xll.BDH("RCOM IN Equity","AVERAGE_PRICE_TO_SALES_RATIO","FY 2011","FY 2011","Currency=INR","Period=FY","BEST_FPERIOD_OVERRIDE=FY","FILING_STATUS=MR","EQY_CONSOLIDATED=Y","FA_ADJUSTED=GAAP","Sort=A","Dates=H","DateFormat=P","Fill=—","Direction=H","UseDPDF=Y")</f>
        <v>1.5234000000000001</v>
      </c>
      <c r="E22" s="14">
        <f>_xll.BDH("RCOM IN Equity","AVERAGE_PRICE_TO_SALES_RATIO","FY 2012","FY 2012","Currency=INR","Period=FY","BEST_FPERIOD_OVERRIDE=FY","FILING_STATUS=MR","EQY_CONSOLIDATED=Y","FA_ADJUSTED=GAAP","Sort=A","Dates=H","DateFormat=P","Fill=—","Direction=H","UseDPDF=Y")</f>
        <v>0.81720000000000004</v>
      </c>
      <c r="F22" s="14">
        <f>_xll.BDH("RCOM IN Equity","AVERAGE_PRICE_TO_SALES_RATIO","FY 2013","FY 2013","Currency=INR","Period=FY","BEST_FPERIOD_OVERRIDE=FY","FILING_STATUS=MR","EQY_CONSOLIDATED=Y","FA_ADJUSTED=GAAP","Sort=A","Dates=H","DateFormat=P","Fill=—","Direction=H","UseDPDF=Y")</f>
        <v>0.73619999999999997</v>
      </c>
      <c r="G22" s="14">
        <f>_xll.BDH("RCOM IN Equity","AVERAGE_PRICE_TO_SALES_RATIO","FY 2014","FY 2014","Currency=INR","Period=FY","BEST_FPERIOD_OVERRIDE=FY","FILING_STATUS=MR","EQY_CONSOLIDATED=Y","FA_ADJUSTED=GAAP","Sort=A","Dates=H","DateFormat=P","Fill=—","Direction=H","UseDPDF=Y")</f>
        <v>1.3353999999999999</v>
      </c>
      <c r="H22" s="14">
        <f>_xll.BDH("RCOM IN Equity","AVERAGE_PRICE_TO_SALES_RATIO","FY 2015","FY 2015","Currency=INR","Period=FY","BEST_FPERIOD_OVERRIDE=FY","FILING_STATUS=MR","EQY_CONSOLIDATED=Y","FA_ADJUSTED=GAAP","Sort=A","Dates=H","DateFormat=P","Fill=—","Direction=H","UseDPDF=Y")</f>
        <v>1.0566</v>
      </c>
      <c r="I22" s="14">
        <f>_xll.BDH("RCOM IN Equity","AVERAGE_PRICE_TO_SALES_RATIO","FY 2016","FY 2016","Currency=INR","Period=FY","BEST_FPERIOD_OVERRIDE=FY","FILING_STATUS=MR","EQY_CONSOLIDATED=Y","FA_ADJUSTED=GAAP","Sort=A","Dates=H","DateFormat=P","Fill=—","Direction=H","UseDPDF=Y")</f>
        <v>0.72270000000000001</v>
      </c>
      <c r="J22" s="14">
        <f>_xll.BDH("RCOM IN Equity","AVERAGE_PRICE_TO_SALES_RATIO","FY 2017","FY 2017","Currency=INR","Period=FY","BEST_FPERIOD_OVERRIDE=FY","FILING_STATUS=MR","EQY_CONSOLIDATED=Y","FA_ADJUSTED=GAAP","Sort=A","Dates=H","DateFormat=P","Fill=—","Direction=H","UseDPDF=Y")</f>
        <v>0.50639999999999996</v>
      </c>
      <c r="K22" s="14">
        <f>_xll.BDH("RCOM IN Equity","AVERAGE_PRICE_TO_SALES_RATIO","FY 2018","FY 2018","Currency=INR","Period=FY","BEST_FPERIOD_OVERRIDE=FY","FILING_STATUS=MR","EQY_CONSOLIDATED=Y","FA_ADJUSTED=GAAP","Sort=A","Dates=H","DateFormat=P","Fill=—","Direction=H","UseDPDF=Y")</f>
        <v>0.88539999999999996</v>
      </c>
      <c r="L22" s="17"/>
    </row>
    <row r="23" spans="1:12">
      <c r="A23" s="10" t="s">
        <v>163</v>
      </c>
      <c r="B23" s="10" t="s">
        <v>180</v>
      </c>
      <c r="C23" s="14">
        <f>_xll.BDH("RCOM IN Equity","HIGH_PX_TO_SALES_RATIO","FY 2010","FY 2010","Currency=INR","Period=FY","BEST_FPERIOD_OVERRIDE=FY","FILING_STATUS=MR","EQY_CONSOLIDATED=Y","FA_ADJUSTED=GAAP","Sort=A","Dates=H","DateFormat=P","Fill=—","Direction=H","UseDPDF=Y")</f>
        <v>3.6021000000000001</v>
      </c>
      <c r="D23" s="14">
        <f>_xll.BDH("RCOM IN Equity","HIGH_PX_TO_SALES_RATIO","FY 2011","FY 2011","Currency=INR","Period=FY","BEST_FPERIOD_OVERRIDE=FY","FILING_STATUS=MR","EQY_CONSOLIDATED=Y","FA_ADJUSTED=GAAP","Sort=A","Dates=H","DateFormat=P","Fill=—","Direction=H","UseDPDF=Y")</f>
        <v>2.0735000000000001</v>
      </c>
      <c r="E23" s="14">
        <f>_xll.BDH("RCOM IN Equity","HIGH_PX_TO_SALES_RATIO","FY 2012","FY 2012","Currency=INR","Period=FY","BEST_FPERIOD_OVERRIDE=FY","FILING_STATUS=MR","EQY_CONSOLIDATED=Y","FA_ADJUSTED=GAAP","Sort=A","Dates=H","DateFormat=P","Fill=—","Direction=H","UseDPDF=Y")</f>
        <v>1.0638000000000001</v>
      </c>
      <c r="F23" s="14">
        <f>_xll.BDH("RCOM IN Equity","HIGH_PX_TO_SALES_RATIO","FY 2013","FY 2013","Currency=INR","Period=FY","BEST_FPERIOD_OVERRIDE=FY","FILING_STATUS=MR","EQY_CONSOLIDATED=Y","FA_ADJUSTED=GAAP","Sort=A","Dates=H","DateFormat=P","Fill=—","Direction=H","UseDPDF=Y")</f>
        <v>1.0128999999999999</v>
      </c>
      <c r="G23" s="14">
        <f>_xll.BDH("RCOM IN Equity","HIGH_PX_TO_SALES_RATIO","FY 2014","FY 2014","Currency=INR","Period=FY","BEST_FPERIOD_OVERRIDE=FY","FILING_STATUS=MR","EQY_CONSOLIDATED=Y","FA_ADJUSTED=GAAP","Sort=A","Dates=H","DateFormat=P","Fill=—","Direction=H","UseDPDF=Y")</f>
        <v>1.7614000000000001</v>
      </c>
      <c r="H23" s="14">
        <f>_xll.BDH("RCOM IN Equity","HIGH_PX_TO_SALES_RATIO","FY 2015","FY 2015","Currency=INR","Period=FY","BEST_FPERIOD_OVERRIDE=FY","FILING_STATUS=MR","EQY_CONSOLIDATED=Y","FA_ADJUSTED=GAAP","Sort=A","Dates=H","DateFormat=P","Fill=—","Direction=H","UseDPDF=Y")</f>
        <v>1.55</v>
      </c>
      <c r="I23" s="14">
        <f>_xll.BDH("RCOM IN Equity","HIGH_PX_TO_SALES_RATIO","FY 2016","FY 2016","Currency=INR","Period=FY","BEST_FPERIOD_OVERRIDE=FY","FILING_STATUS=MR","EQY_CONSOLIDATED=Y","FA_ADJUSTED=GAAP","Sort=A","Dates=H","DateFormat=P","Fill=—","Direction=H","UseDPDF=Y")</f>
        <v>1.0001</v>
      </c>
      <c r="J23" s="14">
        <f>_xll.BDH("RCOM IN Equity","HIGH_PX_TO_SALES_RATIO","FY 2017","FY 2017","Currency=INR","Period=FY","BEST_FPERIOD_OVERRIDE=FY","FILING_STATUS=MR","EQY_CONSOLIDATED=Y","FA_ADJUSTED=GAAP","Sort=A","Dates=H","DateFormat=P","Fill=—","Direction=H","UseDPDF=Y")</f>
        <v>1.4552</v>
      </c>
      <c r="K23" s="14">
        <f>_xll.BDH("RCOM IN Equity","HIGH_PX_TO_SALES_RATIO","FY 2018","FY 2018","Currency=INR","Period=FY","BEST_FPERIOD_OVERRIDE=FY","FILING_STATUS=MR","EQY_CONSOLIDATED=Y","FA_ADJUSTED=GAAP","Sort=A","Dates=H","DateFormat=P","Fill=—","Direction=H","UseDPDF=Y")</f>
        <v>1.5727</v>
      </c>
      <c r="L23" s="17"/>
    </row>
    <row r="24" spans="1:12">
      <c r="A24" s="10" t="s">
        <v>165</v>
      </c>
      <c r="B24" s="10" t="s">
        <v>181</v>
      </c>
      <c r="C24" s="14">
        <f>_xll.BDH("RCOM IN Equity","LOW_PX_TO_SALES_RATIO","FY 2010","FY 2010","Currency=INR","Period=FY","BEST_FPERIOD_OVERRIDE=FY","FILING_STATUS=MR","EQY_CONSOLIDATED=Y","FA_ADJUSTED=GAAP","Sort=A","Dates=H","DateFormat=P","Fill=—","Direction=H","UseDPDF=Y")</f>
        <v>1.5324</v>
      </c>
      <c r="D24" s="14">
        <f>_xll.BDH("RCOM IN Equity","LOW_PX_TO_SALES_RATIO","FY 2011","FY 2011","Currency=INR","Period=FY","BEST_FPERIOD_OVERRIDE=FY","FILING_STATUS=MR","EQY_CONSOLIDATED=Y","FA_ADJUSTED=GAAP","Sort=A","Dates=H","DateFormat=P","Fill=—","Direction=H","UseDPDF=Y")</f>
        <v>0.74490000000000001</v>
      </c>
      <c r="E24" s="14">
        <f>_xll.BDH("RCOM IN Equity","LOW_PX_TO_SALES_RATIO","FY 2012","FY 2012","Currency=INR","Period=FY","BEST_FPERIOD_OVERRIDE=FY","FILING_STATUS=MR","EQY_CONSOLIDATED=Y","FA_ADJUSTED=GAAP","Sort=A","Dates=H","DateFormat=P","Fill=—","Direction=H","UseDPDF=Y")</f>
        <v>0.56810000000000005</v>
      </c>
      <c r="F24" s="14">
        <f>_xll.BDH("RCOM IN Equity","LOW_PX_TO_SALES_RATIO","FY 2013","FY 2013","Currency=INR","Period=FY","BEST_FPERIOD_OVERRIDE=FY","FILING_STATUS=MR","EQY_CONSOLIDATED=Y","FA_ADJUSTED=GAAP","Sort=A","Dates=H","DateFormat=P","Fill=—","Direction=H","UseDPDF=Y")</f>
        <v>0.51339999999999997</v>
      </c>
      <c r="G24" s="14">
        <f>_xll.BDH("RCOM IN Equity","LOW_PX_TO_SALES_RATIO","FY 2014","FY 2014","Currency=INR","Period=FY","BEST_FPERIOD_OVERRIDE=FY","FILING_STATUS=MR","EQY_CONSOLIDATED=Y","FA_ADJUSTED=GAAP","Sort=A","Dates=H","DateFormat=P","Fill=—","Direction=H","UseDPDF=Y")</f>
        <v>0.58360000000000001</v>
      </c>
      <c r="H24" s="14">
        <f>_xll.BDH("RCOM IN Equity","LOW_PX_TO_SALES_RATIO","FY 2015","FY 2015","Currency=INR","Period=FY","BEST_FPERIOD_OVERRIDE=FY","FILING_STATUS=MR","EQY_CONSOLIDATED=Y","FA_ADJUSTED=GAAP","Sort=A","Dates=H","DateFormat=P","Fill=—","Direction=H","UseDPDF=Y")</f>
        <v>0.55940000000000001</v>
      </c>
      <c r="I24" s="14">
        <f>_xll.BDH("RCOM IN Equity","LOW_PX_TO_SALES_RATIO","FY 2016","FY 2016","Currency=INR","Period=FY","BEST_FPERIOD_OVERRIDE=FY","FILING_STATUS=MR","EQY_CONSOLIDATED=Y","FA_ADJUSTED=GAAP","Sort=A","Dates=H","DateFormat=P","Fill=—","Direction=H","UseDPDF=Y")</f>
        <v>0.49569999999999997</v>
      </c>
      <c r="J24" s="14">
        <f>_xll.BDH("RCOM IN Equity","LOW_PX_TO_SALES_RATIO","FY 2017","FY 2017","Currency=INR","Period=FY","BEST_FPERIOD_OVERRIDE=FY","FILING_STATUS=MR","EQY_CONSOLIDATED=Y","FA_ADJUSTED=GAAP","Sort=A","Dates=H","DateFormat=P","Fill=—","Direction=H","UseDPDF=Y")</f>
        <v>0.3473</v>
      </c>
      <c r="K24" s="14">
        <f>_xll.BDH("RCOM IN Equity","LOW_PX_TO_SALES_RATIO","FY 2018","FY 2018","Currency=INR","Period=FY","BEST_FPERIOD_OVERRIDE=FY","FILING_STATUS=MR","EQY_CONSOLIDATED=Y","FA_ADJUSTED=GAAP","Sort=A","Dates=H","DateFormat=P","Fill=—","Direction=H","UseDPDF=Y")</f>
        <v>0.36149999999999999</v>
      </c>
      <c r="L24" s="17"/>
    </row>
    <row r="25" spans="1:12">
      <c r="A25" s="6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21"/>
    </row>
    <row r="26" spans="1:12">
      <c r="A26" s="6" t="s">
        <v>182</v>
      </c>
      <c r="B26" s="6" t="s">
        <v>183</v>
      </c>
      <c r="C26" s="20">
        <f>_xll.BDH("RCOM IN Equity","PX_TO_CASH_FLOW","FY 2010","FY 2010","Currency=INR","Period=FY","BEST_FPERIOD_OVERRIDE=FY","FILING_STATUS=MR","EQY_CONSOLIDATED=Y","Sort=A","Dates=H","DateFormat=P","Fill=—","Direction=H","UseDPDF=Y")</f>
        <v>4.2906000000000004</v>
      </c>
      <c r="D26" s="20">
        <f>_xll.BDH("RCOM IN Equity","PX_TO_CASH_FLOW","FY 2011","FY 2011","Currency=INR","Period=FY","BEST_FPERIOD_OVERRIDE=FY","FILING_STATUS=MR","EQY_CONSOLIDATED=Y","Sort=A","Dates=H","DateFormat=P","Fill=—","Direction=H","UseDPDF=Y")</f>
        <v>20.726900000000001</v>
      </c>
      <c r="E26" s="20">
        <f>_xll.BDH("RCOM IN Equity","PX_TO_CASH_FLOW","FY 2012","FY 2012","Currency=INR","Period=FY","BEST_FPERIOD_OVERRIDE=FY","FILING_STATUS=MR","EQY_CONSOLIDATED=Y","Sort=A","Dates=H","DateFormat=P","Fill=—","Direction=H","UseDPDF=Y")</f>
        <v>4.2592999999999996</v>
      </c>
      <c r="F26" s="20">
        <f>_xll.BDH("RCOM IN Equity","PX_TO_CASH_FLOW","FY 2013","FY 2013","Currency=INR","Period=FY","BEST_FPERIOD_OVERRIDE=FY","FILING_STATUS=MR","EQY_CONSOLIDATED=Y","Sort=A","Dates=H","DateFormat=P","Fill=—","Direction=H","UseDPDF=Y")</f>
        <v>8.3314000000000004</v>
      </c>
      <c r="G26" s="20">
        <f>_xll.BDH("RCOM IN Equity","PX_TO_CASH_FLOW","FY 2014","FY 2014","Currency=INR","Period=FY","BEST_FPERIOD_OVERRIDE=FY","FILING_STATUS=MR","EQY_CONSOLIDATED=Y","Sort=A","Dates=H","DateFormat=P","Fill=—","Direction=H","UseDPDF=Y")</f>
        <v>6.8748000000000005</v>
      </c>
      <c r="H26" s="20">
        <f>_xll.BDH("RCOM IN Equity","PX_TO_CASH_FLOW","FY 2015","FY 2015","Currency=INR","Period=FY","BEST_FPERIOD_OVERRIDE=FY","FILING_STATUS=MR","EQY_CONSOLIDATED=Y","Sort=A","Dates=H","DateFormat=P","Fill=—","Direction=H","UseDPDF=Y")</f>
        <v>28.453499999999998</v>
      </c>
      <c r="I26" s="20">
        <f>_xll.BDH("RCOM IN Equity","PX_TO_CASH_FLOW","FY 2016","FY 2016","Currency=INR","Period=FY","BEST_FPERIOD_OVERRIDE=FY","FILING_STATUS=MR","EQY_CONSOLIDATED=Y","Sort=A","Dates=H","DateFormat=P","Fill=—","Direction=H","UseDPDF=Y")</f>
        <v>0.86760000000000004</v>
      </c>
      <c r="J26" s="20" t="str">
        <f>_xll.BDH("RCOM IN Equity","PX_TO_CASH_FLOW","FY 2017","FY 2017","Currency=INR","Period=FY","BEST_FPERIOD_OVERRIDE=FY","FILING_STATUS=MR","EQY_CONSOLIDATED=Y","Sort=A","Dates=H","DateFormat=P","Fill=—","Direction=H","UseDPDF=Y")</f>
        <v>—</v>
      </c>
      <c r="K26" s="20" t="str">
        <f>_xll.BDH("RCOM IN Equity","PX_TO_CASH_FLOW","FY 2018","FY 2018","Currency=INR","Period=FY","BEST_FPERIOD_OVERRIDE=FY","FILING_STATUS=MR","EQY_CONSOLIDATED=Y","Sort=A","Dates=H","DateFormat=P","Fill=—","Direction=H","UseDPDF=Y")</f>
        <v>—</v>
      </c>
      <c r="L26" s="23"/>
    </row>
    <row r="27" spans="1:12">
      <c r="A27" s="10" t="s">
        <v>161</v>
      </c>
      <c r="B27" s="10" t="s">
        <v>184</v>
      </c>
      <c r="C27" s="14">
        <f>_xll.BDH("RCOM IN Equity","AVERAGE_PRICE_TO_CASH_FLOW","FY 2010","FY 2010","Currency=INR","Period=FY","BEST_FPERIOD_OVERRIDE=FY","FILING_STATUS=MR","EQY_CONSOLIDATED=Y","Sort=A","Dates=H","DateFormat=P","Fill=—","Direction=H","UseDPDF=Y")</f>
        <v>9.1915999999999993</v>
      </c>
      <c r="D27" s="14">
        <f>_xll.BDH("RCOM IN Equity","AVERAGE_PRICE_TO_CASH_FLOW","FY 2011","FY 2011","Currency=INR","Period=FY","BEST_FPERIOD_OVERRIDE=FY","FILING_STATUS=MR","EQY_CONSOLIDATED=Y","Sort=A","Dates=H","DateFormat=P","Fill=—","Direction=H","UseDPDF=Y")</f>
        <v>3.9258999999999999</v>
      </c>
      <c r="E27" s="14">
        <f>_xll.BDH("RCOM IN Equity","AVERAGE_PRICE_TO_CASH_FLOW","FY 2012","FY 2012","Currency=INR","Period=FY","BEST_FPERIOD_OVERRIDE=FY","FILING_STATUS=MR","EQY_CONSOLIDATED=Y","Sort=A","Dates=H","DateFormat=P","Fill=—","Direction=H","UseDPDF=Y")</f>
        <v>16.778500000000001</v>
      </c>
      <c r="F27" s="14">
        <f>_xll.BDH("RCOM IN Equity","AVERAGE_PRICE_TO_CASH_FLOW","FY 2013","FY 2013","Currency=INR","Period=FY","BEST_FPERIOD_OVERRIDE=FY","FILING_STATUS=MR","EQY_CONSOLIDATED=Y","Sort=A","Dates=H","DateFormat=P","Fill=—","Direction=H","UseDPDF=Y")</f>
        <v>3.4054000000000002</v>
      </c>
      <c r="G27" s="14">
        <f>_xll.BDH("RCOM IN Equity","AVERAGE_PRICE_TO_CASH_FLOW","FY 2014","FY 2014","Currency=INR","Period=FY","BEST_FPERIOD_OVERRIDE=FY","FILING_STATUS=MR","EQY_CONSOLIDATED=Y","Sort=A","Dates=H","DateFormat=P","Fill=—","Direction=H","UseDPDF=Y")</f>
        <v>18.763400000000001</v>
      </c>
      <c r="H27" s="14">
        <f>_xll.BDH("RCOM IN Equity","AVERAGE_PRICE_TO_CASH_FLOW","FY 2015","FY 2015","Currency=INR","Period=FY","BEST_FPERIOD_OVERRIDE=FY","FILING_STATUS=MR","EQY_CONSOLIDATED=Y","Sort=A","Dates=H","DateFormat=P","Fill=—","Direction=H","UseDPDF=Y")</f>
        <v>5.82</v>
      </c>
      <c r="I27" s="14">
        <f>_xll.BDH("RCOM IN Equity","AVERAGE_PRICE_TO_CASH_FLOW","FY 2016","FY 2016","Currency=INR","Period=FY","BEST_FPERIOD_OVERRIDE=FY","FILING_STATUS=MR","EQY_CONSOLIDATED=Y","Sort=A","Dates=H","DateFormat=P","Fill=—","Direction=H","UseDPDF=Y")</f>
        <v>31.760999999999999</v>
      </c>
      <c r="J27" s="14">
        <f>_xll.BDH("RCOM IN Equity","AVERAGE_PRICE_TO_CASH_FLOW","FY 2017","FY 2017","Currency=INR","Period=FY","BEST_FPERIOD_OVERRIDE=FY","FILING_STATUS=MR","EQY_CONSOLIDATED=Y","Sort=A","Dates=H","DateFormat=P","Fill=—","Direction=H","UseDPDF=Y")</f>
        <v>0.76849999999999996</v>
      </c>
      <c r="K27" s="14" t="str">
        <f>_xll.BDH("RCOM IN Equity","AVERAGE_PRICE_TO_CASH_FLOW","FY 2018","FY 2018","Currency=INR","Period=FY","BEST_FPERIOD_OVERRIDE=FY","FILING_STATUS=MR","EQY_CONSOLIDATED=Y","Sort=A","Dates=H","DateFormat=P","Fill=—","Direction=H","UseDPDF=Y")</f>
        <v>—</v>
      </c>
      <c r="L27" s="17"/>
    </row>
    <row r="28" spans="1:12">
      <c r="A28" s="10" t="s">
        <v>163</v>
      </c>
      <c r="B28" s="10" t="s">
        <v>185</v>
      </c>
      <c r="C28" s="14">
        <f>_xll.BDH("RCOM IN Equity","HIGH_CLOSING_PRICE_TO_CASH_FLOW","FY 2010","FY 2010","Currency=INR","Period=FY","BEST_FPERIOD_OVERRIDE=FY","FILING_STATUS=MR","EQY_CONSOLIDATED=Y","Sort=A","Dates=H","DateFormat=P","Fill=—","Direction=H","UseDPDF=Y")</f>
        <v>14.091900000000001</v>
      </c>
      <c r="D28" s="14">
        <f>_xll.BDH("RCOM IN Equity","HIGH_CLOSING_PRICE_TO_CASH_FLOW","FY 2011","FY 2011","Currency=INR","Period=FY","BEST_FPERIOD_OVERRIDE=FY","FILING_STATUS=MR","EQY_CONSOLIDATED=Y","Sort=A","Dates=H","DateFormat=P","Fill=—","Direction=H","UseDPDF=Y")</f>
        <v>20.726900000000001</v>
      </c>
      <c r="E28" s="14">
        <f>_xll.BDH("RCOM IN Equity","HIGH_CLOSING_PRICE_TO_CASH_FLOW","FY 2012","FY 2012","Currency=INR","Period=FY","BEST_FPERIOD_OVERRIDE=FY","FILING_STATUS=MR","EQY_CONSOLIDATED=Y","Sort=A","Dates=H","DateFormat=P","Fill=—","Direction=H","UseDPDF=Y")</f>
        <v>21.6126</v>
      </c>
      <c r="F28" s="14">
        <f>_xll.BDH("RCOM IN Equity","HIGH_CLOSING_PRICE_TO_CASH_FLOW","FY 2013","FY 2013","Currency=INR","Period=FY","BEST_FPERIOD_OVERRIDE=FY","FILING_STATUS=MR","EQY_CONSOLIDATED=Y","Sort=A","Dates=H","DateFormat=P","Fill=—","Direction=H","UseDPDF=Y")</f>
        <v>8.3314000000000004</v>
      </c>
      <c r="G28" s="14">
        <f>_xll.BDH("RCOM IN Equity","HIGH_CLOSING_PRICE_TO_CASH_FLOW","FY 2014","FY 2014","Currency=INR","Period=FY","BEST_FPERIOD_OVERRIDE=FY","FILING_STATUS=MR","EQY_CONSOLIDATED=Y","Sort=A","Dates=H","DateFormat=P","Fill=—","Direction=H","UseDPDF=Y")</f>
        <v>24.218399999999999</v>
      </c>
      <c r="H28" s="14">
        <f>_xll.BDH("RCOM IN Equity","HIGH_CLOSING_PRICE_TO_CASH_FLOW","FY 2015","FY 2015","Currency=INR","Period=FY","BEST_FPERIOD_OVERRIDE=FY","FILING_STATUS=MR","EQY_CONSOLIDATED=Y","Sort=A","Dates=H","DateFormat=P","Fill=—","Direction=H","UseDPDF=Y")</f>
        <v>28.453499999999998</v>
      </c>
      <c r="I28" s="14">
        <f>_xll.BDH("RCOM IN Equity","HIGH_CLOSING_PRICE_TO_CASH_FLOW","FY 2016","FY 2016","Currency=INR","Period=FY","BEST_FPERIOD_OVERRIDE=FY","FILING_STATUS=MR","EQY_CONSOLIDATED=Y","Sort=A","Dates=H","DateFormat=P","Fill=—","Direction=H","UseDPDF=Y")</f>
        <v>43.508600000000001</v>
      </c>
      <c r="J28" s="14">
        <f>_xll.BDH("RCOM IN Equity","HIGH_CLOSING_PRICE_TO_CASH_FLOW","FY 2017","FY 2017","Currency=INR","Period=FY","BEST_FPERIOD_OVERRIDE=FY","FILING_STATUS=MR","EQY_CONSOLIDATED=Y","Sort=A","Dates=H","DateFormat=P","Fill=—","Direction=H","UseDPDF=Y")</f>
        <v>1.0306999999999999</v>
      </c>
      <c r="K28" s="14" t="str">
        <f>_xll.BDH("RCOM IN Equity","HIGH_CLOSING_PRICE_TO_CASH_FLOW","FY 2018","FY 2018","Currency=INR","Period=FY","BEST_FPERIOD_OVERRIDE=FY","FILING_STATUS=MR","EQY_CONSOLIDATED=Y","Sort=A","Dates=H","DateFormat=P","Fill=—","Direction=H","UseDPDF=Y")</f>
        <v>—</v>
      </c>
      <c r="L28" s="17"/>
    </row>
    <row r="29" spans="1:12">
      <c r="A29" s="10" t="s">
        <v>165</v>
      </c>
      <c r="B29" s="10" t="s">
        <v>186</v>
      </c>
      <c r="C29" s="14">
        <f>_xll.BDH("RCOM IN Equity","LOW_CLOSING_PRICE_TO_CASH_FLOW","FY 2010","FY 2010","Currency=INR","Period=FY","BEST_FPERIOD_OVERRIDE=FY","FILING_STATUS=MR","EQY_CONSOLIDATED=Y","Sort=A","Dates=H","DateFormat=P","Fill=—","Direction=H","UseDPDF=Y")</f>
        <v>4.2906000000000004</v>
      </c>
      <c r="D29" s="14">
        <f>_xll.BDH("RCOM IN Equity","LOW_CLOSING_PRICE_TO_CASH_FLOW","FY 2011","FY 2011","Currency=INR","Period=FY","BEST_FPERIOD_OVERRIDE=FY","FILING_STATUS=MR","EQY_CONSOLIDATED=Y","Sort=A","Dates=H","DateFormat=P","Fill=—","Direction=H","UseDPDF=Y")</f>
        <v>2.1648000000000001</v>
      </c>
      <c r="E29" s="14">
        <f>_xll.BDH("RCOM IN Equity","LOW_CLOSING_PRICE_TO_CASH_FLOW","FY 2012","FY 2012","Currency=INR","Period=FY","BEST_FPERIOD_OVERRIDE=FY","FILING_STATUS=MR","EQY_CONSOLIDATED=Y","Sort=A","Dates=H","DateFormat=P","Fill=—","Direction=H","UseDPDF=Y")</f>
        <v>4.2592999999999996</v>
      </c>
      <c r="F29" s="14">
        <f>_xll.BDH("RCOM IN Equity","LOW_CLOSING_PRICE_TO_CASH_FLOW","FY 2013","FY 2013","Currency=INR","Period=FY","BEST_FPERIOD_OVERRIDE=FY","FILING_STATUS=MR","EQY_CONSOLIDATED=Y","Sort=A","Dates=H","DateFormat=P","Fill=—","Direction=H","UseDPDF=Y")</f>
        <v>2.4274</v>
      </c>
      <c r="G29" s="14">
        <f>_xll.BDH("RCOM IN Equity","LOW_CLOSING_PRICE_TO_CASH_FLOW","FY 2014","FY 2014","Currency=INR","Period=FY","BEST_FPERIOD_OVERRIDE=FY","FILING_STATUS=MR","EQY_CONSOLIDATED=Y","Sort=A","Dates=H","DateFormat=P","Fill=—","Direction=H","UseDPDF=Y")</f>
        <v>6.8748000000000005</v>
      </c>
      <c r="H29" s="14">
        <f>_xll.BDH("RCOM IN Equity","LOW_CLOSING_PRICE_TO_CASH_FLOW","FY 2015","FY 2015","Currency=INR","Period=FY","BEST_FPERIOD_OVERRIDE=FY","FILING_STATUS=MR","EQY_CONSOLIDATED=Y","Sort=A","Dates=H","DateFormat=P","Fill=—","Direction=H","UseDPDF=Y")</f>
        <v>3.1120000000000001</v>
      </c>
      <c r="I29" s="14">
        <f>_xll.BDH("RCOM IN Equity","LOW_CLOSING_PRICE_TO_CASH_FLOW","FY 2016","FY 2016","Currency=INR","Period=FY","BEST_FPERIOD_OVERRIDE=FY","FILING_STATUS=MR","EQY_CONSOLIDATED=Y","Sort=A","Dates=H","DateFormat=P","Fill=—","Direction=H","UseDPDF=Y")</f>
        <v>0.86760000000000004</v>
      </c>
      <c r="J29" s="14">
        <f>_xll.BDH("RCOM IN Equity","LOW_CLOSING_PRICE_TO_CASH_FLOW","FY 2017","FY 2017","Currency=INR","Period=FY","BEST_FPERIOD_OVERRIDE=FY","FILING_STATUS=MR","EQY_CONSOLIDATED=Y","Sort=A","Dates=H","DateFormat=P","Fill=—","Direction=H","UseDPDF=Y")</f>
        <v>0.5353</v>
      </c>
      <c r="K29" s="14" t="str">
        <f>_xll.BDH("RCOM IN Equity","LOW_CLOSING_PRICE_TO_CASH_FLOW","FY 2018","FY 2018","Currency=INR","Period=FY","BEST_FPERIOD_OVERRIDE=FY","FILING_STATUS=MR","EQY_CONSOLIDATED=Y","Sort=A","Dates=H","DateFormat=P","Fill=—","Direction=H","UseDPDF=Y")</f>
        <v>—</v>
      </c>
      <c r="L29" s="17"/>
    </row>
    <row r="30" spans="1:12">
      <c r="A30" s="6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1"/>
    </row>
    <row r="31" spans="1:12">
      <c r="A31" s="6" t="s">
        <v>187</v>
      </c>
      <c r="B31" s="6" t="s">
        <v>188</v>
      </c>
      <c r="C31" s="20">
        <f>_xll.BDH("RCOM IN Equity","PX_TO_FREE_CASH_FLOW","FY 2010","FY 2010","Currency=INR","Period=FY","BEST_FPERIOD_OVERRIDE=FY","FILING_STATUS=MR","EQY_CONSOLIDATED=Y","Sort=A","Dates=H","DateFormat=P","Fill=—","Direction=H","UseDPDF=Y")</f>
        <v>51.615099999999998</v>
      </c>
      <c r="D31" s="20" t="str">
        <f>_xll.BDH("RCOM IN Equity","PX_TO_FREE_CASH_FLOW","FY 2011","FY 2011","Currency=INR","Period=FY","BEST_FPERIOD_OVERRIDE=FY","FILING_STATUS=MR","EQY_CONSOLIDATED=Y","Sort=A","Dates=H","DateFormat=P","Fill=—","Direction=H","UseDPDF=Y")</f>
        <v>—</v>
      </c>
      <c r="E31" s="20" t="str">
        <f>_xll.BDH("RCOM IN Equity","PX_TO_FREE_CASH_FLOW","FY 2012","FY 2012","Currency=INR","Period=FY","BEST_FPERIOD_OVERRIDE=FY","FILING_STATUS=MR","EQY_CONSOLIDATED=Y","Sort=A","Dates=H","DateFormat=P","Fill=—","Direction=H","UseDPDF=Y")</f>
        <v>—</v>
      </c>
      <c r="F31" s="20" t="str">
        <f>_xll.BDH("RCOM IN Equity","PX_TO_FREE_CASH_FLOW","FY 2013","FY 2013","Currency=INR","Period=FY","BEST_FPERIOD_OVERRIDE=FY","FILING_STATUS=MR","EQY_CONSOLIDATED=Y","Sort=A","Dates=H","DateFormat=P","Fill=—","Direction=H","UseDPDF=Y")</f>
        <v>—</v>
      </c>
      <c r="G31" s="20">
        <f>_xll.BDH("RCOM IN Equity","PX_TO_FREE_CASH_FLOW","FY 2014","FY 2014","Currency=INR","Period=FY","BEST_FPERIOD_OVERRIDE=FY","FILING_STATUS=MR","EQY_CONSOLIDATED=Y","Sort=A","Dates=H","DateFormat=P","Fill=—","Direction=H","UseDPDF=Y")</f>
        <v>15.6043</v>
      </c>
      <c r="H31" s="20" t="str">
        <f>_xll.BDH("RCOM IN Equity","PX_TO_FREE_CASH_FLOW","FY 2015","FY 2015","Currency=INR","Period=FY","BEST_FPERIOD_OVERRIDE=FY","FILING_STATUS=MR","EQY_CONSOLIDATED=Y","Sort=A","Dates=H","DateFormat=P","Fill=—","Direction=H","UseDPDF=Y")</f>
        <v>—</v>
      </c>
      <c r="I31" s="20" t="str">
        <f>_xll.BDH("RCOM IN Equity","PX_TO_FREE_CASH_FLOW","FY 2016","FY 2016","Currency=INR","Period=FY","BEST_FPERIOD_OVERRIDE=FY","FILING_STATUS=MR","EQY_CONSOLIDATED=Y","Sort=A","Dates=H","DateFormat=P","Fill=—","Direction=H","UseDPDF=Y")</f>
        <v>—</v>
      </c>
      <c r="J31" s="20" t="str">
        <f>_xll.BDH("RCOM IN Equity","PX_TO_FREE_CASH_FLOW","FY 2017","FY 2017","Currency=INR","Period=FY","BEST_FPERIOD_OVERRIDE=FY","FILING_STATUS=MR","EQY_CONSOLIDATED=Y","Sort=A","Dates=H","DateFormat=P","Fill=—","Direction=H","UseDPDF=Y")</f>
        <v>—</v>
      </c>
      <c r="K31" s="20" t="str">
        <f>_xll.BDH("RCOM IN Equity","PX_TO_FREE_CASH_FLOW","FY 2018","FY 2018","Currency=INR","Period=FY","BEST_FPERIOD_OVERRIDE=FY","FILING_STATUS=MR","EQY_CONSOLIDATED=Y","Sort=A","Dates=H","DateFormat=P","Fill=—","Direction=H","UseDPDF=Y")</f>
        <v>—</v>
      </c>
      <c r="L31" s="23"/>
    </row>
    <row r="32" spans="1:12">
      <c r="A32" s="10" t="s">
        <v>161</v>
      </c>
      <c r="B32" s="10" t="s">
        <v>189</v>
      </c>
      <c r="C32" s="14">
        <f>_xll.BDH("RCOM IN Equity","AVERAGE_PRICE_TO_FREE_CASH_FLOW","FY 2010","FY 2010","Currency=INR","Period=FY","BEST_FPERIOD_OVERRIDE=FY","FILING_STATUS=MR","EQY_CONSOLIDATED=Y","Sort=A","Dates=H","DateFormat=P","Fill=—","Direction=H","UseDPDF=Y")</f>
        <v>51.615099999999998</v>
      </c>
      <c r="D32" s="14">
        <f>_xll.BDH("RCOM IN Equity","AVERAGE_PRICE_TO_FREE_CASH_FLOW","FY 2011","FY 2011","Currency=INR","Period=FY","BEST_FPERIOD_OVERRIDE=FY","FILING_STATUS=MR","EQY_CONSOLIDATED=Y","Sort=A","Dates=H","DateFormat=P","Fill=—","Direction=H","UseDPDF=Y")</f>
        <v>46.429900000000004</v>
      </c>
      <c r="E32" s="14" t="str">
        <f>_xll.BDH("RCOM IN Equity","AVERAGE_PRICE_TO_FREE_CASH_FLOW","FY 2012","FY 2012","Currency=INR","Period=FY","BEST_FPERIOD_OVERRIDE=FY","FILING_STATUS=MR","EQY_CONSOLIDATED=Y","Sort=A","Dates=H","DateFormat=P","Fill=—","Direction=H","UseDPDF=Y")</f>
        <v>—</v>
      </c>
      <c r="F32" s="14" t="str">
        <f>_xll.BDH("RCOM IN Equity","AVERAGE_PRICE_TO_FREE_CASH_FLOW","FY 2013","FY 2013","Currency=INR","Period=FY","BEST_FPERIOD_OVERRIDE=FY","FILING_STATUS=MR","EQY_CONSOLIDATED=Y","Sort=A","Dates=H","DateFormat=P","Fill=—","Direction=H","UseDPDF=Y")</f>
        <v>—</v>
      </c>
      <c r="G32" s="14">
        <f>_xll.BDH("RCOM IN Equity","AVERAGE_PRICE_TO_FREE_CASH_FLOW","FY 2014","FY 2014","Currency=INR","Period=FY","BEST_FPERIOD_OVERRIDE=FY","FILING_STATUS=MR","EQY_CONSOLIDATED=Y","Sort=A","Dates=H","DateFormat=P","Fill=—","Direction=H","UseDPDF=Y")</f>
        <v>15.6043</v>
      </c>
      <c r="H32" s="14">
        <f>_xll.BDH("RCOM IN Equity","AVERAGE_PRICE_TO_FREE_CASH_FLOW","FY 2015","FY 2015","Currency=INR","Period=FY","BEST_FPERIOD_OVERRIDE=FY","FILING_STATUS=MR","EQY_CONSOLIDATED=Y","Sort=A","Dates=H","DateFormat=P","Fill=—","Direction=H","UseDPDF=Y")</f>
        <v>12.997999999999999</v>
      </c>
      <c r="I32" s="14" t="str">
        <f>_xll.BDH("RCOM IN Equity","AVERAGE_PRICE_TO_FREE_CASH_FLOW","FY 2016","FY 2016","Currency=INR","Period=FY","BEST_FPERIOD_OVERRIDE=FY","FILING_STATUS=MR","EQY_CONSOLIDATED=Y","Sort=A","Dates=H","DateFormat=P","Fill=—","Direction=H","UseDPDF=Y")</f>
        <v>—</v>
      </c>
      <c r="J32" s="14" t="str">
        <f>_xll.BDH("RCOM IN Equity","AVERAGE_PRICE_TO_FREE_CASH_FLOW","FY 2017","FY 2017","Currency=INR","Period=FY","BEST_FPERIOD_OVERRIDE=FY","FILING_STATUS=MR","EQY_CONSOLIDATED=Y","Sort=A","Dates=H","DateFormat=P","Fill=—","Direction=H","UseDPDF=Y")</f>
        <v>—</v>
      </c>
      <c r="K32" s="14" t="str">
        <f>_xll.BDH("RCOM IN Equity","AVERAGE_PRICE_TO_FREE_CASH_FLOW","FY 2018","FY 2018","Currency=INR","Period=FY","BEST_FPERIOD_OVERRIDE=FY","FILING_STATUS=MR","EQY_CONSOLIDATED=Y","Sort=A","Dates=H","DateFormat=P","Fill=—","Direction=H","UseDPDF=Y")</f>
        <v>—</v>
      </c>
      <c r="L32" s="17"/>
    </row>
    <row r="33" spans="1:12">
      <c r="A33" s="10" t="s">
        <v>163</v>
      </c>
      <c r="B33" s="10" t="s">
        <v>190</v>
      </c>
      <c r="C33" s="14">
        <f>_xll.BDH("RCOM IN Equity","HIGH_PRICE_TO_FREE_CASH_FLOW","FY 2010","FY 2010","Currency=INR","Period=FY","BEST_FPERIOD_OVERRIDE=FY","FILING_STATUS=MR","EQY_CONSOLIDATED=Y","Sort=A","Dates=H","DateFormat=P","Fill=—","Direction=H","UseDPDF=Y")</f>
        <v>51.615099999999998</v>
      </c>
      <c r="D33" s="14">
        <f>_xll.BDH("RCOM IN Equity","HIGH_PRICE_TO_FREE_CASH_FLOW","FY 2011","FY 2011","Currency=INR","Period=FY","BEST_FPERIOD_OVERRIDE=FY","FILING_STATUS=MR","EQY_CONSOLIDATED=Y","Sort=A","Dates=H","DateFormat=P","Fill=—","Direction=H","UseDPDF=Y")</f>
        <v>61.242600000000003</v>
      </c>
      <c r="E33" s="14" t="str">
        <f>_xll.BDH("RCOM IN Equity","HIGH_PRICE_TO_FREE_CASH_FLOW","FY 2012","FY 2012","Currency=INR","Period=FY","BEST_FPERIOD_OVERRIDE=FY","FILING_STATUS=MR","EQY_CONSOLIDATED=Y","Sort=A","Dates=H","DateFormat=P","Fill=—","Direction=H","UseDPDF=Y")</f>
        <v>—</v>
      </c>
      <c r="F33" s="14" t="str">
        <f>_xll.BDH("RCOM IN Equity","HIGH_PRICE_TO_FREE_CASH_FLOW","FY 2013","FY 2013","Currency=INR","Period=FY","BEST_FPERIOD_OVERRIDE=FY","FILING_STATUS=MR","EQY_CONSOLIDATED=Y","Sort=A","Dates=H","DateFormat=P","Fill=—","Direction=H","UseDPDF=Y")</f>
        <v>—</v>
      </c>
      <c r="G33" s="14">
        <f>_xll.BDH("RCOM IN Equity","HIGH_PRICE_TO_FREE_CASH_FLOW","FY 2014","FY 2014","Currency=INR","Period=FY","BEST_FPERIOD_OVERRIDE=FY","FILING_STATUS=MR","EQY_CONSOLIDATED=Y","Sort=A","Dates=H","DateFormat=P","Fill=—","Direction=H","UseDPDF=Y")</f>
        <v>15.6043</v>
      </c>
      <c r="H33" s="14">
        <f>_xll.BDH("RCOM IN Equity","HIGH_PRICE_TO_FREE_CASH_FLOW","FY 2015","FY 2015","Currency=INR","Period=FY","BEST_FPERIOD_OVERRIDE=FY","FILING_STATUS=MR","EQY_CONSOLIDATED=Y","Sort=A","Dates=H","DateFormat=P","Fill=—","Direction=H","UseDPDF=Y")</f>
        <v>18.739699999999999</v>
      </c>
      <c r="I33" s="14" t="str">
        <f>_xll.BDH("RCOM IN Equity","HIGH_PRICE_TO_FREE_CASH_FLOW","FY 2016","FY 2016","Currency=INR","Period=FY","BEST_FPERIOD_OVERRIDE=FY","FILING_STATUS=MR","EQY_CONSOLIDATED=Y","Sort=A","Dates=H","DateFormat=P","Fill=—","Direction=H","UseDPDF=Y")</f>
        <v>—</v>
      </c>
      <c r="J33" s="14" t="str">
        <f>_xll.BDH("RCOM IN Equity","HIGH_PRICE_TO_FREE_CASH_FLOW","FY 2017","FY 2017","Currency=INR","Period=FY","BEST_FPERIOD_OVERRIDE=FY","FILING_STATUS=MR","EQY_CONSOLIDATED=Y","Sort=A","Dates=H","DateFormat=P","Fill=—","Direction=H","UseDPDF=Y")</f>
        <v>—</v>
      </c>
      <c r="K33" s="14" t="str">
        <f>_xll.BDH("RCOM IN Equity","HIGH_PRICE_TO_FREE_CASH_FLOW","FY 2018","FY 2018","Currency=INR","Period=FY","BEST_FPERIOD_OVERRIDE=FY","FILING_STATUS=MR","EQY_CONSOLIDATED=Y","Sort=A","Dates=H","DateFormat=P","Fill=—","Direction=H","UseDPDF=Y")</f>
        <v>—</v>
      </c>
      <c r="L33" s="17"/>
    </row>
    <row r="34" spans="1:12">
      <c r="A34" s="10" t="s">
        <v>165</v>
      </c>
      <c r="B34" s="10" t="s">
        <v>191</v>
      </c>
      <c r="C34" s="14">
        <f>_xll.BDH("RCOM IN Equity","LOW_PRICE_TO_FREE_CASH_FLOW","FY 2010","FY 2010","Currency=INR","Period=FY","BEST_FPERIOD_OVERRIDE=FY","FILING_STATUS=MR","EQY_CONSOLIDATED=Y","Sort=A","Dates=H","DateFormat=P","Fill=—","Direction=H","UseDPDF=Y")</f>
        <v>51.615099999999998</v>
      </c>
      <c r="D34" s="14">
        <f>_xll.BDH("RCOM IN Equity","LOW_PRICE_TO_FREE_CASH_FLOW","FY 2011","FY 2011","Currency=INR","Period=FY","BEST_FPERIOD_OVERRIDE=FY","FILING_STATUS=MR","EQY_CONSOLIDATED=Y","Sort=A","Dates=H","DateFormat=P","Fill=—","Direction=H","UseDPDF=Y")</f>
        <v>26.042899999999999</v>
      </c>
      <c r="E34" s="14" t="str">
        <f>_xll.BDH("RCOM IN Equity","LOW_PRICE_TO_FREE_CASH_FLOW","FY 2012","FY 2012","Currency=INR","Period=FY","BEST_FPERIOD_OVERRIDE=FY","FILING_STATUS=MR","EQY_CONSOLIDATED=Y","Sort=A","Dates=H","DateFormat=P","Fill=—","Direction=H","UseDPDF=Y")</f>
        <v>—</v>
      </c>
      <c r="F34" s="14" t="str">
        <f>_xll.BDH("RCOM IN Equity","LOW_PRICE_TO_FREE_CASH_FLOW","FY 2013","FY 2013","Currency=INR","Period=FY","BEST_FPERIOD_OVERRIDE=FY","FILING_STATUS=MR","EQY_CONSOLIDATED=Y","Sort=A","Dates=H","DateFormat=P","Fill=—","Direction=H","UseDPDF=Y")</f>
        <v>—</v>
      </c>
      <c r="G34" s="14">
        <f>_xll.BDH("RCOM IN Equity","LOW_PRICE_TO_FREE_CASH_FLOW","FY 2014","FY 2014","Currency=INR","Period=FY","BEST_FPERIOD_OVERRIDE=FY","FILING_STATUS=MR","EQY_CONSOLIDATED=Y","Sort=A","Dates=H","DateFormat=P","Fill=—","Direction=H","UseDPDF=Y")</f>
        <v>15.6043</v>
      </c>
      <c r="H34" s="14">
        <f>_xll.BDH("RCOM IN Equity","LOW_PRICE_TO_FREE_CASH_FLOW","FY 2015","FY 2015","Currency=INR","Period=FY","BEST_FPERIOD_OVERRIDE=FY","FILING_STATUS=MR","EQY_CONSOLIDATED=Y","Sort=A","Dates=H","DateFormat=P","Fill=—","Direction=H","UseDPDF=Y")</f>
        <v>7.0636999999999999</v>
      </c>
      <c r="I34" s="14" t="str">
        <f>_xll.BDH("RCOM IN Equity","LOW_PRICE_TO_FREE_CASH_FLOW","FY 2016","FY 2016","Currency=INR","Period=FY","BEST_FPERIOD_OVERRIDE=FY","FILING_STATUS=MR","EQY_CONSOLIDATED=Y","Sort=A","Dates=H","DateFormat=P","Fill=—","Direction=H","UseDPDF=Y")</f>
        <v>—</v>
      </c>
      <c r="J34" s="14" t="str">
        <f>_xll.BDH("RCOM IN Equity","LOW_PRICE_TO_FREE_CASH_FLOW","FY 2017","FY 2017","Currency=INR","Period=FY","BEST_FPERIOD_OVERRIDE=FY","FILING_STATUS=MR","EQY_CONSOLIDATED=Y","Sort=A","Dates=H","DateFormat=P","Fill=—","Direction=H","UseDPDF=Y")</f>
        <v>—</v>
      </c>
      <c r="K34" s="14" t="str">
        <f>_xll.BDH("RCOM IN Equity","LOW_PRICE_TO_FREE_CASH_FLOW","FY 2018","FY 2018","Currency=INR","Period=FY","BEST_FPERIOD_OVERRIDE=FY","FILING_STATUS=MR","EQY_CONSOLIDATED=Y","Sort=A","Dates=H","DateFormat=P","Fill=—","Direction=H","UseDPDF=Y")</f>
        <v>—</v>
      </c>
      <c r="L34" s="17"/>
    </row>
    <row r="35" spans="1:12">
      <c r="A35" s="6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1"/>
    </row>
    <row r="36" spans="1:12">
      <c r="A36" s="6" t="s">
        <v>133</v>
      </c>
      <c r="B36" s="6" t="s">
        <v>134</v>
      </c>
      <c r="C36" s="20">
        <f>_xll.BDH("RCOM IN Equity","EV_TO_T12M_SALES","FY 2010","FY 2010","Currency=INR","Period=FY","BEST_FPERIOD_OVERRIDE=FY","FILING_STATUS=MR","EQY_CONSOLIDATED=Y","FA_ADJUSTED=GAAP","Sort=A","Dates=H","DateFormat=P","Fill=—","Direction=H","UseDPDF=Y")</f>
        <v>2.9293</v>
      </c>
      <c r="D36" s="20">
        <f>_xll.BDH("RCOM IN Equity","EV_TO_T12M_SALES","FY 2011","FY 2011","Currency=INR","Period=FY","BEST_FPERIOD_OVERRIDE=FY","FILING_STATUS=MR","EQY_CONSOLIDATED=Y","FA_ADJUSTED=GAAP","Sort=A","Dates=H","DateFormat=P","Fill=—","Direction=H","UseDPDF=Y")</f>
        <v>2.5712000000000002</v>
      </c>
      <c r="E36" s="20">
        <f>_xll.BDH("RCOM IN Equity","EV_TO_T12M_SALES","FY 2012","FY 2012","Currency=INR","Period=FY","BEST_FPERIOD_OVERRIDE=FY","FILING_STATUS=MR","EQY_CONSOLIDATED=Y","FA_ADJUSTED=GAAP","Sort=A","Dates=H","DateFormat=P","Fill=—","Direction=H","UseDPDF=Y")</f>
        <v>2.9622999999999999</v>
      </c>
      <c r="F36" s="20">
        <f>_xll.BDH("RCOM IN Equity","EV_TO_T12M_SALES","FY 2013","FY 2013","Currency=INR","Period=FY","BEST_FPERIOD_OVERRIDE=FY","FILING_STATUS=MR","EQY_CONSOLIDATED=Y","FA_ADJUSTED=GAAP","Sort=A","Dates=H","DateFormat=P","Fill=—","Direction=H","UseDPDF=Y")</f>
        <v>2.7161</v>
      </c>
      <c r="G36" s="20">
        <f>_xll.BDH("RCOM IN Equity","EV_TO_T12M_SALES","FY 2014","FY 2014","Currency=INR","Period=FY","BEST_FPERIOD_OVERRIDE=FY","FILING_STATUS=MR","EQY_CONSOLIDATED=Y","FA_ADJUSTED=GAAP","Sort=A","Dates=H","DateFormat=P","Fill=—","Direction=H","UseDPDF=Y")</f>
        <v>3.2715999999999998</v>
      </c>
      <c r="H36" s="20">
        <f>_xll.BDH("RCOM IN Equity","EV_TO_T12M_SALES","FY 2015","FY 2015","Currency=INR","Period=FY","BEST_FPERIOD_OVERRIDE=FY","FILING_STATUS=MR","EQY_CONSOLIDATED=Y","FA_ADJUSTED=GAAP","Sort=A","Dates=H","DateFormat=P","Fill=—","Direction=H","UseDPDF=Y")</f>
        <v>2.4527000000000001</v>
      </c>
      <c r="I36" s="20">
        <f>_xll.BDH("RCOM IN Equity","EV_TO_T12M_SALES","FY 2016","FY 2016","Currency=INR","Period=FY","BEST_FPERIOD_OVERRIDE=FY","FILING_STATUS=MR","EQY_CONSOLIDATED=Y","FA_ADJUSTED=GAAP","Sort=A","Dates=H","DateFormat=P","Fill=—","Direction=H","UseDPDF=Y")</f>
        <v>2.5215999999999998</v>
      </c>
      <c r="J36" s="20">
        <f>_xll.BDH("RCOM IN Equity","EV_TO_T12M_SALES","FY 2017","FY 2017","Currency=INR","Period=FY","BEST_FPERIOD_OVERRIDE=FY","FILING_STATUS=MR","EQY_CONSOLIDATED=Y","FA_ADJUSTED=GAAP","Sort=A","Dates=H","DateFormat=P","Fill=—","Direction=H","UseDPDF=Y")</f>
        <v>8.2928999999999995</v>
      </c>
      <c r="K36" s="20">
        <f>_xll.BDH("RCOM IN Equity","EV_TO_T12M_SALES","FY 2018","FY 2018","Currency=INR","Period=FY","BEST_FPERIOD_OVERRIDE=FY","FILING_STATUS=MR","EQY_CONSOLIDATED=Y","FA_ADJUSTED=GAAP","Sort=A","Dates=H","DateFormat=P","Fill=—","Direction=H","UseDPDF=Y")</f>
        <v>11.5162</v>
      </c>
      <c r="L36" s="23">
        <v>8.5180539262868606</v>
      </c>
    </row>
    <row r="37" spans="1:12">
      <c r="A37" s="10" t="s">
        <v>161</v>
      </c>
      <c r="B37" s="10" t="s">
        <v>192</v>
      </c>
      <c r="C37" s="14">
        <f>_xll.BDH("RCOM IN Equity","AVERAGE_EV_TO_T12M_SALES","FY 2010","FY 2010","Currency=INR","Period=FY","BEST_FPERIOD_OVERRIDE=FY","FILING_STATUS=MR","EQY_CONSOLIDATED=Y","FA_ADJUSTED=GAAP","Sort=A","Dates=H","DateFormat=P","Fill=—","Direction=H","UseDPDF=Y")</f>
        <v>3.6686000000000001</v>
      </c>
      <c r="D37" s="14">
        <f>_xll.BDH("RCOM IN Equity","AVERAGE_EV_TO_T12M_SALES","FY 2011","FY 2011","Currency=INR","Period=FY","BEST_FPERIOD_OVERRIDE=FY","FILING_STATUS=MR","EQY_CONSOLIDATED=Y","FA_ADJUSTED=GAAP","Sort=A","Dates=H","DateFormat=P","Fill=—","Direction=H","UseDPDF=Y")</f>
        <v>2.7582</v>
      </c>
      <c r="E37" s="14">
        <f>_xll.BDH("RCOM IN Equity","AVERAGE_EV_TO_T12M_SALES","FY 2012","FY 2012","Currency=INR","Period=FY","BEST_FPERIOD_OVERRIDE=FY","FILING_STATUS=MR","EQY_CONSOLIDATED=Y","FA_ADJUSTED=GAAP","Sort=A","Dates=H","DateFormat=P","Fill=—","Direction=H","UseDPDF=Y")</f>
        <v>2.3841000000000001</v>
      </c>
      <c r="F37" s="14">
        <f>_xll.BDH("RCOM IN Equity","AVERAGE_EV_TO_T12M_SALES","FY 2013","FY 2013","Currency=INR","Period=FY","BEST_FPERIOD_OVERRIDE=FY","FILING_STATUS=MR","EQY_CONSOLIDATED=Y","FA_ADJUSTED=GAAP","Sort=A","Dates=H","DateFormat=P","Fill=—","Direction=H","UseDPDF=Y")</f>
        <v>2.7723</v>
      </c>
      <c r="G37" s="14">
        <f>_xll.BDH("RCOM IN Equity","AVERAGE_EV_TO_T12M_SALES","FY 2014","FY 2014","Currency=INR","Period=FY","BEST_FPERIOD_OVERRIDE=FY","FILING_STATUS=MR","EQY_CONSOLIDATED=Y","FA_ADJUSTED=GAAP","Sort=A","Dates=H","DateFormat=P","Fill=—","Direction=H","UseDPDF=Y")</f>
        <v>3.4594</v>
      </c>
      <c r="H37" s="14">
        <f>_xll.BDH("RCOM IN Equity","AVERAGE_EV_TO_T12M_SALES","FY 2015","FY 2015","Currency=INR","Period=FY","BEST_FPERIOD_OVERRIDE=FY","FILING_STATUS=MR","EQY_CONSOLIDATED=Y","FA_ADJUSTED=GAAP","Sort=A","Dates=H","DateFormat=P","Fill=—","Direction=H","UseDPDF=Y")</f>
        <v>3.1772999999999998</v>
      </c>
      <c r="I37" s="14">
        <f>_xll.BDH("RCOM IN Equity","AVERAGE_EV_TO_T12M_SALES","FY 2016","FY 2016","Currency=INR","Period=FY","BEST_FPERIOD_OVERRIDE=FY","FILING_STATUS=MR","EQY_CONSOLIDATED=Y","FA_ADJUSTED=GAAP","Sort=A","Dates=H","DateFormat=P","Fill=—","Direction=H","UseDPDF=Y")</f>
        <v>2.5356999999999998</v>
      </c>
      <c r="J37" s="14">
        <f>_xll.BDH("RCOM IN Equity","AVERAGE_EV_TO_T12M_SALES","FY 2017","FY 2017","Currency=INR","Period=FY","BEST_FPERIOD_OVERRIDE=FY","FILING_STATUS=MR","EQY_CONSOLIDATED=Y","FA_ADJUSTED=GAAP","Sort=A","Dates=H","DateFormat=P","Fill=—","Direction=H","UseDPDF=Y")</f>
        <v>2.4797000000000002</v>
      </c>
      <c r="K37" s="14">
        <f>_xll.BDH("RCOM IN Equity","AVERAGE_EV_TO_T12M_SALES","FY 2018","FY 2018","Currency=INR","Period=FY","BEST_FPERIOD_OVERRIDE=FY","FILING_STATUS=MR","EQY_CONSOLIDATED=Y","FA_ADJUSTED=GAAP","Sort=A","Dates=H","DateFormat=P","Fill=—","Direction=H","UseDPDF=Y")</f>
        <v>7.7618999999999998</v>
      </c>
      <c r="L37" s="17"/>
    </row>
    <row r="38" spans="1:12">
      <c r="A38" s="10" t="s">
        <v>163</v>
      </c>
      <c r="B38" s="10" t="s">
        <v>193</v>
      </c>
      <c r="C38" s="14">
        <f>_xll.BDH("RCOM IN Equity","HIGH_EV_TO_T12M_SALES","FY 2010","FY 2010","Currency=INR","Period=FY","BEST_FPERIOD_OVERRIDE=FY","FILING_STATUS=MR","EQY_CONSOLIDATED=Y","FA_ADJUSTED=GAAP","Sort=A","Dates=H","DateFormat=P","Fill=—","Direction=H","UseDPDF=Y")</f>
        <v>4.8760000000000003</v>
      </c>
      <c r="D38" s="14">
        <f>_xll.BDH("RCOM IN Equity","HIGH_EV_TO_T12M_SALES","FY 2011","FY 2011","Currency=INR","Period=FY","BEST_FPERIOD_OVERRIDE=FY","FILING_STATUS=MR","EQY_CONSOLIDATED=Y","FA_ADJUSTED=GAAP","Sort=A","Dates=H","DateFormat=P","Fill=—","Direction=H","UseDPDF=Y")</f>
        <v>3.2456999999999998</v>
      </c>
      <c r="E38" s="14">
        <f>_xll.BDH("RCOM IN Equity","HIGH_EV_TO_T12M_SALES","FY 2012","FY 2012","Currency=INR","Period=FY","BEST_FPERIOD_OVERRIDE=FY","FILING_STATUS=MR","EQY_CONSOLIDATED=Y","FA_ADJUSTED=GAAP","Sort=A","Dates=H","DateFormat=P","Fill=—","Direction=H","UseDPDF=Y")</f>
        <v>2.9622999999999999</v>
      </c>
      <c r="F38" s="14">
        <f>_xll.BDH("RCOM IN Equity","HIGH_EV_TO_T12M_SALES","FY 2013","FY 2013","Currency=INR","Period=FY","BEST_FPERIOD_OVERRIDE=FY","FILING_STATUS=MR","EQY_CONSOLIDATED=Y","FA_ADJUSTED=GAAP","Sort=A","Dates=H","DateFormat=P","Fill=—","Direction=H","UseDPDF=Y")</f>
        <v>3.0169000000000001</v>
      </c>
      <c r="G38" s="14">
        <f>_xll.BDH("RCOM IN Equity","HIGH_EV_TO_T12M_SALES","FY 2014","FY 2014","Currency=INR","Period=FY","BEST_FPERIOD_OVERRIDE=FY","FILING_STATUS=MR","EQY_CONSOLIDATED=Y","FA_ADJUSTED=GAAP","Sort=A","Dates=H","DateFormat=P","Fill=—","Direction=H","UseDPDF=Y")</f>
        <v>3.8441999999999998</v>
      </c>
      <c r="H38" s="14">
        <f>_xll.BDH("RCOM IN Equity","HIGH_EV_TO_T12M_SALES","FY 2015","FY 2015","Currency=INR","Period=FY","BEST_FPERIOD_OVERRIDE=FY","FILING_STATUS=MR","EQY_CONSOLIDATED=Y","FA_ADJUSTED=GAAP","Sort=A","Dates=H","DateFormat=P","Fill=—","Direction=H","UseDPDF=Y")</f>
        <v>3.6892</v>
      </c>
      <c r="I38" s="14">
        <f>_xll.BDH("RCOM IN Equity","HIGH_EV_TO_T12M_SALES","FY 2016","FY 2016","Currency=INR","Period=FY","BEST_FPERIOD_OVERRIDE=FY","FILING_STATUS=MR","EQY_CONSOLIDATED=Y","FA_ADJUSTED=GAAP","Sort=A","Dates=H","DateFormat=P","Fill=—","Direction=H","UseDPDF=Y")</f>
        <v>2.8170000000000002</v>
      </c>
      <c r="J38" s="14">
        <f>_xll.BDH("RCOM IN Equity","HIGH_EV_TO_T12M_SALES","FY 2017","FY 2017","Currency=INR","Period=FY","BEST_FPERIOD_OVERRIDE=FY","FILING_STATUS=MR","EQY_CONSOLIDATED=Y","FA_ADJUSTED=GAAP","Sort=A","Dates=H","DateFormat=P","Fill=—","Direction=H","UseDPDF=Y")</f>
        <v>8.2928999999999995</v>
      </c>
      <c r="K38" s="14">
        <f>_xll.BDH("RCOM IN Equity","HIGH_EV_TO_T12M_SALES","FY 2018","FY 2018","Currency=INR","Period=FY","BEST_FPERIOD_OVERRIDE=FY","FILING_STATUS=MR","EQY_CONSOLIDATED=Y","FA_ADJUSTED=GAAP","Sort=A","Dates=H","DateFormat=P","Fill=—","Direction=H","UseDPDF=Y")</f>
        <v>11.5162</v>
      </c>
      <c r="L38" s="17"/>
    </row>
    <row r="39" spans="1:12">
      <c r="A39" s="10" t="s">
        <v>165</v>
      </c>
      <c r="B39" s="10" t="s">
        <v>194</v>
      </c>
      <c r="C39" s="14">
        <f>_xll.BDH("RCOM IN Equity","LOW_EV_TO_T12M_SALES","FY 2010","FY 2010","Currency=INR","Period=FY","BEST_FPERIOD_OVERRIDE=FY","FILING_STATUS=MR","EQY_CONSOLIDATED=Y","FA_ADJUSTED=GAAP","Sort=A","Dates=H","DateFormat=P","Fill=—","Direction=H","UseDPDF=Y")</f>
        <v>2.9293</v>
      </c>
      <c r="D39" s="14">
        <f>_xll.BDH("RCOM IN Equity","LOW_EV_TO_T12M_SALES","FY 2011","FY 2011","Currency=INR","Period=FY","BEST_FPERIOD_OVERRIDE=FY","FILING_STATUS=MR","EQY_CONSOLIDATED=Y","FA_ADJUSTED=GAAP","Sort=A","Dates=H","DateFormat=P","Fill=—","Direction=H","UseDPDF=Y")</f>
        <v>2.0891999999999999</v>
      </c>
      <c r="E39" s="14">
        <f>_xll.BDH("RCOM IN Equity","LOW_EV_TO_T12M_SALES","FY 2012","FY 2012","Currency=INR","Period=FY","BEST_FPERIOD_OVERRIDE=FY","FILING_STATUS=MR","EQY_CONSOLIDATED=Y","FA_ADJUSTED=GAAP","Sort=A","Dates=H","DateFormat=P","Fill=—","Direction=H","UseDPDF=Y")</f>
        <v>2.1456</v>
      </c>
      <c r="F39" s="14">
        <f>_xll.BDH("RCOM IN Equity","LOW_EV_TO_T12M_SALES","FY 2013","FY 2013","Currency=INR","Period=FY","BEST_FPERIOD_OVERRIDE=FY","FILING_STATUS=MR","EQY_CONSOLIDATED=Y","FA_ADJUSTED=GAAP","Sort=A","Dates=H","DateFormat=P","Fill=—","Direction=H","UseDPDF=Y")</f>
        <v>2.5636000000000001</v>
      </c>
      <c r="G39" s="14">
        <f>_xll.BDH("RCOM IN Equity","LOW_EV_TO_T12M_SALES","FY 2014","FY 2014","Currency=INR","Period=FY","BEST_FPERIOD_OVERRIDE=FY","FILING_STATUS=MR","EQY_CONSOLIDATED=Y","FA_ADJUSTED=GAAP","Sort=A","Dates=H","DateFormat=P","Fill=—","Direction=H","UseDPDF=Y")</f>
        <v>2.7347999999999999</v>
      </c>
      <c r="H39" s="14">
        <f>_xll.BDH("RCOM IN Equity","LOW_EV_TO_T12M_SALES","FY 2015","FY 2015","Currency=INR","Period=FY","BEST_FPERIOD_OVERRIDE=FY","FILING_STATUS=MR","EQY_CONSOLIDATED=Y","FA_ADJUSTED=GAAP","Sort=A","Dates=H","DateFormat=P","Fill=—","Direction=H","UseDPDF=Y")</f>
        <v>2.4527000000000001</v>
      </c>
      <c r="I39" s="14">
        <f>_xll.BDH("RCOM IN Equity","LOW_EV_TO_T12M_SALES","FY 2016","FY 2016","Currency=INR","Period=FY","BEST_FPERIOD_OVERRIDE=FY","FILING_STATUS=MR","EQY_CONSOLIDATED=Y","FA_ADJUSTED=GAAP","Sort=A","Dates=H","DateFormat=P","Fill=—","Direction=H","UseDPDF=Y")</f>
        <v>2.3388999999999998</v>
      </c>
      <c r="J39" s="14">
        <f>_xll.BDH("RCOM IN Equity","LOW_EV_TO_T12M_SALES","FY 2017","FY 2017","Currency=INR","Period=FY","BEST_FPERIOD_OVERRIDE=FY","FILING_STATUS=MR","EQY_CONSOLIDATED=Y","FA_ADJUSTED=GAAP","Sort=A","Dates=H","DateFormat=P","Fill=—","Direction=H","UseDPDF=Y")</f>
        <v>2.3024</v>
      </c>
      <c r="K39" s="14">
        <f>_xll.BDH("RCOM IN Equity","LOW_EV_TO_T12M_SALES","FY 2018","FY 2018","Currency=INR","Period=FY","BEST_FPERIOD_OVERRIDE=FY","FILING_STATUS=MR","EQY_CONSOLIDATED=Y","FA_ADJUSTED=GAAP","Sort=A","Dates=H","DateFormat=P","Fill=—","Direction=H","UseDPDF=Y")</f>
        <v>7.2220000000000004</v>
      </c>
      <c r="L39" s="17"/>
    </row>
    <row r="40" spans="1:12">
      <c r="A40" s="6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1"/>
    </row>
    <row r="41" spans="1:12">
      <c r="A41" s="6" t="s">
        <v>135</v>
      </c>
      <c r="B41" s="6" t="s">
        <v>136</v>
      </c>
      <c r="C41" s="20">
        <f>_xll.BDH("RCOM IN Equity","EV_TO_T12M_EBITDA","FY 2010","FY 2010","Currency=INR","Period=FY","BEST_FPERIOD_OVERRIDE=FY","FILING_STATUS=MR","EQY_CONSOLIDATED=Y","FA_ADJUSTED=GAAP","Sort=A","Dates=H","DateFormat=P","Fill=—","Direction=H","UseDPDF=Y")</f>
        <v>8.6698000000000004</v>
      </c>
      <c r="D41" s="20">
        <f>_xll.BDH("RCOM IN Equity","EV_TO_T12M_EBITDA","FY 2011","FY 2011","Currency=INR","Period=FY","BEST_FPERIOD_OVERRIDE=FY","FILING_STATUS=MR","EQY_CONSOLIDATED=Y","FA_ADJUSTED=GAAP","Sort=A","Dates=H","DateFormat=P","Fill=—","Direction=H","UseDPDF=Y")</f>
        <v>6.7808000000000002</v>
      </c>
      <c r="E41" s="20">
        <f>_xll.BDH("RCOM IN Equity","EV_TO_T12M_EBITDA","FY 2012","FY 2012","Currency=INR","Period=FY","BEST_FPERIOD_OVERRIDE=FY","FILING_STATUS=MR","EQY_CONSOLIDATED=Y","FA_ADJUSTED=GAAP","Sort=A","Dates=H","DateFormat=P","Fill=—","Direction=H","UseDPDF=Y")</f>
        <v>9.5671999999999997</v>
      </c>
      <c r="F41" s="20">
        <f>_xll.BDH("RCOM IN Equity","EV_TO_T12M_EBITDA","FY 2013","FY 2013","Currency=INR","Period=FY","BEST_FPERIOD_OVERRIDE=FY","FILING_STATUS=MR","EQY_CONSOLIDATED=Y","FA_ADJUSTED=GAAP","Sort=A","Dates=H","DateFormat=P","Fill=—","Direction=H","UseDPDF=Y")</f>
        <v>8.8207000000000004</v>
      </c>
      <c r="G41" s="20">
        <f>_xll.BDH("RCOM IN Equity","EV_TO_T12M_EBITDA","FY 2014","FY 2014","Currency=INR","Period=FY","BEST_FPERIOD_OVERRIDE=FY","FILING_STATUS=MR","EQY_CONSOLIDATED=Y","FA_ADJUSTED=GAAP","Sort=A","Dates=H","DateFormat=P","Fill=—","Direction=H","UseDPDF=Y")</f>
        <v>10.2158</v>
      </c>
      <c r="H41" s="20">
        <f>_xll.BDH("RCOM IN Equity","EV_TO_T12M_EBITDA","FY 2015","FY 2015","Currency=INR","Period=FY","BEST_FPERIOD_OVERRIDE=FY","FILING_STATUS=MR","EQY_CONSOLIDATED=Y","FA_ADJUSTED=GAAP","Sort=A","Dates=H","DateFormat=P","Fill=—","Direction=H","UseDPDF=Y")</f>
        <v>7.2919</v>
      </c>
      <c r="I41" s="20">
        <f>_xll.BDH("RCOM IN Equity","EV_TO_T12M_EBITDA","FY 2016","FY 2016","Currency=INR","Period=FY","BEST_FPERIOD_OVERRIDE=FY","FILING_STATUS=MR","EQY_CONSOLIDATED=Y","FA_ADJUSTED=GAAP","Sort=A","Dates=H","DateFormat=P","Fill=—","Direction=H","UseDPDF=Y")</f>
        <v>7.5518999999999998</v>
      </c>
      <c r="J41" s="20">
        <f>_xll.BDH("RCOM IN Equity","EV_TO_T12M_EBITDA","FY 2017","FY 2017","Currency=INR","Period=FY","BEST_FPERIOD_OVERRIDE=FY","FILING_STATUS=MR","EQY_CONSOLIDATED=Y","FA_ADJUSTED=GAAP","Sort=A","Dates=H","DateFormat=P","Fill=—","Direction=H","UseDPDF=Y")</f>
        <v>11.661</v>
      </c>
      <c r="K41" s="20">
        <f>_xll.BDH("RCOM IN Equity","EV_TO_T12M_EBITDA","FY 2018","FY 2018","Currency=INR","Period=FY","BEST_FPERIOD_OVERRIDE=FY","FILING_STATUS=MR","EQY_CONSOLIDATED=Y","FA_ADJUSTED=GAAP","Sort=A","Dates=H","DateFormat=P","Fill=—","Direction=H","UseDPDF=Y")</f>
        <v>17.0077</v>
      </c>
      <c r="L41" s="23">
        <v>57.7783929033898</v>
      </c>
    </row>
    <row r="42" spans="1:12">
      <c r="A42" s="10" t="s">
        <v>161</v>
      </c>
      <c r="B42" s="10" t="s">
        <v>195</v>
      </c>
      <c r="C42" s="14">
        <f>_xll.BDH("RCOM IN Equity","AVG_EV_TO_T12M_EBITDA","FY 2010","FY 2010","Currency=INR","Period=FY","BEST_FPERIOD_OVERRIDE=FY","FILING_STATUS=MR","EQY_CONSOLIDATED=Y","FA_ADJUSTED=GAAP","Sort=A","Dates=H","DateFormat=P","Fill=—","Direction=H","UseDPDF=Y")</f>
        <v>8.7232000000000003</v>
      </c>
      <c r="D42" s="14">
        <f>_xll.BDH("RCOM IN Equity","AVG_EV_TO_T12M_EBITDA","FY 2011","FY 2011","Currency=INR","Period=FY","BEST_FPERIOD_OVERRIDE=FY","FILING_STATUS=MR","EQY_CONSOLIDATED=Y","FA_ADJUSTED=GAAP","Sort=A","Dates=H","DateFormat=P","Fill=—","Direction=H","UseDPDF=Y")</f>
        <v>8.1600999999999999</v>
      </c>
      <c r="E42" s="14">
        <f>_xll.BDH("RCOM IN Equity","AVG_EV_TO_T12M_EBITDA","FY 2012","FY 2012","Currency=INR","Period=FY","BEST_FPERIOD_OVERRIDE=FY","FILING_STATUS=MR","EQY_CONSOLIDATED=Y","FA_ADJUSTED=GAAP","Sort=A","Dates=H","DateFormat=P","Fill=—","Direction=H","UseDPDF=Y")</f>
        <v>6.2943999999999996</v>
      </c>
      <c r="F42" s="14">
        <f>_xll.BDH("RCOM IN Equity","AVG_EV_TO_T12M_EBITDA","FY 2013","FY 2013","Currency=INR","Period=FY","BEST_FPERIOD_OVERRIDE=FY","FILING_STATUS=MR","EQY_CONSOLIDATED=Y","FA_ADJUSTED=GAAP","Sort=A","Dates=H","DateFormat=P","Fill=—","Direction=H","UseDPDF=Y")</f>
        <v>8.9537999999999993</v>
      </c>
      <c r="G42" s="14">
        <f>_xll.BDH("RCOM IN Equity","AVG_EV_TO_T12M_EBITDA","FY 2014","FY 2014","Currency=INR","Period=FY","BEST_FPERIOD_OVERRIDE=FY","FILING_STATUS=MR","EQY_CONSOLIDATED=Y","FA_ADJUSTED=GAAP","Sort=A","Dates=H","DateFormat=P","Fill=—","Direction=H","UseDPDF=Y")</f>
        <v>11.2333</v>
      </c>
      <c r="H42" s="14">
        <f>_xll.BDH("RCOM IN Equity","AVG_EV_TO_T12M_EBITDA","FY 2015","FY 2015","Currency=INR","Period=FY","BEST_FPERIOD_OVERRIDE=FY","FILING_STATUS=MR","EQY_CONSOLIDATED=Y","FA_ADJUSTED=GAAP","Sort=A","Dates=H","DateFormat=P","Fill=—","Direction=H","UseDPDF=Y")</f>
        <v>9.9198000000000004</v>
      </c>
      <c r="I42" s="14">
        <f>_xll.BDH("RCOM IN Equity","AVG_EV_TO_T12M_EBITDA","FY 2016","FY 2016","Currency=INR","Period=FY","BEST_FPERIOD_OVERRIDE=FY","FILING_STATUS=MR","EQY_CONSOLIDATED=Y","FA_ADJUSTED=GAAP","Sort=A","Dates=H","DateFormat=P","Fill=—","Direction=H","UseDPDF=Y")</f>
        <v>7.5388999999999999</v>
      </c>
      <c r="J42" s="14">
        <f>_xll.BDH("RCOM IN Equity","AVG_EV_TO_T12M_EBITDA","FY 2017","FY 2017","Currency=INR","Period=FY","BEST_FPERIOD_OVERRIDE=FY","FILING_STATUS=MR","EQY_CONSOLIDATED=Y","FA_ADJUSTED=GAAP","Sort=A","Dates=H","DateFormat=P","Fill=—","Direction=H","UseDPDF=Y")</f>
        <v>7.3734000000000002</v>
      </c>
      <c r="K42" s="14">
        <f>_xll.BDH("RCOM IN Equity","AVG_EV_TO_T12M_EBITDA","FY 2018","FY 2018","Currency=INR","Period=FY","BEST_FPERIOD_OVERRIDE=FY","FILING_STATUS=MR","EQY_CONSOLIDATED=Y","FA_ADJUSTED=GAAP","Sort=A","Dates=H","DateFormat=P","Fill=—","Direction=H","UseDPDF=Y")</f>
        <v>10.9176</v>
      </c>
      <c r="L42" s="17"/>
    </row>
    <row r="43" spans="1:12">
      <c r="A43" s="10" t="s">
        <v>163</v>
      </c>
      <c r="B43" s="10" t="s">
        <v>196</v>
      </c>
      <c r="C43" s="14">
        <f>_xll.BDH("RCOM IN Equity","HIGH_EV_TO_T12M_EBITDA","FY 2010","FY 2010","Currency=INR","Period=FY","BEST_FPERIOD_OVERRIDE=FY","FILING_STATUS=MR","EQY_CONSOLIDATED=Y","FA_ADJUSTED=GAAP","Sort=A","Dates=H","DateFormat=P","Fill=—","Direction=H","UseDPDF=Y")</f>
        <v>11.5847</v>
      </c>
      <c r="D43" s="14">
        <f>_xll.BDH("RCOM IN Equity","HIGH_EV_TO_T12M_EBITDA","FY 2011","FY 2011","Currency=INR","Period=FY","BEST_FPERIOD_OVERRIDE=FY","FILING_STATUS=MR","EQY_CONSOLIDATED=Y","FA_ADJUSTED=GAAP","Sort=A","Dates=H","DateFormat=P","Fill=—","Direction=H","UseDPDF=Y")</f>
        <v>9.6059999999999999</v>
      </c>
      <c r="E43" s="14">
        <f>_xll.BDH("RCOM IN Equity","HIGH_EV_TO_T12M_EBITDA","FY 2012","FY 2012","Currency=INR","Period=FY","BEST_FPERIOD_OVERRIDE=FY","FILING_STATUS=MR","EQY_CONSOLIDATED=Y","FA_ADJUSTED=GAAP","Sort=A","Dates=H","DateFormat=P","Fill=—","Direction=H","UseDPDF=Y")</f>
        <v>9.5671999999999997</v>
      </c>
      <c r="F43" s="14">
        <f>_xll.BDH("RCOM IN Equity","HIGH_EV_TO_T12M_EBITDA","FY 2013","FY 2013","Currency=INR","Period=FY","BEST_FPERIOD_OVERRIDE=FY","FILING_STATUS=MR","EQY_CONSOLIDATED=Y","FA_ADJUSTED=GAAP","Sort=A","Dates=H","DateFormat=P","Fill=—","Direction=H","UseDPDF=Y")</f>
        <v>9.7435000000000009</v>
      </c>
      <c r="G43" s="14">
        <f>_xll.BDH("RCOM IN Equity","HIGH_EV_TO_T12M_EBITDA","FY 2014","FY 2014","Currency=INR","Period=FY","BEST_FPERIOD_OVERRIDE=FY","FILING_STATUS=MR","EQY_CONSOLIDATED=Y","FA_ADJUSTED=GAAP","Sort=A","Dates=H","DateFormat=P","Fill=—","Direction=H","UseDPDF=Y")</f>
        <v>12.484299999999999</v>
      </c>
      <c r="H43" s="14">
        <f>_xll.BDH("RCOM IN Equity","HIGH_EV_TO_T12M_EBITDA","FY 2015","FY 2015","Currency=INR","Period=FY","BEST_FPERIOD_OVERRIDE=FY","FILING_STATUS=MR","EQY_CONSOLIDATED=Y","FA_ADJUSTED=GAAP","Sort=A","Dates=H","DateFormat=P","Fill=—","Direction=H","UseDPDF=Y")</f>
        <v>11.5198</v>
      </c>
      <c r="I43" s="14">
        <f>_xll.BDH("RCOM IN Equity","HIGH_EV_TO_T12M_EBITDA","FY 2016","FY 2016","Currency=INR","Period=FY","BEST_FPERIOD_OVERRIDE=FY","FILING_STATUS=MR","EQY_CONSOLIDATED=Y","FA_ADJUSTED=GAAP","Sort=A","Dates=H","DateFormat=P","Fill=—","Direction=H","UseDPDF=Y")</f>
        <v>8.3747000000000007</v>
      </c>
      <c r="J43" s="14">
        <f>_xll.BDH("RCOM IN Equity","HIGH_EV_TO_T12M_EBITDA","FY 2017","FY 2017","Currency=INR","Period=FY","BEST_FPERIOD_OVERRIDE=FY","FILING_STATUS=MR","EQY_CONSOLIDATED=Y","FA_ADJUSTED=GAAP","Sort=A","Dates=H","DateFormat=P","Fill=—","Direction=H","UseDPDF=Y")</f>
        <v>11.661</v>
      </c>
      <c r="K43" s="14">
        <f>_xll.BDH("RCOM IN Equity","HIGH_EV_TO_T12M_EBITDA","FY 2018","FY 2018","Currency=INR","Period=FY","BEST_FPERIOD_OVERRIDE=FY","FILING_STATUS=MR","EQY_CONSOLIDATED=Y","FA_ADJUSTED=GAAP","Sort=A","Dates=H","DateFormat=P","Fill=—","Direction=H","UseDPDF=Y")</f>
        <v>17.0077</v>
      </c>
      <c r="L43" s="17"/>
    </row>
    <row r="44" spans="1:12">
      <c r="A44" s="10" t="s">
        <v>165</v>
      </c>
      <c r="B44" s="10" t="s">
        <v>197</v>
      </c>
      <c r="C44" s="14">
        <f>_xll.BDH("RCOM IN Equity","LOW_EV_TO_T12M_EBITDA","FY 2010","FY 2010","Currency=INR","Period=FY","BEST_FPERIOD_OVERRIDE=FY","FILING_STATUS=MR","EQY_CONSOLIDATED=Y","FA_ADJUSTED=GAAP","Sort=A","Dates=H","DateFormat=P","Fill=—","Direction=H","UseDPDF=Y")</f>
        <v>6.9617000000000004</v>
      </c>
      <c r="D44" s="14">
        <f>_xll.BDH("RCOM IN Equity","LOW_EV_TO_T12M_EBITDA","FY 2011","FY 2011","Currency=INR","Period=FY","BEST_FPERIOD_OVERRIDE=FY","FILING_STATUS=MR","EQY_CONSOLIDATED=Y","FA_ADJUSTED=GAAP","Sort=A","Dates=H","DateFormat=P","Fill=—","Direction=H","UseDPDF=Y")</f>
        <v>6.1832000000000003</v>
      </c>
      <c r="E44" s="14">
        <f>_xll.BDH("RCOM IN Equity","LOW_EV_TO_T12M_EBITDA","FY 2012","FY 2012","Currency=INR","Period=FY","BEST_FPERIOD_OVERRIDE=FY","FILING_STATUS=MR","EQY_CONSOLIDATED=Y","FA_ADJUSTED=GAAP","Sort=A","Dates=H","DateFormat=P","Fill=—","Direction=H","UseDPDF=Y")</f>
        <v>5.6584000000000003</v>
      </c>
      <c r="F44" s="14">
        <f>_xll.BDH("RCOM IN Equity","LOW_EV_TO_T12M_EBITDA","FY 2013","FY 2013","Currency=INR","Period=FY","BEST_FPERIOD_OVERRIDE=FY","FILING_STATUS=MR","EQY_CONSOLIDATED=Y","FA_ADJUSTED=GAAP","Sort=A","Dates=H","DateFormat=P","Fill=—","Direction=H","UseDPDF=Y")</f>
        <v>8.2797000000000001</v>
      </c>
      <c r="G44" s="14">
        <f>_xll.BDH("RCOM IN Equity","LOW_EV_TO_T12M_EBITDA","FY 2014","FY 2014","Currency=INR","Period=FY","BEST_FPERIOD_OVERRIDE=FY","FILING_STATUS=MR","EQY_CONSOLIDATED=Y","FA_ADJUSTED=GAAP","Sort=A","Dates=H","DateFormat=P","Fill=—","Direction=H","UseDPDF=Y")</f>
        <v>8.8814999999999991</v>
      </c>
      <c r="H44" s="14">
        <f>_xll.BDH("RCOM IN Equity","LOW_EV_TO_T12M_EBITDA","FY 2015","FY 2015","Currency=INR","Period=FY","BEST_FPERIOD_OVERRIDE=FY","FILING_STATUS=MR","EQY_CONSOLIDATED=Y","FA_ADJUSTED=GAAP","Sort=A","Dates=H","DateFormat=P","Fill=—","Direction=H","UseDPDF=Y")</f>
        <v>7.2919</v>
      </c>
      <c r="I44" s="14">
        <f>_xll.BDH("RCOM IN Equity","LOW_EV_TO_T12M_EBITDA","FY 2016","FY 2016","Currency=INR","Period=FY","BEST_FPERIOD_OVERRIDE=FY","FILING_STATUS=MR","EQY_CONSOLIDATED=Y","FA_ADJUSTED=GAAP","Sort=A","Dates=H","DateFormat=P","Fill=—","Direction=H","UseDPDF=Y")</f>
        <v>6.9534000000000002</v>
      </c>
      <c r="J44" s="14">
        <f>_xll.BDH("RCOM IN Equity","LOW_EV_TO_T12M_EBITDA","FY 2017","FY 2017","Currency=INR","Period=FY","BEST_FPERIOD_OVERRIDE=FY","FILING_STATUS=MR","EQY_CONSOLIDATED=Y","FA_ADJUSTED=GAAP","Sort=A","Dates=H","DateFormat=P","Fill=—","Direction=H","UseDPDF=Y")</f>
        <v>6.8954000000000004</v>
      </c>
      <c r="K44" s="14">
        <f>_xll.BDH("RCOM IN Equity","LOW_EV_TO_T12M_EBITDA","FY 2018","FY 2018","Currency=INR","Period=FY","BEST_FPERIOD_OVERRIDE=FY","FILING_STATUS=MR","EQY_CONSOLIDATED=Y","FA_ADJUSTED=GAAP","Sort=A","Dates=H","DateFormat=P","Fill=—","Direction=H","UseDPDF=Y")</f>
        <v>10.155099999999999</v>
      </c>
      <c r="L44" s="17"/>
    </row>
    <row r="45" spans="1:12">
      <c r="A45" s="6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1"/>
    </row>
    <row r="46" spans="1:12">
      <c r="A46" s="6" t="s">
        <v>137</v>
      </c>
      <c r="B46" s="6" t="s">
        <v>138</v>
      </c>
      <c r="C46" s="20">
        <f>_xll.BDH("RCOM IN Equity","EV_TO_T12M_EBIT","FY 2010","FY 2010","Currency=INR","Period=FY","BEST_FPERIOD_OVERRIDE=FY","FILING_STATUS=MR","EQY_CONSOLIDATED=Y","FA_ADJUSTED=GAAP","Sort=A","Dates=H","DateFormat=P","Fill=—","Direction=H","UseDPDF=Y")</f>
        <v>18.687100000000001</v>
      </c>
      <c r="D46" s="20">
        <f>_xll.BDH("RCOM IN Equity","EV_TO_T12M_EBIT","FY 2011","FY 2011","Currency=INR","Period=FY","BEST_FPERIOD_OVERRIDE=FY","FILING_STATUS=MR","EQY_CONSOLIDATED=Y","FA_ADJUSTED=GAAP","Sort=A","Dates=H","DateFormat=P","Fill=—","Direction=H","UseDPDF=Y")</f>
        <v>30.3399</v>
      </c>
      <c r="E46" s="20">
        <f>_xll.BDH("RCOM IN Equity","EV_TO_T12M_EBIT","FY 2012","FY 2012","Currency=INR","Period=FY","BEST_FPERIOD_OVERRIDE=FY","FILING_STATUS=MR","EQY_CONSOLIDATED=Y","FA_ADJUSTED=GAAP","Sort=A","Dates=H","DateFormat=P","Fill=—","Direction=H","UseDPDF=Y")</f>
        <v>30.513000000000002</v>
      </c>
      <c r="F46" s="20">
        <f>_xll.BDH("RCOM IN Equity","EV_TO_T12M_EBIT","FY 2013","FY 2013","Currency=INR","Period=FY","BEST_FPERIOD_OVERRIDE=FY","FILING_STATUS=MR","EQY_CONSOLIDATED=Y","FA_ADJUSTED=GAAP","Sort=A","Dates=H","DateFormat=P","Fill=—","Direction=H","UseDPDF=Y")</f>
        <v>25.001899999999999</v>
      </c>
      <c r="G46" s="20">
        <f>_xll.BDH("RCOM IN Equity","EV_TO_T12M_EBIT","FY 2014","FY 2014","Currency=INR","Period=FY","BEST_FPERIOD_OVERRIDE=FY","FILING_STATUS=MR","EQY_CONSOLIDATED=Y","FA_ADJUSTED=GAAP","Sort=A","Dates=H","DateFormat=P","Fill=—","Direction=H","UseDPDF=Y")</f>
        <v>31.555599999999998</v>
      </c>
      <c r="H46" s="20">
        <f>_xll.BDH("RCOM IN Equity","EV_TO_T12M_EBIT","FY 2015","FY 2015","Currency=INR","Period=FY","BEST_FPERIOD_OVERRIDE=FY","FILING_STATUS=MR","EQY_CONSOLIDATED=Y","FA_ADJUSTED=GAAP","Sort=A","Dates=H","DateFormat=P","Fill=—","Direction=H","UseDPDF=Y")</f>
        <v>15.5046</v>
      </c>
      <c r="I46" s="20">
        <f>_xll.BDH("RCOM IN Equity","EV_TO_T12M_EBIT","FY 2016","FY 2016","Currency=INR","Period=FY","BEST_FPERIOD_OVERRIDE=FY","FILING_STATUS=MR","EQY_CONSOLIDATED=Y","FA_ADJUSTED=GAAP","Sort=A","Dates=H","DateFormat=P","Fill=—","Direction=H","UseDPDF=Y")</f>
        <v>19.750299999999999</v>
      </c>
      <c r="J46" s="20">
        <f>_xll.BDH("RCOM IN Equity","EV_TO_T12M_EBIT","FY 2017","FY 2017","Currency=INR","Period=FY","BEST_FPERIOD_OVERRIDE=FY","FILING_STATUS=MR","EQY_CONSOLIDATED=Y","FA_ADJUSTED=GAAP","Sort=A","Dates=H","DateFormat=P","Fill=—","Direction=H","UseDPDF=Y")</f>
        <v>123.52679999999999</v>
      </c>
      <c r="K46" s="20">
        <f>_xll.BDH("RCOM IN Equity","EV_TO_T12M_EBIT","FY 2018","FY 2018","Currency=INR","Period=FY","BEST_FPERIOD_OVERRIDE=FY","FILING_STATUS=MR","EQY_CONSOLIDATED=Y","FA_ADJUSTED=GAAP","Sort=A","Dates=H","DateFormat=P","Fill=—","Direction=H","UseDPDF=Y")</f>
        <v>217.67089999999999</v>
      </c>
      <c r="L46" s="23"/>
    </row>
    <row r="47" spans="1:12">
      <c r="A47" s="10" t="s">
        <v>161</v>
      </c>
      <c r="B47" s="10" t="s">
        <v>198</v>
      </c>
      <c r="C47" s="14">
        <f>_xll.BDH("RCOM IN Equity","AVERAGE_EV_TO_T12M_EBIT","FY 2010","FY 2010","Currency=INR","Period=FY","BEST_FPERIOD_OVERRIDE=FY","FILING_STATUS=MR","EQY_CONSOLIDATED=Y","FA_ADJUSTED=GAAP","Sort=A","Dates=H","DateFormat=P","Fill=—","Direction=H","UseDPDF=Y")</f>
        <v>14.882400000000001</v>
      </c>
      <c r="D47" s="14">
        <f>_xll.BDH("RCOM IN Equity","AVERAGE_EV_TO_T12M_EBIT","FY 2011","FY 2011","Currency=INR","Period=FY","BEST_FPERIOD_OVERRIDE=FY","FILING_STATUS=MR","EQY_CONSOLIDATED=Y","FA_ADJUSTED=GAAP","Sort=A","Dates=H","DateFormat=P","Fill=—","Direction=H","UseDPDF=Y")</f>
        <v>17.650500000000001</v>
      </c>
      <c r="E47" s="14">
        <f>_xll.BDH("RCOM IN Equity","AVERAGE_EV_TO_T12M_EBIT","FY 2012","FY 2012","Currency=INR","Period=FY","BEST_FPERIOD_OVERRIDE=FY","FILING_STATUS=MR","EQY_CONSOLIDATED=Y","FA_ADJUSTED=GAAP","Sort=A","Dates=H","DateFormat=P","Fill=—","Direction=H","UseDPDF=Y")</f>
        <v>28.114000000000001</v>
      </c>
      <c r="F47" s="14">
        <f>_xll.BDH("RCOM IN Equity","AVERAGE_EV_TO_T12M_EBIT","FY 2013","FY 2013","Currency=INR","Period=FY","BEST_FPERIOD_OVERRIDE=FY","FILING_STATUS=MR","EQY_CONSOLIDATED=Y","FA_ADJUSTED=GAAP","Sort=A","Dates=H","DateFormat=P","Fill=—","Direction=H","UseDPDF=Y")</f>
        <v>28.544</v>
      </c>
      <c r="G47" s="14">
        <f>_xll.BDH("RCOM IN Equity","AVERAGE_EV_TO_T12M_EBIT","FY 2014","FY 2014","Currency=INR","Period=FY","BEST_FPERIOD_OVERRIDE=FY","FILING_STATUS=MR","EQY_CONSOLIDATED=Y","FA_ADJUSTED=GAAP","Sort=A","Dates=H","DateFormat=P","Fill=—","Direction=H","UseDPDF=Y")</f>
        <v>31.8505</v>
      </c>
      <c r="H47" s="14">
        <f>_xll.BDH("RCOM IN Equity","AVERAGE_EV_TO_T12M_EBIT","FY 2015","FY 2015","Currency=INR","Period=FY","BEST_FPERIOD_OVERRIDE=FY","FILING_STATUS=MR","EQY_CONSOLIDATED=Y","FA_ADJUSTED=GAAP","Sort=A","Dates=H","DateFormat=P","Fill=—","Direction=H","UseDPDF=Y")</f>
        <v>30.612500000000001</v>
      </c>
      <c r="I47" s="14">
        <f>_xll.BDH("RCOM IN Equity","AVERAGE_EV_TO_T12M_EBIT","FY 2016","FY 2016","Currency=INR","Period=FY","BEST_FPERIOD_OVERRIDE=FY","FILING_STATUS=MR","EQY_CONSOLIDATED=Y","FA_ADJUSTED=GAAP","Sort=A","Dates=H","DateFormat=P","Fill=—","Direction=H","UseDPDF=Y")</f>
        <v>16.044699999999999</v>
      </c>
      <c r="J47" s="14">
        <f>_xll.BDH("RCOM IN Equity","AVERAGE_EV_TO_T12M_EBIT","FY 2017","FY 2017","Currency=INR","Period=FY","BEST_FPERIOD_OVERRIDE=FY","FILING_STATUS=MR","EQY_CONSOLIDATED=Y","FA_ADJUSTED=GAAP","Sort=A","Dates=H","DateFormat=P","Fill=—","Direction=H","UseDPDF=Y")</f>
        <v>19.6587</v>
      </c>
      <c r="K47" s="14">
        <f>_xll.BDH("RCOM IN Equity","AVERAGE_EV_TO_T12M_EBIT","FY 2018","FY 2018","Currency=INR","Period=FY","BEST_FPERIOD_OVERRIDE=FY","FILING_STATUS=MR","EQY_CONSOLIDATED=Y","FA_ADJUSTED=GAAP","Sort=A","Dates=H","DateFormat=P","Fill=—","Direction=H","UseDPDF=Y")</f>
        <v>115.80410000000001</v>
      </c>
      <c r="L47" s="17"/>
    </row>
    <row r="48" spans="1:12">
      <c r="A48" s="10" t="s">
        <v>163</v>
      </c>
      <c r="B48" s="10" t="s">
        <v>199</v>
      </c>
      <c r="C48" s="14">
        <f>_xll.BDH("RCOM IN Equity","HIGH_EV_TO_T12M_EBIT","FY 2010","FY 2010","Currency=INR","Period=FY","BEST_FPERIOD_OVERRIDE=FY","FILING_STATUS=MR","EQY_CONSOLIDATED=Y","FA_ADJUSTED=GAAP","Sort=A","Dates=H","DateFormat=P","Fill=—","Direction=H","UseDPDF=Y")</f>
        <v>19.742899999999999</v>
      </c>
      <c r="D48" s="14">
        <f>_xll.BDH("RCOM IN Equity","HIGH_EV_TO_T12M_EBIT","FY 2011","FY 2011","Currency=INR","Period=FY","BEST_FPERIOD_OVERRIDE=FY","FILING_STATUS=MR","EQY_CONSOLIDATED=Y","FA_ADJUSTED=GAAP","Sort=A","Dates=H","DateFormat=P","Fill=—","Direction=H","UseDPDF=Y")</f>
        <v>30.3399</v>
      </c>
      <c r="E48" s="14">
        <f>_xll.BDH("RCOM IN Equity","HIGH_EV_TO_T12M_EBIT","FY 2012","FY 2012","Currency=INR","Period=FY","BEST_FPERIOD_OVERRIDE=FY","FILING_STATUS=MR","EQY_CONSOLIDATED=Y","FA_ADJUSTED=GAAP","Sort=A","Dates=H","DateFormat=P","Fill=—","Direction=H","UseDPDF=Y")</f>
        <v>30.847100000000001</v>
      </c>
      <c r="F48" s="14">
        <f>_xll.BDH("RCOM IN Equity","HIGH_EV_TO_T12M_EBIT","FY 2013","FY 2013","Currency=INR","Period=FY","BEST_FPERIOD_OVERRIDE=FY","FILING_STATUS=MR","EQY_CONSOLIDATED=Y","FA_ADJUSTED=GAAP","Sort=A","Dates=H","DateFormat=P","Fill=—","Direction=H","UseDPDF=Y")</f>
        <v>31.075299999999999</v>
      </c>
      <c r="G48" s="14">
        <f>_xll.BDH("RCOM IN Equity","HIGH_EV_TO_T12M_EBIT","FY 2014","FY 2014","Currency=INR","Period=FY","BEST_FPERIOD_OVERRIDE=FY","FILING_STATUS=MR","EQY_CONSOLIDATED=Y","FA_ADJUSTED=GAAP","Sort=A","Dates=H","DateFormat=P","Fill=—","Direction=H","UseDPDF=Y")</f>
        <v>35.386099999999999</v>
      </c>
      <c r="H48" s="14">
        <f>_xll.BDH("RCOM IN Equity","HIGH_EV_TO_T12M_EBIT","FY 2015","FY 2015","Currency=INR","Period=FY","BEST_FPERIOD_OVERRIDE=FY","FILING_STATUS=MR","EQY_CONSOLIDATED=Y","FA_ADJUSTED=GAAP","Sort=A","Dates=H","DateFormat=P","Fill=—","Direction=H","UseDPDF=Y")</f>
        <v>35.583599999999997</v>
      </c>
      <c r="I48" s="14">
        <f>_xll.BDH("RCOM IN Equity","HIGH_EV_TO_T12M_EBIT","FY 2016","FY 2016","Currency=INR","Period=FY","BEST_FPERIOD_OVERRIDE=FY","FILING_STATUS=MR","EQY_CONSOLIDATED=Y","FA_ADJUSTED=GAAP","Sort=A","Dates=H","DateFormat=P","Fill=—","Direction=H","UseDPDF=Y")</f>
        <v>19.750299999999999</v>
      </c>
      <c r="J48" s="14">
        <f>_xll.BDH("RCOM IN Equity","HIGH_EV_TO_T12M_EBIT","FY 2017","FY 2017","Currency=INR","Period=FY","BEST_FPERIOD_OVERRIDE=FY","FILING_STATUS=MR","EQY_CONSOLIDATED=Y","FA_ADJUSTED=GAAP","Sort=A","Dates=H","DateFormat=P","Fill=—","Direction=H","UseDPDF=Y")</f>
        <v>123.52679999999999</v>
      </c>
      <c r="K48" s="14">
        <f>_xll.BDH("RCOM IN Equity","HIGH_EV_TO_T12M_EBIT","FY 2018","FY 2018","Currency=INR","Period=FY","BEST_FPERIOD_OVERRIDE=FY","FILING_STATUS=MR","EQY_CONSOLIDATED=Y","FA_ADJUSTED=GAAP","Sort=A","Dates=H","DateFormat=P","Fill=—","Direction=H","UseDPDF=Y")</f>
        <v>217.67089999999999</v>
      </c>
      <c r="L48" s="17"/>
    </row>
    <row r="49" spans="1:12">
      <c r="A49" s="10" t="s">
        <v>165</v>
      </c>
      <c r="B49" s="10" t="s">
        <v>200</v>
      </c>
      <c r="C49" s="14">
        <f>_xll.BDH("RCOM IN Equity","LOW_EV_TO_T12M_EBIT","FY 2010","FY 2010","Currency=INR","Period=FY","BEST_FPERIOD_OVERRIDE=FY","FILING_STATUS=MR","EQY_CONSOLIDATED=Y","FA_ADJUSTED=GAAP","Sort=A","Dates=H","DateFormat=P","Fill=—","Direction=H","UseDPDF=Y")</f>
        <v>11.8643</v>
      </c>
      <c r="D49" s="14">
        <f>_xll.BDH("RCOM IN Equity","LOW_EV_TO_T12M_EBIT","FY 2011","FY 2011","Currency=INR","Period=FY","BEST_FPERIOD_OVERRIDE=FY","FILING_STATUS=MR","EQY_CONSOLIDATED=Y","FA_ADJUSTED=GAAP","Sort=A","Dates=H","DateFormat=P","Fill=—","Direction=H","UseDPDF=Y")</f>
        <v>13.327400000000001</v>
      </c>
      <c r="E49" s="14">
        <f>_xll.BDH("RCOM IN Equity","LOW_EV_TO_T12M_EBIT","FY 2012","FY 2012","Currency=INR","Period=FY","BEST_FPERIOD_OVERRIDE=FY","FILING_STATUS=MR","EQY_CONSOLIDATED=Y","FA_ADJUSTED=GAAP","Sort=A","Dates=H","DateFormat=P","Fill=—","Direction=H","UseDPDF=Y")</f>
        <v>25.317599999999999</v>
      </c>
      <c r="F49" s="14">
        <f>_xll.BDH("RCOM IN Equity","LOW_EV_TO_T12M_EBIT","FY 2013","FY 2013","Currency=INR","Period=FY","BEST_FPERIOD_OVERRIDE=FY","FILING_STATUS=MR","EQY_CONSOLIDATED=Y","FA_ADJUSTED=GAAP","Sort=A","Dates=H","DateFormat=P","Fill=—","Direction=H","UseDPDF=Y")</f>
        <v>25.001899999999999</v>
      </c>
      <c r="G49" s="14">
        <f>_xll.BDH("RCOM IN Equity","LOW_EV_TO_T12M_EBIT","FY 2014","FY 2014","Currency=INR","Period=FY","BEST_FPERIOD_OVERRIDE=FY","FILING_STATUS=MR","EQY_CONSOLIDATED=Y","FA_ADJUSTED=GAAP","Sort=A","Dates=H","DateFormat=P","Fill=—","Direction=H","UseDPDF=Y")</f>
        <v>25.174299999999999</v>
      </c>
      <c r="H49" s="14">
        <f>_xll.BDH("RCOM IN Equity","LOW_EV_TO_T12M_EBIT","FY 2015","FY 2015","Currency=INR","Period=FY","BEST_FPERIOD_OVERRIDE=FY","FILING_STATUS=MR","EQY_CONSOLIDATED=Y","FA_ADJUSTED=GAAP","Sort=A","Dates=H","DateFormat=P","Fill=—","Direction=H","UseDPDF=Y")</f>
        <v>15.5046</v>
      </c>
      <c r="I49" s="14">
        <f>_xll.BDH("RCOM IN Equity","LOW_EV_TO_T12M_EBIT","FY 2016","FY 2016","Currency=INR","Period=FY","BEST_FPERIOD_OVERRIDE=FY","FILING_STATUS=MR","EQY_CONSOLIDATED=Y","FA_ADJUSTED=GAAP","Sort=A","Dates=H","DateFormat=P","Fill=—","Direction=H","UseDPDF=Y")</f>
        <v>14.7849</v>
      </c>
      <c r="J49" s="14">
        <f>_xll.BDH("RCOM IN Equity","LOW_EV_TO_T12M_EBIT","FY 2017","FY 2017","Currency=INR","Period=FY","BEST_FPERIOD_OVERRIDE=FY","FILING_STATUS=MR","EQY_CONSOLIDATED=Y","FA_ADJUSTED=GAAP","Sort=A","Dates=H","DateFormat=P","Fill=—","Direction=H","UseDPDF=Y")</f>
        <v>18.033300000000001</v>
      </c>
      <c r="K49" s="14">
        <f>_xll.BDH("RCOM IN Equity","LOW_EV_TO_T12M_EBIT","FY 2018","FY 2018","Currency=INR","Period=FY","BEST_FPERIOD_OVERRIDE=FY","FILING_STATUS=MR","EQY_CONSOLIDATED=Y","FA_ADJUSTED=GAAP","Sort=A","Dates=H","DateFormat=P","Fill=—","Direction=H","UseDPDF=Y")</f>
        <v>107.57470000000001</v>
      </c>
      <c r="L49" s="17"/>
    </row>
    <row r="50" spans="1:12">
      <c r="A50" s="6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1"/>
    </row>
    <row r="51" spans="1:12">
      <c r="A51" s="6" t="s">
        <v>201</v>
      </c>
      <c r="B51" s="6" t="s">
        <v>202</v>
      </c>
      <c r="C51" s="20">
        <f>_xll.BDH("RCOM IN Equity","PX_LAST","FY 2010","FY 2010","Currency=INR","Period=FY","BEST_FPERIOD_OVERRIDE=FY","FILING_STATUS=MR","EQY_CONSOLIDATED=Y","Sort=A","Dates=H","DateFormat=P","Fill=—","Direction=H","UseDPDF=Y")</f>
        <v>169.95</v>
      </c>
      <c r="D51" s="20">
        <f>_xll.BDH("RCOM IN Equity","PX_LAST","FY 2011","FY 2011","Currency=INR","Period=FY","BEST_FPERIOD_OVERRIDE=FY","FILING_STATUS=MR","EQY_CONSOLIDATED=Y","Sort=A","Dates=H","DateFormat=P","Fill=—","Direction=H","UseDPDF=Y")</f>
        <v>107.65</v>
      </c>
      <c r="E51" s="20">
        <f>_xll.BDH("RCOM IN Equity","PX_LAST","FY 2012","FY 2012","Currency=INR","Period=FY","BEST_FPERIOD_OVERRIDE=FY","FILING_STATUS=MR","EQY_CONSOLIDATED=Y","Sort=A","Dates=H","DateFormat=P","Fill=—","Direction=H","UseDPDF=Y")</f>
        <v>84.05</v>
      </c>
      <c r="F51" s="20">
        <f>_xll.BDH("RCOM IN Equity","PX_LAST","FY 2013","FY 2013","Currency=INR","Period=FY","BEST_FPERIOD_OVERRIDE=FY","FILING_STATUS=MR","EQY_CONSOLIDATED=Y","Sort=A","Dates=H","DateFormat=P","Fill=—","Direction=H","UseDPDF=Y")</f>
        <v>55.3</v>
      </c>
      <c r="G51" s="20">
        <f>_xll.BDH("RCOM IN Equity","PX_LAST","FY 2014","FY 2014","Currency=INR","Period=FY","BEST_FPERIOD_OVERRIDE=FY","FILING_STATUS=MR","EQY_CONSOLIDATED=Y","Sort=A","Dates=H","DateFormat=P","Fill=—","Direction=H","UseDPDF=Y")</f>
        <v>128.9</v>
      </c>
      <c r="H51" s="20">
        <f>_xll.BDH("RCOM IN Equity","PX_LAST","FY 2015","FY 2015","Currency=INR","Period=FY","BEST_FPERIOD_OVERRIDE=FY","FILING_STATUS=MR","EQY_CONSOLIDATED=Y","Sort=A","Dates=H","DateFormat=P","Fill=—","Direction=H","UseDPDF=Y")</f>
        <v>59.25</v>
      </c>
      <c r="I51" s="20">
        <f>_xll.BDH("RCOM IN Equity","PX_LAST","FY 2016","FY 2016","Currency=INR","Period=FY","BEST_FPERIOD_OVERRIDE=FY","FILING_STATUS=MR","EQY_CONSOLIDATED=Y","Sort=A","Dates=H","DateFormat=P","Fill=—","Direction=H","UseDPDF=Y")</f>
        <v>50</v>
      </c>
      <c r="J51" s="20">
        <f>_xll.BDH("RCOM IN Equity","PX_LAST","FY 2017","FY 2017","Currency=INR","Period=FY","BEST_FPERIOD_OVERRIDE=FY","FILING_STATUS=MR","EQY_CONSOLIDATED=Y","Sort=A","Dates=H","DateFormat=P","Fill=—","Direction=H","UseDPDF=Y")</f>
        <v>38.299999999999997</v>
      </c>
      <c r="K51" s="20">
        <f>_xll.BDH("RCOM IN Equity","PX_LAST","FY 2018","FY 2018","Currency=INR","Period=FY","BEST_FPERIOD_OVERRIDE=FY","FILING_STATUS=MR","EQY_CONSOLIDATED=Y","Sort=A","Dates=H","DateFormat=P","Fill=—","Direction=H","UseDPDF=Y")</f>
        <v>21.75</v>
      </c>
      <c r="L51" s="23">
        <v>6.6</v>
      </c>
    </row>
    <row r="52" spans="1:12">
      <c r="A52" s="10" t="s">
        <v>163</v>
      </c>
      <c r="B52" s="10" t="s">
        <v>203</v>
      </c>
      <c r="C52" s="14">
        <f>_xll.BDH("RCOM IN Equity","PX_HIGH","FY 2010","FY 2010","Currency=INR","Period=FY","BEST_FPERIOD_OVERRIDE=FY","FILING_STATUS=MR","EQY_CONSOLIDATED=Y","Sort=A","Dates=H","DateFormat=P","Fill=—","Direction=H","UseDPDF=Y")</f>
        <v>362</v>
      </c>
      <c r="D52" s="14">
        <f>_xll.BDH("RCOM IN Equity","PX_HIGH","FY 2011","FY 2011","Currency=INR","Period=FY","BEST_FPERIOD_OVERRIDE=FY","FILING_STATUS=MR","EQY_CONSOLIDATED=Y","Sort=A","Dates=H","DateFormat=P","Fill=—","Direction=H","UseDPDF=Y")</f>
        <v>207.8</v>
      </c>
      <c r="E52" s="14">
        <f>_xll.BDH("RCOM IN Equity","PX_HIGH","FY 2012","FY 2012","Currency=INR","Period=FY","BEST_FPERIOD_OVERRIDE=FY","FILING_STATUS=MR","EQY_CONSOLIDATED=Y","Sort=A","Dates=H","DateFormat=P","Fill=—","Direction=H","UseDPDF=Y")</f>
        <v>113.85</v>
      </c>
      <c r="F52" s="14">
        <f>_xll.BDH("RCOM IN Equity","PX_HIGH","FY 2013","FY 2013","Currency=INR","Period=FY","BEST_FPERIOD_OVERRIDE=FY","FILING_STATUS=MR","EQY_CONSOLIDATED=Y","Sort=A","Dates=H","DateFormat=P","Fill=—","Direction=H","UseDPDF=Y")</f>
        <v>91.85</v>
      </c>
      <c r="G52" s="14">
        <f>_xll.BDH("RCOM IN Equity","PX_HIGH","FY 2014","FY 2014","Currency=INR","Period=FY","BEST_FPERIOD_OVERRIDE=FY","FILING_STATUS=MR","EQY_CONSOLIDATED=Y","Sort=A","Dates=H","DateFormat=P","Fill=—","Direction=H","UseDPDF=Y")</f>
        <v>164.65</v>
      </c>
      <c r="H52" s="14">
        <f>_xll.BDH("RCOM IN Equity","PX_HIGH","FY 2015","FY 2015","Currency=INR","Period=FY","BEST_FPERIOD_OVERRIDE=FY","FILING_STATUS=MR","EQY_CONSOLIDATED=Y","Sort=A","Dates=H","DateFormat=P","Fill=—","Direction=H","UseDPDF=Y")</f>
        <v>157.25</v>
      </c>
      <c r="I52" s="14">
        <f>_xll.BDH("RCOM IN Equity","PX_HIGH","FY 2016","FY 2016","Currency=INR","Period=FY","BEST_FPERIOD_OVERRIDE=FY","FILING_STATUS=MR","EQY_CONSOLIDATED=Y","Sort=A","Dates=H","DateFormat=P","Fill=—","Direction=H","UseDPDF=Y")</f>
        <v>91.8</v>
      </c>
      <c r="J52" s="14">
        <f>_xll.BDH("RCOM IN Equity","PX_HIGH","FY 2017","FY 2017","Currency=INR","Period=FY","BEST_FPERIOD_OVERRIDE=FY","FILING_STATUS=MR","EQY_CONSOLIDATED=Y","Sort=A","Dates=H","DateFormat=P","Fill=—","Direction=H","UseDPDF=Y")</f>
        <v>60.45</v>
      </c>
      <c r="K52" s="14">
        <f>_xll.BDH("RCOM IN Equity","PX_HIGH","FY 2018","FY 2018","Currency=INR","Period=FY","BEST_FPERIOD_OVERRIDE=FY","FILING_STATUS=MR","EQY_CONSOLIDATED=Y","Sort=A","Dates=H","DateFormat=P","Fill=—","Direction=H","UseDPDF=Y")</f>
        <v>41.77</v>
      </c>
      <c r="L52" s="17">
        <v>6.75</v>
      </c>
    </row>
    <row r="53" spans="1:12">
      <c r="A53" s="10" t="s">
        <v>165</v>
      </c>
      <c r="B53" s="10" t="s">
        <v>204</v>
      </c>
      <c r="C53" s="14">
        <f>_xll.BDH("RCOM IN Equity","PX_LOW","FY 2010","FY 2010","Currency=INR","Period=FY","BEST_FPERIOD_OVERRIDE=FY","FILING_STATUS=MR","EQY_CONSOLIDATED=Y","Sort=A","Dates=H","DateFormat=P","Fill=—","Direction=H","UseDPDF=Y")</f>
        <v>154</v>
      </c>
      <c r="D53" s="14">
        <f>_xll.BDH("RCOM IN Equity","PX_LOW","FY 2011","FY 2011","Currency=INR","Period=FY","BEST_FPERIOD_OVERRIDE=FY","FILING_STATUS=MR","EQY_CONSOLIDATED=Y","Sort=A","Dates=H","DateFormat=P","Fill=—","Direction=H","UseDPDF=Y")</f>
        <v>74.650000000000006</v>
      </c>
      <c r="E53" s="14">
        <f>_xll.BDH("RCOM IN Equity","PX_LOW","FY 2012","FY 2012","Currency=INR","Period=FY","BEST_FPERIOD_OVERRIDE=FY","FILING_STATUS=MR","EQY_CONSOLIDATED=Y","Sort=A","Dates=H","DateFormat=P","Fill=—","Direction=H","UseDPDF=Y")</f>
        <v>60.8</v>
      </c>
      <c r="F53" s="14">
        <f>_xll.BDH("RCOM IN Equity","PX_LOW","FY 2013","FY 2013","Currency=INR","Period=FY","BEST_FPERIOD_OVERRIDE=FY","FILING_STATUS=MR","EQY_CONSOLIDATED=Y","Sort=A","Dates=H","DateFormat=P","Fill=—","Direction=H","UseDPDF=Y")</f>
        <v>46.55</v>
      </c>
      <c r="G53" s="14">
        <f>_xll.BDH("RCOM IN Equity","PX_LOW","FY 2014","FY 2014","Currency=INR","Period=FY","BEST_FPERIOD_OVERRIDE=FY","FILING_STATUS=MR","EQY_CONSOLIDATED=Y","Sort=A","Dates=H","DateFormat=P","Fill=—","Direction=H","UseDPDF=Y")</f>
        <v>54.55</v>
      </c>
      <c r="H53" s="14">
        <f>_xll.BDH("RCOM IN Equity","PX_LOW","FY 2015","FY 2015","Currency=INR","Period=FY","BEST_FPERIOD_OVERRIDE=FY","FILING_STATUS=MR","EQY_CONSOLIDATED=Y","Sort=A","Dates=H","DateFormat=P","Fill=—","Direction=H","UseDPDF=Y")</f>
        <v>56.75</v>
      </c>
      <c r="I53" s="14">
        <f>_xll.BDH("RCOM IN Equity","PX_LOW","FY 2016","FY 2016","Currency=INR","Period=FY","BEST_FPERIOD_OVERRIDE=FY","FILING_STATUS=MR","EQY_CONSOLIDATED=Y","Sort=A","Dates=H","DateFormat=P","Fill=—","Direction=H","UseDPDF=Y")</f>
        <v>45.5</v>
      </c>
      <c r="J53" s="14">
        <f>_xll.BDH("RCOM IN Equity","PX_LOW","FY 2017","FY 2017","Currency=INR","Period=FY","BEST_FPERIOD_OVERRIDE=FY","FILING_STATUS=MR","EQY_CONSOLIDATED=Y","Sort=A","Dates=H","DateFormat=P","Fill=—","Direction=H","UseDPDF=Y")</f>
        <v>30.6</v>
      </c>
      <c r="K53" s="14">
        <f>_xll.BDH("RCOM IN Equity","PX_LOW","FY 2018","FY 2018","Currency=INR","Period=FY","BEST_FPERIOD_OVERRIDE=FY","FILING_STATUS=MR","EQY_CONSOLIDATED=Y","Sort=A","Dates=H","DateFormat=P","Fill=—","Direction=H","UseDPDF=Y")</f>
        <v>9.6</v>
      </c>
      <c r="L53" s="17">
        <v>6.5</v>
      </c>
    </row>
    <row r="54" spans="1:12">
      <c r="A54" s="6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1"/>
    </row>
    <row r="55" spans="1:12">
      <c r="A55" s="6" t="s">
        <v>35</v>
      </c>
      <c r="B55" s="6" t="s">
        <v>36</v>
      </c>
      <c r="C55" s="19">
        <f>_xll.BDH("RCOM IN Equity","ENTERPRISE_VALUE","FY 2010","FY 2010","Currency=INR","Period=FY","BEST_FPERIOD_OVERRIDE=FY","FILING_STATUS=MR","EQY_CONSOLIDATED=Y","SCALING_FORMAT=MLN","Sort=A","Dates=H","DateFormat=P","Fill=—","Direction=H","UseDPDF=Y")</f>
        <v>605934.66839999997</v>
      </c>
      <c r="D55" s="19">
        <f>_xll.BDH("RCOM IN Equity","ENTERPRISE_VALUE","FY 2011","FY 2011","Currency=INR","Period=FY","BEST_FPERIOD_OVERRIDE=FY","FILING_STATUS=MR","EQY_CONSOLIDATED=Y","SCALING_FORMAT=MLN","Sort=A","Dates=H","DateFormat=P","Fill=—","Direction=H","UseDPDF=Y")</f>
        <v>567962.49369999999</v>
      </c>
      <c r="E55" s="19">
        <f>_xll.BDH("RCOM IN Equity","ENTERPRISE_VALUE","FY 2012","FY 2012","Currency=INR","Period=FY","BEST_FPERIOD_OVERRIDE=FY","FILING_STATUS=MR","EQY_CONSOLIDATED=Y","SCALING_FORMAT=MLN","Sort=A","Dates=H","DateFormat=P","Fill=—","Direction=H","UseDPDF=Y")</f>
        <v>554421.45929999999</v>
      </c>
      <c r="F55" s="19">
        <f>_xll.BDH("RCOM IN Equity","ENTERPRISE_VALUE","FY 2013","FY 2013","Currency=INR","Period=FY","BEST_FPERIOD_OVERRIDE=FY","FILING_STATUS=MR","EQY_CONSOLIDATED=Y","SCALING_FORMAT=MLN","Sort=A","Dates=H","DateFormat=P","Fill=—","Direction=H","UseDPDF=Y")</f>
        <v>524040.68650000001</v>
      </c>
      <c r="G55" s="19">
        <f>_xll.BDH("RCOM IN Equity","ENTERPRISE_VALUE","FY 2014","FY 2014","Currency=INR","Period=FY","BEST_FPERIOD_OVERRIDE=FY","FILING_STATUS=MR","EQY_CONSOLIDATED=Y","SCALING_FORMAT=MLN","Sort=A","Dates=H","DateFormat=P","Fill=—","Direction=H","UseDPDF=Y")</f>
        <v>685073.06499999994</v>
      </c>
      <c r="H55" s="19">
        <f>_xll.BDH("RCOM IN Equity","ENTERPRISE_VALUE","FY 2015","FY 2015","Currency=INR","Period=FY","BEST_FPERIOD_OVERRIDE=FY","FILING_STATUS=MR","EQY_CONSOLIDATED=Y","SCALING_FORMAT=MLN","Sort=A","Dates=H","DateFormat=P","Fill=—","Direction=H","UseDPDF=Y")</f>
        <v>525452.04989999998</v>
      </c>
      <c r="I55" s="19">
        <f>_xll.BDH("RCOM IN Equity","ENTERPRISE_VALUE","FY 2016","FY 2016","Currency=INR","Period=FY","BEST_FPERIOD_OVERRIDE=FY","FILING_STATUS=MR","EQY_CONSOLIDATED=Y","SCALING_FORMAT=MLN","Sort=A","Dates=H","DateFormat=P","Fill=—","Direction=H","UseDPDF=Y")</f>
        <v>548268.98730000004</v>
      </c>
      <c r="J55" s="19">
        <f>_xll.BDH("RCOM IN Equity","ENTERPRISE_VALUE","FY 2017","FY 2017","Currency=INR","Period=FY","BEST_FPERIOD_OVERRIDE=FY","FILING_STATUS=MR","EQY_CONSOLIDATED=Y","SCALING_FORMAT=MLN","Sort=A","Dates=H","DateFormat=P","Fill=—","Direction=H","UseDPDF=Y")</f>
        <v>543517.92420000001</v>
      </c>
      <c r="K55" s="19">
        <f>_xll.BDH("RCOM IN Equity","ENTERPRISE_VALUE","FY 2018","FY 2018","Currency=INR","Period=FY","BEST_FPERIOD_OVERRIDE=FY","FILING_STATUS=MR","EQY_CONSOLIDATED=Y","SCALING_FORMAT=MLN","Sort=A","Dates=H","DateFormat=P","Fill=—","Direction=H","UseDPDF=Y")</f>
        <v>528940.34380000003</v>
      </c>
      <c r="L55" s="22">
        <v>340892.51812999998</v>
      </c>
    </row>
    <row r="56" spans="1:12">
      <c r="A56" s="10" t="s">
        <v>161</v>
      </c>
      <c r="B56" s="10" t="s">
        <v>205</v>
      </c>
      <c r="C56" s="13">
        <f>_xll.BDH("RCOM IN Equity","AVERAGE_ENTERPRISE_VALUE","FY 2010","FY 2010","Currency=INR","Period=FY","BEST_FPERIOD_OVERRIDE=FY","FILING_STATUS=MR","EQY_CONSOLIDATED=Y","SCALING_FORMAT=MLN","Sort=A","Dates=H","DateFormat=P","Fill=—","Direction=H","UseDPDF=Y")</f>
        <v>760974.83600000001</v>
      </c>
      <c r="D56" s="13">
        <f>_xll.BDH("RCOM IN Equity","AVERAGE_ENTERPRISE_VALUE","FY 2011","FY 2011","Currency=INR","Period=FY","BEST_FPERIOD_OVERRIDE=FY","FILING_STATUS=MR","EQY_CONSOLIDATED=Y","SCALING_FORMAT=MLN","Sort=A","Dates=H","DateFormat=P","Fill=—","Direction=H","UseDPDF=Y")</f>
        <v>570684.55889999995</v>
      </c>
      <c r="E56" s="13">
        <f>_xll.BDH("RCOM IN Equity","AVERAGE_ENTERPRISE_VALUE","FY 2012","FY 2012","Currency=INR","Period=FY","BEST_FPERIOD_OVERRIDE=FY","FILING_STATUS=MR","EQY_CONSOLIDATED=Y","SCALING_FORMAT=MLN","Sort=A","Dates=H","DateFormat=P","Fill=—","Direction=H","UseDPDF=Y")</f>
        <v>526226.22069999995</v>
      </c>
      <c r="F56" s="13">
        <f>_xll.BDH("RCOM IN Equity","AVERAGE_ENTERPRISE_VALUE","FY 2013","FY 2013","Currency=INR","Period=FY","BEST_FPERIOD_OVERRIDE=FY","FILING_STATUS=MR","EQY_CONSOLIDATED=Y","SCALING_FORMAT=MLN","Sort=A","Dates=H","DateFormat=P","Fill=—","Direction=H","UseDPDF=Y")</f>
        <v>518927.57209999999</v>
      </c>
      <c r="G56" s="13">
        <f>_xll.BDH("RCOM IN Equity","AVERAGE_ENTERPRISE_VALUE","FY 2014","FY 2014","Currency=INR","Period=FY","BEST_FPERIOD_OVERRIDE=FY","FILING_STATUS=MR","EQY_CONSOLIDATED=Y","SCALING_FORMAT=MLN","Sort=A","Dates=H","DateFormat=P","Fill=—","Direction=H","UseDPDF=Y")</f>
        <v>667679.84329999995</v>
      </c>
      <c r="H56" s="13">
        <f>_xll.BDH("RCOM IN Equity","AVERAGE_ENTERPRISE_VALUE","FY 2015","FY 2015","Currency=INR","Period=FY","BEST_FPERIOD_OVERRIDE=FY","FILING_STATUS=MR","EQY_CONSOLIDATED=Y","SCALING_FORMAT=MLN","Sort=A","Dates=H","DateFormat=P","Fill=—","Direction=H","UseDPDF=Y")</f>
        <v>665374.81059999997</v>
      </c>
      <c r="I56" s="13">
        <f>_xll.BDH("RCOM IN Equity","AVERAGE_ENTERPRISE_VALUE","FY 2016","FY 2016","Currency=INR","Period=FY","BEST_FPERIOD_OVERRIDE=FY","FILING_STATUS=MR","EQY_CONSOLIDATED=Y","SCALING_FORMAT=MLN","Sort=A","Dates=H","DateFormat=P","Fill=—","Direction=H","UseDPDF=Y")</f>
        <v>543266.06209999998</v>
      </c>
      <c r="J56" s="13">
        <f>_xll.BDH("RCOM IN Equity","AVERAGE_ENTERPRISE_VALUE","FY 2017","FY 2017","Currency=INR","Period=FY","BEST_FPERIOD_OVERRIDE=FY","FILING_STATUS=MR","EQY_CONSOLIDATED=Y","SCALING_FORMAT=MLN","Sort=A","Dates=H","DateFormat=P","Fill=—","Direction=H","UseDPDF=Y")</f>
        <v>534088.7389</v>
      </c>
      <c r="K56" s="13">
        <f>_xll.BDH("RCOM IN Equity","AVERAGE_ENTERPRISE_VALUE","FY 2018","FY 2018","Currency=INR","Period=FY","BEST_FPERIOD_OVERRIDE=FY","FILING_STATUS=MR","EQY_CONSOLIDATED=Y","SCALING_FORMAT=MLN","Sort=A","Dates=H","DateFormat=P","Fill=—","Direction=H","UseDPDF=Y")</f>
        <v>507794.92450000002</v>
      </c>
      <c r="L56" s="16"/>
    </row>
    <row r="57" spans="1:12">
      <c r="A57" s="10" t="s">
        <v>163</v>
      </c>
      <c r="B57" s="10" t="s">
        <v>206</v>
      </c>
      <c r="C57" s="13">
        <f>_xll.BDH("RCOM IN Equity","HIGH_ENTERPRISE_VALUE","FY 2010","FY 2010","Currency=INR","Period=FY","BEST_FPERIOD_OVERRIDE=FY","FILING_STATUS=MR","EQY_CONSOLIDATED=Y","SCALING_FORMAT=MLN","Sort=A","Dates=H","DateFormat=P","Fill=—","Direction=H","UseDPDF=Y")</f>
        <v>1011425.8916</v>
      </c>
      <c r="D57" s="13">
        <f>_xll.BDH("RCOM IN Equity","HIGH_ENTERPRISE_VALUE","FY 2011","FY 2011","Currency=INR","Period=FY","BEST_FPERIOD_OVERRIDE=FY","FILING_STATUS=MR","EQY_CONSOLIDATED=Y","SCALING_FORMAT=MLN","Sort=A","Dates=H","DateFormat=P","Fill=—","Direction=H","UseDPDF=Y")</f>
        <v>671364.36459999997</v>
      </c>
      <c r="E57" s="13">
        <f>_xll.BDH("RCOM IN Equity","HIGH_ENTERPRISE_VALUE","FY 2012","FY 2012","Currency=INR","Period=FY","BEST_FPERIOD_OVERRIDE=FY","FILING_STATUS=MR","EQY_CONSOLIDATED=Y","SCALING_FORMAT=MLN","Sort=A","Dates=H","DateFormat=P","Fill=—","Direction=H","UseDPDF=Y")</f>
        <v>577457.04189999995</v>
      </c>
      <c r="F57" s="13">
        <f>_xll.BDH("RCOM IN Equity","HIGH_ENTERPRISE_VALUE","FY 2013","FY 2013","Currency=INR","Period=FY","BEST_FPERIOD_OVERRIDE=FY","FILING_STATUS=MR","EQY_CONSOLIDATED=Y","SCALING_FORMAT=MLN","Sort=A","Dates=H","DateFormat=P","Fill=—","Direction=H","UseDPDF=Y")</f>
        <v>564638.41189999995</v>
      </c>
      <c r="G57" s="13">
        <f>_xll.BDH("RCOM IN Equity","HIGH_ENTERPRISE_VALUE","FY 2014","FY 2014","Currency=INR","Period=FY","BEST_FPERIOD_OVERRIDE=FY","FILING_STATUS=MR","EQY_CONSOLIDATED=Y","SCALING_FORMAT=MLN","Sort=A","Dates=H","DateFormat=P","Fill=—","Direction=H","UseDPDF=Y")</f>
        <v>741692.31700000004</v>
      </c>
      <c r="H57" s="13">
        <f>_xll.BDH("RCOM IN Equity","HIGH_ENTERPRISE_VALUE","FY 2015","FY 2015","Currency=INR","Period=FY","BEST_FPERIOD_OVERRIDE=FY","FILING_STATUS=MR","EQY_CONSOLIDATED=Y","SCALING_FORMAT=MLN","Sort=A","Dates=H","DateFormat=P","Fill=—","Direction=H","UseDPDF=Y")</f>
        <v>772520.35620000004</v>
      </c>
      <c r="I57" s="13">
        <f>_xll.BDH("RCOM IN Equity","HIGH_ENTERPRISE_VALUE","FY 2016","FY 2016","Currency=INR","Period=FY","BEST_FPERIOD_OVERRIDE=FY","FILING_STATUS=MR","EQY_CONSOLIDATED=Y","SCALING_FORMAT=MLN","Sort=A","Dates=H","DateFormat=P","Fill=—","Direction=H","UseDPDF=Y")</f>
        <v>603481.56409999996</v>
      </c>
      <c r="J57" s="13">
        <f>_xll.BDH("RCOM IN Equity","HIGH_ENTERPRISE_VALUE","FY 2017","FY 2017","Currency=INR","Period=FY","BEST_FPERIOD_OVERRIDE=FY","FILING_STATUS=MR","EQY_CONSOLIDATED=Y","SCALING_FORMAT=MLN","Sort=A","Dates=H","DateFormat=P","Fill=—","Direction=H","UseDPDF=Y")</f>
        <v>571665.39630000002</v>
      </c>
      <c r="K57" s="13">
        <f>_xll.BDH("RCOM IN Equity","HIGH_ENTERPRISE_VALUE","FY 2018","FY 2018","Currency=INR","Period=FY","BEST_FPERIOD_OVERRIDE=FY","FILING_STATUS=MR","EQY_CONSOLIDATED=Y","SCALING_FORMAT=MLN","Sort=A","Dates=H","DateFormat=P","Fill=—","Direction=H","UseDPDF=Y")</f>
        <v>549740.37320000003</v>
      </c>
      <c r="L57" s="16"/>
    </row>
    <row r="58" spans="1:12">
      <c r="A58" s="10" t="s">
        <v>165</v>
      </c>
      <c r="B58" s="10" t="s">
        <v>207</v>
      </c>
      <c r="C58" s="13">
        <f>_xll.BDH("RCOM IN Equity","LOW_ENTERPRISE_VALUE","FY 2010","FY 2010","Currency=INR","Period=FY","BEST_FPERIOD_OVERRIDE=FY","FILING_STATUS=MR","EQY_CONSOLIDATED=Y","SCALING_FORMAT=MLN","Sort=A","Dates=H","DateFormat=P","Fill=—","Direction=H","UseDPDF=Y")</f>
        <v>605934.70559999999</v>
      </c>
      <c r="D58" s="13">
        <f>_xll.BDH("RCOM IN Equity","LOW_ENTERPRISE_VALUE","FY 2011","FY 2011","Currency=INR","Period=FY","BEST_FPERIOD_OVERRIDE=FY","FILING_STATUS=MR","EQY_CONSOLIDATED=Y","SCALING_FORMAT=MLN","Sort=A","Dates=H","DateFormat=P","Fill=—","Direction=H","UseDPDF=Y")</f>
        <v>432143.6238</v>
      </c>
      <c r="E58" s="13">
        <f>_xll.BDH("RCOM IN Equity","LOW_ENTERPRISE_VALUE","FY 2012","FY 2012","Currency=INR","Period=FY","BEST_FPERIOD_OVERRIDE=FY","FILING_STATUS=MR","EQY_CONSOLIDATED=Y","SCALING_FORMAT=MLN","Sort=A","Dates=H","DateFormat=P","Fill=—","Direction=H","UseDPDF=Y")</f>
        <v>473946.08289999998</v>
      </c>
      <c r="F58" s="13">
        <f>_xll.BDH("RCOM IN Equity","LOW_ENTERPRISE_VALUE","FY 2013","FY 2013","Currency=INR","Period=FY","BEST_FPERIOD_OVERRIDE=FY","FILING_STATUS=MR","EQY_CONSOLIDATED=Y","SCALING_FORMAT=MLN","Sort=A","Dates=H","DateFormat=P","Fill=—","Direction=H","UseDPDF=Y")</f>
        <v>479806.89809999999</v>
      </c>
      <c r="G58" s="13">
        <f>_xll.BDH("RCOM IN Equity","LOW_ENTERPRISE_VALUE","FY 2014","FY 2014","Currency=INR","Period=FY","BEST_FPERIOD_OVERRIDE=FY","FILING_STATUS=MR","EQY_CONSOLIDATED=Y","SCALING_FORMAT=MLN","Sort=A","Dates=H","DateFormat=P","Fill=—","Direction=H","UseDPDF=Y")</f>
        <v>527652.74600000004</v>
      </c>
      <c r="H58" s="13">
        <f>_xll.BDH("RCOM IN Equity","LOW_ENTERPRISE_VALUE","FY 2015","FY 2015","Currency=INR","Period=FY","BEST_FPERIOD_OVERRIDE=FY","FILING_STATUS=MR","EQY_CONSOLIDATED=Y","SCALING_FORMAT=MLN","Sort=A","Dates=H","DateFormat=P","Fill=—","Direction=H","UseDPDF=Y")</f>
        <v>525452.04940000002</v>
      </c>
      <c r="I58" s="13">
        <f>_xll.BDH("RCOM IN Equity","LOW_ENTERPRISE_VALUE","FY 2016","FY 2016","Currency=INR","Period=FY","BEST_FPERIOD_OVERRIDE=FY","FILING_STATUS=MR","EQY_CONSOLIDATED=Y","SCALING_FORMAT=MLN","Sort=A","Dates=H","DateFormat=P","Fill=—","Direction=H","UseDPDF=Y")</f>
        <v>501060.04800000001</v>
      </c>
      <c r="J58" s="13">
        <f>_xll.BDH("RCOM IN Equity","LOW_ENTERPRISE_VALUE","FY 2017","FY 2017","Currency=INR","Period=FY","BEST_FPERIOD_OVERRIDE=FY","FILING_STATUS=MR","EQY_CONSOLIDATED=Y","SCALING_FORMAT=MLN","Sort=A","Dates=H","DateFormat=P","Fill=—","Direction=H","UseDPDF=Y")</f>
        <v>500605.02490000002</v>
      </c>
      <c r="K58" s="13">
        <f>_xll.BDH("RCOM IN Equity","LOW_ENTERPRISE_VALUE","FY 2018","FY 2018","Currency=INR","Period=FY","BEST_FPERIOD_OVERRIDE=FY","FILING_STATUS=MR","EQY_CONSOLIDATED=Y","SCALING_FORMAT=MLN","Sort=A","Dates=H","DateFormat=P","Fill=—","Direction=H","UseDPDF=Y")</f>
        <v>473328.6948</v>
      </c>
      <c r="L58" s="16"/>
    </row>
    <row r="59" spans="1:12">
      <c r="A59" s="7" t="s">
        <v>57</v>
      </c>
      <c r="B59" s="7"/>
      <c r="C59" s="7" t="s">
        <v>3</v>
      </c>
      <c r="D59" s="7"/>
      <c r="E59" s="7"/>
      <c r="F59" s="7"/>
      <c r="G59" s="7"/>
      <c r="H59" s="7"/>
      <c r="I59" s="7"/>
      <c r="J59" s="7"/>
      <c r="K59" s="7"/>
      <c r="L59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28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208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209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</row>
    <row r="6" spans="1:12">
      <c r="A6" s="10" t="s">
        <v>210</v>
      </c>
      <c r="B6" s="10" t="s">
        <v>86</v>
      </c>
      <c r="C6" s="13">
        <f>_xll.BDH("RCOM IN Equity","BS_SH_OUT","FY 2010","FY 2010","Currency=INR","Period=FY","BEST_FPERIOD_OVERRIDE=FY","FILING_STATUS=MR","EQY_CONSOLIDATED=Y","Sort=A","Dates=H","DateFormat=P","Fill=—","Direction=H","UseDPDF=Y")</f>
        <v>2064.0268999999998</v>
      </c>
      <c r="D6" s="13">
        <f>_xll.BDH("RCOM IN Equity","BS_SH_OUT","FY 2011","FY 2011","Currency=INR","Period=FY","BEST_FPERIOD_OVERRIDE=FY","FILING_STATUS=MR","EQY_CONSOLIDATED=Y","Sort=A","Dates=H","DateFormat=P","Fill=—","Direction=H","UseDPDF=Y")</f>
        <v>2064.0268999999998</v>
      </c>
      <c r="E6" s="13">
        <f>_xll.BDH("RCOM IN Equity","BS_SH_OUT","FY 2012","FY 2012","Currency=INR","Period=FY","BEST_FPERIOD_OVERRIDE=FY","FILING_STATUS=MR","EQY_CONSOLIDATED=Y","Sort=A","Dates=H","DateFormat=P","Fill=—","Direction=H","UseDPDF=Y")</f>
        <v>2064.0268999999998</v>
      </c>
      <c r="F6" s="13">
        <f>_xll.BDH("RCOM IN Equity","BS_SH_OUT","FY 2013","FY 2013","Currency=INR","Period=FY","BEST_FPERIOD_OVERRIDE=FY","FILING_STATUS=MR","EQY_CONSOLIDATED=Y","Sort=A","Dates=H","DateFormat=P","Fill=—","Direction=H","UseDPDF=Y")</f>
        <v>2064.0268999999998</v>
      </c>
      <c r="G6" s="13">
        <f>_xll.BDH("RCOM IN Equity","BS_SH_OUT","FY 2014","FY 2014","Currency=INR","Period=FY","BEST_FPERIOD_OVERRIDE=FY","FILING_STATUS=MR","EQY_CONSOLIDATED=Y","Sort=A","Dates=H","DateFormat=P","Fill=—","Direction=H","UseDPDF=Y")</f>
        <v>2064.0268999999998</v>
      </c>
      <c r="H6" s="13">
        <f>_xll.BDH("RCOM IN Equity","BS_SH_OUT","FY 2015","FY 2015","Currency=INR","Period=FY","BEST_FPERIOD_OVERRIDE=FY","FILING_STATUS=MR","EQY_CONSOLIDATED=Y","Sort=A","Dates=H","DateFormat=P","Fill=—","Direction=H","UseDPDF=Y")</f>
        <v>2488.9796999999999</v>
      </c>
      <c r="I6" s="13">
        <f>_xll.BDH("RCOM IN Equity","BS_SH_OUT","FY 2016","FY 2016","Currency=INR","Period=FY","BEST_FPERIOD_OVERRIDE=FY","FILING_STATUS=MR","EQY_CONSOLIDATED=Y","Sort=A","Dates=H","DateFormat=P","Fill=—","Direction=H","UseDPDF=Y")</f>
        <v>2488.9796999999999</v>
      </c>
      <c r="J6" s="13">
        <f>_xll.BDH("RCOM IN Equity","BS_SH_OUT","FY 2017","FY 2017","Currency=INR","Period=FY","BEST_FPERIOD_OVERRIDE=FY","FILING_STATUS=MR","EQY_CONSOLIDATED=Y","Sort=A","Dates=H","DateFormat=P","Fill=—","Direction=H","UseDPDF=Y")</f>
        <v>2488.9796999999999</v>
      </c>
      <c r="K6" s="13">
        <f>_xll.BDH("RCOM IN Equity","BS_SH_OUT","FY 2018","FY 2018","Currency=INR","Period=FY","BEST_FPERIOD_OVERRIDE=FY","FILING_STATUS=MR","EQY_CONSOLIDATED=Y","Sort=A","Dates=H","DateFormat=P","Fill=—","Direction=H","UseDPDF=Y")</f>
        <v>2765.5331000000001</v>
      </c>
      <c r="L6" s="16">
        <v>2766</v>
      </c>
    </row>
    <row r="7" spans="1:12">
      <c r="A7" s="10" t="s">
        <v>211</v>
      </c>
      <c r="B7" s="10" t="s">
        <v>73</v>
      </c>
      <c r="C7" s="13">
        <f>_xll.BDH("RCOM IN Equity","IS_SH_FOR_DILUTED_EPS","FY 2010","FY 2010","Currency=INR","Period=FY","BEST_FPERIOD_OVERRIDE=FY","FILING_STATUS=MR","EQY_CONSOLIDATED=Y","Sort=A","Dates=H","DateFormat=P","Fill=—","Direction=H","UseDPDF=Y")</f>
        <v>2153.1658000000002</v>
      </c>
      <c r="D7" s="13">
        <f>_xll.BDH("RCOM IN Equity","IS_SH_FOR_DILUTED_EPS","FY 2011","FY 2011","Currency=INR","Period=FY","BEST_FPERIOD_OVERRIDE=FY","FILING_STATUS=MR","EQY_CONSOLIDATED=Y","Sort=A","Dates=H","DateFormat=P","Fill=—","Direction=H","UseDPDF=Y")</f>
        <v>2153.1658000000002</v>
      </c>
      <c r="E7" s="13">
        <f>_xll.BDH("RCOM IN Equity","IS_SH_FOR_DILUTED_EPS","FY 2012","FY 2012","Currency=INR","Period=FY","BEST_FPERIOD_OVERRIDE=FY","FILING_STATUS=MR","EQY_CONSOLIDATED=Y","Sort=A","Dates=H","DateFormat=P","Fill=—","Direction=H","UseDPDF=Y")</f>
        <v>2104.0468999999998</v>
      </c>
      <c r="F7" s="13">
        <f>_xll.BDH("RCOM IN Equity","IS_SH_FOR_DILUTED_EPS","FY 2013","FY 2013","Currency=INR","Period=FY","BEST_FPERIOD_OVERRIDE=FY","FILING_STATUS=MR","EQY_CONSOLIDATED=Y","Sort=A","Dates=H","DateFormat=P","Fill=—","Direction=H","UseDPDF=Y")</f>
        <v>2064.0268999999998</v>
      </c>
      <c r="G7" s="13">
        <f>_xll.BDH("RCOM IN Equity","IS_SH_FOR_DILUTED_EPS","FY 2014","FY 2014","Currency=INR","Period=FY","BEST_FPERIOD_OVERRIDE=FY","FILING_STATUS=MR","EQY_CONSOLIDATED=Y","Sort=A","Dates=H","DateFormat=P","Fill=—","Direction=H","UseDPDF=Y")</f>
        <v>2064.0268999999998</v>
      </c>
      <c r="H7" s="13">
        <f>_xll.BDH("RCOM IN Equity","IS_SH_FOR_DILUTED_EPS","FY 2015","FY 2015","Currency=INR","Period=FY","BEST_FPERIOD_OVERRIDE=FY","FILING_STATUS=MR","EQY_CONSOLIDATED=Y","Sort=A","Dates=H","DateFormat=P","Fill=—","Direction=H","UseDPDF=Y")</f>
        <v>2333.9049</v>
      </c>
      <c r="I7" s="13">
        <f>_xll.BDH("RCOM IN Equity","IS_SH_FOR_DILUTED_EPS","FY 2016","FY 2016","Currency=INR","Period=FY","BEST_FPERIOD_OVERRIDE=FY","FILING_STATUS=MR","EQY_CONSOLIDATED=Y","Sort=A","Dates=H","DateFormat=P","Fill=—","Direction=H","UseDPDF=Y")</f>
        <v>2467.7006999999999</v>
      </c>
      <c r="J7" s="13">
        <f>_xll.BDH("RCOM IN Equity","IS_SH_FOR_DILUTED_EPS","FY 2017","FY 2017","Currency=INR","Period=FY","BEST_FPERIOD_OVERRIDE=FY","FILING_STATUS=MR","EQY_CONSOLIDATED=Y","Sort=A","Dates=H","DateFormat=P","Fill=—","Direction=H","UseDPDF=Y")</f>
        <v>2467.7006999999999</v>
      </c>
      <c r="K7" s="13">
        <f>_xll.BDH("RCOM IN Equity","IS_SH_FOR_DILUTED_EPS","FY 2018","FY 2018","Currency=INR","Period=FY","BEST_FPERIOD_OVERRIDE=FY","FILING_STATUS=MR","EQY_CONSOLIDATED=Y","Sort=A","Dates=H","DateFormat=P","Fill=—","Direction=H","UseDPDF=Y")</f>
        <v>2582.8681000000001</v>
      </c>
      <c r="L7" s="16">
        <v>2766</v>
      </c>
    </row>
    <row r="8" spans="1:12">
      <c r="A8" s="10" t="s">
        <v>212</v>
      </c>
      <c r="B8" s="10" t="s">
        <v>71</v>
      </c>
      <c r="C8" s="13">
        <f>_xll.BDH("RCOM IN Equity","IS_AVG_NUM_SH_FOR_EPS","FY 2010","FY 2010","Currency=INR","Period=FY","BEST_FPERIOD_OVERRIDE=FY","FILING_STATUS=MR","EQY_CONSOLIDATED=Y","Sort=A","Dates=H","DateFormat=P","Fill=—","Direction=H","UseDPDF=Y")</f>
        <v>2064.0268999999998</v>
      </c>
      <c r="D8" s="13">
        <f>_xll.BDH("RCOM IN Equity","IS_AVG_NUM_SH_FOR_EPS","FY 2011","FY 2011","Currency=INR","Period=FY","BEST_FPERIOD_OVERRIDE=FY","FILING_STATUS=MR","EQY_CONSOLIDATED=Y","Sort=A","Dates=H","DateFormat=P","Fill=—","Direction=H","UseDPDF=Y")</f>
        <v>2064.0268999999998</v>
      </c>
      <c r="E8" s="13">
        <f>_xll.BDH("RCOM IN Equity","IS_AVG_NUM_SH_FOR_EPS","FY 2012","FY 2012","Currency=INR","Period=FY","BEST_FPERIOD_OVERRIDE=FY","FILING_STATUS=MR","EQY_CONSOLIDATED=Y","Sort=A","Dates=H","DateFormat=P","Fill=—","Direction=H","UseDPDF=Y")</f>
        <v>2064.0268999999998</v>
      </c>
      <c r="F8" s="13">
        <f>_xll.BDH("RCOM IN Equity","IS_AVG_NUM_SH_FOR_EPS","FY 2013","FY 2013","Currency=INR","Period=FY","BEST_FPERIOD_OVERRIDE=FY","FILING_STATUS=MR","EQY_CONSOLIDATED=Y","Sort=A","Dates=H","DateFormat=P","Fill=—","Direction=H","UseDPDF=Y")</f>
        <v>2064.0268999999998</v>
      </c>
      <c r="G8" s="13">
        <f>_xll.BDH("RCOM IN Equity","IS_AVG_NUM_SH_FOR_EPS","FY 2014","FY 2014","Currency=INR","Period=FY","BEST_FPERIOD_OVERRIDE=FY","FILING_STATUS=MR","EQY_CONSOLIDATED=Y","Sort=A","Dates=H","DateFormat=P","Fill=—","Direction=H","UseDPDF=Y")</f>
        <v>2064.0268999999998</v>
      </c>
      <c r="H8" s="13">
        <f>_xll.BDH("RCOM IN Equity","IS_AVG_NUM_SH_FOR_EPS","FY 2015","FY 2015","Currency=INR","Period=FY","BEST_FPERIOD_OVERRIDE=FY","FILING_STATUS=MR","EQY_CONSOLIDATED=Y","Sort=A","Dates=H","DateFormat=P","Fill=—","Direction=H","UseDPDF=Y")</f>
        <v>2333.9049</v>
      </c>
      <c r="I8" s="13">
        <f>_xll.BDH("RCOM IN Equity","IS_AVG_NUM_SH_FOR_EPS","FY 2016","FY 2016","Currency=INR","Period=FY","BEST_FPERIOD_OVERRIDE=FY","FILING_STATUS=MR","EQY_CONSOLIDATED=Y","Sort=A","Dates=H","DateFormat=P","Fill=—","Direction=H","UseDPDF=Y")</f>
        <v>2467.7006999999999</v>
      </c>
      <c r="J8" s="13">
        <f>_xll.BDH("RCOM IN Equity","IS_AVG_NUM_SH_FOR_EPS","FY 2017","FY 2017","Currency=INR","Period=FY","BEST_FPERIOD_OVERRIDE=FY","FILING_STATUS=MR","EQY_CONSOLIDATED=Y","Sort=A","Dates=H","DateFormat=P","Fill=—","Direction=H","UseDPDF=Y")</f>
        <v>2467.7006999999999</v>
      </c>
      <c r="K8" s="13">
        <f>_xll.BDH("RCOM IN Equity","IS_AVG_NUM_SH_FOR_EPS","FY 2018","FY 2018","Currency=INR","Period=FY","BEST_FPERIOD_OVERRIDE=FY","FILING_STATUS=MR","EQY_CONSOLIDATED=Y","Sort=A","Dates=H","DateFormat=P","Fill=—","Direction=H","UseDPDF=Y")</f>
        <v>2582.8681000000001</v>
      </c>
      <c r="L8" s="16">
        <v>2766</v>
      </c>
    </row>
    <row r="9" spans="1:12">
      <c r="A9" s="10"/>
      <c r="B9" s="12"/>
      <c r="C9" s="12"/>
      <c r="D9" s="12"/>
      <c r="E9" s="12"/>
      <c r="F9" s="12"/>
      <c r="G9" s="12"/>
      <c r="H9" s="12"/>
      <c r="I9" s="12"/>
      <c r="J9" s="12"/>
      <c r="K9" s="12"/>
      <c r="L9" s="15"/>
    </row>
    <row r="10" spans="1:12">
      <c r="A10" s="6" t="s">
        <v>213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21"/>
    </row>
    <row r="11" spans="1:12">
      <c r="A11" s="10" t="s">
        <v>0</v>
      </c>
      <c r="B11" s="10" t="s">
        <v>214</v>
      </c>
      <c r="C11" s="14">
        <f>_xll.BDH("RCOM IN Equity","REVENUE_PER_SH","FY 2010","FY 2010","Currency=INR","Period=FY","BEST_FPERIOD_OVERRIDE=FY","FILING_STATUS=MR","EQY_CONSOLIDATED=Y","FA_ADJUSTED=GAAP","Sort=A","Dates=H","DateFormat=P","Fill=—","Direction=H","UseDPDF=Y")</f>
        <v>100.217</v>
      </c>
      <c r="D11" s="14">
        <f>_xll.BDH("RCOM IN Equity","REVENUE_PER_SH","FY 2011","FY 2011","Currency=INR","Period=FY","BEST_FPERIOD_OVERRIDE=FY","FILING_STATUS=MR","EQY_CONSOLIDATED=Y","FA_ADJUSTED=GAAP","Sort=A","Dates=H","DateFormat=P","Fill=—","Direction=H","UseDPDF=Y")</f>
        <v>107.01900000000001</v>
      </c>
      <c r="E11" s="14">
        <f>_xll.BDH("RCOM IN Equity","REVENUE_PER_SH","FY 2012","FY 2012","Currency=INR","Period=FY","BEST_FPERIOD_OVERRIDE=FY","FILING_STATUS=MR","EQY_CONSOLIDATED=Y","FA_ADJUSTED=GAAP","Sort=A","Dates=H","DateFormat=P","Fill=—","Direction=H","UseDPDF=Y")</f>
        <v>90.677099999999996</v>
      </c>
      <c r="F11" s="14">
        <f>_xll.BDH("RCOM IN Equity","REVENUE_PER_SH","FY 2013","FY 2013","Currency=INR","Period=FY","BEST_FPERIOD_OVERRIDE=FY","FILING_STATUS=MR","EQY_CONSOLIDATED=Y","FA_ADJUSTED=GAAP","Sort=A","Dates=H","DateFormat=P","Fill=—","Direction=H","UseDPDF=Y")</f>
        <v>93.477500000000006</v>
      </c>
      <c r="G11" s="14">
        <f>_xll.BDH("RCOM IN Equity","REVENUE_PER_SH","FY 2014","FY 2014","Currency=INR","Period=FY","BEST_FPERIOD_OVERRIDE=FY","FILING_STATUS=MR","EQY_CONSOLIDATED=Y","FA_ADJUSTED=GAAP","Sort=A","Dates=H","DateFormat=P","Fill=—","Direction=H","UseDPDF=Y")</f>
        <v>101.4522</v>
      </c>
      <c r="H11" s="14">
        <f>_xll.BDH("RCOM IN Equity","REVENUE_PER_SH","FY 2015","FY 2015","Currency=INR","Period=FY","BEST_FPERIOD_OVERRIDE=FY","FILING_STATUS=MR","EQY_CONSOLIDATED=Y","FA_ADJUSTED=GAAP","Sort=A","Dates=H","DateFormat=P","Fill=—","Direction=H","UseDPDF=Y")</f>
        <v>91.790400000000005</v>
      </c>
      <c r="I11" s="14">
        <f>_xll.BDH("RCOM IN Equity","REVENUE_PER_SH","FY 2016","FY 2016","Currency=INR","Period=FY","BEST_FPERIOD_OVERRIDE=FY","FILING_STATUS=MR","EQY_CONSOLIDATED=Y","FA_ADJUSTED=GAAP","Sort=A","Dates=H","DateFormat=P","Fill=—","Direction=H","UseDPDF=Y")</f>
        <v>88.110399999999998</v>
      </c>
      <c r="J11" s="14">
        <f>_xll.BDH("RCOM IN Equity","REVENUE_PER_SH","FY 2017","FY 2017","Currency=INR","Period=FY","BEST_FPERIOD_OVERRIDE=FY","FILING_STATUS=MR","EQY_CONSOLIDATED=Y","FA_ADJUSTED=GAAP","Sort=A","Dates=H","DateFormat=P","Fill=—","Direction=H","UseDPDF=Y")</f>
        <v>26.559100000000001</v>
      </c>
      <c r="K11" s="14">
        <f>_xll.BDH("RCOM IN Equity","REVENUE_PER_SH","FY 2018","FY 2018","Currency=INR","Period=FY","BEST_FPERIOD_OVERRIDE=FY","FILING_STATUS=MR","EQY_CONSOLIDATED=Y","FA_ADJUSTED=GAAP","Sort=A","Dates=H","DateFormat=P","Fill=—","Direction=H","UseDPDF=Y")</f>
        <v>17.782599999999999</v>
      </c>
      <c r="L11" s="17">
        <v>14.7516890445052</v>
      </c>
    </row>
    <row r="12" spans="1:12">
      <c r="A12" s="10" t="s">
        <v>46</v>
      </c>
      <c r="B12" s="10" t="s">
        <v>215</v>
      </c>
      <c r="C12" s="14">
        <f>_xll.BDH("RCOM IN Equity","EBITDA_PER_SH","FY 2010","FY 2010","Currency=INR","Period=FY","BEST_FPERIOD_OVERRIDE=FY","FILING_STATUS=MR","EQY_CONSOLIDATED=Y","FA_ADJUSTED=GAAP","Sort=A","Dates=H","DateFormat=P","Fill=—","Direction=H","UseDPDF=Y")</f>
        <v>33.861199999999997</v>
      </c>
      <c r="D12" s="14">
        <f>_xll.BDH("RCOM IN Equity","EBITDA_PER_SH","FY 2011","FY 2011","Currency=INR","Period=FY","BEST_FPERIOD_OVERRIDE=FY","FILING_STATUS=MR","EQY_CONSOLIDATED=Y","FA_ADJUSTED=GAAP","Sort=A","Dates=H","DateFormat=P","Fill=—","Direction=H","UseDPDF=Y")</f>
        <v>40.5809</v>
      </c>
      <c r="E12" s="14">
        <f>_xll.BDH("RCOM IN Equity","EBITDA_PER_SH","FY 2012","FY 2012","Currency=INR","Period=FY","BEST_FPERIOD_OVERRIDE=FY","FILING_STATUS=MR","EQY_CONSOLIDATED=Y","FA_ADJUSTED=GAAP","Sort=A","Dates=H","DateFormat=P","Fill=—","Direction=H","UseDPDF=Y")</f>
        <v>28.0762</v>
      </c>
      <c r="F12" s="14">
        <f>_xll.BDH("RCOM IN Equity","EBITDA_PER_SH","FY 2013","FY 2013","Currency=INR","Period=FY","BEST_FPERIOD_OVERRIDE=FY","FILING_STATUS=MR","EQY_CONSOLIDATED=Y","FA_ADJUSTED=GAAP","Sort=A","Dates=H","DateFormat=P","Fill=—","Direction=H","UseDPDF=Y")</f>
        <v>28.7835</v>
      </c>
      <c r="G12" s="14">
        <f>_xll.BDH("RCOM IN Equity","EBITDA_PER_SH","FY 2014","FY 2014","Currency=INR","Period=FY","BEST_FPERIOD_OVERRIDE=FY","FILING_STATUS=MR","EQY_CONSOLIDATED=Y","FA_ADJUSTED=GAAP","Sort=A","Dates=H","DateFormat=P","Fill=—","Direction=H","UseDPDF=Y")</f>
        <v>32.489899999999999</v>
      </c>
      <c r="H12" s="14">
        <f>_xll.BDH("RCOM IN Equity","EBITDA_PER_SH","FY 2015","FY 2015","Currency=INR","Period=FY","BEST_FPERIOD_OVERRIDE=FY","FILING_STATUS=MR","EQY_CONSOLIDATED=Y","FA_ADJUSTED=GAAP","Sort=A","Dates=H","DateFormat=P","Fill=—","Direction=H","UseDPDF=Y")</f>
        <v>30.875299999999999</v>
      </c>
      <c r="I12" s="14">
        <f>_xll.BDH("RCOM IN Equity","EBITDA_PER_SH","FY 2016","FY 2016","Currency=INR","Period=FY","BEST_FPERIOD_OVERRIDE=FY","FILING_STATUS=MR","EQY_CONSOLIDATED=Y","FA_ADJUSTED=GAAP","Sort=A","Dates=H","DateFormat=P","Fill=—","Direction=H","UseDPDF=Y")</f>
        <v>29.420100000000001</v>
      </c>
      <c r="J12" s="14">
        <f>_xll.BDH("RCOM IN Equity","EBITDA_PER_SH","FY 2017","FY 2017","Currency=INR","Period=FY","BEST_FPERIOD_OVERRIDE=FY","FILING_STATUS=MR","EQY_CONSOLIDATED=Y","FA_ADJUSTED=GAAP","Sort=A","Dates=H","DateFormat=P","Fill=—","Direction=H","UseDPDF=Y")</f>
        <v>18.888000000000002</v>
      </c>
      <c r="K12" s="14">
        <f>_xll.BDH("RCOM IN Equity","EBITDA_PER_SH","FY 2018","FY 2018","Currency=INR","Period=FY","BEST_FPERIOD_OVERRIDE=FY","FILING_STATUS=MR","EQY_CONSOLIDATED=Y","FA_ADJUSTED=GAAP","Sort=A","Dates=H","DateFormat=P","Fill=—","Direction=H","UseDPDF=Y")</f>
        <v>12.040900000000001</v>
      </c>
      <c r="L12" s="17">
        <v>1.90473738329709</v>
      </c>
    </row>
    <row r="13" spans="1:12">
      <c r="A13" s="10" t="s">
        <v>63</v>
      </c>
      <c r="B13" s="10" t="s">
        <v>216</v>
      </c>
      <c r="C13" s="14">
        <f>_xll.BDH("RCOM IN Equity","OPER_INC_PER_SH","FY 2010","FY 2010","Currency=INR","Period=FY","BEST_FPERIOD_OVERRIDE=FY","FILING_STATUS=MR","EQY_CONSOLIDATED=Y","FA_ADJUSTED=GAAP","Sort=A","Dates=H","DateFormat=P","Fill=—","Direction=H","UseDPDF=Y")</f>
        <v>15.7097</v>
      </c>
      <c r="D13" s="14">
        <f>_xll.BDH("RCOM IN Equity","OPER_INC_PER_SH","FY 2011","FY 2011","Currency=INR","Period=FY","BEST_FPERIOD_OVERRIDE=FY","FILING_STATUS=MR","EQY_CONSOLIDATED=Y","FA_ADJUSTED=GAAP","Sort=A","Dates=H","DateFormat=P","Fill=—","Direction=H","UseDPDF=Y")</f>
        <v>9.0695999999999994</v>
      </c>
      <c r="E13" s="14">
        <f>_xll.BDH("RCOM IN Equity","OPER_INC_PER_SH","FY 2012","FY 2012","Currency=INR","Period=FY","BEST_FPERIOD_OVERRIDE=FY","FILING_STATUS=MR","EQY_CONSOLIDATED=Y","FA_ADJUSTED=GAAP","Sort=A","Dates=H","DateFormat=P","Fill=—","Direction=H","UseDPDF=Y")</f>
        <v>8.8032000000000004</v>
      </c>
      <c r="F13" s="14">
        <f>_xll.BDH("RCOM IN Equity","OPER_INC_PER_SH","FY 2013","FY 2013","Currency=INR","Period=FY","BEST_FPERIOD_OVERRIDE=FY","FILING_STATUS=MR","EQY_CONSOLIDATED=Y","FA_ADJUSTED=GAAP","Sort=A","Dates=H","DateFormat=P","Fill=—","Direction=H","UseDPDF=Y")</f>
        <v>10.1549</v>
      </c>
      <c r="G13" s="14">
        <f>_xll.BDH("RCOM IN Equity","OPER_INC_PER_SH","FY 2014","FY 2014","Currency=INR","Period=FY","BEST_FPERIOD_OVERRIDE=FY","FILING_STATUS=MR","EQY_CONSOLIDATED=Y","FA_ADJUSTED=GAAP","Sort=A","Dates=H","DateFormat=P","Fill=—","Direction=H","UseDPDF=Y")</f>
        <v>10.5183</v>
      </c>
      <c r="H13" s="14">
        <f>_xll.BDH("RCOM IN Equity","OPER_INC_PER_SH","FY 2015","FY 2015","Currency=INR","Period=FY","BEST_FPERIOD_OVERRIDE=FY","FILING_STATUS=MR","EQY_CONSOLIDATED=Y","FA_ADJUSTED=GAAP","Sort=A","Dates=H","DateFormat=P","Fill=—","Direction=H","UseDPDF=Y")</f>
        <v>14.5207</v>
      </c>
      <c r="I13" s="14">
        <f>_xll.BDH("RCOM IN Equity","OPER_INC_PER_SH","FY 2016","FY 2016","Currency=INR","Period=FY","BEST_FPERIOD_OVERRIDE=FY","FILING_STATUS=MR","EQY_CONSOLIDATED=Y","FA_ADJUSTED=GAAP","Sort=A","Dates=H","DateFormat=P","Fill=—","Direction=H","UseDPDF=Y")</f>
        <v>11.2493</v>
      </c>
      <c r="J13" s="14">
        <f>_xll.BDH("RCOM IN Equity","OPER_INC_PER_SH","FY 2017","FY 2017","Currency=INR","Period=FY","BEST_FPERIOD_OVERRIDE=FY","FILING_STATUS=MR","EQY_CONSOLIDATED=Y","FA_ADJUSTED=GAAP","Sort=A","Dates=H","DateFormat=P","Fill=—","Direction=H","UseDPDF=Y")</f>
        <v>1.7829999999999999</v>
      </c>
      <c r="K13" s="14">
        <f>_xll.BDH("RCOM IN Equity","OPER_INC_PER_SH","FY 2018","FY 2018","Currency=INR","Period=FY","BEST_FPERIOD_OVERRIDE=FY","FILING_STATUS=MR","EQY_CONSOLIDATED=Y","FA_ADJUSTED=GAAP","Sort=A","Dates=H","DateFormat=P","Fill=—","Direction=H","UseDPDF=Y")</f>
        <v>0.94079999999999997</v>
      </c>
      <c r="L13" s="17">
        <v>-1.0291313457897</v>
      </c>
    </row>
    <row r="14" spans="1:12">
      <c r="A14" s="10" t="s">
        <v>217</v>
      </c>
      <c r="B14" s="10" t="s">
        <v>67</v>
      </c>
      <c r="C14" s="14">
        <f>_xll.BDH("RCOM IN Equity","IS_EPS","FY 2010","FY 2010","Currency=INR","Period=FY","BEST_FPERIOD_OVERRIDE=FY","FILING_STATUS=MR","EQY_CONSOLIDATED=Y","FA_ADJUSTED=GAAP","Sort=A","Dates=H","DateFormat=P","Fill=—","Direction=H","UseDPDF=Y")</f>
        <v>22.553000000000001</v>
      </c>
      <c r="D14" s="14">
        <f>_xll.BDH("RCOM IN Equity","IS_EPS","FY 2011","FY 2011","Currency=INR","Period=FY","BEST_FPERIOD_OVERRIDE=FY","FILING_STATUS=MR","EQY_CONSOLIDATED=Y","FA_ADJUSTED=GAAP","Sort=A","Dates=H","DateFormat=P","Fill=—","Direction=H","UseDPDF=Y")</f>
        <v>6.5164</v>
      </c>
      <c r="E14" s="14">
        <f>_xll.BDH("RCOM IN Equity","IS_EPS","FY 2012","FY 2012","Currency=INR","Period=FY","BEST_FPERIOD_OVERRIDE=FY","FILING_STATUS=MR","EQY_CONSOLIDATED=Y","FA_ADJUSTED=GAAP","Sort=A","Dates=H","DateFormat=P","Fill=—","Direction=H","UseDPDF=Y")</f>
        <v>4.5</v>
      </c>
      <c r="F14" s="14">
        <f>_xll.BDH("RCOM IN Equity","IS_EPS","FY 2013","FY 2013","Currency=INR","Period=FY","BEST_FPERIOD_OVERRIDE=FY","FILING_STATUS=MR","EQY_CONSOLIDATED=Y","FA_ADJUSTED=GAAP","Sort=A","Dates=H","DateFormat=P","Fill=—","Direction=H","UseDPDF=Y")</f>
        <v>3.26</v>
      </c>
      <c r="G14" s="14">
        <f>_xll.BDH("RCOM IN Equity","IS_EPS","FY 2014","FY 2014","Currency=INR","Period=FY","BEST_FPERIOD_OVERRIDE=FY","FILING_STATUS=MR","EQY_CONSOLIDATED=Y","FA_ADJUSTED=GAAP","Sort=A","Dates=H","DateFormat=P","Fill=—","Direction=H","UseDPDF=Y")</f>
        <v>5.07</v>
      </c>
      <c r="H14" s="14">
        <f>_xll.BDH("RCOM IN Equity","IS_EPS","FY 2015","FY 2015","Currency=INR","Period=FY","BEST_FPERIOD_OVERRIDE=FY","FILING_STATUS=MR","EQY_CONSOLIDATED=Y","FA_ADJUSTED=GAAP","Sort=A","Dates=H","DateFormat=P","Fill=—","Direction=H","UseDPDF=Y")</f>
        <v>3.05</v>
      </c>
      <c r="I14" s="14">
        <f>_xll.BDH("RCOM IN Equity","IS_EPS","FY 2016","FY 2016","Currency=INR","Period=FY","BEST_FPERIOD_OVERRIDE=FY","FILING_STATUS=MR","EQY_CONSOLIDATED=Y","FA_ADJUSTED=GAAP","Sort=A","Dates=H","DateFormat=P","Fill=—","Direction=H","UseDPDF=Y")</f>
        <v>2.59</v>
      </c>
      <c r="J14" s="14">
        <f>_xll.BDH("RCOM IN Equity","IS_EPS","FY 2017","FY 2017","Currency=INR","Period=FY","BEST_FPERIOD_OVERRIDE=FY","FILING_STATUS=MR","EQY_CONSOLIDATED=Y","FA_ADJUSTED=GAAP","Sort=A","Dates=H","DateFormat=P","Fill=—","Direction=H","UseDPDF=Y")</f>
        <v>-5.6855000000000002</v>
      </c>
      <c r="K14" s="14">
        <f>_xll.BDH("RCOM IN Equity","IS_EPS","FY 2018","FY 2018","Currency=INR","Period=FY","BEST_FPERIOD_OVERRIDE=FY","FILING_STATUS=MR","EQY_CONSOLIDATED=Y","FA_ADJUSTED=GAAP","Sort=A","Dates=H","DateFormat=P","Fill=—","Direction=H","UseDPDF=Y")</f>
        <v>-92.296599999999998</v>
      </c>
      <c r="L14" s="17">
        <v>-74.560955000000007</v>
      </c>
    </row>
    <row r="15" spans="1:12">
      <c r="A15" s="10" t="s">
        <v>218</v>
      </c>
      <c r="B15" s="10" t="s">
        <v>219</v>
      </c>
      <c r="C15" s="14">
        <f>_xll.BDH("RCOM IN Equity","IS_EARN_BEF_XO_ITEMS_PER_SH","FY 2010","FY 2010","Currency=INR","Period=FY","BEST_FPERIOD_OVERRIDE=FY","FILING_STATUS=MR","EQY_CONSOLIDATED=Y","Sort=A","Dates=H","DateFormat=P","Fill=—","Direction=H","UseDPDF=Y")</f>
        <v>22.553000000000001</v>
      </c>
      <c r="D15" s="14">
        <f>_xll.BDH("RCOM IN Equity","IS_EARN_BEF_XO_ITEMS_PER_SH","FY 2011","FY 2011","Currency=INR","Period=FY","BEST_FPERIOD_OVERRIDE=FY","FILING_STATUS=MR","EQY_CONSOLIDATED=Y","Sort=A","Dates=H","DateFormat=P","Fill=—","Direction=H","UseDPDF=Y")</f>
        <v>6.5164</v>
      </c>
      <c r="E15" s="14">
        <f>_xll.BDH("RCOM IN Equity","IS_EARN_BEF_XO_ITEMS_PER_SH","FY 2012","FY 2012","Currency=INR","Period=FY","BEST_FPERIOD_OVERRIDE=FY","FILING_STATUS=MR","EQY_CONSOLIDATED=Y","Sort=A","Dates=H","DateFormat=P","Fill=—","Direction=H","UseDPDF=Y")</f>
        <v>4.5</v>
      </c>
      <c r="F15" s="14">
        <f>_xll.BDH("RCOM IN Equity","IS_EARN_BEF_XO_ITEMS_PER_SH","FY 2013","FY 2013","Currency=INR","Period=FY","BEST_FPERIOD_OVERRIDE=FY","FILING_STATUS=MR","EQY_CONSOLIDATED=Y","Sort=A","Dates=H","DateFormat=P","Fill=—","Direction=H","UseDPDF=Y")</f>
        <v>3.26</v>
      </c>
      <c r="G15" s="14">
        <f>_xll.BDH("RCOM IN Equity","IS_EARN_BEF_XO_ITEMS_PER_SH","FY 2014","FY 2014","Currency=INR","Period=FY","BEST_FPERIOD_OVERRIDE=FY","FILING_STATUS=MR","EQY_CONSOLIDATED=Y","Sort=A","Dates=H","DateFormat=P","Fill=—","Direction=H","UseDPDF=Y")</f>
        <v>5.07</v>
      </c>
      <c r="H15" s="14">
        <f>_xll.BDH("RCOM IN Equity","IS_EARN_BEF_XO_ITEMS_PER_SH","FY 2015","FY 2015","Currency=INR","Period=FY","BEST_FPERIOD_OVERRIDE=FY","FILING_STATUS=MR","EQY_CONSOLIDATED=Y","Sort=A","Dates=H","DateFormat=P","Fill=—","Direction=H","UseDPDF=Y")</f>
        <v>3.05</v>
      </c>
      <c r="I15" s="14">
        <f>_xll.BDH("RCOM IN Equity","IS_EARN_BEF_XO_ITEMS_PER_SH","FY 2016","FY 2016","Currency=INR","Period=FY","BEST_FPERIOD_OVERRIDE=FY","FILING_STATUS=MR","EQY_CONSOLIDATED=Y","Sort=A","Dates=H","DateFormat=P","Fill=—","Direction=H","UseDPDF=Y")</f>
        <v>2.59</v>
      </c>
      <c r="J15" s="14">
        <f>_xll.BDH("RCOM IN Equity","IS_EARN_BEF_XO_ITEMS_PER_SH","FY 2017","FY 2017","Currency=INR","Period=FY","BEST_FPERIOD_OVERRIDE=FY","FILING_STATUS=MR","EQY_CONSOLIDATED=Y","Sort=A","Dates=H","DateFormat=P","Fill=—","Direction=H","UseDPDF=Y")</f>
        <v>0.50649999999999995</v>
      </c>
      <c r="K15" s="14">
        <f>_xll.BDH("RCOM IN Equity","IS_EARN_BEF_XO_ITEMS_PER_SH","FY 2018","FY 2018","Currency=INR","Period=FY","BEST_FPERIOD_OVERRIDE=FY","FILING_STATUS=MR","EQY_CONSOLIDATED=Y","Sort=A","Dates=H","DateFormat=P","Fill=—","Direction=H","UseDPDF=Y")</f>
        <v>0.18970000000000001</v>
      </c>
      <c r="L15" s="17">
        <v>4.0190530000000004</v>
      </c>
    </row>
    <row r="16" spans="1:12">
      <c r="A16" s="10" t="s">
        <v>220</v>
      </c>
      <c r="B16" s="10" t="s">
        <v>221</v>
      </c>
      <c r="C16" s="14">
        <f>_xll.BDH("RCOM IN Equity","IS_BASIC_EPS_CONT_OPS","FY 2010","FY 2010","Currency=INR","Period=FY","BEST_FPERIOD_OVERRIDE=FY","FILING_STATUS=MR","EQY_CONSOLIDATED=Y","Sort=A","Dates=H","DateFormat=P","Fill=—","Direction=H","UseDPDF=Y")</f>
        <v>22.863099999999999</v>
      </c>
      <c r="D16" s="14">
        <f>_xll.BDH("RCOM IN Equity","IS_BASIC_EPS_CONT_OPS","FY 2011","FY 2011","Currency=INR","Period=FY","BEST_FPERIOD_OVERRIDE=FY","FILING_STATUS=MR","EQY_CONSOLIDATED=Y","Sort=A","Dates=H","DateFormat=P","Fill=—","Direction=H","UseDPDF=Y")</f>
        <v>5.2465999999999999</v>
      </c>
      <c r="E16" s="14">
        <f>_xll.BDH("RCOM IN Equity","IS_BASIC_EPS_CONT_OPS","FY 2012","FY 2012","Currency=INR","Period=FY","BEST_FPERIOD_OVERRIDE=FY","FILING_STATUS=MR","EQY_CONSOLIDATED=Y","Sort=A","Dates=H","DateFormat=P","Fill=—","Direction=H","UseDPDF=Y")</f>
        <v>5.6088000000000005</v>
      </c>
      <c r="F16" s="14">
        <f>_xll.BDH("RCOM IN Equity","IS_BASIC_EPS_CONT_OPS","FY 2013","FY 2013","Currency=INR","Period=FY","BEST_FPERIOD_OVERRIDE=FY","FILING_STATUS=MR","EQY_CONSOLIDATED=Y","Sort=A","Dates=H","DateFormat=P","Fill=—","Direction=H","UseDPDF=Y")</f>
        <v>3.2397999999999998</v>
      </c>
      <c r="G16" s="14">
        <f>_xll.BDH("RCOM IN Equity","IS_BASIC_EPS_CONT_OPS","FY 2014","FY 2014","Currency=INR","Period=FY","BEST_FPERIOD_OVERRIDE=FY","FILING_STATUS=MR","EQY_CONSOLIDATED=Y","Sort=A","Dates=H","DateFormat=P","Fill=—","Direction=H","UseDPDF=Y")</f>
        <v>5.1078000000000001</v>
      </c>
      <c r="H16" s="14">
        <f>_xll.BDH("RCOM IN Equity","IS_BASIC_EPS_CONT_OPS","FY 2015","FY 2015","Currency=INR","Period=FY","BEST_FPERIOD_OVERRIDE=FY","FILING_STATUS=MR","EQY_CONSOLIDATED=Y","Sort=A","Dates=H","DateFormat=P","Fill=—","Direction=H","UseDPDF=Y")</f>
        <v>2.9695999999999998</v>
      </c>
      <c r="I16" s="14">
        <f>_xll.BDH("RCOM IN Equity","IS_BASIC_EPS_CONT_OPS","FY 2016","FY 2016","Currency=INR","Period=FY","BEST_FPERIOD_OVERRIDE=FY","FILING_STATUS=MR","EQY_CONSOLIDATED=Y","Sort=A","Dates=H","DateFormat=P","Fill=—","Direction=H","UseDPDF=Y")</f>
        <v>2.0196999999999998</v>
      </c>
      <c r="J16" s="14">
        <f>_xll.BDH("RCOM IN Equity","IS_BASIC_EPS_CONT_OPS","FY 2017","FY 2017","Currency=INR","Period=FY","BEST_FPERIOD_OVERRIDE=FY","FILING_STATUS=MR","EQY_CONSOLIDATED=Y","Sort=A","Dates=H","DateFormat=P","Fill=—","Direction=H","UseDPDF=Y")</f>
        <v>0.50649999999999995</v>
      </c>
      <c r="K16" s="14">
        <f>_xll.BDH("RCOM IN Equity","IS_BASIC_EPS_CONT_OPS","FY 2018","FY 2018","Currency=INR","Period=FY","BEST_FPERIOD_OVERRIDE=FY","FILING_STATUS=MR","EQY_CONSOLIDATED=Y","Sort=A","Dates=H","DateFormat=P","Fill=—","Direction=H","UseDPDF=Y")</f>
        <v>0.18970000000000001</v>
      </c>
      <c r="L16" s="17">
        <v>4.0190530000000004</v>
      </c>
    </row>
    <row r="17" spans="1:12">
      <c r="A17" s="10" t="s">
        <v>222</v>
      </c>
      <c r="B17" s="10" t="s">
        <v>69</v>
      </c>
      <c r="C17" s="14">
        <f>_xll.BDH("RCOM IN Equity","IS_DILUTED_EPS","FY 2010","FY 2010","Currency=INR","Period=FY","BEST_FPERIOD_OVERRIDE=FY","FILING_STATUS=MR","EQY_CONSOLIDATED=Y","FA_ADJUSTED=GAAP","Sort=A","Dates=H","DateFormat=P","Fill=—","Direction=H","UseDPDF=Y")</f>
        <v>21.619299999999999</v>
      </c>
      <c r="D17" s="14">
        <f>_xll.BDH("RCOM IN Equity","IS_DILUTED_EPS","FY 2011","FY 2011","Currency=INR","Period=FY","BEST_FPERIOD_OVERRIDE=FY","FILING_STATUS=MR","EQY_CONSOLIDATED=Y","FA_ADJUSTED=GAAP","Sort=A","Dates=H","DateFormat=P","Fill=—","Direction=H","UseDPDF=Y")</f>
        <v>6.2465999999999999</v>
      </c>
      <c r="E17" s="14">
        <f>_xll.BDH("RCOM IN Equity","IS_DILUTED_EPS","FY 2012","FY 2012","Currency=INR","Period=FY","BEST_FPERIOD_OVERRIDE=FY","FILING_STATUS=MR","EQY_CONSOLIDATED=Y","FA_ADJUSTED=GAAP","Sort=A","Dates=H","DateFormat=P","Fill=—","Direction=H","UseDPDF=Y")</f>
        <v>4.41</v>
      </c>
      <c r="F17" s="14">
        <f>_xll.BDH("RCOM IN Equity","IS_DILUTED_EPS","FY 2013","FY 2013","Currency=INR","Period=FY","BEST_FPERIOD_OVERRIDE=FY","FILING_STATUS=MR","EQY_CONSOLIDATED=Y","FA_ADJUSTED=GAAP","Sort=A","Dates=H","DateFormat=P","Fill=—","Direction=H","UseDPDF=Y")</f>
        <v>3.26</v>
      </c>
      <c r="G17" s="14">
        <f>_xll.BDH("RCOM IN Equity","IS_DILUTED_EPS","FY 2014","FY 2014","Currency=INR","Period=FY","BEST_FPERIOD_OVERRIDE=FY","FILING_STATUS=MR","EQY_CONSOLIDATED=Y","FA_ADJUSTED=GAAP","Sort=A","Dates=H","DateFormat=P","Fill=—","Direction=H","UseDPDF=Y")</f>
        <v>5.07</v>
      </c>
      <c r="H17" s="14">
        <f>_xll.BDH("RCOM IN Equity","IS_DILUTED_EPS","FY 2015","FY 2015","Currency=INR","Period=FY","BEST_FPERIOD_OVERRIDE=FY","FILING_STATUS=MR","EQY_CONSOLIDATED=Y","FA_ADJUSTED=GAAP","Sort=A","Dates=H","DateFormat=P","Fill=—","Direction=H","UseDPDF=Y")</f>
        <v>3.05</v>
      </c>
      <c r="I17" s="14">
        <f>_xll.BDH("RCOM IN Equity","IS_DILUTED_EPS","FY 2016","FY 2016","Currency=INR","Period=FY","BEST_FPERIOD_OVERRIDE=FY","FILING_STATUS=MR","EQY_CONSOLIDATED=Y","FA_ADJUSTED=GAAP","Sort=A","Dates=H","DateFormat=P","Fill=—","Direction=H","UseDPDF=Y")</f>
        <v>2.59</v>
      </c>
      <c r="J17" s="14">
        <f>_xll.BDH("RCOM IN Equity","IS_DILUTED_EPS","FY 2017","FY 2017","Currency=INR","Period=FY","BEST_FPERIOD_OVERRIDE=FY","FILING_STATUS=MR","EQY_CONSOLIDATED=Y","FA_ADJUSTED=GAAP","Sort=A","Dates=H","DateFormat=P","Fill=—","Direction=H","UseDPDF=Y")</f>
        <v>-5.6855000000000002</v>
      </c>
      <c r="K17" s="14">
        <f>_xll.BDH("RCOM IN Equity","IS_DILUTED_EPS","FY 2018","FY 2018","Currency=INR","Period=FY","BEST_FPERIOD_OVERRIDE=FY","FILING_STATUS=MR","EQY_CONSOLIDATED=Y","FA_ADJUSTED=GAAP","Sort=A","Dates=H","DateFormat=P","Fill=—","Direction=H","UseDPDF=Y")</f>
        <v>-92.296599999999998</v>
      </c>
      <c r="L17" s="17">
        <v>-74.560955000000007</v>
      </c>
    </row>
    <row r="18" spans="1:12">
      <c r="A18" s="10" t="s">
        <v>223</v>
      </c>
      <c r="B18" s="10" t="s">
        <v>224</v>
      </c>
      <c r="C18" s="14">
        <f>_xll.BDH("RCOM IN Equity","IS_DIL_EPS_BEF_XO","FY 2010","FY 2010","Currency=INR","Period=FY","BEST_FPERIOD_OVERRIDE=FY","FILING_STATUS=MR","EQY_CONSOLIDATED=Y","Sort=A","Dates=H","DateFormat=P","Fill=—","Direction=H","UseDPDF=Y")</f>
        <v>21.619299999999999</v>
      </c>
      <c r="D18" s="14">
        <f>_xll.BDH("RCOM IN Equity","IS_DIL_EPS_BEF_XO","FY 2011","FY 2011","Currency=INR","Period=FY","BEST_FPERIOD_OVERRIDE=FY","FILING_STATUS=MR","EQY_CONSOLIDATED=Y","Sort=A","Dates=H","DateFormat=P","Fill=—","Direction=H","UseDPDF=Y")</f>
        <v>6.2465999999999999</v>
      </c>
      <c r="E18" s="14">
        <f>_xll.BDH("RCOM IN Equity","IS_DIL_EPS_BEF_XO","FY 2012","FY 2012","Currency=INR","Period=FY","BEST_FPERIOD_OVERRIDE=FY","FILING_STATUS=MR","EQY_CONSOLIDATED=Y","Sort=A","Dates=H","DateFormat=P","Fill=—","Direction=H","UseDPDF=Y")</f>
        <v>4.41</v>
      </c>
      <c r="F18" s="14">
        <f>_xll.BDH("RCOM IN Equity","IS_DIL_EPS_BEF_XO","FY 2013","FY 2013","Currency=INR","Period=FY","BEST_FPERIOD_OVERRIDE=FY","FILING_STATUS=MR","EQY_CONSOLIDATED=Y","Sort=A","Dates=H","DateFormat=P","Fill=—","Direction=H","UseDPDF=Y")</f>
        <v>3.26</v>
      </c>
      <c r="G18" s="14">
        <f>_xll.BDH("RCOM IN Equity","IS_DIL_EPS_BEF_XO","FY 2014","FY 2014","Currency=INR","Period=FY","BEST_FPERIOD_OVERRIDE=FY","FILING_STATUS=MR","EQY_CONSOLIDATED=Y","Sort=A","Dates=H","DateFormat=P","Fill=—","Direction=H","UseDPDF=Y")</f>
        <v>5.07</v>
      </c>
      <c r="H18" s="14">
        <f>_xll.BDH("RCOM IN Equity","IS_DIL_EPS_BEF_XO","FY 2015","FY 2015","Currency=INR","Period=FY","BEST_FPERIOD_OVERRIDE=FY","FILING_STATUS=MR","EQY_CONSOLIDATED=Y","Sort=A","Dates=H","DateFormat=P","Fill=—","Direction=H","UseDPDF=Y")</f>
        <v>3.05</v>
      </c>
      <c r="I18" s="14">
        <f>_xll.BDH("RCOM IN Equity","IS_DIL_EPS_BEF_XO","FY 2016","FY 2016","Currency=INR","Period=FY","BEST_FPERIOD_OVERRIDE=FY","FILING_STATUS=MR","EQY_CONSOLIDATED=Y","Sort=A","Dates=H","DateFormat=P","Fill=—","Direction=H","UseDPDF=Y")</f>
        <v>2.59</v>
      </c>
      <c r="J18" s="14">
        <f>_xll.BDH("RCOM IN Equity","IS_DIL_EPS_BEF_XO","FY 2017","FY 2017","Currency=INR","Period=FY","BEST_FPERIOD_OVERRIDE=FY","FILING_STATUS=MR","EQY_CONSOLIDATED=Y","Sort=A","Dates=H","DateFormat=P","Fill=—","Direction=H","UseDPDF=Y")</f>
        <v>0.50649999999999995</v>
      </c>
      <c r="K18" s="14">
        <f>_xll.BDH("RCOM IN Equity","IS_DIL_EPS_BEF_XO","FY 2018","FY 2018","Currency=INR","Period=FY","BEST_FPERIOD_OVERRIDE=FY","FILING_STATUS=MR","EQY_CONSOLIDATED=Y","Sort=A","Dates=H","DateFormat=P","Fill=—","Direction=H","UseDPDF=Y")</f>
        <v>0.18970000000000001</v>
      </c>
      <c r="L18" s="17">
        <v>4.0190530000000004</v>
      </c>
    </row>
    <row r="19" spans="1:12">
      <c r="A19" s="10" t="s">
        <v>225</v>
      </c>
      <c r="B19" s="10" t="s">
        <v>50</v>
      </c>
      <c r="C19" s="14">
        <f>_xll.BDH("RCOM IN Equity","IS_DIL_EPS_CONT_OPS","FY 2010","FY 2010","Currency=INR","Period=FY","BEST_FPERIOD_OVERRIDE=FY","FILING_STATUS=MR","EQY_CONSOLIDATED=Y","Sort=A","Dates=H","DateFormat=P","Fill=—","Direction=H","UseDPDF=Y")</f>
        <v>21.916599999999999</v>
      </c>
      <c r="D19" s="14">
        <f>_xll.BDH("RCOM IN Equity","IS_DIL_EPS_CONT_OPS","FY 2011","FY 2011","Currency=INR","Period=FY","BEST_FPERIOD_OVERRIDE=FY","FILING_STATUS=MR","EQY_CONSOLIDATED=Y","Sort=A","Dates=H","DateFormat=P","Fill=—","Direction=H","UseDPDF=Y")</f>
        <v>5.0293999999999999</v>
      </c>
      <c r="E19" s="14">
        <f>_xll.BDH("RCOM IN Equity","IS_DIL_EPS_CONT_OPS","FY 2012","FY 2012","Currency=INR","Period=FY","BEST_FPERIOD_OVERRIDE=FY","FILING_STATUS=MR","EQY_CONSOLIDATED=Y","Sort=A","Dates=H","DateFormat=P","Fill=—","Direction=H","UseDPDF=Y")</f>
        <v>5.5015999999999998</v>
      </c>
      <c r="F19" s="14">
        <f>_xll.BDH("RCOM IN Equity","IS_DIL_EPS_CONT_OPS","FY 2013","FY 2013","Currency=INR","Period=FY","BEST_FPERIOD_OVERRIDE=FY","FILING_STATUS=MR","EQY_CONSOLIDATED=Y","Sort=A","Dates=H","DateFormat=P","Fill=—","Direction=H","UseDPDF=Y")</f>
        <v>3.2397999999999998</v>
      </c>
      <c r="G19" s="14">
        <f>_xll.BDH("RCOM IN Equity","IS_DIL_EPS_CONT_OPS","FY 2014","FY 2014","Currency=INR","Period=FY","BEST_FPERIOD_OVERRIDE=FY","FILING_STATUS=MR","EQY_CONSOLIDATED=Y","Sort=A","Dates=H","DateFormat=P","Fill=—","Direction=H","UseDPDF=Y")</f>
        <v>5.1078000000000001</v>
      </c>
      <c r="H19" s="14">
        <f>_xll.BDH("RCOM IN Equity","IS_DIL_EPS_CONT_OPS","FY 2015","FY 2015","Currency=INR","Period=FY","BEST_FPERIOD_OVERRIDE=FY","FILING_STATUS=MR","EQY_CONSOLIDATED=Y","Sort=A","Dates=H","DateFormat=P","Fill=—","Direction=H","UseDPDF=Y")</f>
        <v>2.9695999999999998</v>
      </c>
      <c r="I19" s="14">
        <f>_xll.BDH("RCOM IN Equity","IS_DIL_EPS_CONT_OPS","FY 2016","FY 2016","Currency=INR","Period=FY","BEST_FPERIOD_OVERRIDE=FY","FILING_STATUS=MR","EQY_CONSOLIDATED=Y","Sort=A","Dates=H","DateFormat=P","Fill=—","Direction=H","UseDPDF=Y")</f>
        <v>2.0196999999999998</v>
      </c>
      <c r="J19" s="14">
        <f>_xll.BDH("RCOM IN Equity","IS_DIL_EPS_CONT_OPS","FY 2017","FY 2017","Currency=INR","Period=FY","BEST_FPERIOD_OVERRIDE=FY","FILING_STATUS=MR","EQY_CONSOLIDATED=Y","Sort=A","Dates=H","DateFormat=P","Fill=—","Direction=H","UseDPDF=Y")</f>
        <v>0.50649999999999995</v>
      </c>
      <c r="K19" s="14">
        <f>_xll.BDH("RCOM IN Equity","IS_DIL_EPS_CONT_OPS","FY 2018","FY 2018","Currency=INR","Period=FY","BEST_FPERIOD_OVERRIDE=FY","FILING_STATUS=MR","EQY_CONSOLIDATED=Y","Sort=A","Dates=H","DateFormat=P","Fill=—","Direction=H","UseDPDF=Y")</f>
        <v>0.18970000000000001</v>
      </c>
      <c r="L19" s="17">
        <v>4.0190530000000004</v>
      </c>
    </row>
    <row r="20" spans="1:12">
      <c r="A20" s="10" t="s">
        <v>226</v>
      </c>
      <c r="B20" s="10" t="s">
        <v>227</v>
      </c>
      <c r="C20" s="14">
        <f>_xll.BDH("RCOM IN Equity","EQY_DPS","FY 2010","FY 2010","Currency=INR","Period=FY","BEST_FPERIOD_OVERRIDE=FY","FILING_STATUS=MR","EQY_CONSOLIDATED=Y","Sort=A","Dates=H","DateFormat=P","Fill=—","Direction=H","UseDPDF=Y")</f>
        <v>0.85</v>
      </c>
      <c r="D20" s="14">
        <f>_xll.BDH("RCOM IN Equity","EQY_DPS","FY 2011","FY 2011","Currency=INR","Period=FY","BEST_FPERIOD_OVERRIDE=FY","FILING_STATUS=MR","EQY_CONSOLIDATED=Y","Sort=A","Dates=H","DateFormat=P","Fill=—","Direction=H","UseDPDF=Y")</f>
        <v>0.5</v>
      </c>
      <c r="E20" s="14">
        <f>_xll.BDH("RCOM IN Equity","EQY_DPS","FY 2012","FY 2012","Currency=INR","Period=FY","BEST_FPERIOD_OVERRIDE=FY","FILING_STATUS=MR","EQY_CONSOLIDATED=Y","Sort=A","Dates=H","DateFormat=P","Fill=—","Direction=H","UseDPDF=Y")</f>
        <v>0.25</v>
      </c>
      <c r="F20" s="14">
        <f>_xll.BDH("RCOM IN Equity","EQY_DPS","FY 2013","FY 2013","Currency=INR","Period=FY","BEST_FPERIOD_OVERRIDE=FY","FILING_STATUS=MR","EQY_CONSOLIDATED=Y","Sort=A","Dates=H","DateFormat=P","Fill=—","Direction=H","UseDPDF=Y")</f>
        <v>0.25</v>
      </c>
      <c r="G20" s="14">
        <f>_xll.BDH("RCOM IN Equity","EQY_DPS","FY 2014","FY 2014","Currency=INR","Period=FY","BEST_FPERIOD_OVERRIDE=FY","FILING_STATUS=MR","EQY_CONSOLIDATED=Y","Sort=A","Dates=H","DateFormat=P","Fill=—","Direction=H","UseDPDF=Y")</f>
        <v>0</v>
      </c>
      <c r="H20" s="14">
        <f>_xll.BDH("RCOM IN Equity","EQY_DPS","FY 2015","FY 2015","Currency=INR","Period=FY","BEST_FPERIOD_OVERRIDE=FY","FILING_STATUS=MR","EQY_CONSOLIDATED=Y","Sort=A","Dates=H","DateFormat=P","Fill=—","Direction=H","UseDPDF=Y")</f>
        <v>0</v>
      </c>
      <c r="I20" s="14">
        <f>_xll.BDH("RCOM IN Equity","EQY_DPS","FY 2016","FY 2016","Currency=INR","Period=FY","BEST_FPERIOD_OVERRIDE=FY","FILING_STATUS=MR","EQY_CONSOLIDATED=Y","Sort=A","Dates=H","DateFormat=P","Fill=—","Direction=H","UseDPDF=Y")</f>
        <v>0</v>
      </c>
      <c r="J20" s="14">
        <f>_xll.BDH("RCOM IN Equity","EQY_DPS","FY 2017","FY 2017","Currency=INR","Period=FY","BEST_FPERIOD_OVERRIDE=FY","FILING_STATUS=MR","EQY_CONSOLIDATED=Y","Sort=A","Dates=H","DateFormat=P","Fill=—","Direction=H","UseDPDF=Y")</f>
        <v>0</v>
      </c>
      <c r="K20" s="14">
        <f>_xll.BDH("RCOM IN Equity","EQY_DPS","FY 2018","FY 2018","Currency=INR","Period=FY","BEST_FPERIOD_OVERRIDE=FY","FILING_STATUS=MR","EQY_CONSOLIDATED=Y","Sort=A","Dates=H","DateFormat=P","Fill=—","Direction=H","UseDPDF=Y")</f>
        <v>0</v>
      </c>
      <c r="L20" s="17"/>
    </row>
    <row r="21" spans="1:12">
      <c r="A21" s="10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5"/>
    </row>
    <row r="22" spans="1:12">
      <c r="A22" s="10" t="s">
        <v>228</v>
      </c>
      <c r="B22" s="10" t="s">
        <v>229</v>
      </c>
      <c r="C22" s="14">
        <f>_xll.BDH("RCOM IN Equity","CASH_FLOW_PER_SH","FY 2010","FY 2010","Currency=INR","Period=FY","BEST_FPERIOD_OVERRIDE=FY","FILING_STATUS=MR","EQY_CONSOLIDATED=Y","Sort=A","Dates=H","DateFormat=P","Fill=—","Direction=H","UseDPDF=Y")</f>
        <v>39.610100000000003</v>
      </c>
      <c r="D22" s="14">
        <f>_xll.BDH("RCOM IN Equity","CASH_FLOW_PER_SH","FY 2011","FY 2011","Currency=INR","Period=FY","BEST_FPERIOD_OVERRIDE=FY","FILING_STATUS=MR","EQY_CONSOLIDATED=Y","Sort=A","Dates=H","DateFormat=P","Fill=—","Direction=H","UseDPDF=Y")</f>
        <v>5.1936999999999998</v>
      </c>
      <c r="E22" s="14">
        <f>_xll.BDH("RCOM IN Equity","CASH_FLOW_PER_SH","FY 2012","FY 2012","Currency=INR","Period=FY","BEST_FPERIOD_OVERRIDE=FY","FILING_STATUS=MR","EQY_CONSOLIDATED=Y","Sort=A","Dates=H","DateFormat=P","Fill=—","Direction=H","UseDPDF=Y")</f>
        <v>19.7333</v>
      </c>
      <c r="F22" s="14">
        <f>_xll.BDH("RCOM IN Equity","CASH_FLOW_PER_SH","FY 2013","FY 2013","Currency=INR","Period=FY","BEST_FPERIOD_OVERRIDE=FY","FILING_STATUS=MR","EQY_CONSOLIDATED=Y","Sort=A","Dates=H","DateFormat=P","Fill=—","Direction=H","UseDPDF=Y")</f>
        <v>6.6375000000000002</v>
      </c>
      <c r="G22" s="14">
        <f>_xll.BDH("RCOM IN Equity","CASH_FLOW_PER_SH","FY 2014","FY 2014","Currency=INR","Period=FY","BEST_FPERIOD_OVERRIDE=FY","FILING_STATUS=MR","EQY_CONSOLIDATED=Y","Sort=A","Dates=H","DateFormat=P","Fill=—","Direction=H","UseDPDF=Y")</f>
        <v>18.7498</v>
      </c>
      <c r="H22" s="14">
        <f>_xll.BDH("RCOM IN Equity","CASH_FLOW_PER_SH","FY 2015","FY 2015","Currency=INR","Period=FY","BEST_FPERIOD_OVERRIDE=FY","FILING_STATUS=MR","EQY_CONSOLIDATED=Y","Sort=A","Dates=H","DateFormat=P","Fill=—","Direction=H","UseDPDF=Y")</f>
        <v>2.0823</v>
      </c>
      <c r="I22" s="14">
        <f>_xll.BDH("RCOM IN Equity","CASH_FLOW_PER_SH","FY 2016","FY 2016","Currency=INR","Period=FY","BEST_FPERIOD_OVERRIDE=FY","FILING_STATUS=MR","EQY_CONSOLIDATED=Y","Sort=A","Dates=H","DateFormat=P","Fill=—","Direction=H","UseDPDF=Y")</f>
        <v>57.628500000000003</v>
      </c>
      <c r="J22" s="14">
        <f>_xll.BDH("RCOM IN Equity","CASH_FLOW_PER_SH","FY 2017","FY 2017","Currency=INR","Period=FY","BEST_FPERIOD_OVERRIDE=FY","FILING_STATUS=MR","EQY_CONSOLIDATED=Y","Sort=A","Dates=H","DateFormat=P","Fill=—","Direction=H","UseDPDF=Y")</f>
        <v>-14.426399999999999</v>
      </c>
      <c r="K22" s="14">
        <f>_xll.BDH("RCOM IN Equity","CASH_FLOW_PER_SH","FY 2018","FY 2018","Currency=INR","Period=FY","BEST_FPERIOD_OVERRIDE=FY","FILING_STATUS=MR","EQY_CONSOLIDATED=Y","Sort=A","Dates=H","DateFormat=P","Fill=—","Direction=H","UseDPDF=Y")</f>
        <v>-1.5758000000000001</v>
      </c>
      <c r="L22" s="17"/>
    </row>
    <row r="23" spans="1:12">
      <c r="A23" s="10" t="s">
        <v>55</v>
      </c>
      <c r="B23" s="10" t="s">
        <v>230</v>
      </c>
      <c r="C23" s="14">
        <f>_xll.BDH("RCOM IN Equity","FREE_CASH_FLOW_PER_SH","FY 2010","FY 2010","Currency=INR","Period=FY","BEST_FPERIOD_OVERRIDE=FY","FILING_STATUS=MR","EQY_CONSOLIDATED=Y","Sort=A","Dates=H","DateFormat=P","Fill=—","Direction=H","UseDPDF=Y")</f>
        <v>3.2926000000000002</v>
      </c>
      <c r="D23" s="14">
        <f>_xll.BDH("RCOM IN Equity","FREE_CASH_FLOW_PER_SH","FY 2011","FY 2011","Currency=INR","Period=FY","BEST_FPERIOD_OVERRIDE=FY","FILING_STATUS=MR","EQY_CONSOLIDATED=Y","Sort=A","Dates=H","DateFormat=P","Fill=—","Direction=H","UseDPDF=Y")</f>
        <v>-44.839500000000001</v>
      </c>
      <c r="E23" s="14">
        <f>_xll.BDH("RCOM IN Equity","FREE_CASH_FLOW_PER_SH","FY 2012","FY 2012","Currency=INR","Period=FY","BEST_FPERIOD_OVERRIDE=FY","FILING_STATUS=MR","EQY_CONSOLIDATED=Y","Sort=A","Dates=H","DateFormat=P","Fill=—","Direction=H","UseDPDF=Y")</f>
        <v>-3.7645</v>
      </c>
      <c r="F23" s="14">
        <f>_xll.BDH("RCOM IN Equity","FREE_CASH_FLOW_PER_SH","FY 2013","FY 2013","Currency=INR","Period=FY","BEST_FPERIOD_OVERRIDE=FY","FILING_STATUS=MR","EQY_CONSOLIDATED=Y","Sort=A","Dates=H","DateFormat=P","Fill=—","Direction=H","UseDPDF=Y")</f>
        <v>-3.6046</v>
      </c>
      <c r="G23" s="14">
        <f>_xll.BDH("RCOM IN Equity","FREE_CASH_FLOW_PER_SH","FY 2014","FY 2014","Currency=INR","Period=FY","BEST_FPERIOD_OVERRIDE=FY","FILING_STATUS=MR","EQY_CONSOLIDATED=Y","Sort=A","Dates=H","DateFormat=P","Fill=—","Direction=H","UseDPDF=Y")</f>
        <v>8.2606000000000002</v>
      </c>
      <c r="H23" s="14">
        <f>_xll.BDH("RCOM IN Equity","FREE_CASH_FLOW_PER_SH","FY 2015","FY 2015","Currency=INR","Period=FY","BEST_FPERIOD_OVERRIDE=FY","FILING_STATUS=MR","EQY_CONSOLIDATED=Y","Sort=A","Dates=H","DateFormat=P","Fill=—","Direction=H","UseDPDF=Y")</f>
        <v>-8.6121999999999996</v>
      </c>
      <c r="I23" s="14">
        <f>_xll.BDH("RCOM IN Equity","FREE_CASH_FLOW_PER_SH","FY 2016","FY 2016","Currency=INR","Period=FY","BEST_FPERIOD_OVERRIDE=FY","FILING_STATUS=MR","EQY_CONSOLIDATED=Y","Sort=A","Dates=H","DateFormat=P","Fill=—","Direction=H","UseDPDF=Y")</f>
        <v>-4.4940999999999995</v>
      </c>
      <c r="J23" s="14">
        <f>_xll.BDH("RCOM IN Equity","FREE_CASH_FLOW_PER_SH","FY 2017","FY 2017","Currency=INR","Period=FY","BEST_FPERIOD_OVERRIDE=FY","FILING_STATUS=MR","EQY_CONSOLIDATED=Y","Sort=A","Dates=H","DateFormat=P","Fill=—","Direction=H","UseDPDF=Y")</f>
        <v>-30.311599999999999</v>
      </c>
      <c r="K23" s="14">
        <f>_xll.BDH("RCOM IN Equity","FREE_CASH_FLOW_PER_SH","FY 2018","FY 2018","Currency=INR","Period=FY","BEST_FPERIOD_OVERRIDE=FY","FILING_STATUS=MR","EQY_CONSOLIDATED=Y","Sort=A","Dates=H","DateFormat=P","Fill=—","Direction=H","UseDPDF=Y")</f>
        <v>-3.8639000000000001</v>
      </c>
      <c r="L23" s="17"/>
    </row>
    <row r="24" spans="1:12">
      <c r="A24" s="10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5"/>
    </row>
    <row r="25" spans="1:12">
      <c r="A25" s="10" t="s">
        <v>1</v>
      </c>
      <c r="B25" s="10" t="s">
        <v>231</v>
      </c>
      <c r="C25" s="14">
        <f>_xll.BDH("RCOM IN Equity","CASH_ST_INVESTMENTS_PER_SH","FY 2010","FY 2010","Currency=INR","Period=FY","BEST_FPERIOD_OVERRIDE=FY","FILING_STATUS=MR","EQY_CONSOLIDATED=Y","Sort=A","Dates=H","DateFormat=P","Fill=—","Direction=H","UseDPDF=Y")</f>
        <v>23.538799999999998</v>
      </c>
      <c r="D25" s="14">
        <f>_xll.BDH("RCOM IN Equity","CASH_ST_INVESTMENTS_PER_SH","FY 2011","FY 2011","Currency=INR","Period=FY","BEST_FPERIOD_OVERRIDE=FY","FILING_STATUS=MR","EQY_CONSOLIDATED=Y","Sort=A","Dates=H","DateFormat=P","Fill=—","Direction=H","UseDPDF=Y")</f>
        <v>25.7652</v>
      </c>
      <c r="E25" s="14">
        <f>_xll.BDH("RCOM IN Equity","CASH_ST_INVESTMENTS_PER_SH","FY 2012","FY 2012","Currency=INR","Period=FY","BEST_FPERIOD_OVERRIDE=FY","FILING_STATUS=MR","EQY_CONSOLIDATED=Y","Sort=A","Dates=H","DateFormat=P","Fill=—","Direction=H","UseDPDF=Y")</f>
        <v>5.1791999999999998</v>
      </c>
      <c r="F25" s="14">
        <f>_xll.BDH("RCOM IN Equity","CASH_ST_INVESTMENTS_PER_SH","FY 2013","FY 2013","Currency=INR","Period=FY","BEST_FPERIOD_OVERRIDE=FY","FILING_STATUS=MR","EQY_CONSOLIDATED=Y","Sort=A","Dates=H","DateFormat=P","Fill=—","Direction=H","UseDPDF=Y")</f>
        <v>6.2111999999999998</v>
      </c>
      <c r="G25" s="14">
        <f>_xll.BDH("RCOM IN Equity","CASH_ST_INVESTMENTS_PER_SH","FY 2014","FY 2014","Currency=INR","Period=FY","BEST_FPERIOD_OVERRIDE=FY","FILING_STATUS=MR","EQY_CONSOLIDATED=Y","Sort=A","Dates=H","DateFormat=P","Fill=—","Direction=H","UseDPDF=Y")</f>
        <v>5.3730000000000002</v>
      </c>
      <c r="H25" s="14">
        <f>_xll.BDH("RCOM IN Equity","CASH_ST_INVESTMENTS_PER_SH","FY 2015","FY 2015","Currency=INR","Period=FY","BEST_FPERIOD_OVERRIDE=FY","FILING_STATUS=MR","EQY_CONSOLIDATED=Y","Sort=A","Dates=H","DateFormat=P","Fill=—","Direction=H","UseDPDF=Y")</f>
        <v>10.759399999999999</v>
      </c>
      <c r="I25" s="14">
        <f>_xll.BDH("RCOM IN Equity","CASH_ST_INVESTMENTS_PER_SH","FY 2016","FY 2016","Currency=INR","Period=FY","BEST_FPERIOD_OVERRIDE=FY","FILING_STATUS=MR","EQY_CONSOLIDATED=Y","Sort=A","Dates=H","DateFormat=P","Fill=—","Direction=H","UseDPDF=Y")</f>
        <v>6.0949</v>
      </c>
      <c r="J25" s="14">
        <f>_xll.BDH("RCOM IN Equity","CASH_ST_INVESTMENTS_PER_SH","FY 2017","FY 2017","Currency=INR","Period=FY","BEST_FPERIOD_OVERRIDE=FY","FILING_STATUS=MR","EQY_CONSOLIDATED=Y","Sort=A","Dates=H","DateFormat=P","Fill=—","Direction=H","UseDPDF=Y")</f>
        <v>5.2793000000000001</v>
      </c>
      <c r="K25" s="14">
        <f>_xll.BDH("RCOM IN Equity","CASH_ST_INVESTMENTS_PER_SH","FY 2018","FY 2018","Currency=INR","Period=FY","BEST_FPERIOD_OVERRIDE=FY","FILING_STATUS=MR","EQY_CONSOLIDATED=Y","Sort=A","Dates=H","DateFormat=P","Fill=—","Direction=H","UseDPDF=Y")</f>
        <v>2.6612999999999998</v>
      </c>
      <c r="L25" s="17"/>
    </row>
    <row r="26" spans="1:12">
      <c r="A26" s="10" t="s">
        <v>232</v>
      </c>
      <c r="B26" s="10" t="s">
        <v>233</v>
      </c>
      <c r="C26" s="14">
        <f>_xll.BDH("RCOM IN Equity","BOOK_VAL_PER_SH","FY 2010","FY 2010","Currency=INR","Period=FY","BEST_FPERIOD_OVERRIDE=FY","FILING_STATUS=MR","EQY_CONSOLIDATED=Y","Sort=A","Dates=H","DateFormat=P","Fill=—","Direction=H","UseDPDF=Y")</f>
        <v>210.0779</v>
      </c>
      <c r="D26" s="14">
        <f>_xll.BDH("RCOM IN Equity","BOOK_VAL_PER_SH","FY 2011","FY 2011","Currency=INR","Period=FY","BEST_FPERIOD_OVERRIDE=FY","FILING_STATUS=MR","EQY_CONSOLIDATED=Y","Sort=A","Dates=H","DateFormat=P","Fill=—","Direction=H","UseDPDF=Y")</f>
        <v>196.21350000000001</v>
      </c>
      <c r="E26" s="14">
        <f>_xll.BDH("RCOM IN Equity","BOOK_VAL_PER_SH","FY 2012","FY 2012","Currency=INR","Period=FY","BEST_FPERIOD_OVERRIDE=FY","FILING_STATUS=MR","EQY_CONSOLIDATED=Y","Sort=A","Dates=H","DateFormat=P","Fill=—","Direction=H","UseDPDF=Y")</f>
        <v>175.85040000000001</v>
      </c>
      <c r="F26" s="14">
        <f>_xll.BDH("RCOM IN Equity","BOOK_VAL_PER_SH","FY 2013","FY 2013","Currency=INR","Period=FY","BEST_FPERIOD_OVERRIDE=FY","FILING_STATUS=MR","EQY_CONSOLIDATED=Y","Sort=A","Dates=H","DateFormat=P","Fill=—","Direction=H","UseDPDF=Y")</f>
        <v>163.99979999999999</v>
      </c>
      <c r="G26" s="14">
        <f>_xll.BDH("RCOM IN Equity","BOOK_VAL_PER_SH","FY 2014","FY 2014","Currency=INR","Period=FY","BEST_FPERIOD_OVERRIDE=FY","FILING_STATUS=MR","EQY_CONSOLIDATED=Y","Sort=A","Dates=H","DateFormat=P","Fill=—","Direction=H","UseDPDF=Y")</f>
        <v>158.89330000000001</v>
      </c>
      <c r="H26" s="14">
        <f>_xll.BDH("RCOM IN Equity","BOOK_VAL_PER_SH","FY 2015","FY 2015","Currency=INR","Period=FY","BEST_FPERIOD_OVERRIDE=FY","FILING_STATUS=MR","EQY_CONSOLIDATED=Y","Sort=A","Dates=H","DateFormat=P","Fill=—","Direction=H","UseDPDF=Y")</f>
        <v>152.41589999999999</v>
      </c>
      <c r="I26" s="14">
        <f>_xll.BDH("RCOM IN Equity","BOOK_VAL_PER_SH","FY 2016","FY 2016","Currency=INR","Period=FY","BEST_FPERIOD_OVERRIDE=FY","FILING_STATUS=MR","EQY_CONSOLIDATED=Y","Sort=A","Dates=H","DateFormat=P","Fill=—","Direction=H","UseDPDF=Y")</f>
        <v>126.8914</v>
      </c>
      <c r="J26" s="14">
        <f>_xll.BDH("RCOM IN Equity","BOOK_VAL_PER_SH","FY 2017","FY 2017","Currency=INR","Period=FY","BEST_FPERIOD_OVERRIDE=FY","FILING_STATUS=MR","EQY_CONSOLIDATED=Y","Sort=A","Dates=H","DateFormat=P","Fill=—","Direction=H","UseDPDF=Y")</f>
        <v>114.782</v>
      </c>
      <c r="K26" s="14">
        <f>_xll.BDH("RCOM IN Equity","BOOK_VAL_PER_SH","FY 2018","FY 2018","Currency=INR","Period=FY","BEST_FPERIOD_OVERRIDE=FY","FILING_STATUS=MR","EQY_CONSOLIDATED=Y","Sort=A","Dates=H","DateFormat=P","Fill=—","Direction=H","UseDPDF=Y")</f>
        <v>10.0632</v>
      </c>
      <c r="L26" s="17"/>
    </row>
    <row r="27" spans="1:12">
      <c r="A27" s="10" t="s">
        <v>234</v>
      </c>
      <c r="B27" s="10" t="s">
        <v>235</v>
      </c>
      <c r="C27" s="14">
        <f>_xll.BDH("RCOM IN Equity","TANG_BOOK_VAL_PER_SH","FY 2010","FY 2010","Currency=INR","Period=FY","BEST_FPERIOD_OVERRIDE=FY","FILING_STATUS=MR","EQY_CONSOLIDATED=Y","Sort=A","Dates=H","DateFormat=P","Fill=—","Direction=H","UseDPDF=Y")</f>
        <v>99.432199999999995</v>
      </c>
      <c r="D27" s="14">
        <f>_xll.BDH("RCOM IN Equity","TANG_BOOK_VAL_PER_SH","FY 2011","FY 2011","Currency=INR","Period=FY","BEST_FPERIOD_OVERRIDE=FY","FILING_STATUS=MR","EQY_CONSOLIDATED=Y","Sort=A","Dates=H","DateFormat=P","Fill=—","Direction=H","UseDPDF=Y")</f>
        <v>98.293300000000002</v>
      </c>
      <c r="E27" s="14">
        <f>_xll.BDH("RCOM IN Equity","TANG_BOOK_VAL_PER_SH","FY 2012","FY 2012","Currency=INR","Period=FY","BEST_FPERIOD_OVERRIDE=FY","FILING_STATUS=MR","EQY_CONSOLIDATED=Y","Sort=A","Dates=H","DateFormat=P","Fill=—","Direction=H","UseDPDF=Y")</f>
        <v>40.629300000000001</v>
      </c>
      <c r="F27" s="14">
        <f>_xll.BDH("RCOM IN Equity","TANG_BOOK_VAL_PER_SH","FY 2013","FY 2013","Currency=INR","Period=FY","BEST_FPERIOD_OVERRIDE=FY","FILING_STATUS=MR","EQY_CONSOLIDATED=Y","Sort=A","Dates=H","DateFormat=P","Fill=—","Direction=H","UseDPDF=Y")</f>
        <v>37.189399999999999</v>
      </c>
      <c r="G27" s="14">
        <f>_xll.BDH("RCOM IN Equity","TANG_BOOK_VAL_PER_SH","FY 2014","FY 2014","Currency=INR","Period=FY","BEST_FPERIOD_OVERRIDE=FY","FILING_STATUS=MR","EQY_CONSOLIDATED=Y","Sort=A","Dates=H","DateFormat=P","Fill=—","Direction=H","UseDPDF=Y")</f>
        <v>39.616700000000002</v>
      </c>
      <c r="H27" s="14">
        <f>_xll.BDH("RCOM IN Equity","TANG_BOOK_VAL_PER_SH","FY 2015","FY 2015","Currency=INR","Period=FY","BEST_FPERIOD_OVERRIDE=FY","FILING_STATUS=MR","EQY_CONSOLIDATED=Y","Sort=A","Dates=H","DateFormat=P","Fill=—","Direction=H","UseDPDF=Y")</f>
        <v>62.2303</v>
      </c>
      <c r="I27" s="14">
        <f>_xll.BDH("RCOM IN Equity","TANG_BOOK_VAL_PER_SH","FY 2016","FY 2016","Currency=INR","Period=FY","BEST_FPERIOD_OVERRIDE=FY","FILING_STATUS=MR","EQY_CONSOLIDATED=Y","Sort=A","Dates=H","DateFormat=P","Fill=—","Direction=H","UseDPDF=Y")</f>
        <v>18.316700000000001</v>
      </c>
      <c r="J27" s="14">
        <f>_xll.BDH("RCOM IN Equity","TANG_BOOK_VAL_PER_SH","FY 2017","FY 2017","Currency=INR","Period=FY","BEST_FPERIOD_OVERRIDE=FY","FILING_STATUS=MR","EQY_CONSOLIDATED=Y","Sort=A","Dates=H","DateFormat=P","Fill=—","Direction=H","UseDPDF=Y")</f>
        <v>26.299900000000001</v>
      </c>
      <c r="K27" s="14">
        <f>_xll.BDH("RCOM IN Equity","TANG_BOOK_VAL_PER_SH","FY 2018","FY 2018","Currency=INR","Period=FY","BEST_FPERIOD_OVERRIDE=FY","FILING_STATUS=MR","EQY_CONSOLIDATED=Y","Sort=A","Dates=H","DateFormat=P","Fill=—","Direction=H","UseDPDF=Y")</f>
        <v>-5.6227999999999998</v>
      </c>
      <c r="L27" s="17"/>
    </row>
    <row r="28" spans="1:12">
      <c r="A28" s="7" t="s">
        <v>57</v>
      </c>
      <c r="B28" s="7"/>
      <c r="C28" s="7" t="s">
        <v>3</v>
      </c>
      <c r="D28" s="7"/>
      <c r="E28" s="7"/>
      <c r="F28" s="7"/>
      <c r="G28" s="7"/>
      <c r="H28" s="7"/>
      <c r="I28" s="7"/>
      <c r="J28" s="7"/>
      <c r="K28" s="7"/>
      <c r="L2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236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119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120</v>
      </c>
    </row>
    <row r="6" spans="1:12">
      <c r="A6" s="6" t="s">
        <v>237</v>
      </c>
      <c r="B6" s="6" t="s">
        <v>202</v>
      </c>
      <c r="C6" s="20">
        <f>_xll.BDH("RCOM IN Equity","PX_LAST","FY 2010","FY 2010","Currency=INR","Period=FY","BEST_FPERIOD_OVERRIDE=FY","FILING_STATUS=MR","EQY_CONSOLIDATED=Y","Sort=A","Dates=H","DateFormat=P","Fill=—","Direction=H","UseDPDF=Y")</f>
        <v>169.95</v>
      </c>
      <c r="D6" s="20">
        <f>_xll.BDH("RCOM IN Equity","PX_LAST","FY 2011","FY 2011","Currency=INR","Period=FY","BEST_FPERIOD_OVERRIDE=FY","FILING_STATUS=MR","EQY_CONSOLIDATED=Y","Sort=A","Dates=H","DateFormat=P","Fill=—","Direction=H","UseDPDF=Y")</f>
        <v>107.65</v>
      </c>
      <c r="E6" s="20">
        <f>_xll.BDH("RCOM IN Equity","PX_LAST","FY 2012","FY 2012","Currency=INR","Period=FY","BEST_FPERIOD_OVERRIDE=FY","FILING_STATUS=MR","EQY_CONSOLIDATED=Y","Sort=A","Dates=H","DateFormat=P","Fill=—","Direction=H","UseDPDF=Y")</f>
        <v>84.05</v>
      </c>
      <c r="F6" s="20">
        <f>_xll.BDH("RCOM IN Equity","PX_LAST","FY 2013","FY 2013","Currency=INR","Period=FY","BEST_FPERIOD_OVERRIDE=FY","FILING_STATUS=MR","EQY_CONSOLIDATED=Y","Sort=A","Dates=H","DateFormat=P","Fill=—","Direction=H","UseDPDF=Y")</f>
        <v>55.3</v>
      </c>
      <c r="G6" s="20">
        <f>_xll.BDH("RCOM IN Equity","PX_LAST","FY 2014","FY 2014","Currency=INR","Period=FY","BEST_FPERIOD_OVERRIDE=FY","FILING_STATUS=MR","EQY_CONSOLIDATED=Y","Sort=A","Dates=H","DateFormat=P","Fill=—","Direction=H","UseDPDF=Y")</f>
        <v>128.9</v>
      </c>
      <c r="H6" s="20">
        <f>_xll.BDH("RCOM IN Equity","PX_LAST","FY 2015","FY 2015","Currency=INR","Period=FY","BEST_FPERIOD_OVERRIDE=FY","FILING_STATUS=MR","EQY_CONSOLIDATED=Y","Sort=A","Dates=H","DateFormat=P","Fill=—","Direction=H","UseDPDF=Y")</f>
        <v>59.25</v>
      </c>
      <c r="I6" s="20">
        <f>_xll.BDH("RCOM IN Equity","PX_LAST","FY 2016","FY 2016","Currency=INR","Period=FY","BEST_FPERIOD_OVERRIDE=FY","FILING_STATUS=MR","EQY_CONSOLIDATED=Y","Sort=A","Dates=H","DateFormat=P","Fill=—","Direction=H","UseDPDF=Y")</f>
        <v>50</v>
      </c>
      <c r="J6" s="20">
        <f>_xll.BDH("RCOM IN Equity","PX_LAST","FY 2017","FY 2017","Currency=INR","Period=FY","BEST_FPERIOD_OVERRIDE=FY","FILING_STATUS=MR","EQY_CONSOLIDATED=Y","Sort=A","Dates=H","DateFormat=P","Fill=—","Direction=H","UseDPDF=Y")</f>
        <v>38.299999999999997</v>
      </c>
      <c r="K6" s="20">
        <f>_xll.BDH("RCOM IN Equity","PX_LAST","FY 2018","FY 2018","Currency=INR","Period=FY","BEST_FPERIOD_OVERRIDE=FY","FILING_STATUS=MR","EQY_CONSOLIDATED=Y","Sort=A","Dates=H","DateFormat=P","Fill=—","Direction=H","UseDPDF=Y")</f>
        <v>21.75</v>
      </c>
      <c r="L6" s="23">
        <v>6.6</v>
      </c>
    </row>
    <row r="7" spans="1:12">
      <c r="A7" s="11" t="s">
        <v>238</v>
      </c>
      <c r="B7" s="11" t="s">
        <v>239</v>
      </c>
      <c r="C7" s="26">
        <f>_xll.BDH("RCOM IN Equity","CHG_PCT_PERIOD","FY 2010","FY 2010","Currency=INR","Period=FY","BEST_FPERIOD_OVERRIDE=FY","FILING_STATUS=MR","EQY_CONSOLIDATED=Y","Sort=A","Dates=H","DateFormat=P","Fill=—","Direction=H","UseDPDF=Y")</f>
        <v>-2.8024</v>
      </c>
      <c r="D7" s="26">
        <f>_xll.BDH("RCOM IN Equity","CHG_PCT_PERIOD","FY 2011","FY 2011","Currency=INR","Period=FY","BEST_FPERIOD_OVERRIDE=FY","FILING_STATUS=MR","EQY_CONSOLIDATED=Y","Sort=A","Dates=H","DateFormat=P","Fill=—","Direction=H","UseDPDF=Y")</f>
        <v>-36.657800000000002</v>
      </c>
      <c r="E7" s="26">
        <f>_xll.BDH("RCOM IN Equity","CHG_PCT_PERIOD","FY 2012","FY 2012","Currency=INR","Period=FY","BEST_FPERIOD_OVERRIDE=FY","FILING_STATUS=MR","EQY_CONSOLIDATED=Y","Sort=A","Dates=H","DateFormat=P","Fill=—","Direction=H","UseDPDF=Y")</f>
        <v>-21.922899999999998</v>
      </c>
      <c r="F7" s="26">
        <f>_xll.BDH("RCOM IN Equity","CHG_PCT_PERIOD","FY 2013","FY 2013","Currency=INR","Period=FY","BEST_FPERIOD_OVERRIDE=FY","FILING_STATUS=MR","EQY_CONSOLIDATED=Y","Sort=A","Dates=H","DateFormat=P","Fill=—","Direction=H","UseDPDF=Y")</f>
        <v>-34.205800000000004</v>
      </c>
      <c r="G7" s="26">
        <f>_xll.BDH("RCOM IN Equity","CHG_PCT_PERIOD","FY 2014","FY 2014","Currency=INR","Period=FY","BEST_FPERIOD_OVERRIDE=FY","FILING_STATUS=MR","EQY_CONSOLIDATED=Y","Sort=A","Dates=H","DateFormat=P","Fill=—","Direction=H","UseDPDF=Y")</f>
        <v>133.09219999999999</v>
      </c>
      <c r="H7" s="26">
        <f>_xll.BDH("RCOM IN Equity","CHG_PCT_PERIOD","FY 2015","FY 2015","Currency=INR","Period=FY","BEST_FPERIOD_OVERRIDE=FY","FILING_STATUS=MR","EQY_CONSOLIDATED=Y","Sort=A","Dates=H","DateFormat=P","Fill=—","Direction=H","UseDPDF=Y")</f>
        <v>-54.034100000000002</v>
      </c>
      <c r="I7" s="26">
        <f>_xll.BDH("RCOM IN Equity","CHG_PCT_PERIOD","FY 2016","FY 2016","Currency=INR","Period=FY","BEST_FPERIOD_OVERRIDE=FY","FILING_STATUS=MR","EQY_CONSOLIDATED=Y","Sort=A","Dates=H","DateFormat=P","Fill=—","Direction=H","UseDPDF=Y")</f>
        <v>-15.611800000000001</v>
      </c>
      <c r="J7" s="26">
        <f>_xll.BDH("RCOM IN Equity","CHG_PCT_PERIOD","FY 2017","FY 2017","Currency=INR","Period=FY","BEST_FPERIOD_OVERRIDE=FY","FILING_STATUS=MR","EQY_CONSOLIDATED=Y","Sort=A","Dates=H","DateFormat=P","Fill=—","Direction=H","UseDPDF=Y")</f>
        <v>-23.4</v>
      </c>
      <c r="K7" s="26">
        <f>_xll.BDH("RCOM IN Equity","CHG_PCT_PERIOD","FY 2018","FY 2018","Currency=INR","Period=FY","BEST_FPERIOD_OVERRIDE=FY","FILING_STATUS=MR","EQY_CONSOLIDATED=Y","Sort=A","Dates=H","DateFormat=P","Fill=—","Direction=H","UseDPDF=Y")</f>
        <v>-43.211500000000001</v>
      </c>
      <c r="L7" s="29"/>
    </row>
    <row r="8" spans="1:12">
      <c r="A8" s="10" t="s">
        <v>240</v>
      </c>
      <c r="B8" s="10" t="s">
        <v>241</v>
      </c>
      <c r="C8" s="14">
        <f>_xll.BDH("RCOM IN Equity","PX_OPEN","FY 2010","FY 2010","Currency=INR","Period=FY","BEST_FPERIOD_OVERRIDE=FY","FILING_STATUS=MR","EQY_CONSOLIDATED=Y","Sort=A","Dates=H","DateFormat=P","Fill=—","Direction=H","UseDPDF=Y")</f>
        <v>175.15</v>
      </c>
      <c r="D8" s="14">
        <f>_xll.BDH("RCOM IN Equity","PX_OPEN","FY 2011","FY 2011","Currency=INR","Period=FY","BEST_FPERIOD_OVERRIDE=FY","FILING_STATUS=MR","EQY_CONSOLIDATED=Y","Sort=A","Dates=H","DateFormat=P","Fill=—","Direction=H","UseDPDF=Y")</f>
        <v>170.95</v>
      </c>
      <c r="E8" s="14">
        <f>_xll.BDH("RCOM IN Equity","PX_OPEN","FY 2012","FY 2012","Currency=INR","Period=FY","BEST_FPERIOD_OVERRIDE=FY","FILING_STATUS=MR","EQY_CONSOLIDATED=Y","Sort=A","Dates=H","DateFormat=P","Fill=—","Direction=H","UseDPDF=Y")</f>
        <v>110.4</v>
      </c>
      <c r="F8" s="14">
        <f>_xll.BDH("RCOM IN Equity","PX_OPEN","FY 2013","FY 2013","Currency=INR","Period=FY","BEST_FPERIOD_OVERRIDE=FY","FILING_STATUS=MR","EQY_CONSOLIDATED=Y","Sort=A","Dates=H","DateFormat=P","Fill=—","Direction=H","UseDPDF=Y")</f>
        <v>84.35</v>
      </c>
      <c r="G8" s="14">
        <f>_xll.BDH("RCOM IN Equity","PX_OPEN","FY 2014","FY 2014","Currency=INR","Period=FY","BEST_FPERIOD_OVERRIDE=FY","FILING_STATUS=MR","EQY_CONSOLIDATED=Y","Sort=A","Dates=H","DateFormat=P","Fill=—","Direction=H","UseDPDF=Y")</f>
        <v>55.25</v>
      </c>
      <c r="H8" s="14">
        <f>_xll.BDH("RCOM IN Equity","PX_OPEN","FY 2015","FY 2015","Currency=INR","Period=FY","BEST_FPERIOD_OVERRIDE=FY","FILING_STATUS=MR","EQY_CONSOLIDATED=Y","Sort=A","Dates=H","DateFormat=P","Fill=—","Direction=H","UseDPDF=Y")</f>
        <v>129.69999999999999</v>
      </c>
      <c r="I8" s="14">
        <f>_xll.BDH("RCOM IN Equity","PX_OPEN","FY 2016","FY 2016","Currency=INR","Period=FY","BEST_FPERIOD_OVERRIDE=FY","FILING_STATUS=MR","EQY_CONSOLIDATED=Y","Sort=A","Dates=H","DateFormat=P","Fill=—","Direction=H","UseDPDF=Y")</f>
        <v>59.25</v>
      </c>
      <c r="J8" s="14">
        <f>_xll.BDH("RCOM IN Equity","PX_OPEN","FY 2017","FY 2017","Currency=INR","Period=FY","BEST_FPERIOD_OVERRIDE=FY","FILING_STATUS=MR","EQY_CONSOLIDATED=Y","Sort=A","Dates=H","DateFormat=P","Fill=—","Direction=H","UseDPDF=Y")</f>
        <v>49.9</v>
      </c>
      <c r="K8" s="14">
        <f>_xll.BDH("RCOM IN Equity","PX_OPEN","FY 2018","FY 2018","Currency=INR","Period=FY","BEST_FPERIOD_OVERRIDE=FY","FILING_STATUS=MR","EQY_CONSOLIDATED=Y","Sort=A","Dates=H","DateFormat=P","Fill=—","Direction=H","UseDPDF=Y")</f>
        <v>38.299999999999997</v>
      </c>
      <c r="L8" s="17">
        <v>6.54</v>
      </c>
    </row>
    <row r="9" spans="1:12">
      <c r="A9" s="10" t="s">
        <v>242</v>
      </c>
      <c r="B9" s="10" t="s">
        <v>203</v>
      </c>
      <c r="C9" s="14">
        <f>_xll.BDH("RCOM IN Equity","PX_HIGH","FY 2010","FY 2010","Currency=INR","Period=FY","BEST_FPERIOD_OVERRIDE=FY","FILING_STATUS=MR","EQY_CONSOLIDATED=Y","Sort=A","Dates=H","DateFormat=P","Fill=—","Direction=H","UseDPDF=Y")</f>
        <v>362</v>
      </c>
      <c r="D9" s="14">
        <f>_xll.BDH("RCOM IN Equity","PX_HIGH","FY 2011","FY 2011","Currency=INR","Period=FY","BEST_FPERIOD_OVERRIDE=FY","FILING_STATUS=MR","EQY_CONSOLIDATED=Y","Sort=A","Dates=H","DateFormat=P","Fill=—","Direction=H","UseDPDF=Y")</f>
        <v>207.8</v>
      </c>
      <c r="E9" s="14">
        <f>_xll.BDH("RCOM IN Equity","PX_HIGH","FY 2012","FY 2012","Currency=INR","Period=FY","BEST_FPERIOD_OVERRIDE=FY","FILING_STATUS=MR","EQY_CONSOLIDATED=Y","Sort=A","Dates=H","DateFormat=P","Fill=—","Direction=H","UseDPDF=Y")</f>
        <v>113.85</v>
      </c>
      <c r="F9" s="14">
        <f>_xll.BDH("RCOM IN Equity","PX_HIGH","FY 2013","FY 2013","Currency=INR","Period=FY","BEST_FPERIOD_OVERRIDE=FY","FILING_STATUS=MR","EQY_CONSOLIDATED=Y","Sort=A","Dates=H","DateFormat=P","Fill=—","Direction=H","UseDPDF=Y")</f>
        <v>91.85</v>
      </c>
      <c r="G9" s="14">
        <f>_xll.BDH("RCOM IN Equity","PX_HIGH","FY 2014","FY 2014","Currency=INR","Period=FY","BEST_FPERIOD_OVERRIDE=FY","FILING_STATUS=MR","EQY_CONSOLIDATED=Y","Sort=A","Dates=H","DateFormat=P","Fill=—","Direction=H","UseDPDF=Y")</f>
        <v>164.65</v>
      </c>
      <c r="H9" s="14">
        <f>_xll.BDH("RCOM IN Equity","PX_HIGH","FY 2015","FY 2015","Currency=INR","Period=FY","BEST_FPERIOD_OVERRIDE=FY","FILING_STATUS=MR","EQY_CONSOLIDATED=Y","Sort=A","Dates=H","DateFormat=P","Fill=—","Direction=H","UseDPDF=Y")</f>
        <v>157.25</v>
      </c>
      <c r="I9" s="14">
        <f>_xll.BDH("RCOM IN Equity","PX_HIGH","FY 2016","FY 2016","Currency=INR","Period=FY","BEST_FPERIOD_OVERRIDE=FY","FILING_STATUS=MR","EQY_CONSOLIDATED=Y","Sort=A","Dates=H","DateFormat=P","Fill=—","Direction=H","UseDPDF=Y")</f>
        <v>91.8</v>
      </c>
      <c r="J9" s="14">
        <f>_xll.BDH("RCOM IN Equity","PX_HIGH","FY 2017","FY 2017","Currency=INR","Period=FY","BEST_FPERIOD_OVERRIDE=FY","FILING_STATUS=MR","EQY_CONSOLIDATED=Y","Sort=A","Dates=H","DateFormat=P","Fill=—","Direction=H","UseDPDF=Y")</f>
        <v>60.45</v>
      </c>
      <c r="K9" s="14">
        <f>_xll.BDH("RCOM IN Equity","PX_HIGH","FY 2018","FY 2018","Currency=INR","Period=FY","BEST_FPERIOD_OVERRIDE=FY","FILING_STATUS=MR","EQY_CONSOLIDATED=Y","Sort=A","Dates=H","DateFormat=P","Fill=—","Direction=H","UseDPDF=Y")</f>
        <v>41.77</v>
      </c>
      <c r="L9" s="17">
        <v>6.75</v>
      </c>
    </row>
    <row r="10" spans="1:12">
      <c r="A10" s="10" t="s">
        <v>243</v>
      </c>
      <c r="B10" s="10" t="s">
        <v>204</v>
      </c>
      <c r="C10" s="14">
        <f>_xll.BDH("RCOM IN Equity","PX_LOW","FY 2010","FY 2010","Currency=INR","Period=FY","BEST_FPERIOD_OVERRIDE=FY","FILING_STATUS=MR","EQY_CONSOLIDATED=Y","Sort=A","Dates=H","DateFormat=P","Fill=—","Direction=H","UseDPDF=Y")</f>
        <v>154</v>
      </c>
      <c r="D10" s="14">
        <f>_xll.BDH("RCOM IN Equity","PX_LOW","FY 2011","FY 2011","Currency=INR","Period=FY","BEST_FPERIOD_OVERRIDE=FY","FILING_STATUS=MR","EQY_CONSOLIDATED=Y","Sort=A","Dates=H","DateFormat=P","Fill=—","Direction=H","UseDPDF=Y")</f>
        <v>74.650000000000006</v>
      </c>
      <c r="E10" s="14">
        <f>_xll.BDH("RCOM IN Equity","PX_LOW","FY 2012","FY 2012","Currency=INR","Period=FY","BEST_FPERIOD_OVERRIDE=FY","FILING_STATUS=MR","EQY_CONSOLIDATED=Y","Sort=A","Dates=H","DateFormat=P","Fill=—","Direction=H","UseDPDF=Y")</f>
        <v>60.8</v>
      </c>
      <c r="F10" s="14">
        <f>_xll.BDH("RCOM IN Equity","PX_LOW","FY 2013","FY 2013","Currency=INR","Period=FY","BEST_FPERIOD_OVERRIDE=FY","FILING_STATUS=MR","EQY_CONSOLIDATED=Y","Sort=A","Dates=H","DateFormat=P","Fill=—","Direction=H","UseDPDF=Y")</f>
        <v>46.55</v>
      </c>
      <c r="G10" s="14">
        <f>_xll.BDH("RCOM IN Equity","PX_LOW","FY 2014","FY 2014","Currency=INR","Period=FY","BEST_FPERIOD_OVERRIDE=FY","FILING_STATUS=MR","EQY_CONSOLIDATED=Y","Sort=A","Dates=H","DateFormat=P","Fill=—","Direction=H","UseDPDF=Y")</f>
        <v>54.55</v>
      </c>
      <c r="H10" s="14">
        <f>_xll.BDH("RCOM IN Equity","PX_LOW","FY 2015","FY 2015","Currency=INR","Period=FY","BEST_FPERIOD_OVERRIDE=FY","FILING_STATUS=MR","EQY_CONSOLIDATED=Y","Sort=A","Dates=H","DateFormat=P","Fill=—","Direction=H","UseDPDF=Y")</f>
        <v>56.75</v>
      </c>
      <c r="I10" s="14">
        <f>_xll.BDH("RCOM IN Equity","PX_LOW","FY 2016","FY 2016","Currency=INR","Period=FY","BEST_FPERIOD_OVERRIDE=FY","FILING_STATUS=MR","EQY_CONSOLIDATED=Y","Sort=A","Dates=H","DateFormat=P","Fill=—","Direction=H","UseDPDF=Y")</f>
        <v>45.5</v>
      </c>
      <c r="J10" s="14">
        <f>_xll.BDH("RCOM IN Equity","PX_LOW","FY 2017","FY 2017","Currency=INR","Period=FY","BEST_FPERIOD_OVERRIDE=FY","FILING_STATUS=MR","EQY_CONSOLIDATED=Y","Sort=A","Dates=H","DateFormat=P","Fill=—","Direction=H","UseDPDF=Y")</f>
        <v>30.6</v>
      </c>
      <c r="K10" s="14">
        <f>_xll.BDH("RCOM IN Equity","PX_LOW","FY 2018","FY 2018","Currency=INR","Period=FY","BEST_FPERIOD_OVERRIDE=FY","FILING_STATUS=MR","EQY_CONSOLIDATED=Y","Sort=A","Dates=H","DateFormat=P","Fill=—","Direction=H","UseDPDF=Y")</f>
        <v>9.6</v>
      </c>
      <c r="L10" s="17">
        <v>6.5</v>
      </c>
    </row>
    <row r="11" spans="1:12">
      <c r="A11" s="6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21"/>
    </row>
    <row r="12" spans="1:12">
      <c r="A12" s="6" t="s">
        <v>27</v>
      </c>
      <c r="B12" s="6" t="s">
        <v>28</v>
      </c>
      <c r="C12" s="19">
        <f>_xll.BDH("RCOM IN Equity","HISTORICAL_MARKET_CAP","FY 2010","FY 2010","Currency=INR","Period=FY","BEST_FPERIOD_OVERRIDE=FY","FILING_STATUS=MR","EQY_CONSOLIDATED=Y","SCALING_FORMAT=MLN","Sort=A","Dates=H","DateFormat=P","Fill=—","Direction=H","UseDPDF=Y")</f>
        <v>350781.36839999998</v>
      </c>
      <c r="D12" s="19">
        <f>_xll.BDH("RCOM IN Equity","HISTORICAL_MARKET_CAP","FY 2011","FY 2011","Currency=INR","Period=FY","BEST_FPERIOD_OVERRIDE=FY","FILING_STATUS=MR","EQY_CONSOLIDATED=Y","SCALING_FORMAT=MLN","Sort=A","Dates=H","DateFormat=P","Fill=—","Direction=H","UseDPDF=Y")</f>
        <v>222192.49369999999</v>
      </c>
      <c r="E12" s="19">
        <f>_xll.BDH("RCOM IN Equity","HISTORICAL_MARKET_CAP","FY 2012","FY 2012","Currency=INR","Period=FY","BEST_FPERIOD_OVERRIDE=FY","FILING_STATUS=MR","EQY_CONSOLIDATED=Y","SCALING_FORMAT=MLN","Sort=A","Dates=H","DateFormat=P","Fill=—","Direction=H","UseDPDF=Y")</f>
        <v>173481.45929999999</v>
      </c>
      <c r="F12" s="19">
        <f>_xll.BDH("RCOM IN Equity","HISTORICAL_MARKET_CAP","FY 2013","FY 2013","Currency=INR","Period=FY","BEST_FPERIOD_OVERRIDE=FY","FILING_STATUS=MR","EQY_CONSOLIDATED=Y","SCALING_FORMAT=MLN","Sort=A","Dates=H","DateFormat=P","Fill=—","Direction=H","UseDPDF=Y")</f>
        <v>114140.6865</v>
      </c>
      <c r="G12" s="19">
        <f>_xll.BDH("RCOM IN Equity","HISTORICAL_MARKET_CAP","FY 2014","FY 2014","Currency=INR","Period=FY","BEST_FPERIOD_OVERRIDE=FY","FILING_STATUS=MR","EQY_CONSOLIDATED=Y","SCALING_FORMAT=MLN","Sort=A","Dates=H","DateFormat=P","Fill=—","Direction=H","UseDPDF=Y")</f>
        <v>266053.065</v>
      </c>
      <c r="H12" s="19">
        <f>_xll.BDH("RCOM IN Equity","HISTORICAL_MARKET_CAP","FY 2015","FY 2015","Currency=INR","Period=FY","BEST_FPERIOD_OVERRIDE=FY","FILING_STATUS=MR","EQY_CONSOLIDATED=Y","SCALING_FORMAT=MLN","Sort=A","Dates=H","DateFormat=P","Fill=—","Direction=H","UseDPDF=Y")</f>
        <v>147472.04990000001</v>
      </c>
      <c r="I12" s="19">
        <f>_xll.BDH("RCOM IN Equity","HISTORICAL_MARKET_CAP","FY 2016","FY 2016","Currency=INR","Period=FY","BEST_FPERIOD_OVERRIDE=FY","FILING_STATUS=MR","EQY_CONSOLIDATED=Y","SCALING_FORMAT=MLN","Sort=A","Dates=H","DateFormat=P","Fill=—","Direction=H","UseDPDF=Y")</f>
        <v>124448.98729999999</v>
      </c>
      <c r="J12" s="19">
        <f>_xll.BDH("RCOM IN Equity","HISTORICAL_MARKET_CAP","FY 2017","FY 2017","Currency=INR","Period=FY","BEST_FPERIOD_OVERRIDE=FY","FILING_STATUS=MR","EQY_CONSOLIDATED=Y","SCALING_FORMAT=MLN","Sort=A","Dates=H","DateFormat=P","Fill=—","Direction=H","UseDPDF=Y")</f>
        <v>95327.924199999994</v>
      </c>
      <c r="K12" s="19">
        <f>_xll.BDH("RCOM IN Equity","HISTORICAL_MARKET_CAP","FY 2018","FY 2018","Currency=INR","Period=FY","BEST_FPERIOD_OVERRIDE=FY","FILING_STATUS=MR","EQY_CONSOLIDATED=Y","SCALING_FORMAT=MLN","Sort=A","Dates=H","DateFormat=P","Fill=—","Direction=H","UseDPDF=Y")</f>
        <v>60150.343800000002</v>
      </c>
      <c r="L12" s="22">
        <v>18252.51813</v>
      </c>
    </row>
    <row r="13" spans="1:12">
      <c r="A13" s="10" t="s">
        <v>244</v>
      </c>
      <c r="B13" s="10" t="s">
        <v>245</v>
      </c>
      <c r="C13" s="14">
        <f>_xll.BDH("RCOM IN Equity","EQY_SH_OUT","FY 2010","FY 2010","Currency=INR","Period=FY","BEST_FPERIOD_OVERRIDE=FY","FILING_STATUS=MR","EQY_CONSOLIDATED=Y","Sort=A","Dates=H","DateFormat=P","Fill=—","Direction=H","UseDPDF=Y")</f>
        <v>2064.027</v>
      </c>
      <c r="D13" s="14">
        <f>_xll.BDH("RCOM IN Equity","EQY_SH_OUT","FY 2011","FY 2011","Currency=INR","Period=FY","BEST_FPERIOD_OVERRIDE=FY","FILING_STATUS=MR","EQY_CONSOLIDATED=Y","Sort=A","Dates=H","DateFormat=P","Fill=—","Direction=H","UseDPDF=Y")</f>
        <v>2064.027</v>
      </c>
      <c r="E13" s="14">
        <f>_xll.BDH("RCOM IN Equity","EQY_SH_OUT","FY 2012","FY 2012","Currency=INR","Period=FY","BEST_FPERIOD_OVERRIDE=FY","FILING_STATUS=MR","EQY_CONSOLIDATED=Y","Sort=A","Dates=H","DateFormat=P","Fill=—","Direction=H","UseDPDF=Y")</f>
        <v>2064.027</v>
      </c>
      <c r="F13" s="14">
        <f>_xll.BDH("RCOM IN Equity","EQY_SH_OUT","FY 2013","FY 2013","Currency=INR","Period=FY","BEST_FPERIOD_OVERRIDE=FY","FILING_STATUS=MR","EQY_CONSOLIDATED=Y","Sort=A","Dates=H","DateFormat=P","Fill=—","Direction=H","UseDPDF=Y")</f>
        <v>2064.027</v>
      </c>
      <c r="G13" s="14">
        <f>_xll.BDH("RCOM IN Equity","EQY_SH_OUT","FY 2014","FY 2014","Currency=INR","Period=FY","BEST_FPERIOD_OVERRIDE=FY","FILING_STATUS=MR","EQY_CONSOLIDATED=Y","Sort=A","Dates=H","DateFormat=P","Fill=—","Direction=H","UseDPDF=Y")</f>
        <v>2064.027</v>
      </c>
      <c r="H13" s="14">
        <f>_xll.BDH("RCOM IN Equity","EQY_SH_OUT","FY 2015","FY 2015","Currency=INR","Period=FY","BEST_FPERIOD_OVERRIDE=FY","FILING_STATUS=MR","EQY_CONSOLIDATED=Y","Sort=A","Dates=H","DateFormat=P","Fill=—","Direction=H","UseDPDF=Y")</f>
        <v>2488.98</v>
      </c>
      <c r="I13" s="14">
        <f>_xll.BDH("RCOM IN Equity","EQY_SH_OUT","FY 2016","FY 2016","Currency=INR","Period=FY","BEST_FPERIOD_OVERRIDE=FY","FILING_STATUS=MR","EQY_CONSOLIDATED=Y","Sort=A","Dates=H","DateFormat=P","Fill=—","Direction=H","UseDPDF=Y")</f>
        <v>2488.98</v>
      </c>
      <c r="J13" s="14">
        <f>_xll.BDH("RCOM IN Equity","EQY_SH_OUT","FY 2017","FY 2017","Currency=INR","Period=FY","BEST_FPERIOD_OVERRIDE=FY","FILING_STATUS=MR","EQY_CONSOLIDATED=Y","Sort=A","Dates=H","DateFormat=P","Fill=—","Direction=H","UseDPDF=Y")</f>
        <v>2488.98</v>
      </c>
      <c r="K13" s="14">
        <f>_xll.BDH("RCOM IN Equity","EQY_SH_OUT","FY 2018","FY 2018","Currency=INR","Period=FY","BEST_FPERIOD_OVERRIDE=FY","FILING_STATUS=MR","EQY_CONSOLIDATED=Y","Sort=A","Dates=H","DateFormat=P","Fill=—","Direction=H","UseDPDF=Y")</f>
        <v>2765.5329999999999</v>
      </c>
      <c r="L13" s="17">
        <v>2765.5329999999999</v>
      </c>
    </row>
    <row r="14" spans="1:12">
      <c r="A14" s="10" t="s">
        <v>246</v>
      </c>
      <c r="B14" s="10" t="s">
        <v>247</v>
      </c>
      <c r="C14" s="14">
        <f>_xll.BDH("RCOM IN Equity","EQY_FLOAT","FY 2010","FY 2010","Currency=INR","Period=FY","BEST_FPERIOD_OVERRIDE=FY","FILING_STATUS=MR","EQY_CONSOLIDATED=Y","Sort=A","Dates=H","DateFormat=P","Fill=—","Direction=H","UseDPDF=Y")</f>
        <v>300.79000000000002</v>
      </c>
      <c r="D14" s="14">
        <f>_xll.BDH("RCOM IN Equity","EQY_FLOAT","FY 2011","FY 2011","Currency=INR","Period=FY","BEST_FPERIOD_OVERRIDE=FY","FILING_STATUS=MR","EQY_CONSOLIDATED=Y","Sort=A","Dates=H","DateFormat=P","Fill=—","Direction=H","UseDPDF=Y")</f>
        <v>547.60699999999997</v>
      </c>
      <c r="E14" s="14">
        <f>_xll.BDH("RCOM IN Equity","EQY_FLOAT","FY 2012","FY 2012","Currency=INR","Period=FY","BEST_FPERIOD_OVERRIDE=FY","FILING_STATUS=MR","EQY_CONSOLIDATED=Y","Sort=A","Dates=H","DateFormat=P","Fill=—","Direction=H","UseDPDF=Y")</f>
        <v>544.77700000000004</v>
      </c>
      <c r="F14" s="14">
        <f>_xll.BDH("RCOM IN Equity","EQY_FLOAT","FY 2013","FY 2013","Currency=INR","Period=FY","BEST_FPERIOD_OVERRIDE=FY","FILING_STATUS=MR","EQY_CONSOLIDATED=Y","Sort=A","Dates=H","DateFormat=P","Fill=—","Direction=H","UseDPDF=Y")</f>
        <v>395.173</v>
      </c>
      <c r="G14" s="14">
        <f>_xll.BDH("RCOM IN Equity","EQY_FLOAT","FY 2014","FY 2014","Currency=INR","Period=FY","BEST_FPERIOD_OVERRIDE=FY","FILING_STATUS=MR","EQY_CONSOLIDATED=Y","Sort=A","Dates=H","DateFormat=P","Fill=—","Direction=H","UseDPDF=Y")</f>
        <v>508.43799999999999</v>
      </c>
      <c r="H14" s="14">
        <f>_xll.BDH("RCOM IN Equity","EQY_FLOAT","FY 2015","FY 2015","Currency=INR","Period=FY","BEST_FPERIOD_OVERRIDE=FY","FILING_STATUS=MR","EQY_CONSOLIDATED=Y","Sort=A","Dates=H","DateFormat=P","Fill=—","Direction=H","UseDPDF=Y")</f>
        <v>868.00300000000004</v>
      </c>
      <c r="I14" s="14">
        <f>_xll.BDH("RCOM IN Equity","EQY_FLOAT","FY 2016","FY 2016","Currency=INR","Period=FY","BEST_FPERIOD_OVERRIDE=FY","FILING_STATUS=MR","EQY_CONSOLIDATED=Y","Sort=A","Dates=H","DateFormat=P","Fill=—","Direction=H","UseDPDF=Y")</f>
        <v>807.23500000000001</v>
      </c>
      <c r="J14" s="14">
        <f>_xll.BDH("RCOM IN Equity","EQY_FLOAT","FY 2017","FY 2017","Currency=INR","Period=FY","BEST_FPERIOD_OVERRIDE=FY","FILING_STATUS=MR","EQY_CONSOLIDATED=Y","Sort=A","Dates=H","DateFormat=P","Fill=—","Direction=H","UseDPDF=Y")</f>
        <v>819.077</v>
      </c>
      <c r="K14" s="14">
        <f>_xll.BDH("RCOM IN Equity","EQY_FLOAT","FY 2018","FY 2018","Currency=INR","Period=FY","BEST_FPERIOD_OVERRIDE=FY","FILING_STATUS=MR","EQY_CONSOLIDATED=Y","Sort=A","Dates=H","DateFormat=P","Fill=—","Direction=H","UseDPDF=Y")</f>
        <v>1123.558</v>
      </c>
      <c r="L14" s="17">
        <v>1078.7860000000001</v>
      </c>
    </row>
    <row r="15" spans="1:12">
      <c r="A15" s="7" t="s">
        <v>57</v>
      </c>
      <c r="B15" s="7"/>
      <c r="C15" s="7" t="s">
        <v>3</v>
      </c>
      <c r="D15" s="7"/>
      <c r="E15" s="7"/>
      <c r="F15" s="7"/>
      <c r="G15" s="7"/>
      <c r="H15" s="7"/>
      <c r="I15" s="7"/>
      <c r="J15" s="7"/>
      <c r="K15" s="7"/>
      <c r="L15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34"/>
  <sheetViews>
    <sheetView topLeftCell="A97"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248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209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</row>
    <row r="6" spans="1:12">
      <c r="A6" s="6" t="s">
        <v>0</v>
      </c>
      <c r="B6" s="6" t="s">
        <v>38</v>
      </c>
      <c r="C6" s="19">
        <f>_xll.BDH("RCOM IN Equity","SALES_REV_TURN","FY 2010","FY 2010","Currency=INR","Period=FY","BEST_FPERIOD_OVERRIDE=FY","FILING_STATUS=MR","EQY_CONSOLIDATED=Y","SCALING_FORMAT=MLN","FA_ADJUSTED=Adjusted","Sort=A","Dates=H","DateFormat=P","Fill=—","Direction=H","UseDPDF=Y")</f>
        <v>206850.5</v>
      </c>
      <c r="D6" s="19">
        <f>_xll.BDH("RCOM IN Equity","SALES_REV_TURN","FY 2011","FY 2011","Currency=INR","Period=FY","BEST_FPERIOD_OVERRIDE=FY","FILING_STATUS=MR","EQY_CONSOLIDATED=Y","SCALING_FORMAT=MLN","FA_ADJUSTED=Adjusted","Sort=A","Dates=H","DateFormat=P","Fill=—","Direction=H","UseDPDF=Y")</f>
        <v>220890</v>
      </c>
      <c r="E6" s="19">
        <f>_xll.BDH("RCOM IN Equity","SALES_REV_TURN","FY 2012","FY 2012","Currency=INR","Period=FY","BEST_FPERIOD_OVERRIDE=FY","FILING_STATUS=MR","EQY_CONSOLIDATED=Y","SCALING_FORMAT=MLN","FA_ADJUSTED=Adjusted","Sort=A","Dates=H","DateFormat=P","Fill=—","Direction=H","UseDPDF=Y")</f>
        <v>187160</v>
      </c>
      <c r="F6" s="19">
        <f>_xll.BDH("RCOM IN Equity","SALES_REV_TURN","FY 2013","FY 2013","Currency=INR","Period=FY","BEST_FPERIOD_OVERRIDE=FY","FILING_STATUS=MR","EQY_CONSOLIDATED=Y","SCALING_FORMAT=MLN","FA_ADJUSTED=Adjusted","Sort=A","Dates=H","DateFormat=P","Fill=—","Direction=H","UseDPDF=Y")</f>
        <v>192940</v>
      </c>
      <c r="G6" s="19">
        <f>_xll.BDH("RCOM IN Equity","SALES_REV_TURN","FY 2014","FY 2014","Currency=INR","Period=FY","BEST_FPERIOD_OVERRIDE=FY","FILING_STATUS=MR","EQY_CONSOLIDATED=Y","SCALING_FORMAT=MLN","FA_ADJUSTED=Adjusted","Sort=A","Dates=H","DateFormat=P","Fill=—","Direction=H","UseDPDF=Y")</f>
        <v>209400</v>
      </c>
      <c r="H6" s="19">
        <f>_xll.BDH("RCOM IN Equity","SALES_REV_TURN","FY 2015","FY 2015","Currency=INR","Period=FY","BEST_FPERIOD_OVERRIDE=FY","FILING_STATUS=MR","EQY_CONSOLIDATED=Y","SCALING_FORMAT=MLN","FA_ADJUSTED=Adjusted","Sort=A","Dates=H","DateFormat=P","Fill=—","Direction=H","UseDPDF=Y")</f>
        <v>214230</v>
      </c>
      <c r="I6" s="19">
        <f>_xll.BDH("RCOM IN Equity","SALES_REV_TURN","FY 2016","FY 2016","Currency=INR","Period=FY","BEST_FPERIOD_OVERRIDE=FY","FILING_STATUS=MR","EQY_CONSOLIDATED=Y","SCALING_FORMAT=MLN","FA_ADJUSTED=Adjusted","Sort=A","Dates=H","DateFormat=P","Fill=—","Direction=H","UseDPDF=Y")</f>
        <v>217430</v>
      </c>
      <c r="J6" s="19">
        <f>_xll.BDH("RCOM IN Equity","SALES_REV_TURN","FY 2017","FY 2017","Currency=INR","Period=FY","BEST_FPERIOD_OVERRIDE=FY","FILING_STATUS=MR","EQY_CONSOLIDATED=Y","SCALING_FORMAT=MLN","FA_ADJUSTED=Adjusted","Sort=A","Dates=H","DateFormat=P","Fill=—","Direction=H","UseDPDF=Y")</f>
        <v>65540</v>
      </c>
      <c r="K6" s="19">
        <f>_xll.BDH("RCOM IN Equity","SALES_REV_TURN","FY 2018","FY 2018","Currency=INR","Period=FY","BEST_FPERIOD_OVERRIDE=FY","FILING_STATUS=MR","EQY_CONSOLIDATED=Y","SCALING_FORMAT=MLN","FA_ADJUSTED=Adjusted","Sort=A","Dates=H","DateFormat=P","Fill=—","Direction=H","UseDPDF=Y")</f>
        <v>45930</v>
      </c>
      <c r="L6" s="22">
        <v>40020</v>
      </c>
    </row>
    <row r="7" spans="1:12">
      <c r="A7" s="11" t="s">
        <v>249</v>
      </c>
      <c r="B7" s="11" t="s">
        <v>38</v>
      </c>
      <c r="C7" s="25">
        <v>100</v>
      </c>
      <c r="D7" s="25">
        <v>100</v>
      </c>
      <c r="E7" s="25">
        <v>100</v>
      </c>
      <c r="F7" s="25">
        <v>100</v>
      </c>
      <c r="G7" s="25">
        <v>100</v>
      </c>
      <c r="H7" s="25">
        <v>100</v>
      </c>
      <c r="I7" s="25">
        <v>100</v>
      </c>
      <c r="J7" s="25">
        <v>100</v>
      </c>
      <c r="K7" s="25">
        <v>100</v>
      </c>
      <c r="L7" s="28">
        <v>100</v>
      </c>
    </row>
    <row r="8" spans="1:12">
      <c r="A8" s="10" t="s">
        <v>250</v>
      </c>
      <c r="B8" s="10" t="s">
        <v>251</v>
      </c>
      <c r="C8" s="13">
        <f>_xll.BDH("RCOM IN Equity","IS_SALES_AND_SERVICES_REVENUES","FY 2010","FY 2010","Currency=INR","Period=FY","BEST_FPERIOD_OVERRIDE=FY","FILING_STATUS=MR","EQY_CONSOLIDATED=Y","SCALING_FORMAT=MLN","FA_ADJUSTED=Adjusted","Sort=A","Dates=H","DateFormat=P","Fill=—","Direction=H","UseDPDF=Y")</f>
        <v>206850.5</v>
      </c>
      <c r="D8" s="13">
        <f>_xll.BDH("RCOM IN Equity","IS_SALES_AND_SERVICES_REVENUES","FY 2011","FY 2011","Currency=INR","Period=FY","BEST_FPERIOD_OVERRIDE=FY","FILING_STATUS=MR","EQY_CONSOLIDATED=Y","SCALING_FORMAT=MLN","FA_ADJUSTED=Adjusted","Sort=A","Dates=H","DateFormat=P","Fill=—","Direction=H","UseDPDF=Y")</f>
        <v>220890</v>
      </c>
      <c r="E8" s="13">
        <f>_xll.BDH("RCOM IN Equity","IS_SALES_AND_SERVICES_REVENUES","FY 2012","FY 2012","Currency=INR","Period=FY","BEST_FPERIOD_OVERRIDE=FY","FILING_STATUS=MR","EQY_CONSOLIDATED=Y","SCALING_FORMAT=MLN","FA_ADJUSTED=Adjusted","Sort=A","Dates=H","DateFormat=P","Fill=—","Direction=H","UseDPDF=Y")</f>
        <v>187160</v>
      </c>
      <c r="F8" s="13">
        <f>_xll.BDH("RCOM IN Equity","IS_SALES_AND_SERVICES_REVENUES","FY 2013","FY 2013","Currency=INR","Period=FY","BEST_FPERIOD_OVERRIDE=FY","FILING_STATUS=MR","EQY_CONSOLIDATED=Y","SCALING_FORMAT=MLN","FA_ADJUSTED=Adjusted","Sort=A","Dates=H","DateFormat=P","Fill=—","Direction=H","UseDPDF=Y")</f>
        <v>192940</v>
      </c>
      <c r="G8" s="13">
        <f>_xll.BDH("RCOM IN Equity","IS_SALES_AND_SERVICES_REVENUES","FY 2014","FY 2014","Currency=INR","Period=FY","BEST_FPERIOD_OVERRIDE=FY","FILING_STATUS=MR","EQY_CONSOLIDATED=Y","SCALING_FORMAT=MLN","FA_ADJUSTED=Adjusted","Sort=A","Dates=H","DateFormat=P","Fill=—","Direction=H","UseDPDF=Y")</f>
        <v>209400</v>
      </c>
      <c r="H8" s="13">
        <f>_xll.BDH("RCOM IN Equity","IS_SALES_AND_SERVICES_REVENUES","FY 2015","FY 2015","Currency=INR","Period=FY","BEST_FPERIOD_OVERRIDE=FY","FILING_STATUS=MR","EQY_CONSOLIDATED=Y","SCALING_FORMAT=MLN","FA_ADJUSTED=Adjusted","Sort=A","Dates=H","DateFormat=P","Fill=—","Direction=H","UseDPDF=Y")</f>
        <v>214230</v>
      </c>
      <c r="I8" s="13">
        <f>_xll.BDH("RCOM IN Equity","IS_SALES_AND_SERVICES_REVENUES","FY 2016","FY 2016","Currency=INR","Period=FY","BEST_FPERIOD_OVERRIDE=FY","FILING_STATUS=MR","EQY_CONSOLIDATED=Y","SCALING_FORMAT=MLN","FA_ADJUSTED=Adjusted","Sort=A","Dates=H","DateFormat=P","Fill=—","Direction=H","UseDPDF=Y")</f>
        <v>217430</v>
      </c>
      <c r="J8" s="13">
        <f>_xll.BDH("RCOM IN Equity","IS_SALES_AND_SERVICES_REVENUES","FY 2017","FY 2017","Currency=INR","Period=FY","BEST_FPERIOD_OVERRIDE=FY","FILING_STATUS=MR","EQY_CONSOLIDATED=Y","SCALING_FORMAT=MLN","FA_ADJUSTED=Adjusted","Sort=A","Dates=H","DateFormat=P","Fill=—","Direction=H","UseDPDF=Y")</f>
        <v>65540</v>
      </c>
      <c r="K8" s="13">
        <f>_xll.BDH("RCOM IN Equity","IS_SALES_AND_SERVICES_REVENUES","FY 2018","FY 2018","Currency=INR","Period=FY","BEST_FPERIOD_OVERRIDE=FY","FILING_STATUS=MR","EQY_CONSOLIDATED=Y","SCALING_FORMAT=MLN","FA_ADJUSTED=Adjusted","Sort=A","Dates=H","DateFormat=P","Fill=—","Direction=H","UseDPDF=Y")</f>
        <v>45930</v>
      </c>
      <c r="L8" s="16">
        <v>40020</v>
      </c>
    </row>
    <row r="9" spans="1:12">
      <c r="A9" s="11" t="s">
        <v>249</v>
      </c>
      <c r="B9" s="11" t="s">
        <v>251</v>
      </c>
      <c r="C9" s="25">
        <v>100</v>
      </c>
      <c r="D9" s="25">
        <v>100</v>
      </c>
      <c r="E9" s="25">
        <v>100</v>
      </c>
      <c r="F9" s="25">
        <v>100</v>
      </c>
      <c r="G9" s="25">
        <v>100</v>
      </c>
      <c r="H9" s="25">
        <v>100</v>
      </c>
      <c r="I9" s="25">
        <v>100</v>
      </c>
      <c r="J9" s="25">
        <v>100</v>
      </c>
      <c r="K9" s="25">
        <v>100</v>
      </c>
      <c r="L9" s="28">
        <v>0</v>
      </c>
    </row>
    <row r="10" spans="1:12">
      <c r="A10" s="11" t="s">
        <v>249</v>
      </c>
      <c r="B10" s="11" t="s">
        <v>252</v>
      </c>
      <c r="C10" s="25" t="s">
        <v>44</v>
      </c>
      <c r="D10" s="25" t="s">
        <v>44</v>
      </c>
      <c r="E10" s="25" t="s">
        <v>44</v>
      </c>
      <c r="F10" s="25" t="s">
        <v>44</v>
      </c>
      <c r="G10" s="25" t="s">
        <v>44</v>
      </c>
      <c r="H10" s="25" t="s">
        <v>44</v>
      </c>
      <c r="I10" s="25" t="s">
        <v>44</v>
      </c>
      <c r="J10" s="25" t="s">
        <v>44</v>
      </c>
      <c r="K10" s="25" t="s">
        <v>44</v>
      </c>
      <c r="L10" s="28">
        <v>0</v>
      </c>
    </row>
    <row r="11" spans="1:12">
      <c r="A11" s="11" t="s">
        <v>249</v>
      </c>
      <c r="B11" s="11" t="s">
        <v>253</v>
      </c>
      <c r="C11" s="25" t="s">
        <v>44</v>
      </c>
      <c r="D11" s="25" t="s">
        <v>44</v>
      </c>
      <c r="E11" s="25" t="s">
        <v>44</v>
      </c>
      <c r="F11" s="25" t="s">
        <v>44</v>
      </c>
      <c r="G11" s="25" t="s">
        <v>44</v>
      </c>
      <c r="H11" s="25" t="s">
        <v>44</v>
      </c>
      <c r="I11" s="25" t="s">
        <v>44</v>
      </c>
      <c r="J11" s="25" t="s">
        <v>44</v>
      </c>
      <c r="K11" s="25" t="s">
        <v>44</v>
      </c>
      <c r="L11" s="28">
        <v>0</v>
      </c>
    </row>
    <row r="12" spans="1:12">
      <c r="A12" s="11" t="s">
        <v>249</v>
      </c>
      <c r="B12" s="11" t="s">
        <v>254</v>
      </c>
      <c r="C12" s="25" t="s">
        <v>44</v>
      </c>
      <c r="D12" s="25" t="s">
        <v>44</v>
      </c>
      <c r="E12" s="25" t="s">
        <v>44</v>
      </c>
      <c r="F12" s="25" t="s">
        <v>44</v>
      </c>
      <c r="G12" s="25" t="s">
        <v>44</v>
      </c>
      <c r="H12" s="25" t="s">
        <v>44</v>
      </c>
      <c r="I12" s="25" t="s">
        <v>44</v>
      </c>
      <c r="J12" s="25" t="s">
        <v>44</v>
      </c>
      <c r="K12" s="25" t="s">
        <v>44</v>
      </c>
      <c r="L12" s="28">
        <v>0</v>
      </c>
    </row>
    <row r="13" spans="1:12">
      <c r="A13" s="11" t="s">
        <v>249</v>
      </c>
      <c r="B13" s="11" t="s">
        <v>255</v>
      </c>
      <c r="C13" s="25" t="s">
        <v>44</v>
      </c>
      <c r="D13" s="25" t="s">
        <v>44</v>
      </c>
      <c r="E13" s="25" t="s">
        <v>44</v>
      </c>
      <c r="F13" s="25" t="s">
        <v>44</v>
      </c>
      <c r="G13" s="25" t="s">
        <v>44</v>
      </c>
      <c r="H13" s="25" t="s">
        <v>44</v>
      </c>
      <c r="I13" s="25" t="s">
        <v>44</v>
      </c>
      <c r="J13" s="25" t="s">
        <v>44</v>
      </c>
      <c r="K13" s="25" t="s">
        <v>44</v>
      </c>
      <c r="L13" s="28">
        <v>0</v>
      </c>
    </row>
    <row r="14" spans="1:12">
      <c r="A14" s="11" t="s">
        <v>249</v>
      </c>
      <c r="B14" s="11" t="s">
        <v>256</v>
      </c>
      <c r="C14" s="25" t="s">
        <v>44</v>
      </c>
      <c r="D14" s="25" t="s">
        <v>44</v>
      </c>
      <c r="E14" s="25" t="s">
        <v>44</v>
      </c>
      <c r="F14" s="25" t="s">
        <v>44</v>
      </c>
      <c r="G14" s="25" t="s">
        <v>44</v>
      </c>
      <c r="H14" s="25" t="s">
        <v>44</v>
      </c>
      <c r="I14" s="25" t="s">
        <v>44</v>
      </c>
      <c r="J14" s="25" t="s">
        <v>44</v>
      </c>
      <c r="K14" s="25" t="s">
        <v>44</v>
      </c>
      <c r="L14" s="28">
        <v>0</v>
      </c>
    </row>
    <row r="15" spans="1:12">
      <c r="A15" s="11" t="s">
        <v>249</v>
      </c>
      <c r="B15" s="11" t="s">
        <v>257</v>
      </c>
      <c r="C15" s="25" t="s">
        <v>44</v>
      </c>
      <c r="D15" s="25" t="s">
        <v>44</v>
      </c>
      <c r="E15" s="25" t="s">
        <v>44</v>
      </c>
      <c r="F15" s="25" t="s">
        <v>44</v>
      </c>
      <c r="G15" s="25" t="s">
        <v>44</v>
      </c>
      <c r="H15" s="25" t="s">
        <v>44</v>
      </c>
      <c r="I15" s="25" t="s">
        <v>44</v>
      </c>
      <c r="J15" s="25" t="s">
        <v>44</v>
      </c>
      <c r="K15" s="25" t="s">
        <v>44</v>
      </c>
      <c r="L15" s="28">
        <v>0</v>
      </c>
    </row>
    <row r="16" spans="1:12">
      <c r="A16" s="11" t="s">
        <v>249</v>
      </c>
      <c r="B16" s="11" t="s">
        <v>42</v>
      </c>
      <c r="C16" s="25" t="s">
        <v>44</v>
      </c>
      <c r="D16" s="25" t="s">
        <v>44</v>
      </c>
      <c r="E16" s="25" t="s">
        <v>44</v>
      </c>
      <c r="F16" s="25" t="s">
        <v>44</v>
      </c>
      <c r="G16" s="25" t="s">
        <v>44</v>
      </c>
      <c r="H16" s="25" t="s">
        <v>44</v>
      </c>
      <c r="I16" s="25" t="s">
        <v>44</v>
      </c>
      <c r="J16" s="25" t="s">
        <v>44</v>
      </c>
      <c r="K16" s="25" t="s">
        <v>44</v>
      </c>
      <c r="L16" s="28">
        <v>0</v>
      </c>
    </row>
    <row r="17" spans="1:12">
      <c r="A17" s="10" t="s">
        <v>258</v>
      </c>
      <c r="B17" s="10" t="s">
        <v>259</v>
      </c>
      <c r="C17" s="13">
        <f>_xll.BDH("RCOM IN Equity","IS_OTHER_OPER_INC","FY 2010","FY 2010","Currency=INR","Period=FY","BEST_FPERIOD_OVERRIDE=FY","FILING_STATUS=MR","EQY_CONSOLIDATED=Y","SCALING_FORMAT=MLN","FA_ADJUSTED=Adjusted","Sort=A","Dates=H","DateFormat=P","Fill=—","Direction=H","UseDPDF=Y")</f>
        <v>8113.3</v>
      </c>
      <c r="D17" s="13">
        <f>_xll.BDH("RCOM IN Equity","IS_OTHER_OPER_INC","FY 2011","FY 2011","Currency=INR","Period=FY","BEST_FPERIOD_OVERRIDE=FY","FILING_STATUS=MR","EQY_CONSOLIDATED=Y","SCALING_FORMAT=MLN","FA_ADJUSTED=Adjusted","Sort=A","Dates=H","DateFormat=P","Fill=—","Direction=H","UseDPDF=Y")</f>
        <v>3420</v>
      </c>
      <c r="E17" s="13">
        <f>_xll.BDH("RCOM IN Equity","IS_OTHER_OPER_INC","FY 2012","FY 2012","Currency=INR","Period=FY","BEST_FPERIOD_OVERRIDE=FY","FILING_STATUS=MR","EQY_CONSOLIDATED=Y","SCALING_FORMAT=MLN","FA_ADJUSTED=Adjusted","Sort=A","Dates=H","DateFormat=P","Fill=—","Direction=H","UseDPDF=Y")</f>
        <v>9610</v>
      </c>
      <c r="F17" s="13">
        <f>_xll.BDH("RCOM IN Equity","IS_OTHER_OPER_INC","FY 2013","FY 2013","Currency=INR","Period=FY","BEST_FPERIOD_OVERRIDE=FY","FILING_STATUS=MR","EQY_CONSOLIDATED=Y","SCALING_FORMAT=MLN","FA_ADJUSTED=Adjusted","Sort=A","Dates=H","DateFormat=P","Fill=—","Direction=H","UseDPDF=Y")</f>
        <v>12670</v>
      </c>
      <c r="G17" s="13">
        <f>_xll.BDH("RCOM IN Equity","IS_OTHER_OPER_INC","FY 2014","FY 2014","Currency=INR","Period=FY","BEST_FPERIOD_OVERRIDE=FY","FILING_STATUS=MR","EQY_CONSOLIDATED=Y","SCALING_FORMAT=MLN","FA_ADJUSTED=Adjusted","Sort=A","Dates=H","DateFormat=P","Fill=—","Direction=H","UseDPDF=Y")</f>
        <v>2980</v>
      </c>
      <c r="H17" s="13">
        <f>_xll.BDH("RCOM IN Equity","IS_OTHER_OPER_INC","FY 2015","FY 2015","Currency=INR","Period=FY","BEST_FPERIOD_OVERRIDE=FY","FILING_STATUS=MR","EQY_CONSOLIDATED=Y","SCALING_FORMAT=MLN","FA_ADJUSTED=Adjusted","Sort=A","Dates=H","DateFormat=P","Fill=—","Direction=H","UseDPDF=Y")</f>
        <v>3470</v>
      </c>
      <c r="I17" s="13">
        <f>_xll.BDH("RCOM IN Equity","IS_OTHER_OPER_INC","FY 2016","FY 2016","Currency=INR","Period=FY","BEST_FPERIOD_OVERRIDE=FY","FILING_STATUS=MR","EQY_CONSOLIDATED=Y","SCALING_FORMAT=MLN","FA_ADJUSTED=Adjusted","Sort=A","Dates=H","DateFormat=P","Fill=—","Direction=H","UseDPDF=Y")</f>
        <v>2110</v>
      </c>
      <c r="J17" s="13">
        <f>_xll.BDH("RCOM IN Equity","IS_OTHER_OPER_INC","FY 2017","FY 2017","Currency=INR","Period=FY","BEST_FPERIOD_OVERRIDE=FY","FILING_STATUS=MR","EQY_CONSOLIDATED=Y","SCALING_FORMAT=MLN","FA_ADJUSTED=Adjusted","Sort=A","Dates=H","DateFormat=P","Fill=—","Direction=H","UseDPDF=Y")</f>
        <v>1180</v>
      </c>
      <c r="K17" s="13">
        <f>_xll.BDH("RCOM IN Equity","IS_OTHER_OPER_INC","FY 2018","FY 2018","Currency=INR","Period=FY","BEST_FPERIOD_OVERRIDE=FY","FILING_STATUS=MR","EQY_CONSOLIDATED=Y","SCALING_FORMAT=MLN","FA_ADJUSTED=Adjusted","Sort=A","Dates=H","DateFormat=P","Fill=—","Direction=H","UseDPDF=Y")</f>
        <v>1580</v>
      </c>
      <c r="L17" s="16">
        <v>20</v>
      </c>
    </row>
    <row r="18" spans="1:12">
      <c r="A18" s="11" t="s">
        <v>249</v>
      </c>
      <c r="B18" s="11" t="s">
        <v>259</v>
      </c>
      <c r="C18" s="25">
        <v>3.922301</v>
      </c>
      <c r="D18" s="25">
        <v>1.5482819999999999</v>
      </c>
      <c r="E18" s="25">
        <v>5.1346439999999998</v>
      </c>
      <c r="F18" s="25">
        <v>6.566808</v>
      </c>
      <c r="G18" s="25">
        <v>1.423114</v>
      </c>
      <c r="H18" s="25">
        <v>1.6197539999999999</v>
      </c>
      <c r="I18" s="25">
        <v>0.97042700000000004</v>
      </c>
      <c r="J18" s="25">
        <v>1.800427</v>
      </c>
      <c r="K18" s="25">
        <v>3.4400170000000001</v>
      </c>
      <c r="L18" s="28">
        <v>0</v>
      </c>
    </row>
    <row r="19" spans="1:12">
      <c r="A19" s="10" t="s">
        <v>260</v>
      </c>
      <c r="B19" s="10" t="s">
        <v>261</v>
      </c>
      <c r="C19" s="13">
        <f>_xll.BDH("RCOM IN Equity","IS_OPERATING_EXPN","FY 2010","FY 2010","Currency=INR","Period=FY","BEST_FPERIOD_OVERRIDE=FY","FILING_STATUS=MR","EQY_CONSOLIDATED=Y","SCALING_FORMAT=MLN","FA_ADJUSTED=Adjusted","Sort=A","Dates=H","DateFormat=P","Fill=—","Direction=H","UseDPDF=Y")</f>
        <v>179473.9</v>
      </c>
      <c r="D19" s="13">
        <f>_xll.BDH("RCOM IN Equity","IS_OPERATING_EXPN","FY 2011","FY 2011","Currency=INR","Period=FY","BEST_FPERIOD_OVERRIDE=FY","FILING_STATUS=MR","EQY_CONSOLIDATED=Y","SCALING_FORMAT=MLN","FA_ADJUSTED=Adjusted","Sort=A","Dates=H","DateFormat=P","Fill=—","Direction=H","UseDPDF=Y")</f>
        <v>205589.2</v>
      </c>
      <c r="E19" s="13">
        <f>_xll.BDH("RCOM IN Equity","IS_OPERATING_EXPN","FY 2012","FY 2012","Currency=INR","Period=FY","BEST_FPERIOD_OVERRIDE=FY","FILING_STATUS=MR","EQY_CONSOLIDATED=Y","SCALING_FORMAT=MLN","FA_ADJUSTED=Adjusted","Sort=A","Dates=H","DateFormat=P","Fill=—","Direction=H","UseDPDF=Y")</f>
        <v>174900</v>
      </c>
      <c r="F19" s="13">
        <f>_xll.BDH("RCOM IN Equity","IS_OPERATING_EXPN","FY 2013","FY 2013","Currency=INR","Period=FY","BEST_FPERIOD_OVERRIDE=FY","FILING_STATUS=MR","EQY_CONSOLIDATED=Y","SCALING_FORMAT=MLN","FA_ADJUSTED=Adjusted","Sort=A","Dates=H","DateFormat=P","Fill=—","Direction=H","UseDPDF=Y")</f>
        <v>184350</v>
      </c>
      <c r="G19" s="13">
        <f>_xll.BDH("RCOM IN Equity","IS_OPERATING_EXPN","FY 2014","FY 2014","Currency=INR","Period=FY","BEST_FPERIOD_OVERRIDE=FY","FILING_STATUS=MR","EQY_CONSOLIDATED=Y","SCALING_FORMAT=MLN","FA_ADJUSTED=Adjusted","Sort=A","Dates=H","DateFormat=P","Fill=—","Direction=H","UseDPDF=Y")</f>
        <v>190470</v>
      </c>
      <c r="H19" s="13">
        <f>_xll.BDH("RCOM IN Equity","IS_OPERATING_EXPN","FY 2015","FY 2015","Currency=INR","Period=FY","BEST_FPERIOD_OVERRIDE=FY","FILING_STATUS=MR","EQY_CONSOLIDATED=Y","SCALING_FORMAT=MLN","FA_ADJUSTED=Adjusted","Sort=A","Dates=H","DateFormat=P","Fill=—","Direction=H","UseDPDF=Y")</f>
        <v>183770</v>
      </c>
      <c r="I19" s="13">
        <f>_xll.BDH("RCOM IN Equity","IS_OPERATING_EXPN","FY 2016","FY 2016","Currency=INR","Period=FY","BEST_FPERIOD_OVERRIDE=FY","FILING_STATUS=MR","EQY_CONSOLIDATED=Y","SCALING_FORMAT=MLN","FA_ADJUSTED=Adjusted","Sort=A","Dates=H","DateFormat=P","Fill=—","Direction=H","UseDPDF=Y")</f>
        <v>191620</v>
      </c>
      <c r="J19" s="13">
        <f>_xll.BDH("RCOM IN Equity","IS_OPERATING_EXPN","FY 2017","FY 2017","Currency=INR","Period=FY","BEST_FPERIOD_OVERRIDE=FY","FILING_STATUS=MR","EQY_CONSOLIDATED=Y","SCALING_FORMAT=MLN","FA_ADJUSTED=Adjusted","Sort=A","Dates=H","DateFormat=P","Fill=—","Direction=H","UseDPDF=Y")</f>
        <v>62320</v>
      </c>
      <c r="K19" s="13">
        <f>_xll.BDH("RCOM IN Equity","IS_OPERATING_EXPN","FY 2018","FY 2018","Currency=INR","Period=FY","BEST_FPERIOD_OVERRIDE=FY","FILING_STATUS=MR","EQY_CONSOLIDATED=Y","SCALING_FORMAT=MLN","FA_ADJUSTED=Adjusted","Sort=A","Dates=H","DateFormat=P","Fill=—","Direction=H","UseDPDF=Y")</f>
        <v>45080</v>
      </c>
      <c r="L19" s="16">
        <v>42850</v>
      </c>
    </row>
    <row r="20" spans="1:12">
      <c r="A20" s="11" t="s">
        <v>249</v>
      </c>
      <c r="B20" s="11" t="s">
        <v>261</v>
      </c>
      <c r="C20" s="25">
        <v>86.765030999999993</v>
      </c>
      <c r="D20" s="25">
        <v>93.073113000000006</v>
      </c>
      <c r="E20" s="25">
        <v>93.449455</v>
      </c>
      <c r="F20" s="25">
        <v>95.547838999999996</v>
      </c>
      <c r="G20" s="25">
        <v>90.959885</v>
      </c>
      <c r="H20" s="25">
        <v>85.781637000000003</v>
      </c>
      <c r="I20" s="25">
        <v>88.129513000000003</v>
      </c>
      <c r="J20" s="25">
        <v>95.086969999999994</v>
      </c>
      <c r="K20" s="25">
        <v>98.149358000000007</v>
      </c>
      <c r="L20" s="28">
        <v>107.07146426786601</v>
      </c>
    </row>
    <row r="21" spans="1:12">
      <c r="A21" s="10" t="s">
        <v>262</v>
      </c>
      <c r="B21" s="10" t="s">
        <v>263</v>
      </c>
      <c r="C21" s="13">
        <f>_xll.BDH("RCOM IN Equity","IS_SG&amp;A_EXPENSE","FY 2010","FY 2010","Currency=INR","Period=FY","BEST_FPERIOD_OVERRIDE=FY","FILING_STATUS=MR","EQY_CONSOLIDATED=Y","SCALING_FORMAT=MLN","FA_ADJUSTED=Adjusted","Sort=A","Dates=H","DateFormat=P","Fill=—","Direction=H","UseDPDF=Y")</f>
        <v>33330.699999999997</v>
      </c>
      <c r="D21" s="13">
        <f>_xll.BDH("RCOM IN Equity","IS_SG&amp;A_EXPENSE","FY 2011","FY 2011","Currency=INR","Period=FY","BEST_FPERIOD_OVERRIDE=FY","FILING_STATUS=MR","EQY_CONSOLIDATED=Y","SCALING_FORMAT=MLN","FA_ADJUSTED=Adjusted","Sort=A","Dates=H","DateFormat=P","Fill=—","Direction=H","UseDPDF=Y")</f>
        <v>31059.200000000001</v>
      </c>
      <c r="E21" s="13">
        <f>_xll.BDH("RCOM IN Equity","IS_SG&amp;A_EXPENSE","FY 2012","FY 2012","Currency=INR","Period=FY","BEST_FPERIOD_OVERRIDE=FY","FILING_STATUS=MR","EQY_CONSOLIDATED=Y","SCALING_FORMAT=MLN","FA_ADJUSTED=Adjusted","Sort=A","Dates=H","DateFormat=P","Fill=—","Direction=H","UseDPDF=Y")</f>
        <v>28960</v>
      </c>
      <c r="F21" s="13">
        <f>_xll.BDH("RCOM IN Equity","IS_SG&amp;A_EXPENSE","FY 2013","FY 2013","Currency=INR","Period=FY","BEST_FPERIOD_OVERRIDE=FY","FILING_STATUS=MR","EQY_CONSOLIDATED=Y","SCALING_FORMAT=MLN","FA_ADJUSTED=Adjusted","Sort=A","Dates=H","DateFormat=P","Fill=—","Direction=H","UseDPDF=Y")</f>
        <v>29240</v>
      </c>
      <c r="G21" s="13">
        <f>_xll.BDH("RCOM IN Equity","IS_SG&amp;A_EXPENSE","FY 2014","FY 2014","Currency=INR","Period=FY","BEST_FPERIOD_OVERRIDE=FY","FILING_STATUS=MR","EQY_CONSOLIDATED=Y","SCALING_FORMAT=MLN","FA_ADJUSTED=Adjusted","Sort=A","Dates=H","DateFormat=P","Fill=—","Direction=H","UseDPDF=Y")</f>
        <v>27110</v>
      </c>
      <c r="H21" s="13">
        <f>_xll.BDH("RCOM IN Equity","IS_SG&amp;A_EXPENSE","FY 2015","FY 2015","Currency=INR","Period=FY","BEST_FPERIOD_OVERRIDE=FY","FILING_STATUS=MR","EQY_CONSOLIDATED=Y","SCALING_FORMAT=MLN","FA_ADJUSTED=Adjusted","Sort=A","Dates=H","DateFormat=P","Fill=—","Direction=H","UseDPDF=Y")</f>
        <v>25870</v>
      </c>
      <c r="I21" s="13">
        <f>_xll.BDH("RCOM IN Equity","IS_SG&amp;A_EXPENSE","FY 2016","FY 2016","Currency=INR","Period=FY","BEST_FPERIOD_OVERRIDE=FY","FILING_STATUS=MR","EQY_CONSOLIDATED=Y","SCALING_FORMAT=MLN","FA_ADJUSTED=Adjusted","Sort=A","Dates=H","DateFormat=P","Fill=—","Direction=H","UseDPDF=Y")</f>
        <v>20810</v>
      </c>
      <c r="J21" s="13">
        <f>_xll.BDH("RCOM IN Equity","IS_SG&amp;A_EXPENSE","FY 2017","FY 2017","Currency=INR","Period=FY","BEST_FPERIOD_OVERRIDE=FY","FILING_STATUS=MR","EQY_CONSOLIDATED=Y","SCALING_FORMAT=MLN","FA_ADJUSTED=Adjusted","Sort=A","Dates=H","DateFormat=P","Fill=—","Direction=H","UseDPDF=Y")</f>
        <v>6340</v>
      </c>
      <c r="K21" s="13">
        <f>_xll.BDH("RCOM IN Equity","IS_SG&amp;A_EXPENSE","FY 2018","FY 2018","Currency=INR","Period=FY","BEST_FPERIOD_OVERRIDE=FY","FILING_STATUS=MR","EQY_CONSOLIDATED=Y","SCALING_FORMAT=MLN","FA_ADJUSTED=Adjusted","Sort=A","Dates=H","DateFormat=P","Fill=—","Direction=H","UseDPDF=Y")</f>
        <v>5310</v>
      </c>
      <c r="L21" s="16"/>
    </row>
    <row r="22" spans="1:12">
      <c r="A22" s="11" t="s">
        <v>249</v>
      </c>
      <c r="B22" s="11" t="s">
        <v>263</v>
      </c>
      <c r="C22" s="25">
        <v>16.1134249131619</v>
      </c>
      <c r="D22" s="25">
        <v>14.060935307166501</v>
      </c>
      <c r="E22" s="25">
        <v>15.473391750374001</v>
      </c>
      <c r="F22" s="25">
        <v>15.154970457136899</v>
      </c>
      <c r="G22" s="25">
        <v>12.9465138490926</v>
      </c>
      <c r="H22" s="25">
        <v>12.0758063763245</v>
      </c>
      <c r="I22" s="25">
        <v>9.5708963804442799</v>
      </c>
      <c r="J22" s="25">
        <v>9.6734818431492204</v>
      </c>
      <c r="K22" s="25">
        <v>11.561071195297201</v>
      </c>
      <c r="L22" s="28">
        <v>0</v>
      </c>
    </row>
    <row r="23" spans="1:12">
      <c r="A23" s="11" t="s">
        <v>264</v>
      </c>
      <c r="B23" s="11" t="s">
        <v>265</v>
      </c>
      <c r="C23" s="25">
        <f>_xll.BDH("RCOM IN Equity","IS_SELLING_EXPENSES","FY 2010","FY 2010","Currency=INR","Period=FY","BEST_FPERIOD_OVERRIDE=FY","FILING_STATUS=MR","EQY_CONSOLIDATED=Y","SCALING_FORMAT=MLN","FA_ADJUSTED=Adjusted","Sort=A","Dates=H","DateFormat=P","Fill=—","Direction=H","UseDPDF=Y")</f>
        <v>22498.9</v>
      </c>
      <c r="D23" s="25">
        <f>_xll.BDH("RCOM IN Equity","IS_SELLING_EXPENSES","FY 2011","FY 2011","Currency=INR","Period=FY","BEST_FPERIOD_OVERRIDE=FY","FILING_STATUS=MR","EQY_CONSOLIDATED=Y","SCALING_FORMAT=MLN","FA_ADJUSTED=Adjusted","Sort=A","Dates=H","DateFormat=P","Fill=—","Direction=H","UseDPDF=Y")</f>
        <v>21040</v>
      </c>
      <c r="E23" s="25">
        <f>_xll.BDH("RCOM IN Equity","IS_SELLING_EXPENSES","FY 2012","FY 2012","Currency=INR","Period=FY","BEST_FPERIOD_OVERRIDE=FY","FILING_STATUS=MR","EQY_CONSOLIDATED=Y","SCALING_FORMAT=MLN","FA_ADJUSTED=Adjusted","Sort=A","Dates=H","DateFormat=P","Fill=—","Direction=H","UseDPDF=Y")</f>
        <v>19890</v>
      </c>
      <c r="F23" s="25">
        <f>_xll.BDH("RCOM IN Equity","IS_SELLING_EXPENSES","FY 2013","FY 2013","Currency=INR","Period=FY","BEST_FPERIOD_OVERRIDE=FY","FILING_STATUS=MR","EQY_CONSOLIDATED=Y","SCALING_FORMAT=MLN","FA_ADJUSTED=Adjusted","Sort=A","Dates=H","DateFormat=P","Fill=—","Direction=H","UseDPDF=Y")</f>
        <v>18540</v>
      </c>
      <c r="G23" s="25">
        <f>_xll.BDH("RCOM IN Equity","IS_SELLING_EXPENSES","FY 2014","FY 2014","Currency=INR","Period=FY","BEST_FPERIOD_OVERRIDE=FY","FILING_STATUS=MR","EQY_CONSOLIDATED=Y","SCALING_FORMAT=MLN","FA_ADJUSTED=Adjusted","Sort=A","Dates=H","DateFormat=P","Fill=—","Direction=H","UseDPDF=Y")</f>
        <v>15430</v>
      </c>
      <c r="H23" s="25">
        <f>_xll.BDH("RCOM IN Equity","IS_SELLING_EXPENSES","FY 2015","FY 2015","Currency=INR","Period=FY","BEST_FPERIOD_OVERRIDE=FY","FILING_STATUS=MR","EQY_CONSOLIDATED=Y","SCALING_FORMAT=MLN","FA_ADJUSTED=Adjusted","Sort=A","Dates=H","DateFormat=P","Fill=—","Direction=H","UseDPDF=Y")</f>
        <v>16750</v>
      </c>
      <c r="I23" s="25">
        <f>_xll.BDH("RCOM IN Equity","IS_SELLING_EXPENSES","FY 2016","FY 2016","Currency=INR","Period=FY","BEST_FPERIOD_OVERRIDE=FY","FILING_STATUS=MR","EQY_CONSOLIDATED=Y","SCALING_FORMAT=MLN","FA_ADJUSTED=Adjusted","Sort=A","Dates=H","DateFormat=P","Fill=—","Direction=H","UseDPDF=Y")</f>
        <v>17780</v>
      </c>
      <c r="J23" s="25">
        <f>_xll.BDH("RCOM IN Equity","IS_SELLING_EXPENSES","FY 2017","FY 2017","Currency=INR","Period=FY","BEST_FPERIOD_OVERRIDE=FY","FILING_STATUS=MR","EQY_CONSOLIDATED=Y","SCALING_FORMAT=MLN","FA_ADJUSTED=Adjusted","Sort=A","Dates=H","DateFormat=P","Fill=—","Direction=H","UseDPDF=Y")</f>
        <v>810</v>
      </c>
      <c r="K23" s="25">
        <f>_xll.BDH("RCOM IN Equity","IS_SELLING_EXPENSES","FY 2018","FY 2018","Currency=INR","Period=FY","BEST_FPERIOD_OVERRIDE=FY","FILING_STATUS=MR","EQY_CONSOLIDATED=Y","SCALING_FORMAT=MLN","FA_ADJUSTED=Adjusted","Sort=A","Dates=H","DateFormat=P","Fill=—","Direction=H","UseDPDF=Y")</f>
        <v>390</v>
      </c>
      <c r="L23" s="28"/>
    </row>
    <row r="24" spans="1:12">
      <c r="A24" s="11" t="s">
        <v>249</v>
      </c>
      <c r="B24" s="11" t="s">
        <v>265</v>
      </c>
      <c r="C24" s="25">
        <v>10.876889347620599</v>
      </c>
      <c r="D24" s="25">
        <v>9.5251029924396793</v>
      </c>
      <c r="E24" s="25">
        <v>10.6272707843556</v>
      </c>
      <c r="F24" s="25">
        <v>9.6092049341764305</v>
      </c>
      <c r="G24" s="25">
        <v>7.3686723973256898</v>
      </c>
      <c r="H24" s="25">
        <v>7.8186995285440899</v>
      </c>
      <c r="I24" s="25">
        <v>8.1773444326909797</v>
      </c>
      <c r="J24" s="25">
        <v>1.23588648153799</v>
      </c>
      <c r="K24" s="25">
        <v>0.84911822338341003</v>
      </c>
      <c r="L24" s="28">
        <v>0</v>
      </c>
    </row>
    <row r="25" spans="1:12">
      <c r="A25" s="11" t="s">
        <v>266</v>
      </c>
      <c r="B25" s="11" t="s">
        <v>267</v>
      </c>
      <c r="C25" s="25">
        <f>_xll.BDH("RCOM IN Equity","IS_GENERAL_AND_ADMINISTRATIVE","FY 2010","FY 2010","Currency=INR","Period=FY","BEST_FPERIOD_OVERRIDE=FY","FILING_STATUS=MR","EQY_CONSOLIDATED=Y","SCALING_FORMAT=MLN","FA_ADJUSTED=Adjusted","Sort=A","Dates=H","DateFormat=P","Fill=—","Direction=H","UseDPDF=Y")</f>
        <v>10831.8</v>
      </c>
      <c r="D25" s="25">
        <f>_xll.BDH("RCOM IN Equity","IS_GENERAL_AND_ADMINISTRATIVE","FY 2011","FY 2011","Currency=INR","Period=FY","BEST_FPERIOD_OVERRIDE=FY","FILING_STATUS=MR","EQY_CONSOLIDATED=Y","SCALING_FORMAT=MLN","FA_ADJUSTED=Adjusted","Sort=A","Dates=H","DateFormat=P","Fill=—","Direction=H","UseDPDF=Y")</f>
        <v>10019.200000000001</v>
      </c>
      <c r="E25" s="25">
        <f>_xll.BDH("RCOM IN Equity","IS_GENERAL_AND_ADMINISTRATIVE","FY 2012","FY 2012","Currency=INR","Period=FY","BEST_FPERIOD_OVERRIDE=FY","FILING_STATUS=MR","EQY_CONSOLIDATED=Y","SCALING_FORMAT=MLN","FA_ADJUSTED=Adjusted","Sort=A","Dates=H","DateFormat=P","Fill=—","Direction=H","UseDPDF=Y")</f>
        <v>9070</v>
      </c>
      <c r="F25" s="25">
        <f>_xll.BDH("RCOM IN Equity","IS_GENERAL_AND_ADMINISTRATIVE","FY 2013","FY 2013","Currency=INR","Period=FY","BEST_FPERIOD_OVERRIDE=FY","FILING_STATUS=MR","EQY_CONSOLIDATED=Y","SCALING_FORMAT=MLN","FA_ADJUSTED=Adjusted","Sort=A","Dates=H","DateFormat=P","Fill=—","Direction=H","UseDPDF=Y")</f>
        <v>10700</v>
      </c>
      <c r="G25" s="25">
        <f>_xll.BDH("RCOM IN Equity","IS_GENERAL_AND_ADMINISTRATIVE","FY 2014","FY 2014","Currency=INR","Period=FY","BEST_FPERIOD_OVERRIDE=FY","FILING_STATUS=MR","EQY_CONSOLIDATED=Y","SCALING_FORMAT=MLN","FA_ADJUSTED=Adjusted","Sort=A","Dates=H","DateFormat=P","Fill=—","Direction=H","UseDPDF=Y")</f>
        <v>11680</v>
      </c>
      <c r="H25" s="25">
        <f>_xll.BDH("RCOM IN Equity","IS_GENERAL_AND_ADMINISTRATIVE","FY 2015","FY 2015","Currency=INR","Period=FY","BEST_FPERIOD_OVERRIDE=FY","FILING_STATUS=MR","EQY_CONSOLIDATED=Y","SCALING_FORMAT=MLN","FA_ADJUSTED=Adjusted","Sort=A","Dates=H","DateFormat=P","Fill=—","Direction=H","UseDPDF=Y")</f>
        <v>9120</v>
      </c>
      <c r="I25" s="25">
        <f>_xll.BDH("RCOM IN Equity","IS_GENERAL_AND_ADMINISTRATIVE","FY 2016","FY 2016","Currency=INR","Period=FY","BEST_FPERIOD_OVERRIDE=FY","FILING_STATUS=MR","EQY_CONSOLIDATED=Y","SCALING_FORMAT=MLN","FA_ADJUSTED=Adjusted","Sort=A","Dates=H","DateFormat=P","Fill=—","Direction=H","UseDPDF=Y")</f>
        <v>3030</v>
      </c>
      <c r="J25" s="25">
        <f>_xll.BDH("RCOM IN Equity","IS_GENERAL_AND_ADMINISTRATIVE","FY 2017","FY 2017","Currency=INR","Period=FY","BEST_FPERIOD_OVERRIDE=FY","FILING_STATUS=MR","EQY_CONSOLIDATED=Y","SCALING_FORMAT=MLN","FA_ADJUSTED=Adjusted","Sort=A","Dates=H","DateFormat=P","Fill=—","Direction=H","UseDPDF=Y")</f>
        <v>5530</v>
      </c>
      <c r="K25" s="25">
        <f>_xll.BDH("RCOM IN Equity","IS_GENERAL_AND_ADMINISTRATIVE","FY 2018","FY 2018","Currency=INR","Period=FY","BEST_FPERIOD_OVERRIDE=FY","FILING_STATUS=MR","EQY_CONSOLIDATED=Y","SCALING_FORMAT=MLN","FA_ADJUSTED=Adjusted","Sort=A","Dates=H","DateFormat=P","Fill=—","Direction=H","UseDPDF=Y")</f>
        <v>4920</v>
      </c>
      <c r="L25" s="28"/>
    </row>
    <row r="26" spans="1:12">
      <c r="A26" s="11" t="s">
        <v>249</v>
      </c>
      <c r="B26" s="11" t="s">
        <v>267</v>
      </c>
      <c r="C26" s="25">
        <v>5.2365355655413</v>
      </c>
      <c r="D26" s="25">
        <v>4.5358323147267896</v>
      </c>
      <c r="E26" s="25">
        <v>4.8461209660183799</v>
      </c>
      <c r="F26" s="25">
        <v>5.5457655229605098</v>
      </c>
      <c r="G26" s="25">
        <v>5.5778414517669503</v>
      </c>
      <c r="H26" s="25">
        <v>4.2571068477804204</v>
      </c>
      <c r="I26" s="25">
        <v>1.3935519477533</v>
      </c>
      <c r="J26" s="25">
        <v>8.4375953616112298</v>
      </c>
      <c r="K26" s="25">
        <v>10.711952971913799</v>
      </c>
      <c r="L26" s="28">
        <v>0</v>
      </c>
    </row>
    <row r="27" spans="1:12">
      <c r="A27" s="10" t="s">
        <v>268</v>
      </c>
      <c r="B27" s="10" t="s">
        <v>269</v>
      </c>
      <c r="C27" s="13">
        <f>_xll.BDH("RCOM IN Equity","IS_OPEX_R&amp;D","FY 2010","FY 2010","Currency=INR","Period=FY","BEST_FPERIOD_OVERRIDE=FY","FILING_STATUS=MR","EQY_CONSOLIDATED=Y","SCALING_FORMAT=MLN","Sort=A","Dates=H","DateFormat=P","Fill=—","Direction=H","UseDPDF=Y")</f>
        <v>0</v>
      </c>
      <c r="D27" s="13">
        <f>_xll.BDH("RCOM IN Equity","IS_OPEX_R&amp;D","FY 2011","FY 2011","Currency=INR","Period=FY","BEST_FPERIOD_OVERRIDE=FY","FILING_STATUS=MR","EQY_CONSOLIDATED=Y","SCALING_FORMAT=MLN","Sort=A","Dates=H","DateFormat=P","Fill=—","Direction=H","UseDPDF=Y")</f>
        <v>0</v>
      </c>
      <c r="E27" s="13">
        <f>_xll.BDH("RCOM IN Equity","IS_OPEX_R&amp;D","FY 2012","FY 2012","Currency=INR","Period=FY","BEST_FPERIOD_OVERRIDE=FY","FILING_STATUS=MR","EQY_CONSOLIDATED=Y","SCALING_FORMAT=MLN","Sort=A","Dates=H","DateFormat=P","Fill=—","Direction=H","UseDPDF=Y")</f>
        <v>0</v>
      </c>
      <c r="F27" s="13">
        <f>_xll.BDH("RCOM IN Equity","IS_OPEX_R&amp;D","FY 2013","FY 2013","Currency=INR","Period=FY","BEST_FPERIOD_OVERRIDE=FY","FILING_STATUS=MR","EQY_CONSOLIDATED=Y","SCALING_FORMAT=MLN","Sort=A","Dates=H","DateFormat=P","Fill=—","Direction=H","UseDPDF=Y")</f>
        <v>0</v>
      </c>
      <c r="G27" s="13">
        <f>_xll.BDH("RCOM IN Equity","IS_OPEX_R&amp;D","FY 2014","FY 2014","Currency=INR","Period=FY","BEST_FPERIOD_OVERRIDE=FY","FILING_STATUS=MR","EQY_CONSOLIDATED=Y","SCALING_FORMAT=MLN","Sort=A","Dates=H","DateFormat=P","Fill=—","Direction=H","UseDPDF=Y")</f>
        <v>0</v>
      </c>
      <c r="H27" s="13">
        <f>_xll.BDH("RCOM IN Equity","IS_OPEX_R&amp;D","FY 2015","FY 2015","Currency=INR","Period=FY","BEST_FPERIOD_OVERRIDE=FY","FILING_STATUS=MR","EQY_CONSOLIDATED=Y","SCALING_FORMAT=MLN","Sort=A","Dates=H","DateFormat=P","Fill=—","Direction=H","UseDPDF=Y")</f>
        <v>0</v>
      </c>
      <c r="I27" s="13">
        <f>_xll.BDH("RCOM IN Equity","IS_OPEX_R&amp;D","FY 2016","FY 2016","Currency=INR","Period=FY","BEST_FPERIOD_OVERRIDE=FY","FILING_STATUS=MR","EQY_CONSOLIDATED=Y","SCALING_FORMAT=MLN","Sort=A","Dates=H","DateFormat=P","Fill=—","Direction=H","UseDPDF=Y")</f>
        <v>0</v>
      </c>
      <c r="J27" s="13">
        <f>_xll.BDH("RCOM IN Equity","IS_OPEX_R&amp;D","FY 2017","FY 2017","Currency=INR","Period=FY","BEST_FPERIOD_OVERRIDE=FY","FILING_STATUS=MR","EQY_CONSOLIDATED=Y","SCALING_FORMAT=MLN","Sort=A","Dates=H","DateFormat=P","Fill=—","Direction=H","UseDPDF=Y")</f>
        <v>0</v>
      </c>
      <c r="K27" s="13">
        <f>_xll.BDH("RCOM IN Equity","IS_OPEX_R&amp;D","FY 2018","FY 2018","Currency=INR","Period=FY","BEST_FPERIOD_OVERRIDE=FY","FILING_STATUS=MR","EQY_CONSOLIDATED=Y","SCALING_FORMAT=MLN","Sort=A","Dates=H","DateFormat=P","Fill=—","Direction=H","UseDPDF=Y")</f>
        <v>0</v>
      </c>
      <c r="L27" s="16"/>
    </row>
    <row r="28" spans="1:12">
      <c r="A28" s="11" t="s">
        <v>249</v>
      </c>
      <c r="B28" s="11" t="s">
        <v>269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8">
        <v>0</v>
      </c>
    </row>
    <row r="29" spans="1:12">
      <c r="A29" s="10" t="s">
        <v>270</v>
      </c>
      <c r="B29" s="10" t="s">
        <v>271</v>
      </c>
      <c r="C29" s="13">
        <f>_xll.BDH("RCOM IN Equity","IS_DEPRECIATION_AND_AMORTIZATION","FY 2010","FY 2010","Currency=INR","Period=FY","BEST_FPERIOD_OVERRIDE=FY","FILING_STATUS=MR","EQY_CONSOLIDATED=Y","SCALING_FORMAT=MLN","FA_ADJUSTED=Adjusted","Sort=A","Dates=H","DateFormat=P","Fill=—","Direction=H","UseDPDF=Y")</f>
        <v>34415.599999999999</v>
      </c>
      <c r="D29" s="13">
        <f>_xll.BDH("RCOM IN Equity","IS_DEPRECIATION_AND_AMORTIZATION","FY 2011","FY 2011","Currency=INR","Period=FY","BEST_FPERIOD_OVERRIDE=FY","FILING_STATUS=MR","EQY_CONSOLIDATED=Y","SCALING_FORMAT=MLN","FA_ADJUSTED=Adjusted","Sort=A","Dates=H","DateFormat=P","Fill=—","Direction=H","UseDPDF=Y")</f>
        <v>65040</v>
      </c>
      <c r="E29" s="13">
        <f>_xll.BDH("RCOM IN Equity","IS_DEPRECIATION_AND_AMORTIZATION","FY 2012","FY 2012","Currency=INR","Period=FY","BEST_FPERIOD_OVERRIDE=FY","FILING_STATUS=MR","EQY_CONSOLIDATED=Y","SCALING_FORMAT=MLN","FA_ADJUSTED=Adjusted","Sort=A","Dates=H","DateFormat=P","Fill=—","Direction=H","UseDPDF=Y")</f>
        <v>36080</v>
      </c>
      <c r="F29" s="13">
        <f>_xll.BDH("RCOM IN Equity","IS_DEPRECIATION_AND_AMORTIZATION","FY 2013","FY 2013","Currency=INR","Period=FY","BEST_FPERIOD_OVERRIDE=FY","FILING_STATUS=MR","EQY_CONSOLIDATED=Y","SCALING_FORMAT=MLN","FA_ADJUSTED=Adjusted","Sort=A","Dates=H","DateFormat=P","Fill=—","Direction=H","UseDPDF=Y")</f>
        <v>38450</v>
      </c>
      <c r="G29" s="13">
        <f>_xll.BDH("RCOM IN Equity","IS_DEPRECIATION_AND_AMORTIZATION","FY 2014","FY 2014","Currency=INR","Period=FY","BEST_FPERIOD_OVERRIDE=FY","FILING_STATUS=MR","EQY_CONSOLIDATED=Y","SCALING_FORMAT=MLN","FA_ADJUSTED=Adjusted","Sort=A","Dates=H","DateFormat=P","Fill=—","Direction=H","UseDPDF=Y")</f>
        <v>45350</v>
      </c>
      <c r="H29" s="13">
        <f>_xll.BDH("RCOM IN Equity","IS_DEPRECIATION_AND_AMORTIZATION","FY 2015","FY 2015","Currency=INR","Period=FY","BEST_FPERIOD_OVERRIDE=FY","FILING_STATUS=MR","EQY_CONSOLIDATED=Y","SCALING_FORMAT=MLN","FA_ADJUSTED=Adjusted","Sort=A","Dates=H","DateFormat=P","Fill=—","Direction=H","UseDPDF=Y")</f>
        <v>38170</v>
      </c>
      <c r="I29" s="13">
        <f>_xll.BDH("RCOM IN Equity","IS_DEPRECIATION_AND_AMORTIZATION","FY 2016","FY 2016","Currency=INR","Period=FY","BEST_FPERIOD_OVERRIDE=FY","FILING_STATUS=MR","EQY_CONSOLIDATED=Y","SCALING_FORMAT=MLN","FA_ADJUSTED=Adjusted","Sort=A","Dates=H","DateFormat=P","Fill=—","Direction=H","UseDPDF=Y")</f>
        <v>44840</v>
      </c>
      <c r="J29" s="13">
        <f>_xll.BDH("RCOM IN Equity","IS_DEPRECIATION_AND_AMORTIZATION","FY 2017","FY 2017","Currency=INR","Period=FY","BEST_FPERIOD_OVERRIDE=FY","FILING_STATUS=MR","EQY_CONSOLIDATED=Y","SCALING_FORMAT=MLN","FA_ADJUSTED=Adjusted","Sort=A","Dates=H","DateFormat=P","Fill=—","Direction=H","UseDPDF=Y")</f>
        <v>8210</v>
      </c>
      <c r="K29" s="13">
        <f>_xll.BDH("RCOM IN Equity","IS_DEPRECIATION_AND_AMORTIZATION","FY 2018","FY 2018","Currency=INR","Period=FY","BEST_FPERIOD_OVERRIDE=FY","FILING_STATUS=MR","EQY_CONSOLIDATED=Y","SCALING_FORMAT=MLN","FA_ADJUSTED=Adjusted","Sort=A","Dates=H","DateFormat=P","Fill=—","Direction=H","UseDPDF=Y")</f>
        <v>7210</v>
      </c>
      <c r="L29" s="16">
        <v>7970</v>
      </c>
    </row>
    <row r="30" spans="1:12">
      <c r="A30" s="11" t="s">
        <v>249</v>
      </c>
      <c r="B30" s="11" t="s">
        <v>271</v>
      </c>
      <c r="C30" s="25">
        <v>16.637909988131501</v>
      </c>
      <c r="D30" s="25">
        <v>29.444519896781198</v>
      </c>
      <c r="E30" s="25">
        <v>19.2776234238085</v>
      </c>
      <c r="F30" s="25">
        <v>19.928475173629099</v>
      </c>
      <c r="G30" s="25">
        <v>21.657115568290401</v>
      </c>
      <c r="H30" s="25">
        <v>17.817299164449398</v>
      </c>
      <c r="I30" s="25">
        <v>20.622729154210599</v>
      </c>
      <c r="J30" s="25">
        <v>12.526701251144299</v>
      </c>
      <c r="K30" s="25">
        <v>15.6978010015241</v>
      </c>
      <c r="L30" s="28">
        <v>0</v>
      </c>
    </row>
    <row r="31" spans="1:12">
      <c r="A31" s="10" t="s">
        <v>272</v>
      </c>
      <c r="B31" s="10" t="s">
        <v>273</v>
      </c>
      <c r="C31" s="13">
        <f>_xll.BDH("RCOM IN Equity","IS_PROVISION_DOUBTFUL_ACCOUNTS","FY 2010","FY 2010","Currency=INR","Period=FY","BEST_FPERIOD_OVERRIDE=FY","FILING_STATUS=MR","EQY_CONSOLIDATED=Y","SCALING_FORMAT=MLN","FA_ADJUSTED=Adjusted","Sort=A","Dates=H","DateFormat=P","Fill=—","Direction=H","UseDPDF=Y")</f>
        <v>1982.8</v>
      </c>
      <c r="D31" s="13">
        <f>_xll.BDH("RCOM IN Equity","IS_PROVISION_DOUBTFUL_ACCOUNTS","FY 2011","FY 2011","Currency=INR","Period=FY","BEST_FPERIOD_OVERRIDE=FY","FILING_STATUS=MR","EQY_CONSOLIDATED=Y","SCALING_FORMAT=MLN","FA_ADJUSTED=Adjusted","Sort=A","Dates=H","DateFormat=P","Fill=—","Direction=H","UseDPDF=Y")</f>
        <v>1690</v>
      </c>
      <c r="E31" s="13">
        <f>_xll.BDH("RCOM IN Equity","IS_PROVISION_DOUBTFUL_ACCOUNTS","FY 2012","FY 2012","Currency=INR","Period=FY","BEST_FPERIOD_OVERRIDE=FY","FILING_STATUS=MR","EQY_CONSOLIDATED=Y","SCALING_FORMAT=MLN","FA_ADJUSTED=Adjusted","Sort=A","Dates=H","DateFormat=P","Fill=—","Direction=H","UseDPDF=Y")</f>
        <v>610</v>
      </c>
      <c r="F31" s="13">
        <f>_xll.BDH("RCOM IN Equity","IS_PROVISION_DOUBTFUL_ACCOUNTS","FY 2013","FY 2013","Currency=INR","Period=FY","BEST_FPERIOD_OVERRIDE=FY","FILING_STATUS=MR","EQY_CONSOLIDATED=Y","SCALING_FORMAT=MLN","FA_ADJUSTED=Adjusted","Sort=A","Dates=H","DateFormat=P","Fill=—","Direction=H","UseDPDF=Y")</f>
        <v>1080</v>
      </c>
      <c r="G31" s="13">
        <f>_xll.BDH("RCOM IN Equity","IS_PROVISION_DOUBTFUL_ACCOUNTS","FY 2014","FY 2014","Currency=INR","Period=FY","BEST_FPERIOD_OVERRIDE=FY","FILING_STATUS=MR","EQY_CONSOLIDATED=Y","SCALING_FORMAT=MLN","FA_ADJUSTED=Adjusted","Sort=A","Dates=H","DateFormat=P","Fill=—","Direction=H","UseDPDF=Y")</f>
        <v>2890</v>
      </c>
      <c r="H31" s="13">
        <f>_xll.BDH("RCOM IN Equity","IS_PROVISION_DOUBTFUL_ACCOUNTS","FY 2015","FY 2015","Currency=INR","Period=FY","BEST_FPERIOD_OVERRIDE=FY","FILING_STATUS=MR","EQY_CONSOLIDATED=Y","SCALING_FORMAT=MLN","FA_ADJUSTED=Adjusted","Sort=A","Dates=H","DateFormat=P","Fill=—","Direction=H","UseDPDF=Y")</f>
        <v>1160</v>
      </c>
      <c r="I31" s="13">
        <f>_xll.BDH("RCOM IN Equity","IS_PROVISION_DOUBTFUL_ACCOUNTS","FY 2016","FY 2016","Currency=INR","Period=FY","BEST_FPERIOD_OVERRIDE=FY","FILING_STATUS=MR","EQY_CONSOLIDATED=Y","SCALING_FORMAT=MLN","FA_ADJUSTED=Adjusted","Sort=A","Dates=H","DateFormat=P","Fill=—","Direction=H","UseDPDF=Y")</f>
        <v>1360</v>
      </c>
      <c r="J31" s="13">
        <f>_xll.BDH("RCOM IN Equity","IS_PROVISION_DOUBTFUL_ACCOUNTS","FY 2017","FY 2017","Currency=INR","Period=FY","BEST_FPERIOD_OVERRIDE=FY","FILING_STATUS=MR","EQY_CONSOLIDATED=Y","SCALING_FORMAT=MLN","FA_ADJUSTED=Adjusted","Sort=A","Dates=H","DateFormat=P","Fill=—","Direction=H","UseDPDF=Y")</f>
        <v>880</v>
      </c>
      <c r="K31" s="13">
        <f>_xll.BDH("RCOM IN Equity","IS_PROVISION_DOUBTFUL_ACCOUNTS","FY 2018","FY 2018","Currency=INR","Period=FY","BEST_FPERIOD_OVERRIDE=FY","FILING_STATUS=MR","EQY_CONSOLIDATED=Y","SCALING_FORMAT=MLN","FA_ADJUSTED=Adjusted","Sort=A","Dates=H","DateFormat=P","Fill=—","Direction=H","UseDPDF=Y")</f>
        <v>450</v>
      </c>
      <c r="L31" s="16"/>
    </row>
    <row r="32" spans="1:12">
      <c r="A32" s="11" t="s">
        <v>249</v>
      </c>
      <c r="B32" s="11" t="s">
        <v>273</v>
      </c>
      <c r="C32" s="25">
        <v>0.95856669430337405</v>
      </c>
      <c r="D32" s="25">
        <v>0.76508669473493596</v>
      </c>
      <c r="E32" s="25">
        <v>0.32592434280829202</v>
      </c>
      <c r="F32" s="25">
        <v>0.55975951072872399</v>
      </c>
      <c r="G32" s="25">
        <v>1.3801337153772699</v>
      </c>
      <c r="H32" s="25">
        <v>0.54147411660364997</v>
      </c>
      <c r="I32" s="25">
        <v>0.625488663017983</v>
      </c>
      <c r="J32" s="25">
        <v>1.3426914861153501</v>
      </c>
      <c r="K32" s="25">
        <v>0.979751796211626</v>
      </c>
      <c r="L32" s="28">
        <v>0</v>
      </c>
    </row>
    <row r="33" spans="1:12">
      <c r="A33" s="10" t="s">
        <v>274</v>
      </c>
      <c r="B33" s="10" t="s">
        <v>275</v>
      </c>
      <c r="C33" s="13">
        <f>_xll.BDH("RCOM IN Equity","IS_OTHER_OPERATING_EXPENSES","FY 2010","FY 2010","Currency=INR","Period=FY","BEST_FPERIOD_OVERRIDE=FY","FILING_STATUS=MR","EQY_CONSOLIDATED=Y","SCALING_FORMAT=MLN","FA_ADJUSTED=Adjusted","Sort=A","Dates=H","DateFormat=P","Fill=—","Direction=H","UseDPDF=Y")</f>
        <v>109744.8</v>
      </c>
      <c r="D33" s="13">
        <f>_xll.BDH("RCOM IN Equity","IS_OTHER_OPERATING_EXPENSES","FY 2011","FY 2011","Currency=INR","Period=FY","BEST_FPERIOD_OVERRIDE=FY","FILING_STATUS=MR","EQY_CONSOLIDATED=Y","SCALING_FORMAT=MLN","FA_ADJUSTED=Adjusted","Sort=A","Dates=H","DateFormat=P","Fill=—","Direction=H","UseDPDF=Y")</f>
        <v>107800</v>
      </c>
      <c r="E33" s="13">
        <f>_xll.BDH("RCOM IN Equity","IS_OTHER_OPERATING_EXPENSES","FY 2012","FY 2012","Currency=INR","Period=FY","BEST_FPERIOD_OVERRIDE=FY","FILING_STATUS=MR","EQY_CONSOLIDATED=Y","SCALING_FORMAT=MLN","FA_ADJUSTED=Adjusted","Sort=A","Dates=H","DateFormat=P","Fill=—","Direction=H","UseDPDF=Y")</f>
        <v>109250</v>
      </c>
      <c r="F33" s="13">
        <f>_xll.BDH("RCOM IN Equity","IS_OTHER_OPERATING_EXPENSES","FY 2013","FY 2013","Currency=INR","Period=FY","BEST_FPERIOD_OVERRIDE=FY","FILING_STATUS=MR","EQY_CONSOLIDATED=Y","SCALING_FORMAT=MLN","FA_ADJUSTED=Adjusted","Sort=A","Dates=H","DateFormat=P","Fill=—","Direction=H","UseDPDF=Y")</f>
        <v>115580</v>
      </c>
      <c r="G33" s="13">
        <f>_xll.BDH("RCOM IN Equity","IS_OTHER_OPERATING_EXPENSES","FY 2014","FY 2014","Currency=INR","Period=FY","BEST_FPERIOD_OVERRIDE=FY","FILING_STATUS=MR","EQY_CONSOLIDATED=Y","SCALING_FORMAT=MLN","FA_ADJUSTED=Adjusted","Sort=A","Dates=H","DateFormat=P","Fill=—","Direction=H","UseDPDF=Y")</f>
        <v>115120</v>
      </c>
      <c r="H33" s="13">
        <f>_xll.BDH("RCOM IN Equity","IS_OTHER_OPERATING_EXPENSES","FY 2015","FY 2015","Currency=INR","Period=FY","BEST_FPERIOD_OVERRIDE=FY","FILING_STATUS=MR","EQY_CONSOLIDATED=Y","SCALING_FORMAT=MLN","FA_ADJUSTED=Adjusted","Sort=A","Dates=H","DateFormat=P","Fill=—","Direction=H","UseDPDF=Y")</f>
        <v>118570</v>
      </c>
      <c r="I33" s="13">
        <f>_xll.BDH("RCOM IN Equity","IS_OTHER_OPERATING_EXPENSES","FY 2016","FY 2016","Currency=INR","Period=FY","BEST_FPERIOD_OVERRIDE=FY","FILING_STATUS=MR","EQY_CONSOLIDATED=Y","SCALING_FORMAT=MLN","FA_ADJUSTED=Adjusted","Sort=A","Dates=H","DateFormat=P","Fill=—","Direction=H","UseDPDF=Y")</f>
        <v>124610</v>
      </c>
      <c r="J33" s="13">
        <f>_xll.BDH("RCOM IN Equity","IS_OTHER_OPERATING_EXPENSES","FY 2017","FY 2017","Currency=INR","Period=FY","BEST_FPERIOD_OVERRIDE=FY","FILING_STATUS=MR","EQY_CONSOLIDATED=Y","SCALING_FORMAT=MLN","FA_ADJUSTED=Adjusted","Sort=A","Dates=H","DateFormat=P","Fill=—","Direction=H","UseDPDF=Y")</f>
        <v>46890</v>
      </c>
      <c r="K33" s="13">
        <f>_xll.BDH("RCOM IN Equity","IS_OTHER_OPERATING_EXPENSES","FY 2018","FY 2018","Currency=INR","Period=FY","BEST_FPERIOD_OVERRIDE=FY","FILING_STATUS=MR","EQY_CONSOLIDATED=Y","SCALING_FORMAT=MLN","FA_ADJUSTED=Adjusted","Sort=A","Dates=H","DateFormat=P","Fill=—","Direction=H","UseDPDF=Y")</f>
        <v>32110</v>
      </c>
      <c r="L33" s="16">
        <v>30070</v>
      </c>
    </row>
    <row r="34" spans="1:12">
      <c r="A34" s="11" t="s">
        <v>249</v>
      </c>
      <c r="B34" s="11" t="s">
        <v>275</v>
      </c>
      <c r="C34" s="25">
        <v>53.055129187505003</v>
      </c>
      <c r="D34" s="25">
        <v>48.802571415636699</v>
      </c>
      <c r="E34" s="25">
        <v>58.372515494763803</v>
      </c>
      <c r="F34" s="25">
        <v>59.904633564838797</v>
      </c>
      <c r="G34" s="25">
        <v>54.976122254059199</v>
      </c>
      <c r="H34" s="25">
        <v>55.347056901461002</v>
      </c>
      <c r="I34" s="25">
        <v>57.310398749022703</v>
      </c>
      <c r="J34" s="25">
        <v>71.544095209032605</v>
      </c>
      <c r="K34" s="25">
        <v>69.910733725234095</v>
      </c>
      <c r="L34" s="28">
        <v>0</v>
      </c>
    </row>
    <row r="35" spans="1:12">
      <c r="A35" s="6" t="s">
        <v>276</v>
      </c>
      <c r="B35" s="6" t="s">
        <v>64</v>
      </c>
      <c r="C35" s="19">
        <f>_xll.BDH("RCOM IN Equity","IS_OPER_INC","FY 2010","FY 2010","Currency=INR","Period=FY","BEST_FPERIOD_OVERRIDE=FY","FILING_STATUS=MR","EQY_CONSOLIDATED=Y","SCALING_FORMAT=MLN","FA_ADJUSTED=Adjusted","Sort=A","Dates=H","DateFormat=P","Fill=—","Direction=H","UseDPDF=Y")</f>
        <v>35489.9</v>
      </c>
      <c r="D35" s="19">
        <f>_xll.BDH("RCOM IN Equity","IS_OPER_INC","FY 2011","FY 2011","Currency=INR","Period=FY","BEST_FPERIOD_OVERRIDE=FY","FILING_STATUS=MR","EQY_CONSOLIDATED=Y","SCALING_FORMAT=MLN","FA_ADJUSTED=Adjusted","Sort=A","Dates=H","DateFormat=P","Fill=—","Direction=H","UseDPDF=Y")</f>
        <v>18720.8</v>
      </c>
      <c r="E35" s="19">
        <f>_xll.BDH("RCOM IN Equity","IS_OPER_INC","FY 2012","FY 2012","Currency=INR","Period=FY","BEST_FPERIOD_OVERRIDE=FY","FILING_STATUS=MR","EQY_CONSOLIDATED=Y","SCALING_FORMAT=MLN","FA_ADJUSTED=Adjusted","Sort=A","Dates=H","DateFormat=P","Fill=—","Direction=H","UseDPDF=Y")</f>
        <v>21870</v>
      </c>
      <c r="F35" s="19">
        <f>_xll.BDH("RCOM IN Equity","IS_OPER_INC","FY 2013","FY 2013","Currency=INR","Period=FY","BEST_FPERIOD_OVERRIDE=FY","FILING_STATUS=MR","EQY_CONSOLIDATED=Y","SCALING_FORMAT=MLN","FA_ADJUSTED=Adjusted","Sort=A","Dates=H","DateFormat=P","Fill=—","Direction=H","UseDPDF=Y")</f>
        <v>21260</v>
      </c>
      <c r="G35" s="19">
        <f>_xll.BDH("RCOM IN Equity","IS_OPER_INC","FY 2014","FY 2014","Currency=INR","Period=FY","BEST_FPERIOD_OVERRIDE=FY","FILING_STATUS=MR","EQY_CONSOLIDATED=Y","SCALING_FORMAT=MLN","FA_ADJUSTED=Adjusted","Sort=A","Dates=H","DateFormat=P","Fill=—","Direction=H","UseDPDF=Y")</f>
        <v>21910</v>
      </c>
      <c r="H35" s="19">
        <f>_xll.BDH("RCOM IN Equity","IS_OPER_INC","FY 2015","FY 2015","Currency=INR","Period=FY","BEST_FPERIOD_OVERRIDE=FY","FILING_STATUS=MR","EQY_CONSOLIDATED=Y","SCALING_FORMAT=MLN","FA_ADJUSTED=Adjusted","Sort=A","Dates=H","DateFormat=P","Fill=—","Direction=H","UseDPDF=Y")</f>
        <v>33930</v>
      </c>
      <c r="I35" s="19">
        <f>_xll.BDH("RCOM IN Equity","IS_OPER_INC","FY 2016","FY 2016","Currency=INR","Period=FY","BEST_FPERIOD_OVERRIDE=FY","FILING_STATUS=MR","EQY_CONSOLIDATED=Y","SCALING_FORMAT=MLN","FA_ADJUSTED=Adjusted","Sort=A","Dates=H","DateFormat=P","Fill=—","Direction=H","UseDPDF=Y")</f>
        <v>27920</v>
      </c>
      <c r="J35" s="19">
        <f>_xll.BDH("RCOM IN Equity","IS_OPER_INC","FY 2017","FY 2017","Currency=INR","Period=FY","BEST_FPERIOD_OVERRIDE=FY","FILING_STATUS=MR","EQY_CONSOLIDATED=Y","SCALING_FORMAT=MLN","FA_ADJUSTED=Adjusted","Sort=A","Dates=H","DateFormat=P","Fill=—","Direction=H","UseDPDF=Y")</f>
        <v>4400</v>
      </c>
      <c r="K35" s="19">
        <f>_xll.BDH("RCOM IN Equity","IS_OPER_INC","FY 2018","FY 2018","Currency=INR","Period=FY","BEST_FPERIOD_OVERRIDE=FY","FILING_STATUS=MR","EQY_CONSOLIDATED=Y","SCALING_FORMAT=MLN","FA_ADJUSTED=Adjusted","Sort=A","Dates=H","DateFormat=P","Fill=—","Direction=H","UseDPDF=Y")</f>
        <v>2430</v>
      </c>
      <c r="L35" s="22">
        <v>-2810</v>
      </c>
    </row>
    <row r="36" spans="1:12">
      <c r="A36" s="11" t="s">
        <v>249</v>
      </c>
      <c r="B36" s="11" t="s">
        <v>64</v>
      </c>
      <c r="C36" s="25">
        <v>17.157271000000001</v>
      </c>
      <c r="D36" s="25">
        <v>8.4751689999999993</v>
      </c>
      <c r="E36" s="25">
        <v>11.685188999999999</v>
      </c>
      <c r="F36" s="25">
        <v>11.018969999999999</v>
      </c>
      <c r="G36" s="25">
        <v>10.463228000000001</v>
      </c>
      <c r="H36" s="25">
        <v>15.838118</v>
      </c>
      <c r="I36" s="25">
        <v>12.840914</v>
      </c>
      <c r="J36" s="25">
        <v>6.713457</v>
      </c>
      <c r="K36" s="25">
        <v>5.2906599999999999</v>
      </c>
      <c r="L36" s="28">
        <v>-6.4485981308411198</v>
      </c>
    </row>
    <row r="37" spans="1:12">
      <c r="A37" s="10" t="s">
        <v>277</v>
      </c>
      <c r="B37" s="10" t="s">
        <v>278</v>
      </c>
      <c r="C37" s="13">
        <f>_xll.BDH("RCOM IN Equity","IS_NONOP_INCOME_LOSS","FY 2010","FY 2010","Currency=INR","Period=FY","BEST_FPERIOD_OVERRIDE=FY","FILING_STATUS=MR","EQY_CONSOLIDATED=Y","SCALING_FORMAT=MLN","FA_ADJUSTED=Adjusted","Sort=A","Dates=H","DateFormat=P","Fill=—","Direction=H","UseDPDF=Y")</f>
        <v>-17708.099999999999</v>
      </c>
      <c r="D37" s="13">
        <f>_xll.BDH("RCOM IN Equity","IS_NONOP_INCOME_LOSS","FY 2011","FY 2011","Currency=INR","Period=FY","BEST_FPERIOD_OVERRIDE=FY","FILING_STATUS=MR","EQY_CONSOLIDATED=Y","SCALING_FORMAT=MLN","FA_ADJUSTED=Adjusted","Sort=A","Dates=H","DateFormat=P","Fill=—","Direction=H","UseDPDF=Y")</f>
        <v>7430</v>
      </c>
      <c r="E37" s="13">
        <f>_xll.BDH("RCOM IN Equity","IS_NONOP_INCOME_LOSS","FY 2012","FY 2012","Currency=INR","Period=FY","BEST_FPERIOD_OVERRIDE=FY","FILING_STATUS=MR","EQY_CONSOLIDATED=Y","SCALING_FORMAT=MLN","FA_ADJUSTED=Adjusted","Sort=A","Dates=H","DateFormat=P","Fill=—","Direction=H","UseDPDF=Y")</f>
        <v>9650</v>
      </c>
      <c r="F37" s="13">
        <f>_xll.BDH("RCOM IN Equity","IS_NONOP_INCOME_LOSS","FY 2013","FY 2013","Currency=INR","Period=FY","BEST_FPERIOD_OVERRIDE=FY","FILING_STATUS=MR","EQY_CONSOLIDATED=Y","SCALING_FORMAT=MLN","FA_ADJUSTED=Adjusted","Sort=A","Dates=H","DateFormat=P","Fill=—","Direction=H","UseDPDF=Y")</f>
        <v>13160</v>
      </c>
      <c r="G37" s="13">
        <f>_xll.BDH("RCOM IN Equity","IS_NONOP_INCOME_LOSS","FY 2014","FY 2014","Currency=INR","Period=FY","BEST_FPERIOD_OVERRIDE=FY","FILING_STATUS=MR","EQY_CONSOLIDATED=Y","SCALING_FORMAT=MLN","FA_ADJUSTED=Adjusted","Sort=A","Dates=H","DateFormat=P","Fill=—","Direction=H","UseDPDF=Y")</f>
        <v>20640</v>
      </c>
      <c r="H37" s="13">
        <f>_xll.BDH("RCOM IN Equity","IS_NONOP_INCOME_LOSS","FY 2015","FY 2015","Currency=INR","Period=FY","BEST_FPERIOD_OVERRIDE=FY","FILING_STATUS=MR","EQY_CONSOLIDATED=Y","SCALING_FORMAT=MLN","FA_ADJUSTED=Adjusted","Sort=A","Dates=H","DateFormat=P","Fill=—","Direction=H","UseDPDF=Y")</f>
        <v>24790</v>
      </c>
      <c r="I37" s="13">
        <f>_xll.BDH("RCOM IN Equity","IS_NONOP_INCOME_LOSS","FY 2016","FY 2016","Currency=INR","Period=FY","BEST_FPERIOD_OVERRIDE=FY","FILING_STATUS=MR","EQY_CONSOLIDATED=Y","SCALING_FORMAT=MLN","FA_ADJUSTED=Adjusted","Sort=A","Dates=H","DateFormat=P","Fill=—","Direction=H","UseDPDF=Y")</f>
        <v>27750</v>
      </c>
      <c r="J37" s="13">
        <f>_xll.BDH("RCOM IN Equity","IS_NONOP_INCOME_LOSS","FY 2017","FY 2017","Currency=INR","Period=FY","BEST_FPERIOD_OVERRIDE=FY","FILING_STATUS=MR","EQY_CONSOLIDATED=Y","SCALING_FORMAT=MLN","FA_ADJUSTED=Adjusted","Sort=A","Dates=H","DateFormat=P","Fill=—","Direction=H","UseDPDF=Y")</f>
        <v>2850</v>
      </c>
      <c r="K37" s="13">
        <f>_xll.BDH("RCOM IN Equity","IS_NONOP_INCOME_LOSS","FY 2018","FY 2018","Currency=INR","Period=FY","BEST_FPERIOD_OVERRIDE=FY","FILING_STATUS=MR","EQY_CONSOLIDATED=Y","SCALING_FORMAT=MLN","FA_ADJUSTED=Adjusted","Sort=A","Dates=H","DateFormat=P","Fill=—","Direction=H","UseDPDF=Y")</f>
        <v>2460</v>
      </c>
      <c r="L37" s="16">
        <v>-22880</v>
      </c>
    </row>
    <row r="38" spans="1:12">
      <c r="A38" s="11" t="s">
        <v>249</v>
      </c>
      <c r="B38" s="11" t="s">
        <v>278</v>
      </c>
      <c r="C38" s="25">
        <v>-8.5608204959620604</v>
      </c>
      <c r="D38" s="25">
        <v>3.3636651727103999</v>
      </c>
      <c r="E38" s="25">
        <v>5.1560162427869196</v>
      </c>
      <c r="F38" s="25">
        <v>6.8207732973981603</v>
      </c>
      <c r="G38" s="25">
        <v>9.8567335243553007</v>
      </c>
      <c r="H38" s="25">
        <v>11.5716753022453</v>
      </c>
      <c r="I38" s="25">
        <v>12.7627282343743</v>
      </c>
      <c r="J38" s="25">
        <v>4.3484894720781204</v>
      </c>
      <c r="K38" s="25">
        <v>5.3559764859568899</v>
      </c>
      <c r="L38" s="28">
        <v>0</v>
      </c>
    </row>
    <row r="39" spans="1:12">
      <c r="A39" s="10" t="s">
        <v>279</v>
      </c>
      <c r="B39" s="10" t="s">
        <v>280</v>
      </c>
      <c r="C39" s="13" t="str">
        <f>_xll.BDH("RCOM IN Equity","IS_NET_INTEREST_EXPENSE","FY 2010","FY 2010","Currency=INR","Period=FY","BEST_FPERIOD_OVERRIDE=FY","FILING_STATUS=MR","EQY_CONSOLIDATED=Y","SCALING_FORMAT=MLN","FA_ADJUSTED=Adjusted","Sort=A","Dates=H","DateFormat=P","Fill=—","Direction=H","UseDPDF=Y")</f>
        <v>—</v>
      </c>
      <c r="D39" s="13">
        <f>_xll.BDH("RCOM IN Equity","IS_NET_INTEREST_EXPENSE","FY 2011","FY 2011","Currency=INR","Period=FY","BEST_FPERIOD_OVERRIDE=FY","FILING_STATUS=MR","EQY_CONSOLIDATED=Y","SCALING_FORMAT=MLN","FA_ADJUSTED=Adjusted","Sort=A","Dates=H","DateFormat=P","Fill=—","Direction=H","UseDPDF=Y")</f>
        <v>8410</v>
      </c>
      <c r="E39" s="13">
        <f>_xll.BDH("RCOM IN Equity","IS_NET_INTEREST_EXPENSE","FY 2012","FY 2012","Currency=INR","Period=FY","BEST_FPERIOD_OVERRIDE=FY","FILING_STATUS=MR","EQY_CONSOLIDATED=Y","SCALING_FORMAT=MLN","FA_ADJUSTED=Adjusted","Sort=A","Dates=H","DateFormat=P","Fill=—","Direction=H","UseDPDF=Y")</f>
        <v>14370</v>
      </c>
      <c r="F39" s="13">
        <f>_xll.BDH("RCOM IN Equity","IS_NET_INTEREST_EXPENSE","FY 2013","FY 2013","Currency=INR","Period=FY","BEST_FPERIOD_OVERRIDE=FY","FILING_STATUS=MR","EQY_CONSOLIDATED=Y","SCALING_FORMAT=MLN","FA_ADJUSTED=Adjusted","Sort=A","Dates=H","DateFormat=P","Fill=—","Direction=H","UseDPDF=Y")</f>
        <v>21000</v>
      </c>
      <c r="G39" s="13">
        <f>_xll.BDH("RCOM IN Equity","IS_NET_INTEREST_EXPENSE","FY 2014","FY 2014","Currency=INR","Period=FY","BEST_FPERIOD_OVERRIDE=FY","FILING_STATUS=MR","EQY_CONSOLIDATED=Y","SCALING_FORMAT=MLN","FA_ADJUSTED=Adjusted","Sort=A","Dates=H","DateFormat=P","Fill=—","Direction=H","UseDPDF=Y")</f>
        <v>27430</v>
      </c>
      <c r="H39" s="13">
        <f>_xll.BDH("RCOM IN Equity","IS_NET_INTEREST_EXPENSE","FY 2015","FY 2015","Currency=INR","Period=FY","BEST_FPERIOD_OVERRIDE=FY","FILING_STATUS=MR","EQY_CONSOLIDATED=Y","SCALING_FORMAT=MLN","FA_ADJUSTED=Adjusted","Sort=A","Dates=H","DateFormat=P","Fill=—","Direction=H","UseDPDF=Y")</f>
        <v>24150</v>
      </c>
      <c r="I39" s="13">
        <f>_xll.BDH("RCOM IN Equity","IS_NET_INTEREST_EXPENSE","FY 2016","FY 2016","Currency=INR","Period=FY","BEST_FPERIOD_OVERRIDE=FY","FILING_STATUS=MR","EQY_CONSOLIDATED=Y","SCALING_FORMAT=MLN","FA_ADJUSTED=Adjusted","Sort=A","Dates=H","DateFormat=P","Fill=—","Direction=H","UseDPDF=Y")</f>
        <v>22100</v>
      </c>
      <c r="J39" s="13">
        <f>_xll.BDH("RCOM IN Equity","IS_NET_INTEREST_EXPENSE","FY 2017","FY 2017","Currency=INR","Period=FY","BEST_FPERIOD_OVERRIDE=FY","FILING_STATUS=MR","EQY_CONSOLIDATED=Y","SCALING_FORMAT=MLN","FA_ADJUSTED=Adjusted","Sort=A","Dates=H","DateFormat=P","Fill=—","Direction=H","UseDPDF=Y")</f>
        <v>2000</v>
      </c>
      <c r="K39" s="13">
        <f>_xll.BDH("RCOM IN Equity","IS_NET_INTEREST_EXPENSE","FY 2018","FY 2018","Currency=INR","Period=FY","BEST_FPERIOD_OVERRIDE=FY","FILING_STATUS=MR","EQY_CONSOLIDATED=Y","SCALING_FORMAT=MLN","FA_ADJUSTED=Adjusted","Sort=A","Dates=H","DateFormat=P","Fill=—","Direction=H","UseDPDF=Y")</f>
        <v>1560</v>
      </c>
      <c r="L39" s="16"/>
    </row>
    <row r="40" spans="1:12">
      <c r="A40" s="11" t="s">
        <v>249</v>
      </c>
      <c r="B40" s="11" t="s">
        <v>280</v>
      </c>
      <c r="C40" s="25" t="s">
        <v>44</v>
      </c>
      <c r="D40" s="25">
        <v>3.8073249128525499</v>
      </c>
      <c r="E40" s="25">
        <v>7.6779226330412502</v>
      </c>
      <c r="F40" s="25">
        <v>10.884212708614101</v>
      </c>
      <c r="G40" s="25">
        <v>13.0993314231137</v>
      </c>
      <c r="H40" s="25">
        <v>11.272930962050101</v>
      </c>
      <c r="I40" s="25">
        <v>10.164190774042201</v>
      </c>
      <c r="J40" s="25">
        <v>3.0515715593530701</v>
      </c>
      <c r="K40" s="25">
        <v>3.3964728935336401</v>
      </c>
      <c r="L40" s="28">
        <v>0</v>
      </c>
    </row>
    <row r="41" spans="1:12">
      <c r="A41" s="11" t="s">
        <v>281</v>
      </c>
      <c r="B41" s="11" t="s">
        <v>282</v>
      </c>
      <c r="C41" s="25">
        <f>_xll.BDH("RCOM IN Equity","IS_INT_EXPENSE","FY 2010","FY 2010","Currency=INR","Period=FY","BEST_FPERIOD_OVERRIDE=FY","FILING_STATUS=MR","EQY_CONSOLIDATED=Y","SCALING_FORMAT=MLN","FA_ADJUSTED=Adjusted","Sort=A","Dates=H","DateFormat=P","Fill=—","Direction=H","UseDPDF=Y")</f>
        <v>13422</v>
      </c>
      <c r="D41" s="25">
        <f>_xll.BDH("RCOM IN Equity","IS_INT_EXPENSE","FY 2011","FY 2011","Currency=INR","Period=FY","BEST_FPERIOD_OVERRIDE=FY","FILING_STATUS=MR","EQY_CONSOLIDATED=Y","SCALING_FORMAT=MLN","FA_ADJUSTED=Adjusted","Sort=A","Dates=H","DateFormat=P","Fill=—","Direction=H","UseDPDF=Y")</f>
        <v>9020</v>
      </c>
      <c r="E41" s="25">
        <f>_xll.BDH("RCOM IN Equity","IS_INT_EXPENSE","FY 2012","FY 2012","Currency=INR","Period=FY","BEST_FPERIOD_OVERRIDE=FY","FILING_STATUS=MR","EQY_CONSOLIDATED=Y","SCALING_FORMAT=MLN","FA_ADJUSTED=Adjusted","Sort=A","Dates=H","DateFormat=P","Fill=—","Direction=H","UseDPDF=Y")</f>
        <v>14770</v>
      </c>
      <c r="F41" s="25">
        <f>_xll.BDH("RCOM IN Equity","IS_INT_EXPENSE","FY 2013","FY 2013","Currency=INR","Period=FY","BEST_FPERIOD_OVERRIDE=FY","FILING_STATUS=MR","EQY_CONSOLIDATED=Y","SCALING_FORMAT=MLN","FA_ADJUSTED=Adjusted","Sort=A","Dates=H","DateFormat=P","Fill=—","Direction=H","UseDPDF=Y")</f>
        <v>22650</v>
      </c>
      <c r="G41" s="25">
        <f>_xll.BDH("RCOM IN Equity","IS_INT_EXPENSE","FY 2014","FY 2014","Currency=INR","Period=FY","BEST_FPERIOD_OVERRIDE=FY","FILING_STATUS=MR","EQY_CONSOLIDATED=Y","SCALING_FORMAT=MLN","FA_ADJUSTED=Adjusted","Sort=A","Dates=H","DateFormat=P","Fill=—","Direction=H","UseDPDF=Y")</f>
        <v>27900</v>
      </c>
      <c r="H41" s="25">
        <f>_xll.BDH("RCOM IN Equity","IS_INT_EXPENSE","FY 2015","FY 2015","Currency=INR","Period=FY","BEST_FPERIOD_OVERRIDE=FY","FILING_STATUS=MR","EQY_CONSOLIDATED=Y","SCALING_FORMAT=MLN","FA_ADJUSTED=Adjusted","Sort=A","Dates=H","DateFormat=P","Fill=—","Direction=H","UseDPDF=Y")</f>
        <v>24620</v>
      </c>
      <c r="I41" s="25">
        <f>_xll.BDH("RCOM IN Equity","IS_INT_EXPENSE","FY 2016","FY 2016","Currency=INR","Period=FY","BEST_FPERIOD_OVERRIDE=FY","FILING_STATUS=MR","EQY_CONSOLIDATED=Y","SCALING_FORMAT=MLN","FA_ADJUSTED=Adjusted","Sort=A","Dates=H","DateFormat=P","Fill=—","Direction=H","UseDPDF=Y")</f>
        <v>23160</v>
      </c>
      <c r="J41" s="25">
        <f>_xll.BDH("RCOM IN Equity","IS_INT_EXPENSE","FY 2017","FY 2017","Currency=INR","Period=FY","BEST_FPERIOD_OVERRIDE=FY","FILING_STATUS=MR","EQY_CONSOLIDATED=Y","SCALING_FORMAT=MLN","FA_ADJUSTED=Adjusted","Sort=A","Dates=H","DateFormat=P","Fill=—","Direction=H","UseDPDF=Y")</f>
        <v>2240</v>
      </c>
      <c r="K41" s="25">
        <f>_xll.BDH("RCOM IN Equity","IS_INT_EXPENSE","FY 2018","FY 2018","Currency=INR","Period=FY","BEST_FPERIOD_OVERRIDE=FY","FILING_STATUS=MR","EQY_CONSOLIDATED=Y","SCALING_FORMAT=MLN","FA_ADJUSTED=Adjusted","Sort=A","Dates=H","DateFormat=P","Fill=—","Direction=H","UseDPDF=Y")</f>
        <v>1680</v>
      </c>
      <c r="L41" s="28"/>
    </row>
    <row r="42" spans="1:12">
      <c r="A42" s="11" t="s">
        <v>249</v>
      </c>
      <c r="B42" s="11" t="s">
        <v>282</v>
      </c>
      <c r="C42" s="25">
        <v>6.4887439999999996</v>
      </c>
      <c r="D42" s="25">
        <v>4.0834799999999998</v>
      </c>
      <c r="E42" s="25">
        <v>7.8916440000000003</v>
      </c>
      <c r="F42" s="25">
        <v>11.739401000000001</v>
      </c>
      <c r="G42" s="25">
        <v>13.323782</v>
      </c>
      <c r="H42" s="25">
        <v>11.492321</v>
      </c>
      <c r="I42" s="25">
        <v>10.651704000000001</v>
      </c>
      <c r="J42" s="25">
        <v>3.4177599999999999</v>
      </c>
      <c r="K42" s="25">
        <v>3.65774</v>
      </c>
      <c r="L42" s="28">
        <v>4.8598130841121501</v>
      </c>
    </row>
    <row r="43" spans="1:12">
      <c r="A43" s="11" t="s">
        <v>283</v>
      </c>
      <c r="B43" s="11" t="s">
        <v>284</v>
      </c>
      <c r="C43" s="25" t="str">
        <f>_xll.BDH("RCOM IN Equity","IS_INT_INC","FY 2010","FY 2010","Currency=INR","Period=FY","BEST_FPERIOD_OVERRIDE=FY","FILING_STATUS=MR","EQY_CONSOLIDATED=Y","SCALING_FORMAT=MLN","FA_ADJUSTED=Adjusted","Sort=A","Dates=H","DateFormat=P","Fill=—","Direction=H","UseDPDF=Y")</f>
        <v>—</v>
      </c>
      <c r="D43" s="25">
        <f>_xll.BDH("RCOM IN Equity","IS_INT_INC","FY 2011","FY 2011","Currency=INR","Period=FY","BEST_FPERIOD_OVERRIDE=FY","FILING_STATUS=MR","EQY_CONSOLIDATED=Y","SCALING_FORMAT=MLN","FA_ADJUSTED=Adjusted","Sort=A","Dates=H","DateFormat=P","Fill=—","Direction=H","UseDPDF=Y")</f>
        <v>610</v>
      </c>
      <c r="E43" s="25">
        <f>_xll.BDH("RCOM IN Equity","IS_INT_INC","FY 2012","FY 2012","Currency=INR","Period=FY","BEST_FPERIOD_OVERRIDE=FY","FILING_STATUS=MR","EQY_CONSOLIDATED=Y","SCALING_FORMAT=MLN","FA_ADJUSTED=Adjusted","Sort=A","Dates=H","DateFormat=P","Fill=—","Direction=H","UseDPDF=Y")</f>
        <v>400</v>
      </c>
      <c r="F43" s="25">
        <f>_xll.BDH("RCOM IN Equity","IS_INT_INC","FY 2013","FY 2013","Currency=INR","Period=FY","BEST_FPERIOD_OVERRIDE=FY","FILING_STATUS=MR","EQY_CONSOLIDATED=Y","SCALING_FORMAT=MLN","FA_ADJUSTED=Adjusted","Sort=A","Dates=H","DateFormat=P","Fill=—","Direction=H","UseDPDF=Y")</f>
        <v>1650</v>
      </c>
      <c r="G43" s="25">
        <f>_xll.BDH("RCOM IN Equity","IS_INT_INC","FY 2014","FY 2014","Currency=INR","Period=FY","BEST_FPERIOD_OVERRIDE=FY","FILING_STATUS=MR","EQY_CONSOLIDATED=Y","SCALING_FORMAT=MLN","FA_ADJUSTED=Adjusted","Sort=A","Dates=H","DateFormat=P","Fill=—","Direction=H","UseDPDF=Y")</f>
        <v>470</v>
      </c>
      <c r="H43" s="25">
        <f>_xll.BDH("RCOM IN Equity","IS_INT_INC","FY 2015","FY 2015","Currency=INR","Period=FY","BEST_FPERIOD_OVERRIDE=FY","FILING_STATUS=MR","EQY_CONSOLIDATED=Y","SCALING_FORMAT=MLN","FA_ADJUSTED=Adjusted","Sort=A","Dates=H","DateFormat=P","Fill=—","Direction=H","UseDPDF=Y")</f>
        <v>470</v>
      </c>
      <c r="I43" s="25">
        <f>_xll.BDH("RCOM IN Equity","IS_INT_INC","FY 2016","FY 2016","Currency=INR","Period=FY","BEST_FPERIOD_OVERRIDE=FY","FILING_STATUS=MR","EQY_CONSOLIDATED=Y","SCALING_FORMAT=MLN","FA_ADJUSTED=Adjusted","Sort=A","Dates=H","DateFormat=P","Fill=—","Direction=H","UseDPDF=Y")</f>
        <v>1060</v>
      </c>
      <c r="J43" s="25">
        <f>_xll.BDH("RCOM IN Equity","IS_INT_INC","FY 2017","FY 2017","Currency=INR","Period=FY","BEST_FPERIOD_OVERRIDE=FY","FILING_STATUS=MR","EQY_CONSOLIDATED=Y","SCALING_FORMAT=MLN","FA_ADJUSTED=Adjusted","Sort=A","Dates=H","DateFormat=P","Fill=—","Direction=H","UseDPDF=Y")</f>
        <v>240</v>
      </c>
      <c r="K43" s="25">
        <f>_xll.BDH("RCOM IN Equity","IS_INT_INC","FY 2018","FY 2018","Currency=INR","Period=FY","BEST_FPERIOD_OVERRIDE=FY","FILING_STATUS=MR","EQY_CONSOLIDATED=Y","SCALING_FORMAT=MLN","FA_ADJUSTED=Adjusted","Sort=A","Dates=H","DateFormat=P","Fill=—","Direction=H","UseDPDF=Y")</f>
        <v>120</v>
      </c>
      <c r="L43" s="28"/>
    </row>
    <row r="44" spans="1:12">
      <c r="A44" s="11" t="s">
        <v>249</v>
      </c>
      <c r="B44" s="11" t="s">
        <v>284</v>
      </c>
      <c r="C44" s="25" t="s">
        <v>44</v>
      </c>
      <c r="D44" s="25">
        <v>0.27615555253746199</v>
      </c>
      <c r="E44" s="25">
        <v>0.213720880530028</v>
      </c>
      <c r="F44" s="25">
        <v>0.85518814139110599</v>
      </c>
      <c r="G44" s="25">
        <v>0.22445081184336199</v>
      </c>
      <c r="H44" s="25">
        <v>0.21939037483078899</v>
      </c>
      <c r="I44" s="25">
        <v>0.48751322264636898</v>
      </c>
      <c r="J44" s="25">
        <v>0.36618858712236801</v>
      </c>
      <c r="K44" s="25">
        <v>0.261267145656434</v>
      </c>
      <c r="L44" s="28"/>
    </row>
    <row r="45" spans="1:12">
      <c r="A45" s="10" t="s">
        <v>285</v>
      </c>
      <c r="B45" s="10" t="s">
        <v>286</v>
      </c>
      <c r="C45" s="13">
        <f>_xll.BDH("RCOM IN Equity","IS_OTHER_INVESTMENT_INCOME_LOSS","FY 2010","FY 2010","Currency=INR","Period=FY","BEST_FPERIOD_OVERRIDE=FY","FILING_STATUS=MR","EQY_CONSOLIDATED=Y","SCALING_FORMAT=MLN","FA_ADJUSTED=Adjusted","Sort=A","Dates=H","DateFormat=P","Fill=—","Direction=H","UseDPDF=Y")</f>
        <v>-0.6</v>
      </c>
      <c r="D45" s="13">
        <f>_xll.BDH("RCOM IN Equity","IS_OTHER_INVESTMENT_INCOME_LOSS","FY 2011","FY 2011","Currency=INR","Period=FY","BEST_FPERIOD_OVERRIDE=FY","FILING_STATUS=MR","EQY_CONSOLIDATED=Y","SCALING_FORMAT=MLN","FA_ADJUSTED=Adjusted","Sort=A","Dates=H","DateFormat=P","Fill=—","Direction=H","UseDPDF=Y")</f>
        <v>0</v>
      </c>
      <c r="E45" s="13" t="str">
        <f>_xll.BDH("RCOM IN Equity","IS_OTHER_INVESTMENT_INCOME_LOSS","FY 2012","FY 2012","Currency=INR","Period=FY","BEST_FPERIOD_OVERRIDE=FY","FILING_STATUS=MR","EQY_CONSOLIDATED=Y","SCALING_FORMAT=MLN","FA_ADJUSTED=Adjusted","Sort=A","Dates=H","DateFormat=P","Fill=—","Direction=H","UseDPDF=Y")</f>
        <v>—</v>
      </c>
      <c r="F45" s="13" t="str">
        <f>_xll.BDH("RCOM IN Equity","IS_OTHER_INVESTMENT_INCOME_LOSS","FY 2013","FY 2013","Currency=INR","Period=FY","BEST_FPERIOD_OVERRIDE=FY","FILING_STATUS=MR","EQY_CONSOLIDATED=Y","SCALING_FORMAT=MLN","FA_ADJUSTED=Adjusted","Sort=A","Dates=H","DateFormat=P","Fill=—","Direction=H","UseDPDF=Y")</f>
        <v>—</v>
      </c>
      <c r="G45" s="13" t="str">
        <f>_xll.BDH("RCOM IN Equity","IS_OTHER_INVESTMENT_INCOME_LOSS","FY 2014","FY 2014","Currency=INR","Period=FY","BEST_FPERIOD_OVERRIDE=FY","FILING_STATUS=MR","EQY_CONSOLIDATED=Y","SCALING_FORMAT=MLN","FA_ADJUSTED=Adjusted","Sort=A","Dates=H","DateFormat=P","Fill=—","Direction=H","UseDPDF=Y")</f>
        <v>—</v>
      </c>
      <c r="H45" s="13" t="str">
        <f>_xll.BDH("RCOM IN Equity","IS_OTHER_INVESTMENT_INCOME_LOSS","FY 2015","FY 2015","Currency=INR","Period=FY","BEST_FPERIOD_OVERRIDE=FY","FILING_STATUS=MR","EQY_CONSOLIDATED=Y","SCALING_FORMAT=MLN","FA_ADJUSTED=Adjusted","Sort=A","Dates=H","DateFormat=P","Fill=—","Direction=H","UseDPDF=Y")</f>
        <v>—</v>
      </c>
      <c r="I45" s="13" t="str">
        <f>_xll.BDH("RCOM IN Equity","IS_OTHER_INVESTMENT_INCOME_LOSS","FY 2016","FY 2016","Currency=INR","Period=FY","BEST_FPERIOD_OVERRIDE=FY","FILING_STATUS=MR","EQY_CONSOLIDATED=Y","SCALING_FORMAT=MLN","FA_ADJUSTED=Adjusted","Sort=A","Dates=H","DateFormat=P","Fill=—","Direction=H","UseDPDF=Y")</f>
        <v>—</v>
      </c>
      <c r="J45" s="13" t="str">
        <f>_xll.BDH("RCOM IN Equity","IS_OTHER_INVESTMENT_INCOME_LOSS","FY 2017","FY 2017","Currency=INR","Period=FY","BEST_FPERIOD_OVERRIDE=FY","FILING_STATUS=MR","EQY_CONSOLIDATED=Y","SCALING_FORMAT=MLN","FA_ADJUSTED=Adjusted","Sort=A","Dates=H","DateFormat=P","Fill=—","Direction=H","UseDPDF=Y")</f>
        <v>—</v>
      </c>
      <c r="K45" s="13" t="str">
        <f>_xll.BDH("RCOM IN Equity","IS_OTHER_INVESTMENT_INCOME_LOSS","FY 2018","FY 2018","Currency=INR","Period=FY","BEST_FPERIOD_OVERRIDE=FY","FILING_STATUS=MR","EQY_CONSOLIDATED=Y","SCALING_FORMAT=MLN","FA_ADJUSTED=Adjusted","Sort=A","Dates=H","DateFormat=P","Fill=—","Direction=H","UseDPDF=Y")</f>
        <v>—</v>
      </c>
      <c r="L45" s="16"/>
    </row>
    <row r="46" spans="1:12">
      <c r="A46" s="11" t="s">
        <v>249</v>
      </c>
      <c r="B46" s="11" t="s">
        <v>286</v>
      </c>
      <c r="C46" s="25">
        <v>-2.9006456353743398E-4</v>
      </c>
      <c r="D46" s="25">
        <v>0</v>
      </c>
      <c r="E46" s="25" t="s">
        <v>44</v>
      </c>
      <c r="F46" s="25" t="s">
        <v>44</v>
      </c>
      <c r="G46" s="25" t="s">
        <v>44</v>
      </c>
      <c r="H46" s="25" t="s">
        <v>44</v>
      </c>
      <c r="I46" s="25" t="s">
        <v>44</v>
      </c>
      <c r="J46" s="25" t="s">
        <v>44</v>
      </c>
      <c r="K46" s="25" t="s">
        <v>44</v>
      </c>
      <c r="L46" s="28">
        <v>0</v>
      </c>
    </row>
    <row r="47" spans="1:12">
      <c r="A47" s="10" t="s">
        <v>287</v>
      </c>
      <c r="B47" s="10" t="s">
        <v>288</v>
      </c>
      <c r="C47" s="13">
        <f>_xll.BDH("RCOM IN Equity","IS_FOREIGN_EXCH_LOSS","FY 2010","FY 2010","Currency=INR","Period=FY","BEST_FPERIOD_OVERRIDE=FY","FILING_STATUS=MR","EQY_CONSOLIDATED=Y","SCALING_FORMAT=MLN","FA_ADJUSTED=Adjusted","Sort=A","Dates=H","DateFormat=P","Fill=—","Direction=H","UseDPDF=Y")</f>
        <v>-28405.7</v>
      </c>
      <c r="D47" s="13">
        <f>_xll.BDH("RCOM IN Equity","IS_FOREIGN_EXCH_LOSS","FY 2011","FY 2011","Currency=INR","Period=FY","BEST_FPERIOD_OVERRIDE=FY","FILING_STATUS=MR","EQY_CONSOLIDATED=Y","SCALING_FORMAT=MLN","FA_ADJUSTED=Adjusted","Sort=A","Dates=H","DateFormat=P","Fill=—","Direction=H","UseDPDF=Y")</f>
        <v>-350</v>
      </c>
      <c r="E47" s="13">
        <f>_xll.BDH("RCOM IN Equity","IS_FOREIGN_EXCH_LOSS","FY 2012","FY 2012","Currency=INR","Period=FY","BEST_FPERIOD_OVERRIDE=FY","FILING_STATUS=MR","EQY_CONSOLIDATED=Y","SCALING_FORMAT=MLN","FA_ADJUSTED=Adjusted","Sort=A","Dates=H","DateFormat=P","Fill=—","Direction=H","UseDPDF=Y")</f>
        <v>15830</v>
      </c>
      <c r="F47" s="13">
        <f>_xll.BDH("RCOM IN Equity","IS_FOREIGN_EXCH_LOSS","FY 2013","FY 2013","Currency=INR","Period=FY","BEST_FPERIOD_OVERRIDE=FY","FILING_STATUS=MR","EQY_CONSOLIDATED=Y","SCALING_FORMAT=MLN","FA_ADJUSTED=Adjusted","Sort=A","Dates=H","DateFormat=P","Fill=—","Direction=H","UseDPDF=Y")</f>
        <v>8400</v>
      </c>
      <c r="G47" s="13">
        <f>_xll.BDH("RCOM IN Equity","IS_FOREIGN_EXCH_LOSS","FY 2014","FY 2014","Currency=INR","Period=FY","BEST_FPERIOD_OVERRIDE=FY","FILING_STATUS=MR","EQY_CONSOLIDATED=Y","SCALING_FORMAT=MLN","FA_ADJUSTED=Adjusted","Sort=A","Dates=H","DateFormat=P","Fill=—","Direction=H","UseDPDF=Y")</f>
        <v>6580</v>
      </c>
      <c r="H47" s="13">
        <f>_xll.BDH("RCOM IN Equity","IS_FOREIGN_EXCH_LOSS","FY 2015","FY 2015","Currency=INR","Period=FY","BEST_FPERIOD_OVERRIDE=FY","FILING_STATUS=MR","EQY_CONSOLIDATED=Y","SCALING_FORMAT=MLN","FA_ADJUSTED=Adjusted","Sort=A","Dates=H","DateFormat=P","Fill=—","Direction=H","UseDPDF=Y")</f>
        <v>5500</v>
      </c>
      <c r="I47" s="13">
        <f>_xll.BDH("RCOM IN Equity","IS_FOREIGN_EXCH_LOSS","FY 2016","FY 2016","Currency=INR","Period=FY","BEST_FPERIOD_OVERRIDE=FY","FILING_STATUS=MR","EQY_CONSOLIDATED=Y","SCALING_FORMAT=MLN","FA_ADJUSTED=Adjusted","Sort=A","Dates=H","DateFormat=P","Fill=—","Direction=H","UseDPDF=Y")</f>
        <v>240</v>
      </c>
      <c r="J47" s="13">
        <f>_xll.BDH("RCOM IN Equity","IS_FOREIGN_EXCH_LOSS","FY 2017","FY 2017","Currency=INR","Period=FY","BEST_FPERIOD_OVERRIDE=FY","FILING_STATUS=MR","EQY_CONSOLIDATED=Y","SCALING_FORMAT=MLN","FA_ADJUSTED=Adjusted","Sort=A","Dates=H","DateFormat=P","Fill=—","Direction=H","UseDPDF=Y")</f>
        <v>-20</v>
      </c>
      <c r="K47" s="13">
        <f>_xll.BDH("RCOM IN Equity","IS_FOREIGN_EXCH_LOSS","FY 2018","FY 2018","Currency=INR","Period=FY","BEST_FPERIOD_OVERRIDE=FY","FILING_STATUS=MR","EQY_CONSOLIDATED=Y","SCALING_FORMAT=MLN","FA_ADJUSTED=Adjusted","Sort=A","Dates=H","DateFormat=P","Fill=—","Direction=H","UseDPDF=Y")</f>
        <v>-20</v>
      </c>
      <c r="L47" s="16"/>
    </row>
    <row r="48" spans="1:12">
      <c r="A48" s="11" t="s">
        <v>249</v>
      </c>
      <c r="B48" s="11" t="s">
        <v>288</v>
      </c>
      <c r="C48" s="25">
        <v>-13.732478</v>
      </c>
      <c r="D48" s="25">
        <v>-0.15845000000000001</v>
      </c>
      <c r="E48" s="25">
        <v>8.4580040000000007</v>
      </c>
      <c r="F48" s="25">
        <v>4.3536849999999996</v>
      </c>
      <c r="G48" s="25">
        <v>3.1423109999999999</v>
      </c>
      <c r="H48" s="25">
        <v>2.5673339999999998</v>
      </c>
      <c r="I48" s="25">
        <v>0.11038000000000001</v>
      </c>
      <c r="J48" s="25">
        <v>-3.0516000000000001E-2</v>
      </c>
      <c r="K48" s="25">
        <v>-4.3545E-2</v>
      </c>
      <c r="L48" s="28"/>
    </row>
    <row r="49" spans="1:12">
      <c r="A49" s="10" t="s">
        <v>289</v>
      </c>
      <c r="B49" s="10" t="s">
        <v>290</v>
      </c>
      <c r="C49" s="13" t="str">
        <f>_xll.BDH("RCOM IN Equity","INCOME_LOSS_FROM_AFFILIATES","FY 2010","FY 2010","Currency=INR","Period=FY","BEST_FPERIOD_OVERRIDE=FY","FILING_STATUS=MR","EQY_CONSOLIDATED=Y","SCALING_FORMAT=MLN","FA_ADJUSTED=Adjusted","Sort=A","Dates=H","DateFormat=P","Fill=—","Direction=H","UseDPDF=Y")</f>
        <v>—</v>
      </c>
      <c r="D49" s="13" t="str">
        <f>_xll.BDH("RCOM IN Equity","INCOME_LOSS_FROM_AFFILIATES","FY 2011","FY 2011","Currency=INR","Period=FY","BEST_FPERIOD_OVERRIDE=FY","FILING_STATUS=MR","EQY_CONSOLIDATED=Y","SCALING_FORMAT=MLN","FA_ADJUSTED=Adjusted","Sort=A","Dates=H","DateFormat=P","Fill=—","Direction=H","UseDPDF=Y")</f>
        <v>—</v>
      </c>
      <c r="E49" s="13" t="str">
        <f>_xll.BDH("RCOM IN Equity","INCOME_LOSS_FROM_AFFILIATES","FY 2012","FY 2012","Currency=INR","Period=FY","BEST_FPERIOD_OVERRIDE=FY","FILING_STATUS=MR","EQY_CONSOLIDATED=Y","SCALING_FORMAT=MLN","FA_ADJUSTED=Adjusted","Sort=A","Dates=H","DateFormat=P","Fill=—","Direction=H","UseDPDF=Y")</f>
        <v>—</v>
      </c>
      <c r="F49" s="13" t="str">
        <f>_xll.BDH("RCOM IN Equity","INCOME_LOSS_FROM_AFFILIATES","FY 2013","FY 2013","Currency=INR","Period=FY","BEST_FPERIOD_OVERRIDE=FY","FILING_STATUS=MR","EQY_CONSOLIDATED=Y","SCALING_FORMAT=MLN","FA_ADJUSTED=Adjusted","Sort=A","Dates=H","DateFormat=P","Fill=—","Direction=H","UseDPDF=Y")</f>
        <v>—</v>
      </c>
      <c r="G49" s="13">
        <f>_xll.BDH("RCOM IN Equity","INCOME_LOSS_FROM_AFFILIATES","FY 2014","FY 2014","Currency=INR","Period=FY","BEST_FPERIOD_OVERRIDE=FY","FILING_STATUS=MR","EQY_CONSOLIDATED=Y","SCALING_FORMAT=MLN","FA_ADJUSTED=Adjusted","Sort=A","Dates=H","DateFormat=P","Fill=—","Direction=H","UseDPDF=Y")</f>
        <v>0</v>
      </c>
      <c r="H49" s="13">
        <f>_xll.BDH("RCOM IN Equity","INCOME_LOSS_FROM_AFFILIATES","FY 2015","FY 2015","Currency=INR","Period=FY","BEST_FPERIOD_OVERRIDE=FY","FILING_STATUS=MR","EQY_CONSOLIDATED=Y","SCALING_FORMAT=MLN","FA_ADJUSTED=Adjusted","Sort=A","Dates=H","DateFormat=P","Fill=—","Direction=H","UseDPDF=Y")</f>
        <v>0</v>
      </c>
      <c r="I49" s="13">
        <f>_xll.BDH("RCOM IN Equity","INCOME_LOSS_FROM_AFFILIATES","FY 2016","FY 2016","Currency=INR","Period=FY","BEST_FPERIOD_OVERRIDE=FY","FILING_STATUS=MR","EQY_CONSOLIDATED=Y","SCALING_FORMAT=MLN","FA_ADJUSTED=Adjusted","Sort=A","Dates=H","DateFormat=P","Fill=—","Direction=H","UseDPDF=Y")</f>
        <v>-20</v>
      </c>
      <c r="J49" s="13">
        <f>_xll.BDH("RCOM IN Equity","INCOME_LOSS_FROM_AFFILIATES","FY 2017","FY 2017","Currency=INR","Period=FY","BEST_FPERIOD_OVERRIDE=FY","FILING_STATUS=MR","EQY_CONSOLIDATED=Y","SCALING_FORMAT=MLN","FA_ADJUSTED=Adjusted","Sort=A","Dates=H","DateFormat=P","Fill=—","Direction=H","UseDPDF=Y")</f>
        <v>-30</v>
      </c>
      <c r="K49" s="13">
        <f>_xll.BDH("RCOM IN Equity","INCOME_LOSS_FROM_AFFILIATES","FY 2018","FY 2018","Currency=INR","Period=FY","BEST_FPERIOD_OVERRIDE=FY","FILING_STATUS=MR","EQY_CONSOLIDATED=Y","SCALING_FORMAT=MLN","FA_ADJUSTED=Adjusted","Sort=A","Dates=H","DateFormat=P","Fill=—","Direction=H","UseDPDF=Y")</f>
        <v>-50</v>
      </c>
      <c r="L49" s="16"/>
    </row>
    <row r="50" spans="1:12">
      <c r="A50" s="11" t="s">
        <v>249</v>
      </c>
      <c r="B50" s="11" t="s">
        <v>290</v>
      </c>
      <c r="C50" s="25" t="s">
        <v>44</v>
      </c>
      <c r="D50" s="25" t="s">
        <v>44</v>
      </c>
      <c r="E50" s="25" t="s">
        <v>44</v>
      </c>
      <c r="F50" s="25" t="s">
        <v>44</v>
      </c>
      <c r="G50" s="25">
        <v>0</v>
      </c>
      <c r="H50" s="25">
        <v>0</v>
      </c>
      <c r="I50" s="25">
        <v>-9.19836269144092E-3</v>
      </c>
      <c r="J50" s="25">
        <v>-4.5773573390296002E-2</v>
      </c>
      <c r="K50" s="25">
        <v>-0.108861310690181</v>
      </c>
      <c r="L50" s="28">
        <v>0</v>
      </c>
    </row>
    <row r="51" spans="1:12">
      <c r="A51" s="10" t="s">
        <v>291</v>
      </c>
      <c r="B51" s="10" t="s">
        <v>292</v>
      </c>
      <c r="C51" s="13">
        <f>_xll.BDH("RCOM IN Equity","IS_OTHER_NON_OPERATING_INC_LOSS","FY 2010","FY 2010","Currency=INR","Period=FY","BEST_FPERIOD_OVERRIDE=FY","FILING_STATUS=MR","EQY_CONSOLIDATED=Y","SCALING_FORMAT=MLN","FA_ADJUSTED=Adjusted","Sort=A","Dates=H","DateFormat=P","Fill=—","Direction=H","UseDPDF=Y")</f>
        <v>-2723.8</v>
      </c>
      <c r="D51" s="13">
        <f>_xll.BDH("RCOM IN Equity","IS_OTHER_NON_OPERATING_INC_LOSS","FY 2011","FY 2011","Currency=INR","Period=FY","BEST_FPERIOD_OVERRIDE=FY","FILING_STATUS=MR","EQY_CONSOLIDATED=Y","SCALING_FORMAT=MLN","FA_ADJUSTED=Adjusted","Sort=A","Dates=H","DateFormat=P","Fill=—","Direction=H","UseDPDF=Y")</f>
        <v>-630</v>
      </c>
      <c r="E51" s="13">
        <f>_xll.BDH("RCOM IN Equity","IS_OTHER_NON_OPERATING_INC_LOSS","FY 2012","FY 2012","Currency=INR","Period=FY","BEST_FPERIOD_OVERRIDE=FY","FILING_STATUS=MR","EQY_CONSOLIDATED=Y","SCALING_FORMAT=MLN","FA_ADJUSTED=Adjusted","Sort=A","Dates=H","DateFormat=P","Fill=—","Direction=H","UseDPDF=Y")</f>
        <v>-20550</v>
      </c>
      <c r="F51" s="13">
        <f>_xll.BDH("RCOM IN Equity","IS_OTHER_NON_OPERATING_INC_LOSS","FY 2013","FY 2013","Currency=INR","Period=FY","BEST_FPERIOD_OVERRIDE=FY","FILING_STATUS=MR","EQY_CONSOLIDATED=Y","SCALING_FORMAT=MLN","FA_ADJUSTED=Adjusted","Sort=A","Dates=H","DateFormat=P","Fill=—","Direction=H","UseDPDF=Y")</f>
        <v>-16240</v>
      </c>
      <c r="G51" s="13">
        <f>_xll.BDH("RCOM IN Equity","IS_OTHER_NON_OPERATING_INC_LOSS","FY 2014","FY 2014","Currency=INR","Period=FY","BEST_FPERIOD_OVERRIDE=FY","FILING_STATUS=MR","EQY_CONSOLIDATED=Y","SCALING_FORMAT=MLN","FA_ADJUSTED=Adjusted","Sort=A","Dates=H","DateFormat=P","Fill=—","Direction=H","UseDPDF=Y")</f>
        <v>-13370</v>
      </c>
      <c r="H51" s="13">
        <f>_xll.BDH("RCOM IN Equity","IS_OTHER_NON_OPERATING_INC_LOSS","FY 2015","FY 2015","Currency=INR","Period=FY","BEST_FPERIOD_OVERRIDE=FY","FILING_STATUS=MR","EQY_CONSOLIDATED=Y","SCALING_FORMAT=MLN","FA_ADJUSTED=Adjusted","Sort=A","Dates=H","DateFormat=P","Fill=—","Direction=H","UseDPDF=Y")</f>
        <v>-4860</v>
      </c>
      <c r="I51" s="13">
        <f>_xll.BDH("RCOM IN Equity","IS_OTHER_NON_OPERATING_INC_LOSS","FY 2016","FY 2016","Currency=INR","Period=FY","BEST_FPERIOD_OVERRIDE=FY","FILING_STATUS=MR","EQY_CONSOLIDATED=Y","SCALING_FORMAT=MLN","FA_ADJUSTED=Adjusted","Sort=A","Dates=H","DateFormat=P","Fill=—","Direction=H","UseDPDF=Y")</f>
        <v>5430</v>
      </c>
      <c r="J51" s="13">
        <f>_xll.BDH("RCOM IN Equity","IS_OTHER_NON_OPERATING_INC_LOSS","FY 2017","FY 2017","Currency=INR","Period=FY","BEST_FPERIOD_OVERRIDE=FY","FILING_STATUS=MR","EQY_CONSOLIDATED=Y","SCALING_FORMAT=MLN","FA_ADJUSTED=Adjusted","Sort=A","Dates=H","DateFormat=P","Fill=—","Direction=H","UseDPDF=Y")</f>
        <v>900</v>
      </c>
      <c r="K51" s="13">
        <f>_xll.BDH("RCOM IN Equity","IS_OTHER_NON_OPERATING_INC_LOSS","FY 2018","FY 2018","Currency=INR","Period=FY","BEST_FPERIOD_OVERRIDE=FY","FILING_STATUS=MR","EQY_CONSOLIDATED=Y","SCALING_FORMAT=MLN","FA_ADJUSTED=Adjusted","Sort=A","Dates=H","DateFormat=P","Fill=—","Direction=H","UseDPDF=Y")</f>
        <v>970</v>
      </c>
      <c r="L51" s="16">
        <v>-22840</v>
      </c>
    </row>
    <row r="52" spans="1:12">
      <c r="A52" s="11" t="s">
        <v>249</v>
      </c>
      <c r="B52" s="11" t="s">
        <v>292</v>
      </c>
      <c r="C52" s="25">
        <v>-1.3167964302721</v>
      </c>
      <c r="D52" s="25">
        <v>-0.28520983294852598</v>
      </c>
      <c r="E52" s="25">
        <v>-10.9799102372302</v>
      </c>
      <c r="F52" s="25">
        <v>-8.4171244946615502</v>
      </c>
      <c r="G52" s="25">
        <v>-6.3849092645654304</v>
      </c>
      <c r="H52" s="25">
        <v>-2.2685898333566699</v>
      </c>
      <c r="I52" s="25">
        <v>2.4973554707262098</v>
      </c>
      <c r="J52" s="25">
        <v>1.3732072017088801</v>
      </c>
      <c r="K52" s="25">
        <v>2.1119094273895098</v>
      </c>
      <c r="L52" s="28">
        <v>0</v>
      </c>
    </row>
    <row r="53" spans="1:12">
      <c r="A53" s="6" t="s">
        <v>293</v>
      </c>
      <c r="B53" s="6" t="s">
        <v>115</v>
      </c>
      <c r="C53" s="19">
        <f>_xll.BDH("RCOM IN Equity","PRETAX_INC","FY 2010","FY 2010","Currency=INR","Period=FY","BEST_FPERIOD_OVERRIDE=FY","FILING_STATUS=MR","EQY_CONSOLIDATED=Y","SCALING_FORMAT=MLN","FA_ADJUSTED=Adjusted","Sort=A","Dates=H","DateFormat=P","Fill=—","Direction=H","UseDPDF=Y")</f>
        <v>53198</v>
      </c>
      <c r="D53" s="19">
        <f>_xll.BDH("RCOM IN Equity","PRETAX_INC","FY 2011","FY 2011","Currency=INR","Period=FY","BEST_FPERIOD_OVERRIDE=FY","FILING_STATUS=MR","EQY_CONSOLIDATED=Y","SCALING_FORMAT=MLN","FA_ADJUSTED=Adjusted","Sort=A","Dates=H","DateFormat=P","Fill=—","Direction=H","UseDPDF=Y")</f>
        <v>11290.8</v>
      </c>
      <c r="E53" s="19">
        <f>_xll.BDH("RCOM IN Equity","PRETAX_INC","FY 2012","FY 2012","Currency=INR","Period=FY","BEST_FPERIOD_OVERRIDE=FY","FILING_STATUS=MR","EQY_CONSOLIDATED=Y","SCALING_FORMAT=MLN","FA_ADJUSTED=Adjusted","Sort=A","Dates=H","DateFormat=P","Fill=—","Direction=H","UseDPDF=Y")</f>
        <v>12220</v>
      </c>
      <c r="F53" s="19">
        <f>_xll.BDH("RCOM IN Equity","PRETAX_INC","FY 2013","FY 2013","Currency=INR","Period=FY","BEST_FPERIOD_OVERRIDE=FY","FILING_STATUS=MR","EQY_CONSOLIDATED=Y","SCALING_FORMAT=MLN","FA_ADJUSTED=Adjusted","Sort=A","Dates=H","DateFormat=P","Fill=—","Direction=H","UseDPDF=Y")</f>
        <v>8100</v>
      </c>
      <c r="G53" s="19">
        <f>_xll.BDH("RCOM IN Equity","PRETAX_INC","FY 2014","FY 2014","Currency=INR","Period=FY","BEST_FPERIOD_OVERRIDE=FY","FILING_STATUS=MR","EQY_CONSOLIDATED=Y","SCALING_FORMAT=MLN","FA_ADJUSTED=Adjusted","Sort=A","Dates=H","DateFormat=P","Fill=—","Direction=H","UseDPDF=Y")</f>
        <v>1270</v>
      </c>
      <c r="H53" s="19">
        <f>_xll.BDH("RCOM IN Equity","PRETAX_INC","FY 2015","FY 2015","Currency=INR","Period=FY","BEST_FPERIOD_OVERRIDE=FY","FILING_STATUS=MR","EQY_CONSOLIDATED=Y","SCALING_FORMAT=MLN","FA_ADJUSTED=Adjusted","Sort=A","Dates=H","DateFormat=P","Fill=—","Direction=H","UseDPDF=Y")</f>
        <v>9140</v>
      </c>
      <c r="I53" s="19">
        <f>_xll.BDH("RCOM IN Equity","PRETAX_INC","FY 2016","FY 2016","Currency=INR","Period=FY","BEST_FPERIOD_OVERRIDE=FY","FILING_STATUS=MR","EQY_CONSOLIDATED=Y","SCALING_FORMAT=MLN","FA_ADJUSTED=Adjusted","Sort=A","Dates=H","DateFormat=P","Fill=—","Direction=H","UseDPDF=Y")</f>
        <v>170</v>
      </c>
      <c r="J53" s="19">
        <f>_xll.BDH("RCOM IN Equity","PRETAX_INC","FY 2017","FY 2017","Currency=INR","Period=FY","BEST_FPERIOD_OVERRIDE=FY","FILING_STATUS=MR","EQY_CONSOLIDATED=Y","SCALING_FORMAT=MLN","FA_ADJUSTED=Adjusted","Sort=A","Dates=H","DateFormat=P","Fill=—","Direction=H","UseDPDF=Y")</f>
        <v>1550</v>
      </c>
      <c r="K53" s="19">
        <f>_xll.BDH("RCOM IN Equity","PRETAX_INC","FY 2018","FY 2018","Currency=INR","Period=FY","BEST_FPERIOD_OVERRIDE=FY","FILING_STATUS=MR","EQY_CONSOLIDATED=Y","SCALING_FORMAT=MLN","FA_ADJUSTED=Adjusted","Sort=A","Dates=H","DateFormat=P","Fill=—","Direction=H","UseDPDF=Y")</f>
        <v>-30</v>
      </c>
      <c r="L53" s="22">
        <v>20070</v>
      </c>
    </row>
    <row r="54" spans="1:12">
      <c r="A54" s="11" t="s">
        <v>249</v>
      </c>
      <c r="B54" s="11" t="s">
        <v>115</v>
      </c>
      <c r="C54" s="25">
        <v>25.7180910851074</v>
      </c>
      <c r="D54" s="25">
        <v>5.1115034632622596</v>
      </c>
      <c r="E54" s="25">
        <v>6.52917290019235</v>
      </c>
      <c r="F54" s="25">
        <v>4.1981963304654304</v>
      </c>
      <c r="G54" s="25">
        <v>0.606494746895893</v>
      </c>
      <c r="H54" s="25">
        <v>4.2664426084115199</v>
      </c>
      <c r="I54" s="25">
        <v>7.8186082877247806E-2</v>
      </c>
      <c r="J54" s="25">
        <v>2.3649679584986298</v>
      </c>
      <c r="K54" s="25">
        <v>-6.5316786414108402E-2</v>
      </c>
      <c r="L54" s="28">
        <v>0</v>
      </c>
    </row>
    <row r="55" spans="1:12">
      <c r="A55" s="10" t="s">
        <v>294</v>
      </c>
      <c r="B55" s="10" t="s">
        <v>295</v>
      </c>
      <c r="C55" s="13">
        <f>_xll.BDH("RCOM IN Equity","IS_ABNORMAL_ITEM","FY 2010","FY 2010","Currency=INR","Period=FY","BEST_FPERIOD_OVERRIDE=FY","FILING_STATUS=MR","EQY_CONSOLIDATED=Y","SCALING_FORMAT=MLN","Sort=A","Dates=H","DateFormat=P","Fill=—","Direction=H","UseDPDF=Y")</f>
        <v>969.7</v>
      </c>
      <c r="D55" s="13">
        <f>_xll.BDH("RCOM IN Equity","IS_ABNORMAL_ITEM","FY 2011","FY 2011","Currency=INR","Period=FY","BEST_FPERIOD_OVERRIDE=FY","FILING_STATUS=MR","EQY_CONSOLIDATED=Y","SCALING_FORMAT=MLN","Sort=A","Dates=H","DateFormat=P","Fill=—","Direction=H","UseDPDF=Y")</f>
        <v>-3879.2</v>
      </c>
      <c r="E55" s="13">
        <f>_xll.BDH("RCOM IN Equity","IS_ABNORMAL_ITEM","FY 2012","FY 2012","Currency=INR","Period=FY","BEST_FPERIOD_OVERRIDE=FY","FILING_STATUS=MR","EQY_CONSOLIDATED=Y","SCALING_FORMAT=MLN","Sort=A","Dates=H","DateFormat=P","Fill=—","Direction=H","UseDPDF=Y")</f>
        <v>3400</v>
      </c>
      <c r="F55" s="13">
        <f>_xll.BDH("RCOM IN Equity","IS_ABNORMAL_ITEM","FY 2013","FY 2013","Currency=INR","Period=FY","BEST_FPERIOD_OVERRIDE=FY","FILING_STATUS=MR","EQY_CONSOLIDATED=Y","SCALING_FORMAT=MLN","Sort=A","Dates=H","DateFormat=P","Fill=—","Direction=H","UseDPDF=Y")</f>
        <v>-50</v>
      </c>
      <c r="G55" s="13">
        <f>_xll.BDH("RCOM IN Equity","IS_ABNORMAL_ITEM","FY 2014","FY 2014","Currency=INR","Period=FY","BEST_FPERIOD_OVERRIDE=FY","FILING_STATUS=MR","EQY_CONSOLIDATED=Y","SCALING_FORMAT=MLN","Sort=A","Dates=H","DateFormat=P","Fill=—","Direction=H","UseDPDF=Y")</f>
        <v>110</v>
      </c>
      <c r="H55" s="13">
        <f>_xll.BDH("RCOM IN Equity","IS_ABNORMAL_ITEM","FY 2015","FY 2015","Currency=INR","Period=FY","BEST_FPERIOD_OVERRIDE=FY","FILING_STATUS=MR","EQY_CONSOLIDATED=Y","SCALING_FORMAT=MLN","Sort=A","Dates=H","DateFormat=P","Fill=—","Direction=H","UseDPDF=Y")</f>
        <v>-320</v>
      </c>
      <c r="I55" s="13">
        <f>_xll.BDH("RCOM IN Equity","IS_ABNORMAL_ITEM","FY 2016","FY 2016","Currency=INR","Period=FY","BEST_FPERIOD_OVERRIDE=FY","FILING_STATUS=MR","EQY_CONSOLIDATED=Y","SCALING_FORMAT=MLN","Sort=A","Dates=H","DateFormat=P","Fill=—","Direction=H","UseDPDF=Y")</f>
        <v>-2150</v>
      </c>
      <c r="J55" s="13">
        <f>_xll.BDH("RCOM IN Equity","IS_ABNORMAL_ITEM","FY 2017","FY 2017","Currency=INR","Period=FY","BEST_FPERIOD_OVERRIDE=FY","FILING_STATUS=MR","EQY_CONSOLIDATED=Y","SCALING_FORMAT=MLN","Sort=A","Dates=H","DateFormat=P","Fill=—","Direction=H","UseDPDF=Y")</f>
        <v>0</v>
      </c>
      <c r="K55" s="13">
        <f>_xll.BDH("RCOM IN Equity","IS_ABNORMAL_ITEM","FY 2018","FY 2018","Currency=INR","Period=FY","BEST_FPERIOD_OVERRIDE=FY","FILING_STATUS=MR","EQY_CONSOLIDATED=Y","SCALING_FORMAT=MLN","Sort=A","Dates=H","DateFormat=P","Fill=—","Direction=H","UseDPDF=Y")</f>
        <v>0</v>
      </c>
      <c r="L55" s="16">
        <v>0</v>
      </c>
    </row>
    <row r="56" spans="1:12">
      <c r="A56" s="11" t="s">
        <v>249</v>
      </c>
      <c r="B56" s="11" t="s">
        <v>295</v>
      </c>
      <c r="C56" s="25">
        <v>0.46879267877041603</v>
      </c>
      <c r="D56" s="25">
        <v>-1.75616822853004</v>
      </c>
      <c r="E56" s="25">
        <v>1.8166274845052399</v>
      </c>
      <c r="F56" s="25">
        <v>-2.5914792163366899E-2</v>
      </c>
      <c r="G56" s="25">
        <v>5.2531041069722999E-2</v>
      </c>
      <c r="H56" s="25">
        <v>-0.14937217009755899</v>
      </c>
      <c r="I56" s="25">
        <v>-0.98882398932989901</v>
      </c>
      <c r="J56" s="25">
        <v>0</v>
      </c>
      <c r="K56" s="25">
        <v>0</v>
      </c>
      <c r="L56" s="28">
        <v>0</v>
      </c>
    </row>
    <row r="57" spans="1:12">
      <c r="A57" s="11" t="s">
        <v>249</v>
      </c>
      <c r="B57" s="11" t="s">
        <v>296</v>
      </c>
      <c r="C57" s="25" t="s">
        <v>44</v>
      </c>
      <c r="D57" s="25" t="s">
        <v>44</v>
      </c>
      <c r="E57" s="25" t="s">
        <v>44</v>
      </c>
      <c r="F57" s="25" t="s">
        <v>44</v>
      </c>
      <c r="G57" s="25" t="s">
        <v>44</v>
      </c>
      <c r="H57" s="25" t="s">
        <v>44</v>
      </c>
      <c r="I57" s="25" t="s">
        <v>44</v>
      </c>
      <c r="J57" s="25" t="s">
        <v>44</v>
      </c>
      <c r="K57" s="25" t="s">
        <v>44</v>
      </c>
      <c r="L57" s="28">
        <v>0</v>
      </c>
    </row>
    <row r="58" spans="1:12">
      <c r="A58" s="11" t="s">
        <v>249</v>
      </c>
      <c r="B58" s="11" t="s">
        <v>297</v>
      </c>
      <c r="C58" s="25" t="s">
        <v>44</v>
      </c>
      <c r="D58" s="25" t="s">
        <v>44</v>
      </c>
      <c r="E58" s="25" t="s">
        <v>44</v>
      </c>
      <c r="F58" s="25" t="s">
        <v>44</v>
      </c>
      <c r="G58" s="25" t="s">
        <v>44</v>
      </c>
      <c r="H58" s="25" t="s">
        <v>44</v>
      </c>
      <c r="I58" s="25" t="s">
        <v>44</v>
      </c>
      <c r="J58" s="25" t="s">
        <v>44</v>
      </c>
      <c r="K58" s="25" t="s">
        <v>44</v>
      </c>
      <c r="L58" s="28">
        <v>0</v>
      </c>
    </row>
    <row r="59" spans="1:12">
      <c r="A59" s="11" t="s">
        <v>249</v>
      </c>
      <c r="B59" s="11" t="s">
        <v>298</v>
      </c>
      <c r="C59" s="25" t="s">
        <v>44</v>
      </c>
      <c r="D59" s="25" t="s">
        <v>44</v>
      </c>
      <c r="E59" s="25" t="s">
        <v>44</v>
      </c>
      <c r="F59" s="25" t="s">
        <v>44</v>
      </c>
      <c r="G59" s="25" t="s">
        <v>44</v>
      </c>
      <c r="H59" s="25" t="s">
        <v>44</v>
      </c>
      <c r="I59" s="25" t="s">
        <v>44</v>
      </c>
      <c r="J59" s="25" t="s">
        <v>44</v>
      </c>
      <c r="K59" s="25" t="s">
        <v>44</v>
      </c>
      <c r="L59" s="28">
        <v>0</v>
      </c>
    </row>
    <row r="60" spans="1:12">
      <c r="A60" s="10" t="s">
        <v>299</v>
      </c>
      <c r="B60" s="10" t="s">
        <v>300</v>
      </c>
      <c r="C60" s="13">
        <f>_xll.BDH("RCOM IN Equity","IS_GAIN_LOSS_DISPOSAL_ASSETS","FY 2010","FY 2010","Currency=INR","Period=FY","BEST_FPERIOD_OVERRIDE=FY","FILING_STATUS=MR","EQY_CONSOLIDATED=Y","SCALING_FORMAT=MLN","Sort=A","Dates=H","DateFormat=P","Fill=—","Direction=H","UseDPDF=Y")</f>
        <v>14.9</v>
      </c>
      <c r="D60" s="13">
        <f>_xll.BDH("RCOM IN Equity","IS_GAIN_LOSS_DISPOSAL_ASSETS","FY 2011","FY 2011","Currency=INR","Period=FY","BEST_FPERIOD_OVERRIDE=FY","FILING_STATUS=MR","EQY_CONSOLIDATED=Y","SCALING_FORMAT=MLN","Sort=A","Dates=H","DateFormat=P","Fill=—","Direction=H","UseDPDF=Y")</f>
        <v>-3309.2</v>
      </c>
      <c r="E60" s="13">
        <f>_xll.BDH("RCOM IN Equity","IS_GAIN_LOSS_DISPOSAL_ASSETS","FY 2012","FY 2012","Currency=INR","Period=FY","BEST_FPERIOD_OVERRIDE=FY","FILING_STATUS=MR","EQY_CONSOLIDATED=Y","SCALING_FORMAT=MLN","Sort=A","Dates=H","DateFormat=P","Fill=—","Direction=H","UseDPDF=Y")</f>
        <v>-70</v>
      </c>
      <c r="F60" s="13">
        <f>_xll.BDH("RCOM IN Equity","IS_GAIN_LOSS_DISPOSAL_ASSETS","FY 2013","FY 2013","Currency=INR","Period=FY","BEST_FPERIOD_OVERRIDE=FY","FILING_STATUS=MR","EQY_CONSOLIDATED=Y","SCALING_FORMAT=MLN","Sort=A","Dates=H","DateFormat=P","Fill=—","Direction=H","UseDPDF=Y")</f>
        <v>300</v>
      </c>
      <c r="G60" s="13">
        <f>_xll.BDH("RCOM IN Equity","IS_GAIN_LOSS_DISPOSAL_ASSETS","FY 2014","FY 2014","Currency=INR","Period=FY","BEST_FPERIOD_OVERRIDE=FY","FILING_STATUS=MR","EQY_CONSOLIDATED=Y","SCALING_FORMAT=MLN","Sort=A","Dates=H","DateFormat=P","Fill=—","Direction=H","UseDPDF=Y")</f>
        <v>200</v>
      </c>
      <c r="H60" s="13">
        <f>_xll.BDH("RCOM IN Equity","IS_GAIN_LOSS_DISPOSAL_ASSETS","FY 2015","FY 2015","Currency=INR","Period=FY","BEST_FPERIOD_OVERRIDE=FY","FILING_STATUS=MR","EQY_CONSOLIDATED=Y","SCALING_FORMAT=MLN","Sort=A","Dates=H","DateFormat=P","Fill=—","Direction=H","UseDPDF=Y")</f>
        <v>-20</v>
      </c>
      <c r="I60" s="13">
        <f>_xll.BDH("RCOM IN Equity","IS_GAIN_LOSS_DISPOSAL_ASSETS","FY 2016","FY 2016","Currency=INR","Period=FY","BEST_FPERIOD_OVERRIDE=FY","FILING_STATUS=MR","EQY_CONSOLIDATED=Y","SCALING_FORMAT=MLN","Sort=A","Dates=H","DateFormat=P","Fill=—","Direction=H","UseDPDF=Y")</f>
        <v>-2120</v>
      </c>
      <c r="J60" s="13" t="str">
        <f>_xll.BDH("RCOM IN Equity","IS_GAIN_LOSS_DISPOSAL_ASSETS","FY 2017","FY 2017","Currency=INR","Period=FY","BEST_FPERIOD_OVERRIDE=FY","FILING_STATUS=MR","EQY_CONSOLIDATED=Y","SCALING_FORMAT=MLN","Sort=A","Dates=H","DateFormat=P","Fill=—","Direction=H","UseDPDF=Y")</f>
        <v>—</v>
      </c>
      <c r="K60" s="13" t="str">
        <f>_xll.BDH("RCOM IN Equity","IS_GAIN_LOSS_DISPOSAL_ASSETS","FY 2018","FY 2018","Currency=INR","Period=FY","BEST_FPERIOD_OVERRIDE=FY","FILING_STATUS=MR","EQY_CONSOLIDATED=Y","SCALING_FORMAT=MLN","Sort=A","Dates=H","DateFormat=P","Fill=—","Direction=H","UseDPDF=Y")</f>
        <v>—</v>
      </c>
      <c r="L60" s="16"/>
    </row>
    <row r="61" spans="1:12">
      <c r="A61" s="11" t="s">
        <v>249</v>
      </c>
      <c r="B61" s="11" t="s">
        <v>300</v>
      </c>
      <c r="C61" s="25">
        <v>7.2032699945129503E-3</v>
      </c>
      <c r="D61" s="25">
        <v>-1.4981212368147001</v>
      </c>
      <c r="E61" s="25">
        <v>-3.74011540927549E-2</v>
      </c>
      <c r="F61" s="25">
        <v>0.15548875298020101</v>
      </c>
      <c r="G61" s="25">
        <v>9.5510983763132801E-2</v>
      </c>
      <c r="H61" s="25">
        <v>-9.3357606310974194E-3</v>
      </c>
      <c r="I61" s="25">
        <v>-0.97502644529273796</v>
      </c>
      <c r="J61" s="25" t="s">
        <v>44</v>
      </c>
      <c r="K61" s="25" t="s">
        <v>44</v>
      </c>
      <c r="L61" s="28">
        <v>0</v>
      </c>
    </row>
    <row r="62" spans="1:12">
      <c r="A62" s="11" t="s">
        <v>249</v>
      </c>
      <c r="B62" s="11" t="s">
        <v>301</v>
      </c>
      <c r="C62" s="25" t="s">
        <v>44</v>
      </c>
      <c r="D62" s="25" t="s">
        <v>44</v>
      </c>
      <c r="E62" s="25" t="s">
        <v>44</v>
      </c>
      <c r="F62" s="25" t="s">
        <v>44</v>
      </c>
      <c r="G62" s="25" t="s">
        <v>44</v>
      </c>
      <c r="H62" s="25" t="s">
        <v>44</v>
      </c>
      <c r="I62" s="25" t="s">
        <v>44</v>
      </c>
      <c r="J62" s="25" t="s">
        <v>44</v>
      </c>
      <c r="K62" s="25" t="s">
        <v>44</v>
      </c>
      <c r="L62" s="28">
        <v>0</v>
      </c>
    </row>
    <row r="63" spans="1:12">
      <c r="A63" s="10" t="s">
        <v>302</v>
      </c>
      <c r="B63" s="10" t="s">
        <v>303</v>
      </c>
      <c r="C63" s="13">
        <f>_xll.BDH("RCOM IN Equity","IS_IMPAIRMENT_ASSETS","FY 2010","FY 2010","Currency=INR","Period=FY","BEST_FPERIOD_OVERRIDE=FY","FILING_STATUS=MR","EQY_CONSOLIDATED=Y","SCALING_FORMAT=MLN","Sort=A","Dates=H","DateFormat=P","Fill=—","Direction=H","UseDPDF=Y")</f>
        <v>3049.7</v>
      </c>
      <c r="D63" s="13" t="str">
        <f>_xll.BDH("RCOM IN Equity","IS_IMPAIRMENT_ASSETS","FY 2011","FY 2011","Currency=INR","Period=FY","BEST_FPERIOD_OVERRIDE=FY","FILING_STATUS=MR","EQY_CONSOLIDATED=Y","SCALING_FORMAT=MLN","Sort=A","Dates=H","DateFormat=P","Fill=—","Direction=H","UseDPDF=Y")</f>
        <v>—</v>
      </c>
      <c r="E63" s="13">
        <f>_xll.BDH("RCOM IN Equity","IS_IMPAIRMENT_ASSETS","FY 2012","FY 2012","Currency=INR","Period=FY","BEST_FPERIOD_OVERRIDE=FY","FILING_STATUS=MR","EQY_CONSOLIDATED=Y","SCALING_FORMAT=MLN","Sort=A","Dates=H","DateFormat=P","Fill=—","Direction=H","UseDPDF=Y")</f>
        <v>3700</v>
      </c>
      <c r="F63" s="13" t="str">
        <f>_xll.BDH("RCOM IN Equity","IS_IMPAIRMENT_ASSETS","FY 2013","FY 2013","Currency=INR","Period=FY","BEST_FPERIOD_OVERRIDE=FY","FILING_STATUS=MR","EQY_CONSOLIDATED=Y","SCALING_FORMAT=MLN","Sort=A","Dates=H","DateFormat=P","Fill=—","Direction=H","UseDPDF=Y")</f>
        <v>—</v>
      </c>
      <c r="G63" s="13" t="str">
        <f>_xll.BDH("RCOM IN Equity","IS_IMPAIRMENT_ASSETS","FY 2014","FY 2014","Currency=INR","Period=FY","BEST_FPERIOD_OVERRIDE=FY","FILING_STATUS=MR","EQY_CONSOLIDATED=Y","SCALING_FORMAT=MLN","Sort=A","Dates=H","DateFormat=P","Fill=—","Direction=H","UseDPDF=Y")</f>
        <v>—</v>
      </c>
      <c r="H63" s="13" t="str">
        <f>_xll.BDH("RCOM IN Equity","IS_IMPAIRMENT_ASSETS","FY 2015","FY 2015","Currency=INR","Period=FY","BEST_FPERIOD_OVERRIDE=FY","FILING_STATUS=MR","EQY_CONSOLIDATED=Y","SCALING_FORMAT=MLN","Sort=A","Dates=H","DateFormat=P","Fill=—","Direction=H","UseDPDF=Y")</f>
        <v>—</v>
      </c>
      <c r="I63" s="13" t="str">
        <f>_xll.BDH("RCOM IN Equity","IS_IMPAIRMENT_ASSETS","FY 2016","FY 2016","Currency=INR","Period=FY","BEST_FPERIOD_OVERRIDE=FY","FILING_STATUS=MR","EQY_CONSOLIDATED=Y","SCALING_FORMAT=MLN","Sort=A","Dates=H","DateFormat=P","Fill=—","Direction=H","UseDPDF=Y")</f>
        <v>—</v>
      </c>
      <c r="J63" s="13" t="str">
        <f>_xll.BDH("RCOM IN Equity","IS_IMPAIRMENT_ASSETS","FY 2017","FY 2017","Currency=INR","Period=FY","BEST_FPERIOD_OVERRIDE=FY","FILING_STATUS=MR","EQY_CONSOLIDATED=Y","SCALING_FORMAT=MLN","Sort=A","Dates=H","DateFormat=P","Fill=—","Direction=H","UseDPDF=Y")</f>
        <v>—</v>
      </c>
      <c r="K63" s="13" t="str">
        <f>_xll.BDH("RCOM IN Equity","IS_IMPAIRMENT_ASSETS","FY 2018","FY 2018","Currency=INR","Period=FY","BEST_FPERIOD_OVERRIDE=FY","FILING_STATUS=MR","EQY_CONSOLIDATED=Y","SCALING_FORMAT=MLN","Sort=A","Dates=H","DateFormat=P","Fill=—","Direction=H","UseDPDF=Y")</f>
        <v>—</v>
      </c>
      <c r="L63" s="16"/>
    </row>
    <row r="64" spans="1:12">
      <c r="A64" s="11" t="s">
        <v>249</v>
      </c>
      <c r="B64" s="11" t="s">
        <v>303</v>
      </c>
      <c r="C64" s="25">
        <v>1.47434983236685</v>
      </c>
      <c r="D64" s="25" t="s">
        <v>44</v>
      </c>
      <c r="E64" s="25">
        <v>1.97691814490276</v>
      </c>
      <c r="F64" s="25" t="s">
        <v>44</v>
      </c>
      <c r="G64" s="25" t="s">
        <v>44</v>
      </c>
      <c r="H64" s="25" t="s">
        <v>44</v>
      </c>
      <c r="I64" s="25" t="s">
        <v>44</v>
      </c>
      <c r="J64" s="25" t="s">
        <v>44</v>
      </c>
      <c r="K64" s="25" t="s">
        <v>44</v>
      </c>
      <c r="L64" s="28">
        <v>0</v>
      </c>
    </row>
    <row r="65" spans="1:12">
      <c r="A65" s="11" t="s">
        <v>249</v>
      </c>
      <c r="B65" s="11" t="s">
        <v>304</v>
      </c>
      <c r="C65" s="25" t="s">
        <v>44</v>
      </c>
      <c r="D65" s="25" t="s">
        <v>44</v>
      </c>
      <c r="E65" s="25" t="s">
        <v>44</v>
      </c>
      <c r="F65" s="25" t="s">
        <v>44</v>
      </c>
      <c r="G65" s="25" t="s">
        <v>44</v>
      </c>
      <c r="H65" s="25" t="s">
        <v>44</v>
      </c>
      <c r="I65" s="25" t="s">
        <v>44</v>
      </c>
      <c r="J65" s="25" t="s">
        <v>44</v>
      </c>
      <c r="K65" s="25" t="s">
        <v>44</v>
      </c>
      <c r="L65" s="28">
        <v>0</v>
      </c>
    </row>
    <row r="66" spans="1:12">
      <c r="A66" s="11" t="s">
        <v>249</v>
      </c>
      <c r="B66" s="11" t="s">
        <v>305</v>
      </c>
      <c r="C66" s="25" t="s">
        <v>44</v>
      </c>
      <c r="D66" s="25" t="s">
        <v>44</v>
      </c>
      <c r="E66" s="25" t="s">
        <v>44</v>
      </c>
      <c r="F66" s="25" t="s">
        <v>44</v>
      </c>
      <c r="G66" s="25" t="s">
        <v>44</v>
      </c>
      <c r="H66" s="25" t="s">
        <v>44</v>
      </c>
      <c r="I66" s="25" t="s">
        <v>44</v>
      </c>
      <c r="J66" s="25" t="s">
        <v>44</v>
      </c>
      <c r="K66" s="25" t="s">
        <v>44</v>
      </c>
      <c r="L66" s="28">
        <v>0</v>
      </c>
    </row>
    <row r="67" spans="1:12">
      <c r="A67" s="11" t="s">
        <v>249</v>
      </c>
      <c r="B67" s="11" t="s">
        <v>306</v>
      </c>
      <c r="C67" s="25" t="s">
        <v>44</v>
      </c>
      <c r="D67" s="25" t="s">
        <v>44</v>
      </c>
      <c r="E67" s="25" t="s">
        <v>44</v>
      </c>
      <c r="F67" s="25" t="s">
        <v>44</v>
      </c>
      <c r="G67" s="25" t="s">
        <v>44</v>
      </c>
      <c r="H67" s="25" t="s">
        <v>44</v>
      </c>
      <c r="I67" s="25" t="s">
        <v>44</v>
      </c>
      <c r="J67" s="25" t="s">
        <v>44</v>
      </c>
      <c r="K67" s="25" t="s">
        <v>44</v>
      </c>
      <c r="L67" s="28">
        <v>0</v>
      </c>
    </row>
    <row r="68" spans="1:12">
      <c r="A68" s="11" t="s">
        <v>249</v>
      </c>
      <c r="B68" s="11" t="s">
        <v>307</v>
      </c>
      <c r="C68" s="25" t="s">
        <v>44</v>
      </c>
      <c r="D68" s="25" t="s">
        <v>44</v>
      </c>
      <c r="E68" s="25" t="s">
        <v>44</v>
      </c>
      <c r="F68" s="25" t="s">
        <v>44</v>
      </c>
      <c r="G68" s="25" t="s">
        <v>44</v>
      </c>
      <c r="H68" s="25" t="s">
        <v>44</v>
      </c>
      <c r="I68" s="25" t="s">
        <v>44</v>
      </c>
      <c r="J68" s="25" t="s">
        <v>44</v>
      </c>
      <c r="K68" s="25" t="s">
        <v>44</v>
      </c>
      <c r="L68" s="28">
        <v>0</v>
      </c>
    </row>
    <row r="69" spans="1:12">
      <c r="A69" s="11" t="s">
        <v>249</v>
      </c>
      <c r="B69" s="11" t="s">
        <v>308</v>
      </c>
      <c r="C69" s="25" t="s">
        <v>44</v>
      </c>
      <c r="D69" s="25" t="s">
        <v>44</v>
      </c>
      <c r="E69" s="25" t="s">
        <v>44</v>
      </c>
      <c r="F69" s="25" t="s">
        <v>44</v>
      </c>
      <c r="G69" s="25" t="s">
        <v>44</v>
      </c>
      <c r="H69" s="25" t="s">
        <v>44</v>
      </c>
      <c r="I69" s="25" t="s">
        <v>44</v>
      </c>
      <c r="J69" s="25" t="s">
        <v>44</v>
      </c>
      <c r="K69" s="25" t="s">
        <v>44</v>
      </c>
      <c r="L69" s="28">
        <v>0</v>
      </c>
    </row>
    <row r="70" spans="1:12">
      <c r="A70" s="10" t="s">
        <v>309</v>
      </c>
      <c r="B70" s="10" t="s">
        <v>310</v>
      </c>
      <c r="C70" s="13">
        <f>_xll.BDH("RCOM IN Equity","IS_GAIN_LOSS_ON_INVESTMENTS","FY 2010","FY 2010","Currency=INR","Period=FY","BEST_FPERIOD_OVERRIDE=FY","FILING_STATUS=MR","EQY_CONSOLIDATED=Y","SCALING_FORMAT=MLN","Sort=A","Dates=H","DateFormat=P","Fill=—","Direction=H","UseDPDF=Y")</f>
        <v>-2094.9</v>
      </c>
      <c r="D70" s="13">
        <f>_xll.BDH("RCOM IN Equity","IS_GAIN_LOSS_ON_INVESTMENTS","FY 2011","FY 2011","Currency=INR","Period=FY","BEST_FPERIOD_OVERRIDE=FY","FILING_STATUS=MR","EQY_CONSOLIDATED=Y","SCALING_FORMAT=MLN","Sort=A","Dates=H","DateFormat=P","Fill=—","Direction=H","UseDPDF=Y")</f>
        <v>-570</v>
      </c>
      <c r="E70" s="13">
        <f>_xll.BDH("RCOM IN Equity","IS_GAIN_LOSS_ON_INVESTMENTS","FY 2012","FY 2012","Currency=INR","Period=FY","BEST_FPERIOD_OVERRIDE=FY","FILING_STATUS=MR","EQY_CONSOLIDATED=Y","SCALING_FORMAT=MLN","Sort=A","Dates=H","DateFormat=P","Fill=—","Direction=H","UseDPDF=Y")</f>
        <v>-230</v>
      </c>
      <c r="F70" s="13">
        <f>_xll.BDH("RCOM IN Equity","IS_GAIN_LOSS_ON_INVESTMENTS","FY 2013","FY 2013","Currency=INR","Period=FY","BEST_FPERIOD_OVERRIDE=FY","FILING_STATUS=MR","EQY_CONSOLIDATED=Y","SCALING_FORMAT=MLN","Sort=A","Dates=H","DateFormat=P","Fill=—","Direction=H","UseDPDF=Y")</f>
        <v>-350</v>
      </c>
      <c r="G70" s="13">
        <f>_xll.BDH("RCOM IN Equity","IS_GAIN_LOSS_ON_INVESTMENTS","FY 2014","FY 2014","Currency=INR","Period=FY","BEST_FPERIOD_OVERRIDE=FY","FILING_STATUS=MR","EQY_CONSOLIDATED=Y","SCALING_FORMAT=MLN","Sort=A","Dates=H","DateFormat=P","Fill=—","Direction=H","UseDPDF=Y")</f>
        <v>-90</v>
      </c>
      <c r="H70" s="13">
        <f>_xll.BDH("RCOM IN Equity","IS_GAIN_LOSS_ON_INVESTMENTS","FY 2015","FY 2015","Currency=INR","Period=FY","BEST_FPERIOD_OVERRIDE=FY","FILING_STATUS=MR","EQY_CONSOLIDATED=Y","SCALING_FORMAT=MLN","Sort=A","Dates=H","DateFormat=P","Fill=—","Direction=H","UseDPDF=Y")</f>
        <v>-300</v>
      </c>
      <c r="I70" s="13">
        <f>_xll.BDH("RCOM IN Equity","IS_GAIN_LOSS_ON_INVESTMENTS","FY 2016","FY 2016","Currency=INR","Period=FY","BEST_FPERIOD_OVERRIDE=FY","FILING_STATUS=MR","EQY_CONSOLIDATED=Y","SCALING_FORMAT=MLN","Sort=A","Dates=H","DateFormat=P","Fill=—","Direction=H","UseDPDF=Y")</f>
        <v>-30</v>
      </c>
      <c r="J70" s="13" t="str">
        <f>_xll.BDH("RCOM IN Equity","IS_GAIN_LOSS_ON_INVESTMENTS","FY 2017","FY 2017","Currency=INR","Period=FY","BEST_FPERIOD_OVERRIDE=FY","FILING_STATUS=MR","EQY_CONSOLIDATED=Y","SCALING_FORMAT=MLN","Sort=A","Dates=H","DateFormat=P","Fill=—","Direction=H","UseDPDF=Y")</f>
        <v>—</v>
      </c>
      <c r="K70" s="13" t="str">
        <f>_xll.BDH("RCOM IN Equity","IS_GAIN_LOSS_ON_INVESTMENTS","FY 2018","FY 2018","Currency=INR","Period=FY","BEST_FPERIOD_OVERRIDE=FY","FILING_STATUS=MR","EQY_CONSOLIDATED=Y","SCALING_FORMAT=MLN","Sort=A","Dates=H","DateFormat=P","Fill=—","Direction=H","UseDPDF=Y")</f>
        <v>—</v>
      </c>
      <c r="L70" s="16"/>
    </row>
    <row r="71" spans="1:12">
      <c r="A71" s="11" t="s">
        <v>249</v>
      </c>
      <c r="B71" s="11" t="s">
        <v>310</v>
      </c>
      <c r="C71" s="25">
        <v>-1.01276042359095</v>
      </c>
      <c r="D71" s="25">
        <v>-0.25804699171533302</v>
      </c>
      <c r="E71" s="25">
        <v>-0.122889506304766</v>
      </c>
      <c r="F71" s="25">
        <v>-0.18140354514356799</v>
      </c>
      <c r="G71" s="25">
        <v>-4.2979942693409698E-2</v>
      </c>
      <c r="H71" s="25">
        <v>-0.14003640946646101</v>
      </c>
      <c r="I71" s="25">
        <v>-1.3797544037161401E-2</v>
      </c>
      <c r="J71" s="25" t="s">
        <v>44</v>
      </c>
      <c r="K71" s="25" t="s">
        <v>44</v>
      </c>
      <c r="L71" s="28">
        <v>0</v>
      </c>
    </row>
    <row r="72" spans="1:12">
      <c r="A72" s="11" t="s">
        <v>249</v>
      </c>
      <c r="B72" s="11" t="s">
        <v>311</v>
      </c>
      <c r="C72" s="25" t="s">
        <v>44</v>
      </c>
      <c r="D72" s="25" t="s">
        <v>44</v>
      </c>
      <c r="E72" s="25" t="s">
        <v>44</v>
      </c>
      <c r="F72" s="25" t="s">
        <v>44</v>
      </c>
      <c r="G72" s="25" t="s">
        <v>44</v>
      </c>
      <c r="H72" s="25" t="s">
        <v>44</v>
      </c>
      <c r="I72" s="25" t="s">
        <v>44</v>
      </c>
      <c r="J72" s="25" t="s">
        <v>44</v>
      </c>
      <c r="K72" s="25" t="s">
        <v>44</v>
      </c>
      <c r="L72" s="28">
        <v>0</v>
      </c>
    </row>
    <row r="73" spans="1:12">
      <c r="A73" s="11" t="s">
        <v>249</v>
      </c>
      <c r="B73" s="11" t="s">
        <v>312</v>
      </c>
      <c r="C73" s="25" t="s">
        <v>44</v>
      </c>
      <c r="D73" s="25" t="s">
        <v>44</v>
      </c>
      <c r="E73" s="25" t="s">
        <v>44</v>
      </c>
      <c r="F73" s="25" t="s">
        <v>44</v>
      </c>
      <c r="G73" s="25" t="s">
        <v>44</v>
      </c>
      <c r="H73" s="25" t="s">
        <v>44</v>
      </c>
      <c r="I73" s="25" t="s">
        <v>44</v>
      </c>
      <c r="J73" s="25" t="s">
        <v>44</v>
      </c>
      <c r="K73" s="25" t="s">
        <v>44</v>
      </c>
      <c r="L73" s="28">
        <v>0</v>
      </c>
    </row>
    <row r="74" spans="1:12">
      <c r="A74" s="11" t="s">
        <v>249</v>
      </c>
      <c r="B74" s="11" t="s">
        <v>313</v>
      </c>
      <c r="C74" s="25" t="s">
        <v>44</v>
      </c>
      <c r="D74" s="25" t="s">
        <v>44</v>
      </c>
      <c r="E74" s="25" t="s">
        <v>44</v>
      </c>
      <c r="F74" s="25" t="s">
        <v>44</v>
      </c>
      <c r="G74" s="25" t="s">
        <v>44</v>
      </c>
      <c r="H74" s="25" t="s">
        <v>44</v>
      </c>
      <c r="I74" s="25" t="s">
        <v>44</v>
      </c>
      <c r="J74" s="25" t="s">
        <v>44</v>
      </c>
      <c r="K74" s="25" t="s">
        <v>44</v>
      </c>
      <c r="L74" s="28">
        <v>0</v>
      </c>
    </row>
    <row r="75" spans="1:12">
      <c r="A75" s="6" t="s">
        <v>314</v>
      </c>
      <c r="B75" s="6" t="s">
        <v>115</v>
      </c>
      <c r="C75" s="19">
        <f>_xll.BDH("RCOM IN Equity","PRETAX_INC","FY 2010","FY 2010","Currency=INR","Period=FY","BEST_FPERIOD_OVERRIDE=FY","FILING_STATUS=MR","EQY_CONSOLIDATED=Y","SCALING_FORMAT=MLN","FA_ADJUSTED=GAAP","Sort=A","Dates=H","DateFormat=P","Fill=—","Direction=H","UseDPDF=Y")</f>
        <v>52228.3</v>
      </c>
      <c r="D75" s="19">
        <f>_xll.BDH("RCOM IN Equity","PRETAX_INC","FY 2011","FY 2011","Currency=INR","Period=FY","BEST_FPERIOD_OVERRIDE=FY","FILING_STATUS=MR","EQY_CONSOLIDATED=Y","SCALING_FORMAT=MLN","FA_ADJUSTED=GAAP","Sort=A","Dates=H","DateFormat=P","Fill=—","Direction=H","UseDPDF=Y")</f>
        <v>15170</v>
      </c>
      <c r="E75" s="19">
        <f>_xll.BDH("RCOM IN Equity","PRETAX_INC","FY 2012","FY 2012","Currency=INR","Period=FY","BEST_FPERIOD_OVERRIDE=FY","FILING_STATUS=MR","EQY_CONSOLIDATED=Y","SCALING_FORMAT=MLN","FA_ADJUSTED=GAAP","Sort=A","Dates=H","DateFormat=P","Fill=—","Direction=H","UseDPDF=Y")</f>
        <v>8820</v>
      </c>
      <c r="F75" s="19">
        <f>_xll.BDH("RCOM IN Equity","PRETAX_INC","FY 2013","FY 2013","Currency=INR","Period=FY","BEST_FPERIOD_OVERRIDE=FY","FILING_STATUS=MR","EQY_CONSOLIDATED=Y","SCALING_FORMAT=MLN","FA_ADJUSTED=GAAP","Sort=A","Dates=H","DateFormat=P","Fill=—","Direction=H","UseDPDF=Y")</f>
        <v>8150</v>
      </c>
      <c r="G75" s="19">
        <f>_xll.BDH("RCOM IN Equity","PRETAX_INC","FY 2014","FY 2014","Currency=INR","Period=FY","BEST_FPERIOD_OVERRIDE=FY","FILING_STATUS=MR","EQY_CONSOLIDATED=Y","SCALING_FORMAT=MLN","FA_ADJUSTED=GAAP","Sort=A","Dates=H","DateFormat=P","Fill=—","Direction=H","UseDPDF=Y")</f>
        <v>1160</v>
      </c>
      <c r="H75" s="19">
        <f>_xll.BDH("RCOM IN Equity","PRETAX_INC","FY 2015","FY 2015","Currency=INR","Period=FY","BEST_FPERIOD_OVERRIDE=FY","FILING_STATUS=MR","EQY_CONSOLIDATED=Y","SCALING_FORMAT=MLN","FA_ADJUSTED=GAAP","Sort=A","Dates=H","DateFormat=P","Fill=—","Direction=H","UseDPDF=Y")</f>
        <v>9460</v>
      </c>
      <c r="I75" s="19">
        <f>_xll.BDH("RCOM IN Equity","PRETAX_INC","FY 2016","FY 2016","Currency=INR","Period=FY","BEST_FPERIOD_OVERRIDE=FY","FILING_STATUS=MR","EQY_CONSOLIDATED=Y","SCALING_FORMAT=MLN","FA_ADJUSTED=GAAP","Sort=A","Dates=H","DateFormat=P","Fill=—","Direction=H","UseDPDF=Y")</f>
        <v>2320</v>
      </c>
      <c r="J75" s="19">
        <f>_xll.BDH("RCOM IN Equity","PRETAX_INC","FY 2017","FY 2017","Currency=INR","Period=FY","BEST_FPERIOD_OVERRIDE=FY","FILING_STATUS=MR","EQY_CONSOLIDATED=Y","SCALING_FORMAT=MLN","FA_ADJUSTED=GAAP","Sort=A","Dates=H","DateFormat=P","Fill=—","Direction=H","UseDPDF=Y")</f>
        <v>1550</v>
      </c>
      <c r="K75" s="19">
        <f>_xll.BDH("RCOM IN Equity","PRETAX_INC","FY 2018","FY 2018","Currency=INR","Period=FY","BEST_FPERIOD_OVERRIDE=FY","FILING_STATUS=MR","EQY_CONSOLIDATED=Y","SCALING_FORMAT=MLN","FA_ADJUSTED=GAAP","Sort=A","Dates=H","DateFormat=P","Fill=—","Direction=H","UseDPDF=Y")</f>
        <v>-30</v>
      </c>
      <c r="L75" s="22">
        <v>20070</v>
      </c>
    </row>
    <row r="76" spans="1:12">
      <c r="A76" s="11" t="s">
        <v>249</v>
      </c>
      <c r="B76" s="11" t="s">
        <v>115</v>
      </c>
      <c r="C76" s="25">
        <v>25.249298406336901</v>
      </c>
      <c r="D76" s="25">
        <v>6.8676716917922898</v>
      </c>
      <c r="E76" s="25">
        <v>4.7125454156871101</v>
      </c>
      <c r="F76" s="25">
        <v>4.2241111226288002</v>
      </c>
      <c r="G76" s="25">
        <v>0.55396370582617005</v>
      </c>
      <c r="H76" s="25">
        <v>4.4158147785090804</v>
      </c>
      <c r="I76" s="25">
        <v>1.0670100722071501</v>
      </c>
      <c r="J76" s="25">
        <v>2.3649679584986298</v>
      </c>
      <c r="K76" s="25">
        <v>-6.5316786414108402E-2</v>
      </c>
      <c r="L76" s="28">
        <v>0</v>
      </c>
    </row>
    <row r="77" spans="1:12">
      <c r="A77" s="10" t="s">
        <v>315</v>
      </c>
      <c r="B77" s="10" t="s">
        <v>316</v>
      </c>
      <c r="C77" s="13">
        <f>_xll.BDH("RCOM IN Equity","IS_INC_TAX_EXP","FY 2010","FY 2010","Currency=INR","Period=FY","BEST_FPERIOD_OVERRIDE=FY","FILING_STATUS=MR","EQY_CONSOLIDATED=Y","SCALING_FORMAT=MLN","FA_ADJUSTED=GAAP","Sort=A","Dates=H","DateFormat=P","Fill=—","Direction=H","UseDPDF=Y")</f>
        <v>4453.8999999999996</v>
      </c>
      <c r="D77" s="13">
        <f>_xll.BDH("RCOM IN Equity","IS_INC_TAX_EXP","FY 2011","FY 2011","Currency=INR","Period=FY","BEST_FPERIOD_OVERRIDE=FY","FILING_STATUS=MR","EQY_CONSOLIDATED=Y","SCALING_FORMAT=MLN","FA_ADJUSTED=GAAP","Sort=A","Dates=H","DateFormat=P","Fill=—","Direction=H","UseDPDF=Y")</f>
        <v>120</v>
      </c>
      <c r="E77" s="13">
        <f>_xll.BDH("RCOM IN Equity","IS_INC_TAX_EXP","FY 2012","FY 2012","Currency=INR","Period=FY","BEST_FPERIOD_OVERRIDE=FY","FILING_STATUS=MR","EQY_CONSOLIDATED=Y","SCALING_FORMAT=MLN","FA_ADJUSTED=GAAP","Sort=A","Dates=H","DateFormat=P","Fill=—","Direction=H","UseDPDF=Y")</f>
        <v>-1060</v>
      </c>
      <c r="F77" s="13">
        <f>_xll.BDH("RCOM IN Equity","IS_INC_TAX_EXP","FY 2013","FY 2013","Currency=INR","Period=FY","BEST_FPERIOD_OVERRIDE=FY","FILING_STATUS=MR","EQY_CONSOLIDATED=Y","SCALING_FORMAT=MLN","FA_ADJUSTED=GAAP","Sort=A","Dates=H","DateFormat=P","Fill=—","Direction=H","UseDPDF=Y")</f>
        <v>710</v>
      </c>
      <c r="G77" s="13">
        <f>_xll.BDH("RCOM IN Equity","IS_INC_TAX_EXP","FY 2014","FY 2014","Currency=INR","Period=FY","BEST_FPERIOD_OVERRIDE=FY","FILING_STATUS=MR","EQY_CONSOLIDATED=Y","SCALING_FORMAT=MLN","FA_ADJUSTED=GAAP","Sort=A","Dates=H","DateFormat=P","Fill=—","Direction=H","UseDPDF=Y")</f>
        <v>-10210</v>
      </c>
      <c r="H77" s="13">
        <f>_xll.BDH("RCOM IN Equity","IS_INC_TAX_EXP","FY 2015","FY 2015","Currency=INR","Period=FY","BEST_FPERIOD_OVERRIDE=FY","FILING_STATUS=MR","EQY_CONSOLIDATED=Y","SCALING_FORMAT=MLN","FA_ADJUSTED=GAAP","Sort=A","Dates=H","DateFormat=P","Fill=—","Direction=H","UseDPDF=Y")</f>
        <v>3260</v>
      </c>
      <c r="I77" s="13">
        <f>_xll.BDH("RCOM IN Equity","IS_INC_TAX_EXP","FY 2016","FY 2016","Currency=INR","Period=FY","BEST_FPERIOD_OVERRIDE=FY","FILING_STATUS=MR","EQY_CONSOLIDATED=Y","SCALING_FORMAT=MLN","FA_ADJUSTED=GAAP","Sort=A","Dates=H","DateFormat=P","Fill=—","Direction=H","UseDPDF=Y")</f>
        <v>-4280</v>
      </c>
      <c r="J77" s="13">
        <f>_xll.BDH("RCOM IN Equity","IS_INC_TAX_EXP","FY 2017","FY 2017","Currency=INR","Period=FY","BEST_FPERIOD_OVERRIDE=FY","FILING_STATUS=MR","EQY_CONSOLIDATED=Y","SCALING_FORMAT=MLN","FA_ADJUSTED=GAAP","Sort=A","Dates=H","DateFormat=P","Fill=—","Direction=H","UseDPDF=Y")</f>
        <v>-900</v>
      </c>
      <c r="K77" s="13">
        <f>_xll.BDH("RCOM IN Equity","IS_INC_TAX_EXP","FY 2018","FY 2018","Currency=INR","Period=FY","BEST_FPERIOD_OVERRIDE=FY","FILING_STATUS=MR","EQY_CONSOLIDATED=Y","SCALING_FORMAT=MLN","FA_ADJUSTED=GAAP","Sort=A","Dates=H","DateFormat=P","Fill=—","Direction=H","UseDPDF=Y")</f>
        <v>160</v>
      </c>
      <c r="L77" s="16">
        <v>9940</v>
      </c>
    </row>
    <row r="78" spans="1:12">
      <c r="A78" s="11" t="s">
        <v>249</v>
      </c>
      <c r="B78" s="11" t="s">
        <v>316</v>
      </c>
      <c r="C78" s="25">
        <v>2.1531980000000002</v>
      </c>
      <c r="D78" s="25">
        <v>5.4325999999999999E-2</v>
      </c>
      <c r="E78" s="25">
        <v>-0.56635999999999997</v>
      </c>
      <c r="F78" s="25">
        <v>0.36798999999999998</v>
      </c>
      <c r="G78" s="25">
        <v>-4.8758359999999996</v>
      </c>
      <c r="H78" s="25">
        <v>1.5217290000000001</v>
      </c>
      <c r="I78" s="25">
        <v>-1.96845</v>
      </c>
      <c r="J78" s="25">
        <v>-1.3732070000000001</v>
      </c>
      <c r="K78" s="25">
        <v>0.348356</v>
      </c>
      <c r="L78" s="28">
        <v>-0.37383177570093501</v>
      </c>
    </row>
    <row r="79" spans="1:12">
      <c r="A79" s="10" t="s">
        <v>317</v>
      </c>
      <c r="B79" s="10" t="s">
        <v>318</v>
      </c>
      <c r="C79" s="13">
        <f>_xll.BDH("RCOM IN Equity","IS_CURRENT_INCOME_TAX_BENEFIT","FY 2010","FY 2010","Currency=INR","Period=FY","BEST_FPERIOD_OVERRIDE=FY","FILING_STATUS=MR","EQY_CONSOLIDATED=Y","SCALING_FORMAT=MLN","Sort=A","Dates=H","DateFormat=P","Fill=—","Direction=H","UseDPDF=Y")</f>
        <v>3725</v>
      </c>
      <c r="D79" s="13">
        <f>_xll.BDH("RCOM IN Equity","IS_CURRENT_INCOME_TAX_BENEFIT","FY 2011","FY 2011","Currency=INR","Period=FY","BEST_FPERIOD_OVERRIDE=FY","FILING_STATUS=MR","EQY_CONSOLIDATED=Y","SCALING_FORMAT=MLN","Sort=A","Dates=H","DateFormat=P","Fill=—","Direction=H","UseDPDF=Y")</f>
        <v>-2800</v>
      </c>
      <c r="E79" s="13">
        <f>_xll.BDH("RCOM IN Equity","IS_CURRENT_INCOME_TAX_BENEFIT","FY 2012","FY 2012","Currency=INR","Period=FY","BEST_FPERIOD_OVERRIDE=FY","FILING_STATUS=MR","EQY_CONSOLIDATED=Y","SCALING_FORMAT=MLN","Sort=A","Dates=H","DateFormat=P","Fill=—","Direction=H","UseDPDF=Y")</f>
        <v>-1060</v>
      </c>
      <c r="F79" s="13">
        <f>_xll.BDH("RCOM IN Equity","IS_CURRENT_INCOME_TAX_BENEFIT","FY 2013","FY 2013","Currency=INR","Period=FY","BEST_FPERIOD_OVERRIDE=FY","FILING_STATUS=MR","EQY_CONSOLIDATED=Y","SCALING_FORMAT=MLN","Sort=A","Dates=H","DateFormat=P","Fill=—","Direction=H","UseDPDF=Y")</f>
        <v>710</v>
      </c>
      <c r="G79" s="13">
        <f>_xll.BDH("RCOM IN Equity","IS_CURRENT_INCOME_TAX_BENEFIT","FY 2014","FY 2014","Currency=INR","Period=FY","BEST_FPERIOD_OVERRIDE=FY","FILING_STATUS=MR","EQY_CONSOLIDATED=Y","SCALING_FORMAT=MLN","Sort=A","Dates=H","DateFormat=P","Fill=—","Direction=H","UseDPDF=Y")</f>
        <v>360</v>
      </c>
      <c r="H79" s="13">
        <f>_xll.BDH("RCOM IN Equity","IS_CURRENT_INCOME_TAX_BENEFIT","FY 2015","FY 2015","Currency=INR","Period=FY","BEST_FPERIOD_OVERRIDE=FY","FILING_STATUS=MR","EQY_CONSOLIDATED=Y","SCALING_FORMAT=MLN","Sort=A","Dates=H","DateFormat=P","Fill=—","Direction=H","UseDPDF=Y")</f>
        <v>1140</v>
      </c>
      <c r="I79" s="13">
        <f>_xll.BDH("RCOM IN Equity","IS_CURRENT_INCOME_TAX_BENEFIT","FY 2016","FY 2016","Currency=INR","Period=FY","BEST_FPERIOD_OVERRIDE=FY","FILING_STATUS=MR","EQY_CONSOLIDATED=Y","SCALING_FORMAT=MLN","Sort=A","Dates=H","DateFormat=P","Fill=—","Direction=H","UseDPDF=Y")</f>
        <v>140</v>
      </c>
      <c r="J79" s="13">
        <f>_xll.BDH("RCOM IN Equity","IS_CURRENT_INCOME_TAX_BENEFIT","FY 2017","FY 2017","Currency=INR","Period=FY","BEST_FPERIOD_OVERRIDE=FY","FILING_STATUS=MR","EQY_CONSOLIDATED=Y","SCALING_FORMAT=MLN","Sort=A","Dates=H","DateFormat=P","Fill=—","Direction=H","UseDPDF=Y")</f>
        <v>20</v>
      </c>
      <c r="K79" s="13">
        <f>_xll.BDH("RCOM IN Equity","IS_CURRENT_INCOME_TAX_BENEFIT","FY 2018","FY 2018","Currency=INR","Period=FY","BEST_FPERIOD_OVERRIDE=FY","FILING_STATUS=MR","EQY_CONSOLIDATED=Y","SCALING_FORMAT=MLN","Sort=A","Dates=H","DateFormat=P","Fill=—","Direction=H","UseDPDF=Y")</f>
        <v>40</v>
      </c>
      <c r="L79" s="16">
        <v>100</v>
      </c>
    </row>
    <row r="80" spans="1:12">
      <c r="A80" s="11" t="s">
        <v>249</v>
      </c>
      <c r="B80" s="11" t="s">
        <v>318</v>
      </c>
      <c r="C80" s="25">
        <v>1.8008174986282399</v>
      </c>
      <c r="D80" s="25">
        <v>-1.26759925754901</v>
      </c>
      <c r="E80" s="25">
        <v>-0.56636033340457403</v>
      </c>
      <c r="F80" s="25">
        <v>0.367990048719809</v>
      </c>
      <c r="G80" s="25">
        <v>0.17191977077363901</v>
      </c>
      <c r="H80" s="25">
        <v>0.53213835597255299</v>
      </c>
      <c r="I80" s="25">
        <v>6.4388538840086496E-2</v>
      </c>
      <c r="J80" s="25">
        <v>3.0515715593530699E-2</v>
      </c>
      <c r="K80" s="25">
        <v>8.7089048552144596E-2</v>
      </c>
      <c r="L80" s="28">
        <v>0</v>
      </c>
    </row>
    <row r="81" spans="1:12">
      <c r="A81" s="10" t="s">
        <v>319</v>
      </c>
      <c r="B81" s="10" t="s">
        <v>320</v>
      </c>
      <c r="C81" s="13">
        <f>_xll.BDH("RCOM IN Equity","IS_DEFERRED_INCOME_TAX_BENEFIT","FY 2010","FY 2010","Currency=INR","Period=FY","BEST_FPERIOD_OVERRIDE=FY","FILING_STATUS=MR","EQY_CONSOLIDATED=Y","SCALING_FORMAT=MLN","Sort=A","Dates=H","DateFormat=P","Fill=—","Direction=H","UseDPDF=Y")</f>
        <v>728.9</v>
      </c>
      <c r="D81" s="13">
        <f>_xll.BDH("RCOM IN Equity","IS_DEFERRED_INCOME_TAX_BENEFIT","FY 2011","FY 2011","Currency=INR","Period=FY","BEST_FPERIOD_OVERRIDE=FY","FILING_STATUS=MR","EQY_CONSOLIDATED=Y","SCALING_FORMAT=MLN","Sort=A","Dates=H","DateFormat=P","Fill=—","Direction=H","UseDPDF=Y")</f>
        <v>2920</v>
      </c>
      <c r="E81" s="13">
        <f>_xll.BDH("RCOM IN Equity","IS_DEFERRED_INCOME_TAX_BENEFIT","FY 2012","FY 2012","Currency=INR","Period=FY","BEST_FPERIOD_OVERRIDE=FY","FILING_STATUS=MR","EQY_CONSOLIDATED=Y","SCALING_FORMAT=MLN","Sort=A","Dates=H","DateFormat=P","Fill=—","Direction=H","UseDPDF=Y")</f>
        <v>0</v>
      </c>
      <c r="F81" s="13">
        <f>_xll.BDH("RCOM IN Equity","IS_DEFERRED_INCOME_TAX_BENEFIT","FY 2013","FY 2013","Currency=INR","Period=FY","BEST_FPERIOD_OVERRIDE=FY","FILING_STATUS=MR","EQY_CONSOLIDATED=Y","SCALING_FORMAT=MLN","Sort=A","Dates=H","DateFormat=P","Fill=—","Direction=H","UseDPDF=Y")</f>
        <v>0</v>
      </c>
      <c r="G81" s="13">
        <f>_xll.BDH("RCOM IN Equity","IS_DEFERRED_INCOME_TAX_BENEFIT","FY 2014","FY 2014","Currency=INR","Period=FY","BEST_FPERIOD_OVERRIDE=FY","FILING_STATUS=MR","EQY_CONSOLIDATED=Y","SCALING_FORMAT=MLN","Sort=A","Dates=H","DateFormat=P","Fill=—","Direction=H","UseDPDF=Y")</f>
        <v>-10570</v>
      </c>
      <c r="H81" s="13">
        <f>_xll.BDH("RCOM IN Equity","IS_DEFERRED_INCOME_TAX_BENEFIT","FY 2015","FY 2015","Currency=INR","Period=FY","BEST_FPERIOD_OVERRIDE=FY","FILING_STATUS=MR","EQY_CONSOLIDATED=Y","SCALING_FORMAT=MLN","Sort=A","Dates=H","DateFormat=P","Fill=—","Direction=H","UseDPDF=Y")</f>
        <v>2120</v>
      </c>
      <c r="I81" s="13">
        <f>_xll.BDH("RCOM IN Equity","IS_DEFERRED_INCOME_TAX_BENEFIT","FY 2016","FY 2016","Currency=INR","Period=FY","BEST_FPERIOD_OVERRIDE=FY","FILING_STATUS=MR","EQY_CONSOLIDATED=Y","SCALING_FORMAT=MLN","Sort=A","Dates=H","DateFormat=P","Fill=—","Direction=H","UseDPDF=Y")</f>
        <v>-4420</v>
      </c>
      <c r="J81" s="13">
        <f>_xll.BDH("RCOM IN Equity","IS_DEFERRED_INCOME_TAX_BENEFIT","FY 2017","FY 2017","Currency=INR","Period=FY","BEST_FPERIOD_OVERRIDE=FY","FILING_STATUS=MR","EQY_CONSOLIDATED=Y","SCALING_FORMAT=MLN","Sort=A","Dates=H","DateFormat=P","Fill=—","Direction=H","UseDPDF=Y")</f>
        <v>-920</v>
      </c>
      <c r="K81" s="13">
        <f>_xll.BDH("RCOM IN Equity","IS_DEFERRED_INCOME_TAX_BENEFIT","FY 2018","FY 2018","Currency=INR","Period=FY","BEST_FPERIOD_OVERRIDE=FY","FILING_STATUS=MR","EQY_CONSOLIDATED=Y","SCALING_FORMAT=MLN","Sort=A","Dates=H","DateFormat=P","Fill=—","Direction=H","UseDPDF=Y")</f>
        <v>120</v>
      </c>
      <c r="L81" s="16">
        <v>9840</v>
      </c>
    </row>
    <row r="82" spans="1:12">
      <c r="A82" s="11" t="s">
        <v>249</v>
      </c>
      <c r="B82" s="11" t="s">
        <v>320</v>
      </c>
      <c r="C82" s="25">
        <v>0.352380100604059</v>
      </c>
      <c r="D82" s="25">
        <v>1.3219249400153901</v>
      </c>
      <c r="E82" s="25">
        <v>0</v>
      </c>
      <c r="F82" s="25">
        <v>0</v>
      </c>
      <c r="G82" s="25">
        <v>-5.0477554918815697</v>
      </c>
      <c r="H82" s="25">
        <v>0.98959062689632604</v>
      </c>
      <c r="I82" s="25">
        <v>-2.0328381548084402</v>
      </c>
      <c r="J82" s="25">
        <v>-1.4037229173024099</v>
      </c>
      <c r="K82" s="25">
        <v>0.261267145656434</v>
      </c>
      <c r="L82" s="28">
        <v>0</v>
      </c>
    </row>
    <row r="83" spans="1:12">
      <c r="A83" s="11" t="s">
        <v>249</v>
      </c>
      <c r="B83" s="11" t="s">
        <v>321</v>
      </c>
      <c r="C83" s="25" t="s">
        <v>44</v>
      </c>
      <c r="D83" s="25" t="s">
        <v>44</v>
      </c>
      <c r="E83" s="25" t="s">
        <v>44</v>
      </c>
      <c r="F83" s="25" t="s">
        <v>44</v>
      </c>
      <c r="G83" s="25" t="s">
        <v>44</v>
      </c>
      <c r="H83" s="25" t="s">
        <v>44</v>
      </c>
      <c r="I83" s="25" t="s">
        <v>44</v>
      </c>
      <c r="J83" s="25" t="s">
        <v>44</v>
      </c>
      <c r="K83" s="25" t="s">
        <v>44</v>
      </c>
      <c r="L83" s="28">
        <v>0</v>
      </c>
    </row>
    <row r="84" spans="1:12">
      <c r="A84" s="11" t="s">
        <v>249</v>
      </c>
      <c r="B84" s="11" t="s">
        <v>322</v>
      </c>
      <c r="C84" s="25" t="s">
        <v>44</v>
      </c>
      <c r="D84" s="25" t="s">
        <v>44</v>
      </c>
      <c r="E84" s="25" t="s">
        <v>44</v>
      </c>
      <c r="F84" s="25" t="s">
        <v>44</v>
      </c>
      <c r="G84" s="25" t="s">
        <v>44</v>
      </c>
      <c r="H84" s="25" t="s">
        <v>44</v>
      </c>
      <c r="I84" s="25" t="s">
        <v>44</v>
      </c>
      <c r="J84" s="25" t="s">
        <v>44</v>
      </c>
      <c r="K84" s="25" t="s">
        <v>44</v>
      </c>
      <c r="L84" s="28">
        <v>0</v>
      </c>
    </row>
    <row r="85" spans="1:12">
      <c r="A85" s="10" t="s">
        <v>323</v>
      </c>
      <c r="B85" s="10" t="s">
        <v>324</v>
      </c>
      <c r="C85" s="13">
        <f>_xll.BDH("RCOM IN Equity","IS_SH_PRO_EQY_MT_INV_NET_OF_TAX","FY 2010","FY 2010","Currency=INR","Period=FY","BEST_FPERIOD_OVERRIDE=FY","FILING_STATUS=MR","EQY_CONSOLIDATED=Y","SCALING_FORMAT=MLN","FA_ADJUSTED=GAAP","Sort=A","Dates=H","DateFormat=P","Fill=—","Direction=H","UseDPDF=Y")</f>
        <v>31.9</v>
      </c>
      <c r="D85" s="13">
        <f>_xll.BDH("RCOM IN Equity","IS_SH_PRO_EQY_MT_INV_NET_OF_TAX","FY 2011","FY 2011","Currency=INR","Period=FY","BEST_FPERIOD_OVERRIDE=FY","FILING_STATUS=MR","EQY_CONSOLIDATED=Y","SCALING_FORMAT=MLN","FA_ADJUSTED=GAAP","Sort=A","Dates=H","DateFormat=P","Fill=—","Direction=H","UseDPDF=Y")</f>
        <v>100</v>
      </c>
      <c r="E85" s="13">
        <f>_xll.BDH("RCOM IN Equity","IS_SH_PRO_EQY_MT_INV_NET_OF_TAX","FY 2012","FY 2012","Currency=INR","Period=FY","BEST_FPERIOD_OVERRIDE=FY","FILING_STATUS=MR","EQY_CONSOLIDATED=Y","SCALING_FORMAT=MLN","FA_ADJUSTED=GAAP","Sort=A","Dates=H","DateFormat=P","Fill=—","Direction=H","UseDPDF=Y")</f>
        <v>-10</v>
      </c>
      <c r="F85" s="13">
        <f>_xll.BDH("RCOM IN Equity","IS_SH_PRO_EQY_MT_INV_NET_OF_TAX","FY 2013","FY 2013","Currency=INR","Period=FY","BEST_FPERIOD_OVERRIDE=FY","FILING_STATUS=MR","EQY_CONSOLIDATED=Y","SCALING_FORMAT=MLN","FA_ADJUSTED=GAAP","Sort=A","Dates=H","DateFormat=P","Fill=—","Direction=H","UseDPDF=Y")</f>
        <v>-10</v>
      </c>
      <c r="G85" s="13">
        <f>_xll.BDH("RCOM IN Equity","IS_SH_PRO_EQY_MT_INV_NET_OF_TAX","FY 2014","FY 2014","Currency=INR","Period=FY","BEST_FPERIOD_OVERRIDE=FY","FILING_STATUS=MR","EQY_CONSOLIDATED=Y","SCALING_FORMAT=MLN","FA_ADJUSTED=GAAP","Sort=A","Dates=H","DateFormat=P","Fill=—","Direction=H","UseDPDF=Y")</f>
        <v>-20</v>
      </c>
      <c r="H85" s="13">
        <f>_xll.BDH("RCOM IN Equity","IS_SH_PRO_EQY_MT_INV_NET_OF_TAX","FY 2015","FY 2015","Currency=INR","Period=FY","BEST_FPERIOD_OVERRIDE=FY","FILING_STATUS=MR","EQY_CONSOLIDATED=Y","SCALING_FORMAT=MLN","FA_ADJUSTED=GAAP","Sort=A","Dates=H","DateFormat=P","Fill=—","Direction=H","UseDPDF=Y")</f>
        <v>-30</v>
      </c>
      <c r="I85" s="13" t="str">
        <f>_xll.BDH("RCOM IN Equity","IS_SH_PRO_EQY_MT_INV_NET_OF_TAX","FY 2016","FY 2016","Currency=INR","Period=FY","BEST_FPERIOD_OVERRIDE=FY","FILING_STATUS=MR","EQY_CONSOLIDATED=Y","SCALING_FORMAT=MLN","FA_ADJUSTED=GAAP","Sort=A","Dates=H","DateFormat=P","Fill=—","Direction=H","UseDPDF=Y")</f>
        <v>—</v>
      </c>
      <c r="J85" s="13" t="str">
        <f>_xll.BDH("RCOM IN Equity","IS_SH_PRO_EQY_MT_INV_NET_OF_TAX","FY 2017","FY 2017","Currency=INR","Period=FY","BEST_FPERIOD_OVERRIDE=FY","FILING_STATUS=MR","EQY_CONSOLIDATED=Y","SCALING_FORMAT=MLN","FA_ADJUSTED=GAAP","Sort=A","Dates=H","DateFormat=P","Fill=—","Direction=H","UseDPDF=Y")</f>
        <v>—</v>
      </c>
      <c r="K85" s="13" t="str">
        <f>_xll.BDH("RCOM IN Equity","IS_SH_PRO_EQY_MT_INV_NET_OF_TAX","FY 2018","FY 2018","Currency=INR","Period=FY","BEST_FPERIOD_OVERRIDE=FY","FILING_STATUS=MR","EQY_CONSOLIDATED=Y","SCALING_FORMAT=MLN","FA_ADJUSTED=GAAP","Sort=A","Dates=H","DateFormat=P","Fill=—","Direction=H","UseDPDF=Y")</f>
        <v>—</v>
      </c>
      <c r="L85" s="16"/>
    </row>
    <row r="86" spans="1:12">
      <c r="A86" s="11" t="s">
        <v>249</v>
      </c>
      <c r="B86" s="11" t="s">
        <v>324</v>
      </c>
      <c r="C86" s="25">
        <v>1.5421765961406901E-2</v>
      </c>
      <c r="D86" s="25">
        <v>4.5271402055321701E-2</v>
      </c>
      <c r="E86" s="25">
        <v>-5.3430220132506898E-3</v>
      </c>
      <c r="F86" s="25">
        <v>-5.1829584326733699E-3</v>
      </c>
      <c r="G86" s="25">
        <v>-9.5510983763132801E-3</v>
      </c>
      <c r="H86" s="25">
        <v>-1.40036409466461E-2</v>
      </c>
      <c r="I86" s="25" t="s">
        <v>44</v>
      </c>
      <c r="J86" s="25" t="s">
        <v>44</v>
      </c>
      <c r="K86" s="25" t="s">
        <v>44</v>
      </c>
      <c r="L86" s="28">
        <v>0</v>
      </c>
    </row>
    <row r="87" spans="1:12">
      <c r="A87" s="6" t="s">
        <v>325</v>
      </c>
      <c r="B87" s="6" t="s">
        <v>326</v>
      </c>
      <c r="C87" s="19">
        <f>_xll.BDH("RCOM IN Equity","IS_INC_BEF_XO_ITEM","FY 2010","FY 2010","Currency=INR","Period=FY","BEST_FPERIOD_OVERRIDE=FY","FILING_STATUS=MR","EQY_CONSOLIDATED=Y","SCALING_FORMAT=MLN","Sort=A","Dates=H","DateFormat=P","Fill=—","Direction=H","UseDPDF=Y")</f>
        <v>47742.5</v>
      </c>
      <c r="D87" s="19">
        <f>_xll.BDH("RCOM IN Equity","IS_INC_BEF_XO_ITEM","FY 2011","FY 2011","Currency=INR","Period=FY","BEST_FPERIOD_OVERRIDE=FY","FILING_STATUS=MR","EQY_CONSOLIDATED=Y","SCALING_FORMAT=MLN","Sort=A","Dates=H","DateFormat=P","Fill=—","Direction=H","UseDPDF=Y")</f>
        <v>14950</v>
      </c>
      <c r="E87" s="19">
        <f>_xll.BDH("RCOM IN Equity","IS_INC_BEF_XO_ITEM","FY 2012","FY 2012","Currency=INR","Period=FY","BEST_FPERIOD_OVERRIDE=FY","FILING_STATUS=MR","EQY_CONSOLIDATED=Y","SCALING_FORMAT=MLN","Sort=A","Dates=H","DateFormat=P","Fill=—","Direction=H","UseDPDF=Y")</f>
        <v>9890</v>
      </c>
      <c r="F87" s="19">
        <f>_xll.BDH("RCOM IN Equity","IS_INC_BEF_XO_ITEM","FY 2013","FY 2013","Currency=INR","Period=FY","BEST_FPERIOD_OVERRIDE=FY","FILING_STATUS=MR","EQY_CONSOLIDATED=Y","SCALING_FORMAT=MLN","Sort=A","Dates=H","DateFormat=P","Fill=—","Direction=H","UseDPDF=Y")</f>
        <v>7450</v>
      </c>
      <c r="G87" s="19">
        <f>_xll.BDH("RCOM IN Equity","IS_INC_BEF_XO_ITEM","FY 2014","FY 2014","Currency=INR","Period=FY","BEST_FPERIOD_OVERRIDE=FY","FILING_STATUS=MR","EQY_CONSOLIDATED=Y","SCALING_FORMAT=MLN","Sort=A","Dates=H","DateFormat=P","Fill=—","Direction=H","UseDPDF=Y")</f>
        <v>11390</v>
      </c>
      <c r="H87" s="19">
        <f>_xll.BDH("RCOM IN Equity","IS_INC_BEF_XO_ITEM","FY 2015","FY 2015","Currency=INR","Period=FY","BEST_FPERIOD_OVERRIDE=FY","FILING_STATUS=MR","EQY_CONSOLIDATED=Y","SCALING_FORMAT=MLN","Sort=A","Dates=H","DateFormat=P","Fill=—","Direction=H","UseDPDF=Y")</f>
        <v>6230</v>
      </c>
      <c r="I87" s="19">
        <f>_xll.BDH("RCOM IN Equity","IS_INC_BEF_XO_ITEM","FY 2016","FY 2016","Currency=INR","Period=FY","BEST_FPERIOD_OVERRIDE=FY","FILING_STATUS=MR","EQY_CONSOLIDATED=Y","SCALING_FORMAT=MLN","Sort=A","Dates=H","DateFormat=P","Fill=—","Direction=H","UseDPDF=Y")</f>
        <v>6600</v>
      </c>
      <c r="J87" s="19">
        <f>_xll.BDH("RCOM IN Equity","IS_INC_BEF_XO_ITEM","FY 2017","FY 2017","Currency=INR","Period=FY","BEST_FPERIOD_OVERRIDE=FY","FILING_STATUS=MR","EQY_CONSOLIDATED=Y","SCALING_FORMAT=MLN","Sort=A","Dates=H","DateFormat=P","Fill=—","Direction=H","UseDPDF=Y")</f>
        <v>2450</v>
      </c>
      <c r="K87" s="19">
        <f>_xll.BDH("RCOM IN Equity","IS_INC_BEF_XO_ITEM","FY 2018","FY 2018","Currency=INR","Period=FY","BEST_FPERIOD_OVERRIDE=FY","FILING_STATUS=MR","EQY_CONSOLIDATED=Y","SCALING_FORMAT=MLN","Sort=A","Dates=H","DateFormat=P","Fill=—","Direction=H","UseDPDF=Y")</f>
        <v>-190</v>
      </c>
      <c r="L87" s="22">
        <v>10120</v>
      </c>
    </row>
    <row r="88" spans="1:12">
      <c r="A88" s="11" t="s">
        <v>249</v>
      </c>
      <c r="B88" s="11" t="s">
        <v>326</v>
      </c>
      <c r="C88" s="25">
        <v>23.080679</v>
      </c>
      <c r="D88" s="25">
        <v>6.7680749999999996</v>
      </c>
      <c r="E88" s="25">
        <v>5.284249</v>
      </c>
      <c r="F88" s="25">
        <v>3.8613040000000001</v>
      </c>
      <c r="G88" s="25">
        <v>5.4393510000000003</v>
      </c>
      <c r="H88" s="25">
        <v>2.9080889999999999</v>
      </c>
      <c r="I88" s="25">
        <v>3.03546</v>
      </c>
      <c r="J88" s="25">
        <v>3.738175</v>
      </c>
      <c r="K88" s="25">
        <v>-0.41367300000000001</v>
      </c>
      <c r="L88" s="28">
        <v>-9.8130841121495305</v>
      </c>
    </row>
    <row r="89" spans="1:12">
      <c r="A89" s="10" t="s">
        <v>327</v>
      </c>
      <c r="B89" s="10" t="s">
        <v>328</v>
      </c>
      <c r="C89" s="13">
        <f>_xll.BDH("RCOM IN Equity","XO_GL_NET_OF_TAX","FY 2010","FY 2010","Currency=INR","Period=FY","BEST_FPERIOD_OVERRIDE=FY","FILING_STATUS=MR","EQY_CONSOLIDATED=Y","SCALING_FORMAT=MLN","Sort=A","Dates=H","DateFormat=P","Fill=—","Direction=H","UseDPDF=Y")</f>
        <v>0</v>
      </c>
      <c r="D89" s="13">
        <f>_xll.BDH("RCOM IN Equity","XO_GL_NET_OF_TAX","FY 2011","FY 2011","Currency=INR","Period=FY","BEST_FPERIOD_OVERRIDE=FY","FILING_STATUS=MR","EQY_CONSOLIDATED=Y","SCALING_FORMAT=MLN","Sort=A","Dates=H","DateFormat=P","Fill=—","Direction=H","UseDPDF=Y")</f>
        <v>0</v>
      </c>
      <c r="E89" s="13">
        <f>_xll.BDH("RCOM IN Equity","XO_GL_NET_OF_TAX","FY 2012","FY 2012","Currency=INR","Period=FY","BEST_FPERIOD_OVERRIDE=FY","FILING_STATUS=MR","EQY_CONSOLIDATED=Y","SCALING_FORMAT=MLN","Sort=A","Dates=H","DateFormat=P","Fill=—","Direction=H","UseDPDF=Y")</f>
        <v>0</v>
      </c>
      <c r="F89" s="13">
        <f>_xll.BDH("RCOM IN Equity","XO_GL_NET_OF_TAX","FY 2013","FY 2013","Currency=INR","Period=FY","BEST_FPERIOD_OVERRIDE=FY","FILING_STATUS=MR","EQY_CONSOLIDATED=Y","SCALING_FORMAT=MLN","Sort=A","Dates=H","DateFormat=P","Fill=—","Direction=H","UseDPDF=Y")</f>
        <v>0</v>
      </c>
      <c r="G89" s="13">
        <f>_xll.BDH("RCOM IN Equity","XO_GL_NET_OF_TAX","FY 2014","FY 2014","Currency=INR","Period=FY","BEST_FPERIOD_OVERRIDE=FY","FILING_STATUS=MR","EQY_CONSOLIDATED=Y","SCALING_FORMAT=MLN","Sort=A","Dates=H","DateFormat=P","Fill=—","Direction=H","UseDPDF=Y")</f>
        <v>0</v>
      </c>
      <c r="H89" s="13">
        <f>_xll.BDH("RCOM IN Equity","XO_GL_NET_OF_TAX","FY 2015","FY 2015","Currency=INR","Period=FY","BEST_FPERIOD_OVERRIDE=FY","FILING_STATUS=MR","EQY_CONSOLIDATED=Y","SCALING_FORMAT=MLN","Sort=A","Dates=H","DateFormat=P","Fill=—","Direction=H","UseDPDF=Y")</f>
        <v>0</v>
      </c>
      <c r="I89" s="13">
        <f>_xll.BDH("RCOM IN Equity","XO_GL_NET_OF_TAX","FY 2016","FY 2016","Currency=INR","Period=FY","BEST_FPERIOD_OVERRIDE=FY","FILING_STATUS=MR","EQY_CONSOLIDATED=Y","SCALING_FORMAT=MLN","Sort=A","Dates=H","DateFormat=P","Fill=—","Direction=H","UseDPDF=Y")</f>
        <v>0</v>
      </c>
      <c r="J89" s="13">
        <f>_xll.BDH("RCOM IN Equity","XO_GL_NET_OF_TAX","FY 2017","FY 2017","Currency=INR","Period=FY","BEST_FPERIOD_OVERRIDE=FY","FILING_STATUS=MR","EQY_CONSOLIDATED=Y","SCALING_FORMAT=MLN","Sort=A","Dates=H","DateFormat=P","Fill=—","Direction=H","UseDPDF=Y")</f>
        <v>15280</v>
      </c>
      <c r="K89" s="13">
        <f>_xll.BDH("RCOM IN Equity","XO_GL_NET_OF_TAX","FY 2018","FY 2018","Currency=INR","Period=FY","BEST_FPERIOD_OVERRIDE=FY","FILING_STATUS=MR","EQY_CONSOLIDATED=Y","SCALING_FORMAT=MLN","Sort=A","Dates=H","DateFormat=P","Fill=—","Direction=H","UseDPDF=Y")</f>
        <v>238880</v>
      </c>
      <c r="L89" s="16">
        <v>203240</v>
      </c>
    </row>
    <row r="90" spans="1:12">
      <c r="A90" s="11" t="s">
        <v>249</v>
      </c>
      <c r="B90" s="11" t="s">
        <v>328</v>
      </c>
      <c r="C90" s="25">
        <v>0</v>
      </c>
      <c r="D90" s="25">
        <v>0</v>
      </c>
      <c r="E90" s="25">
        <v>0</v>
      </c>
      <c r="F90" s="25">
        <v>0</v>
      </c>
      <c r="G90" s="25">
        <v>0</v>
      </c>
      <c r="H90" s="25">
        <v>0</v>
      </c>
      <c r="I90" s="25">
        <v>0</v>
      </c>
      <c r="J90" s="25">
        <v>23.314006713457399</v>
      </c>
      <c r="K90" s="25">
        <v>520.09579795340699</v>
      </c>
      <c r="L90" s="28">
        <v>0</v>
      </c>
    </row>
    <row r="91" spans="1:12">
      <c r="A91" s="10" t="s">
        <v>329</v>
      </c>
      <c r="B91" s="10" t="s">
        <v>330</v>
      </c>
      <c r="C91" s="13">
        <f>_xll.BDH("RCOM IN Equity","IS_DISCONTINUED_OPERATIONS","FY 2010","FY 2010","Currency=INR","Period=FY","BEST_FPERIOD_OVERRIDE=FY","FILING_STATUS=MR","EQY_CONSOLIDATED=Y","SCALING_FORMAT=MLN","Sort=A","Dates=H","DateFormat=P","Fill=—","Direction=H","UseDPDF=Y")</f>
        <v>0</v>
      </c>
      <c r="D91" s="13">
        <f>_xll.BDH("RCOM IN Equity","IS_DISCONTINUED_OPERATIONS","FY 2011","FY 2011","Currency=INR","Period=FY","BEST_FPERIOD_OVERRIDE=FY","FILING_STATUS=MR","EQY_CONSOLIDATED=Y","SCALING_FORMAT=MLN","Sort=A","Dates=H","DateFormat=P","Fill=—","Direction=H","UseDPDF=Y")</f>
        <v>0</v>
      </c>
      <c r="E91" s="13">
        <f>_xll.BDH("RCOM IN Equity","IS_DISCONTINUED_OPERATIONS","FY 2012","FY 2012","Currency=INR","Period=FY","BEST_FPERIOD_OVERRIDE=FY","FILING_STATUS=MR","EQY_CONSOLIDATED=Y","SCALING_FORMAT=MLN","Sort=A","Dates=H","DateFormat=P","Fill=—","Direction=H","UseDPDF=Y")</f>
        <v>0</v>
      </c>
      <c r="F91" s="13">
        <f>_xll.BDH("RCOM IN Equity","IS_DISCONTINUED_OPERATIONS","FY 2013","FY 2013","Currency=INR","Period=FY","BEST_FPERIOD_OVERRIDE=FY","FILING_STATUS=MR","EQY_CONSOLIDATED=Y","SCALING_FORMAT=MLN","Sort=A","Dates=H","DateFormat=P","Fill=—","Direction=H","UseDPDF=Y")</f>
        <v>0</v>
      </c>
      <c r="G91" s="13">
        <f>_xll.BDH("RCOM IN Equity","IS_DISCONTINUED_OPERATIONS","FY 2014","FY 2014","Currency=INR","Period=FY","BEST_FPERIOD_OVERRIDE=FY","FILING_STATUS=MR","EQY_CONSOLIDATED=Y","SCALING_FORMAT=MLN","Sort=A","Dates=H","DateFormat=P","Fill=—","Direction=H","UseDPDF=Y")</f>
        <v>0</v>
      </c>
      <c r="H91" s="13">
        <f>_xll.BDH("RCOM IN Equity","IS_DISCONTINUED_OPERATIONS","FY 2015","FY 2015","Currency=INR","Period=FY","BEST_FPERIOD_OVERRIDE=FY","FILING_STATUS=MR","EQY_CONSOLIDATED=Y","SCALING_FORMAT=MLN","Sort=A","Dates=H","DateFormat=P","Fill=—","Direction=H","UseDPDF=Y")</f>
        <v>0</v>
      </c>
      <c r="I91" s="13">
        <f>_xll.BDH("RCOM IN Equity","IS_DISCONTINUED_OPERATIONS","FY 2016","FY 2016","Currency=INR","Period=FY","BEST_FPERIOD_OVERRIDE=FY","FILING_STATUS=MR","EQY_CONSOLIDATED=Y","SCALING_FORMAT=MLN","Sort=A","Dates=H","DateFormat=P","Fill=—","Direction=H","UseDPDF=Y")</f>
        <v>0</v>
      </c>
      <c r="J91" s="13">
        <f>_xll.BDH("RCOM IN Equity","IS_DISCONTINUED_OPERATIONS","FY 2017","FY 2017","Currency=INR","Period=FY","BEST_FPERIOD_OVERRIDE=FY","FILING_STATUS=MR","EQY_CONSOLIDATED=Y","SCALING_FORMAT=MLN","Sort=A","Dates=H","DateFormat=P","Fill=—","Direction=H","UseDPDF=Y")</f>
        <v>15280</v>
      </c>
      <c r="K91" s="13">
        <f>_xll.BDH("RCOM IN Equity","IS_DISCONTINUED_OPERATIONS","FY 2018","FY 2018","Currency=INR","Period=FY","BEST_FPERIOD_OVERRIDE=FY","FILING_STATUS=MR","EQY_CONSOLIDATED=Y","SCALING_FORMAT=MLN","Sort=A","Dates=H","DateFormat=P","Fill=—","Direction=H","UseDPDF=Y")</f>
        <v>238880</v>
      </c>
      <c r="L91" s="16">
        <v>203240</v>
      </c>
    </row>
    <row r="92" spans="1:12">
      <c r="A92" s="11" t="s">
        <v>249</v>
      </c>
      <c r="B92" s="11" t="s">
        <v>330</v>
      </c>
      <c r="C92" s="25">
        <v>0</v>
      </c>
      <c r="D92" s="25">
        <v>0</v>
      </c>
      <c r="E92" s="25">
        <v>0</v>
      </c>
      <c r="F92" s="25">
        <v>0</v>
      </c>
      <c r="G92" s="25">
        <v>0</v>
      </c>
      <c r="H92" s="25">
        <v>0</v>
      </c>
      <c r="I92" s="25">
        <v>0</v>
      </c>
      <c r="J92" s="25">
        <v>23.314006713457399</v>
      </c>
      <c r="K92" s="25">
        <v>520.09579795340699</v>
      </c>
      <c r="L92" s="28">
        <v>0</v>
      </c>
    </row>
    <row r="93" spans="1:12">
      <c r="A93" s="10" t="s">
        <v>331</v>
      </c>
      <c r="B93" s="10" t="s">
        <v>332</v>
      </c>
      <c r="C93" s="13">
        <f>_xll.BDH("RCOM IN Equity","IS_EXTRAORD_ITEMS_&amp;_ACCTG_CHNG","FY 2010","FY 2010","Currency=INR","Period=FY","BEST_FPERIOD_OVERRIDE=FY","FILING_STATUS=MR","EQY_CONSOLIDATED=Y","SCALING_FORMAT=MLN","Sort=A","Dates=H","DateFormat=P","Fill=—","Direction=H","UseDPDF=Y")</f>
        <v>0</v>
      </c>
      <c r="D93" s="13">
        <f>_xll.BDH("RCOM IN Equity","IS_EXTRAORD_ITEMS_&amp;_ACCTG_CHNG","FY 2011","FY 2011","Currency=INR","Period=FY","BEST_FPERIOD_OVERRIDE=FY","FILING_STATUS=MR","EQY_CONSOLIDATED=Y","SCALING_FORMAT=MLN","Sort=A","Dates=H","DateFormat=P","Fill=—","Direction=H","UseDPDF=Y")</f>
        <v>0</v>
      </c>
      <c r="E93" s="13">
        <f>_xll.BDH("RCOM IN Equity","IS_EXTRAORD_ITEMS_&amp;_ACCTG_CHNG","FY 2012","FY 2012","Currency=INR","Period=FY","BEST_FPERIOD_OVERRIDE=FY","FILING_STATUS=MR","EQY_CONSOLIDATED=Y","SCALING_FORMAT=MLN","Sort=A","Dates=H","DateFormat=P","Fill=—","Direction=H","UseDPDF=Y")</f>
        <v>0</v>
      </c>
      <c r="F93" s="13">
        <f>_xll.BDH("RCOM IN Equity","IS_EXTRAORD_ITEMS_&amp;_ACCTG_CHNG","FY 2013","FY 2013","Currency=INR","Period=FY","BEST_FPERIOD_OVERRIDE=FY","FILING_STATUS=MR","EQY_CONSOLIDATED=Y","SCALING_FORMAT=MLN","Sort=A","Dates=H","DateFormat=P","Fill=—","Direction=H","UseDPDF=Y")</f>
        <v>0</v>
      </c>
      <c r="G93" s="13">
        <f>_xll.BDH("RCOM IN Equity","IS_EXTRAORD_ITEMS_&amp;_ACCTG_CHNG","FY 2014","FY 2014","Currency=INR","Period=FY","BEST_FPERIOD_OVERRIDE=FY","FILING_STATUS=MR","EQY_CONSOLIDATED=Y","SCALING_FORMAT=MLN","Sort=A","Dates=H","DateFormat=P","Fill=—","Direction=H","UseDPDF=Y")</f>
        <v>0</v>
      </c>
      <c r="H93" s="13">
        <f>_xll.BDH("RCOM IN Equity","IS_EXTRAORD_ITEMS_&amp;_ACCTG_CHNG","FY 2015","FY 2015","Currency=INR","Period=FY","BEST_FPERIOD_OVERRIDE=FY","FILING_STATUS=MR","EQY_CONSOLIDATED=Y","SCALING_FORMAT=MLN","Sort=A","Dates=H","DateFormat=P","Fill=—","Direction=H","UseDPDF=Y")</f>
        <v>0</v>
      </c>
      <c r="I93" s="13">
        <f>_xll.BDH("RCOM IN Equity","IS_EXTRAORD_ITEMS_&amp;_ACCTG_CHNG","FY 2016","FY 2016","Currency=INR","Period=FY","BEST_FPERIOD_OVERRIDE=FY","FILING_STATUS=MR","EQY_CONSOLIDATED=Y","SCALING_FORMAT=MLN","Sort=A","Dates=H","DateFormat=P","Fill=—","Direction=H","UseDPDF=Y")</f>
        <v>0</v>
      </c>
      <c r="J93" s="13">
        <f>_xll.BDH("RCOM IN Equity","IS_EXTRAORD_ITEMS_&amp;_ACCTG_CHNG","FY 2017","FY 2017","Currency=INR","Period=FY","BEST_FPERIOD_OVERRIDE=FY","FILING_STATUS=MR","EQY_CONSOLIDATED=Y","SCALING_FORMAT=MLN","Sort=A","Dates=H","DateFormat=P","Fill=—","Direction=H","UseDPDF=Y")</f>
        <v>0</v>
      </c>
      <c r="K93" s="13">
        <f>_xll.BDH("RCOM IN Equity","IS_EXTRAORD_ITEMS_&amp;_ACCTG_CHNG","FY 2018","FY 2018","Currency=INR","Period=FY","BEST_FPERIOD_OVERRIDE=FY","FILING_STATUS=MR","EQY_CONSOLIDATED=Y","SCALING_FORMAT=MLN","Sort=A","Dates=H","DateFormat=P","Fill=—","Direction=H","UseDPDF=Y")</f>
        <v>0</v>
      </c>
      <c r="L93" s="16">
        <v>0</v>
      </c>
    </row>
    <row r="94" spans="1:12">
      <c r="A94" s="11" t="s">
        <v>249</v>
      </c>
      <c r="B94" s="11" t="s">
        <v>332</v>
      </c>
      <c r="C94" s="25">
        <v>0</v>
      </c>
      <c r="D94" s="25">
        <v>0</v>
      </c>
      <c r="E94" s="25">
        <v>0</v>
      </c>
      <c r="F94" s="25">
        <v>0</v>
      </c>
      <c r="G94" s="25">
        <v>0</v>
      </c>
      <c r="H94" s="25">
        <v>0</v>
      </c>
      <c r="I94" s="25">
        <v>0</v>
      </c>
      <c r="J94" s="25">
        <v>0</v>
      </c>
      <c r="K94" s="25">
        <v>0</v>
      </c>
      <c r="L94" s="28">
        <v>0</v>
      </c>
    </row>
    <row r="95" spans="1:12">
      <c r="A95" s="6" t="s">
        <v>333</v>
      </c>
      <c r="B95" s="6" t="s">
        <v>334</v>
      </c>
      <c r="C95" s="19">
        <f>_xll.BDH("RCOM IN Equity","NI_INCLUDING_MINORITY_INT_RATIO","FY 2010","FY 2010","Currency=INR","Period=FY","BEST_FPERIOD_OVERRIDE=FY","FILING_STATUS=MR","EQY_CONSOLIDATED=Y","SCALING_FORMAT=MLN","FA_ADJUSTED=GAAP","Sort=A","Dates=H","DateFormat=P","Fill=—","Direction=H","UseDPDF=Y")</f>
        <v>47742.5</v>
      </c>
      <c r="D95" s="19">
        <f>_xll.BDH("RCOM IN Equity","NI_INCLUDING_MINORITY_INT_RATIO","FY 2011","FY 2011","Currency=INR","Period=FY","BEST_FPERIOD_OVERRIDE=FY","FILING_STATUS=MR","EQY_CONSOLIDATED=Y","SCALING_FORMAT=MLN","FA_ADJUSTED=GAAP","Sort=A","Dates=H","DateFormat=P","Fill=—","Direction=H","UseDPDF=Y")</f>
        <v>14950</v>
      </c>
      <c r="E95" s="19">
        <f>_xll.BDH("RCOM IN Equity","NI_INCLUDING_MINORITY_INT_RATIO","FY 2012","FY 2012","Currency=INR","Period=FY","BEST_FPERIOD_OVERRIDE=FY","FILING_STATUS=MR","EQY_CONSOLIDATED=Y","SCALING_FORMAT=MLN","FA_ADJUSTED=GAAP","Sort=A","Dates=H","DateFormat=P","Fill=—","Direction=H","UseDPDF=Y")</f>
        <v>9890</v>
      </c>
      <c r="F95" s="19">
        <f>_xll.BDH("RCOM IN Equity","NI_INCLUDING_MINORITY_INT_RATIO","FY 2013","FY 2013","Currency=INR","Period=FY","BEST_FPERIOD_OVERRIDE=FY","FILING_STATUS=MR","EQY_CONSOLIDATED=Y","SCALING_FORMAT=MLN","FA_ADJUSTED=GAAP","Sort=A","Dates=H","DateFormat=P","Fill=—","Direction=H","UseDPDF=Y")</f>
        <v>7450</v>
      </c>
      <c r="G95" s="19">
        <f>_xll.BDH("RCOM IN Equity","NI_INCLUDING_MINORITY_INT_RATIO","FY 2014","FY 2014","Currency=INR","Period=FY","BEST_FPERIOD_OVERRIDE=FY","FILING_STATUS=MR","EQY_CONSOLIDATED=Y","SCALING_FORMAT=MLN","FA_ADJUSTED=GAAP","Sort=A","Dates=H","DateFormat=P","Fill=—","Direction=H","UseDPDF=Y")</f>
        <v>11390</v>
      </c>
      <c r="H95" s="19">
        <f>_xll.BDH("RCOM IN Equity","NI_INCLUDING_MINORITY_INT_RATIO","FY 2015","FY 2015","Currency=INR","Period=FY","BEST_FPERIOD_OVERRIDE=FY","FILING_STATUS=MR","EQY_CONSOLIDATED=Y","SCALING_FORMAT=MLN","FA_ADJUSTED=GAAP","Sort=A","Dates=H","DateFormat=P","Fill=—","Direction=H","UseDPDF=Y")</f>
        <v>6230</v>
      </c>
      <c r="I95" s="19">
        <f>_xll.BDH("RCOM IN Equity","NI_INCLUDING_MINORITY_INT_RATIO","FY 2016","FY 2016","Currency=INR","Period=FY","BEST_FPERIOD_OVERRIDE=FY","FILING_STATUS=MR","EQY_CONSOLIDATED=Y","SCALING_FORMAT=MLN","FA_ADJUSTED=GAAP","Sort=A","Dates=H","DateFormat=P","Fill=—","Direction=H","UseDPDF=Y")</f>
        <v>6600</v>
      </c>
      <c r="J95" s="19">
        <f>_xll.BDH("RCOM IN Equity","NI_INCLUDING_MINORITY_INT_RATIO","FY 2017","FY 2017","Currency=INR","Period=FY","BEST_FPERIOD_OVERRIDE=FY","FILING_STATUS=MR","EQY_CONSOLIDATED=Y","SCALING_FORMAT=MLN","FA_ADJUSTED=GAAP","Sort=A","Dates=H","DateFormat=P","Fill=—","Direction=H","UseDPDF=Y")</f>
        <v>-12830</v>
      </c>
      <c r="K95" s="19">
        <f>_xll.BDH("RCOM IN Equity","NI_INCLUDING_MINORITY_INT_RATIO","FY 2018","FY 2018","Currency=INR","Period=FY","BEST_FPERIOD_OVERRIDE=FY","FILING_STATUS=MR","EQY_CONSOLIDATED=Y","SCALING_FORMAT=MLN","FA_ADJUSTED=GAAP","Sort=A","Dates=H","DateFormat=P","Fill=—","Direction=H","UseDPDF=Y")</f>
        <v>-239070</v>
      </c>
      <c r="L95" s="22">
        <v>-193120</v>
      </c>
    </row>
    <row r="96" spans="1:12">
      <c r="A96" s="11" t="s">
        <v>249</v>
      </c>
      <c r="B96" s="11" t="s">
        <v>334</v>
      </c>
      <c r="C96" s="25">
        <v>23.080679041143199</v>
      </c>
      <c r="D96" s="25">
        <v>6.7680746072705897</v>
      </c>
      <c r="E96" s="25">
        <v>5.2842487711049397</v>
      </c>
      <c r="F96" s="25">
        <v>3.8613040323416601</v>
      </c>
      <c r="G96" s="25">
        <v>5.4393505253104104</v>
      </c>
      <c r="H96" s="25">
        <v>2.9080894365868502</v>
      </c>
      <c r="I96" s="25">
        <v>3.0354596881755</v>
      </c>
      <c r="J96" s="25">
        <v>-19.575831553249898</v>
      </c>
      <c r="K96" s="25">
        <v>-520.50947093402999</v>
      </c>
      <c r="L96" s="28">
        <v>0</v>
      </c>
    </row>
    <row r="97" spans="1:12">
      <c r="A97" s="10" t="s">
        <v>335</v>
      </c>
      <c r="B97" s="10" t="s">
        <v>336</v>
      </c>
      <c r="C97" s="13">
        <f>_xll.BDH("RCOM IN Equity","MIN_NONCONTROL_INTEREST_CREDITS","FY 2010","FY 2010","Currency=INR","Period=FY","BEST_FPERIOD_OVERRIDE=FY","FILING_STATUS=MR","EQY_CONSOLIDATED=Y","SCALING_FORMAT=MLN","FA_ADJUSTED=GAAP","Sort=A","Dates=H","DateFormat=P","Fill=—","Direction=H","UseDPDF=Y")</f>
        <v>1192.5</v>
      </c>
      <c r="D97" s="13">
        <f>_xll.BDH("RCOM IN Equity","MIN_NONCONTROL_INTEREST_CREDITS","FY 2011","FY 2011","Currency=INR","Period=FY","BEST_FPERIOD_OVERRIDE=FY","FILING_STATUS=MR","EQY_CONSOLIDATED=Y","SCALING_FORMAT=MLN","FA_ADJUSTED=GAAP","Sort=A","Dates=H","DateFormat=P","Fill=—","Direction=H","UseDPDF=Y")</f>
        <v>1500</v>
      </c>
      <c r="E97" s="13">
        <f>_xll.BDH("RCOM IN Equity","MIN_NONCONTROL_INTEREST_CREDITS","FY 2012","FY 2012","Currency=INR","Period=FY","BEST_FPERIOD_OVERRIDE=FY","FILING_STATUS=MR","EQY_CONSOLIDATED=Y","SCALING_FORMAT=MLN","FA_ADJUSTED=GAAP","Sort=A","Dates=H","DateFormat=P","Fill=—","Direction=H","UseDPDF=Y")</f>
        <v>610</v>
      </c>
      <c r="F97" s="13">
        <f>_xll.BDH("RCOM IN Equity","MIN_NONCONTROL_INTEREST_CREDITS","FY 2013","FY 2013","Currency=INR","Period=FY","BEST_FPERIOD_OVERRIDE=FY","FILING_STATUS=MR","EQY_CONSOLIDATED=Y","SCALING_FORMAT=MLN","FA_ADJUSTED=GAAP","Sort=A","Dates=H","DateFormat=P","Fill=—","Direction=H","UseDPDF=Y")</f>
        <v>730</v>
      </c>
      <c r="G97" s="13">
        <f>_xll.BDH("RCOM IN Equity","MIN_NONCONTROL_INTEREST_CREDITS","FY 2014","FY 2014","Currency=INR","Period=FY","BEST_FPERIOD_OVERRIDE=FY","FILING_STATUS=MR","EQY_CONSOLIDATED=Y","SCALING_FORMAT=MLN","FA_ADJUSTED=GAAP","Sort=A","Dates=H","DateFormat=P","Fill=—","Direction=H","UseDPDF=Y")</f>
        <v>920</v>
      </c>
      <c r="H97" s="13">
        <f>_xll.BDH("RCOM IN Equity","MIN_NONCONTROL_INTEREST_CREDITS","FY 2015","FY 2015","Currency=INR","Period=FY","BEST_FPERIOD_OVERRIDE=FY","FILING_STATUS=MR","EQY_CONSOLIDATED=Y","SCALING_FORMAT=MLN","FA_ADJUSTED=GAAP","Sort=A","Dates=H","DateFormat=P","Fill=—","Direction=H","UseDPDF=Y")</f>
        <v>-910</v>
      </c>
      <c r="I97" s="13">
        <f>_xll.BDH("RCOM IN Equity","MIN_NONCONTROL_INTEREST_CREDITS","FY 2016","FY 2016","Currency=INR","Period=FY","BEST_FPERIOD_OVERRIDE=FY","FILING_STATUS=MR","EQY_CONSOLIDATED=Y","SCALING_FORMAT=MLN","FA_ADJUSTED=GAAP","Sort=A","Dates=H","DateFormat=P","Fill=—","Direction=H","UseDPDF=Y")</f>
        <v>210</v>
      </c>
      <c r="J97" s="13">
        <f>_xll.BDH("RCOM IN Equity","MIN_NONCONTROL_INTEREST_CREDITS","FY 2017","FY 2017","Currency=INR","Period=FY","BEST_FPERIOD_OVERRIDE=FY","FILING_STATUS=MR","EQY_CONSOLIDATED=Y","SCALING_FORMAT=MLN","FA_ADJUSTED=GAAP","Sort=A","Dates=H","DateFormat=P","Fill=—","Direction=H","UseDPDF=Y")</f>
        <v>1200</v>
      </c>
      <c r="K97" s="13">
        <f>_xll.BDH("RCOM IN Equity","MIN_NONCONTROL_INTEREST_CREDITS","FY 2018","FY 2018","Currency=INR","Period=FY","BEST_FPERIOD_OVERRIDE=FY","FILING_STATUS=MR","EQY_CONSOLIDATED=Y","SCALING_FORMAT=MLN","FA_ADJUSTED=GAAP","Sort=A","Dates=H","DateFormat=P","Fill=—","Direction=H","UseDPDF=Y")</f>
        <v>-680</v>
      </c>
      <c r="L97" s="16">
        <v>-980</v>
      </c>
    </row>
    <row r="98" spans="1:12">
      <c r="A98" s="11" t="s">
        <v>249</v>
      </c>
      <c r="B98" s="11" t="s">
        <v>336</v>
      </c>
      <c r="C98" s="25">
        <v>0.57650299999999999</v>
      </c>
      <c r="D98" s="25">
        <v>0.67907099999999998</v>
      </c>
      <c r="E98" s="25">
        <v>0.32592399999999999</v>
      </c>
      <c r="F98" s="25">
        <v>0.37835600000000003</v>
      </c>
      <c r="G98" s="25">
        <v>0.43935099999999999</v>
      </c>
      <c r="H98" s="25">
        <v>-0.42477700000000002</v>
      </c>
      <c r="I98" s="25">
        <v>9.6583000000000002E-2</v>
      </c>
      <c r="J98" s="25">
        <v>1.830943</v>
      </c>
      <c r="K98" s="25">
        <v>-1.4805140000000001</v>
      </c>
      <c r="L98" s="28">
        <v>0</v>
      </c>
    </row>
    <row r="99" spans="1:12">
      <c r="A99" s="6" t="s">
        <v>337</v>
      </c>
      <c r="B99" s="6" t="s">
        <v>338</v>
      </c>
      <c r="C99" s="19">
        <f>_xll.BDH("RCOM IN Equity","NET_INCOME","FY 2010","FY 2010","Currency=INR","Period=FY","BEST_FPERIOD_OVERRIDE=FY","FILING_STATUS=MR","EQY_CONSOLIDATED=Y","SCALING_FORMAT=MLN","FA_ADJUSTED=GAAP","Sort=A","Dates=H","DateFormat=P","Fill=—","Direction=H","UseDPDF=Y")</f>
        <v>46550</v>
      </c>
      <c r="D99" s="19">
        <f>_xll.BDH("RCOM IN Equity","NET_INCOME","FY 2011","FY 2011","Currency=INR","Period=FY","BEST_FPERIOD_OVERRIDE=FY","FILING_STATUS=MR","EQY_CONSOLIDATED=Y","SCALING_FORMAT=MLN","FA_ADJUSTED=GAAP","Sort=A","Dates=H","DateFormat=P","Fill=—","Direction=H","UseDPDF=Y")</f>
        <v>13450</v>
      </c>
      <c r="E99" s="19">
        <f>_xll.BDH("RCOM IN Equity","NET_INCOME","FY 2012","FY 2012","Currency=INR","Period=FY","BEST_FPERIOD_OVERRIDE=FY","FILING_STATUS=MR","EQY_CONSOLIDATED=Y","SCALING_FORMAT=MLN","FA_ADJUSTED=GAAP","Sort=A","Dates=H","DateFormat=P","Fill=—","Direction=H","UseDPDF=Y")</f>
        <v>9280</v>
      </c>
      <c r="F99" s="19">
        <f>_xll.BDH("RCOM IN Equity","NET_INCOME","FY 2013","FY 2013","Currency=INR","Period=FY","BEST_FPERIOD_OVERRIDE=FY","FILING_STATUS=MR","EQY_CONSOLIDATED=Y","SCALING_FORMAT=MLN","FA_ADJUSTED=GAAP","Sort=A","Dates=H","DateFormat=P","Fill=—","Direction=H","UseDPDF=Y")</f>
        <v>6720</v>
      </c>
      <c r="G99" s="19">
        <f>_xll.BDH("RCOM IN Equity","NET_INCOME","FY 2014","FY 2014","Currency=INR","Period=FY","BEST_FPERIOD_OVERRIDE=FY","FILING_STATUS=MR","EQY_CONSOLIDATED=Y","SCALING_FORMAT=MLN","FA_ADJUSTED=GAAP","Sort=A","Dates=H","DateFormat=P","Fill=—","Direction=H","UseDPDF=Y")</f>
        <v>10470</v>
      </c>
      <c r="H99" s="19">
        <f>_xll.BDH("RCOM IN Equity","NET_INCOME","FY 2015","FY 2015","Currency=INR","Period=FY","BEST_FPERIOD_OVERRIDE=FY","FILING_STATUS=MR","EQY_CONSOLIDATED=Y","SCALING_FORMAT=MLN","FA_ADJUSTED=GAAP","Sort=A","Dates=H","DateFormat=P","Fill=—","Direction=H","UseDPDF=Y")</f>
        <v>7140</v>
      </c>
      <c r="I99" s="19">
        <f>_xll.BDH("RCOM IN Equity","NET_INCOME","FY 2016","FY 2016","Currency=INR","Period=FY","BEST_FPERIOD_OVERRIDE=FY","FILING_STATUS=MR","EQY_CONSOLIDATED=Y","SCALING_FORMAT=MLN","FA_ADJUSTED=GAAP","Sort=A","Dates=H","DateFormat=P","Fill=—","Direction=H","UseDPDF=Y")</f>
        <v>6390</v>
      </c>
      <c r="J99" s="19">
        <f>_xll.BDH("RCOM IN Equity","NET_INCOME","FY 2017","FY 2017","Currency=INR","Period=FY","BEST_FPERIOD_OVERRIDE=FY","FILING_STATUS=MR","EQY_CONSOLIDATED=Y","SCALING_FORMAT=MLN","FA_ADJUSTED=GAAP","Sort=A","Dates=H","DateFormat=P","Fill=—","Direction=H","UseDPDF=Y")</f>
        <v>-14030</v>
      </c>
      <c r="K99" s="19">
        <f>_xll.BDH("RCOM IN Equity","NET_INCOME","FY 2018","FY 2018","Currency=INR","Period=FY","BEST_FPERIOD_OVERRIDE=FY","FILING_STATUS=MR","EQY_CONSOLIDATED=Y","SCALING_FORMAT=MLN","FA_ADJUSTED=GAAP","Sort=A","Dates=H","DateFormat=P","Fill=—","Direction=H","UseDPDF=Y")</f>
        <v>-238390</v>
      </c>
      <c r="L99" s="22">
        <v>-192140</v>
      </c>
    </row>
    <row r="100" spans="1:12">
      <c r="A100" s="11" t="s">
        <v>249</v>
      </c>
      <c r="B100" s="11" t="s">
        <v>338</v>
      </c>
      <c r="C100" s="25">
        <v>22.504175721112599</v>
      </c>
      <c r="D100" s="25">
        <v>6.08900357644076</v>
      </c>
      <c r="E100" s="25">
        <v>4.9583244282966401</v>
      </c>
      <c r="F100" s="25">
        <v>3.4829480667564998</v>
      </c>
      <c r="G100" s="25">
        <v>5</v>
      </c>
      <c r="H100" s="25">
        <v>3.3328665453017798</v>
      </c>
      <c r="I100" s="25">
        <v>2.9388768799153699</v>
      </c>
      <c r="J100" s="25">
        <v>-21.406774488861799</v>
      </c>
      <c r="K100" s="25">
        <v>-519.02895710864402</v>
      </c>
      <c r="L100" s="28">
        <v>0</v>
      </c>
    </row>
    <row r="101" spans="1:12">
      <c r="A101" s="10" t="s">
        <v>339</v>
      </c>
      <c r="B101" s="10" t="s">
        <v>340</v>
      </c>
      <c r="C101" s="13">
        <f>_xll.BDH("RCOM IN Equity","IS_TOT_CASH_PFD_DVD","FY 2010","FY 2010","Currency=INR","Period=FY","BEST_FPERIOD_OVERRIDE=FY","FILING_STATUS=MR","EQY_CONSOLIDATED=Y","SCALING_FORMAT=MLN","Sort=A","Dates=H","DateFormat=P","Fill=—","Direction=H","UseDPDF=Y")</f>
        <v>0</v>
      </c>
      <c r="D101" s="13">
        <f>_xll.BDH("RCOM IN Equity","IS_TOT_CASH_PFD_DVD","FY 2011","FY 2011","Currency=INR","Period=FY","BEST_FPERIOD_OVERRIDE=FY","FILING_STATUS=MR","EQY_CONSOLIDATED=Y","SCALING_FORMAT=MLN","Sort=A","Dates=H","DateFormat=P","Fill=—","Direction=H","UseDPDF=Y")</f>
        <v>0</v>
      </c>
      <c r="E101" s="13">
        <f>_xll.BDH("RCOM IN Equity","IS_TOT_CASH_PFD_DVD","FY 2012","FY 2012","Currency=INR","Period=FY","BEST_FPERIOD_OVERRIDE=FY","FILING_STATUS=MR","EQY_CONSOLIDATED=Y","SCALING_FORMAT=MLN","Sort=A","Dates=H","DateFormat=P","Fill=—","Direction=H","UseDPDF=Y")</f>
        <v>0</v>
      </c>
      <c r="F101" s="13">
        <f>_xll.BDH("RCOM IN Equity","IS_TOT_CASH_PFD_DVD","FY 2013","FY 2013","Currency=INR","Period=FY","BEST_FPERIOD_OVERRIDE=FY","FILING_STATUS=MR","EQY_CONSOLIDATED=Y","SCALING_FORMAT=MLN","Sort=A","Dates=H","DateFormat=P","Fill=—","Direction=H","UseDPDF=Y")</f>
        <v>0</v>
      </c>
      <c r="G101" s="13">
        <f>_xll.BDH("RCOM IN Equity","IS_TOT_CASH_PFD_DVD","FY 2014","FY 2014","Currency=INR","Period=FY","BEST_FPERIOD_OVERRIDE=FY","FILING_STATUS=MR","EQY_CONSOLIDATED=Y","SCALING_FORMAT=MLN","Sort=A","Dates=H","DateFormat=P","Fill=—","Direction=H","UseDPDF=Y")</f>
        <v>0</v>
      </c>
      <c r="H101" s="13">
        <f>_xll.BDH("RCOM IN Equity","IS_TOT_CASH_PFD_DVD","FY 2015","FY 2015","Currency=INR","Period=FY","BEST_FPERIOD_OVERRIDE=FY","FILING_STATUS=MR","EQY_CONSOLIDATED=Y","SCALING_FORMAT=MLN","Sort=A","Dates=H","DateFormat=P","Fill=—","Direction=H","UseDPDF=Y")</f>
        <v>0</v>
      </c>
      <c r="I101" s="13">
        <f>_xll.BDH("RCOM IN Equity","IS_TOT_CASH_PFD_DVD","FY 2016","FY 2016","Currency=INR","Period=FY","BEST_FPERIOD_OVERRIDE=FY","FILING_STATUS=MR","EQY_CONSOLIDATED=Y","SCALING_FORMAT=MLN","Sort=A","Dates=H","DateFormat=P","Fill=—","Direction=H","UseDPDF=Y")</f>
        <v>0</v>
      </c>
      <c r="J101" s="13">
        <f>_xll.BDH("RCOM IN Equity","IS_TOT_CASH_PFD_DVD","FY 2017","FY 2017","Currency=INR","Period=FY","BEST_FPERIOD_OVERRIDE=FY","FILING_STATUS=MR","EQY_CONSOLIDATED=Y","SCALING_FORMAT=MLN","Sort=A","Dates=H","DateFormat=P","Fill=—","Direction=H","UseDPDF=Y")</f>
        <v>0</v>
      </c>
      <c r="K101" s="13">
        <f>_xll.BDH("RCOM IN Equity","IS_TOT_CASH_PFD_DVD","FY 2018","FY 2018","Currency=INR","Period=FY","BEST_FPERIOD_OVERRIDE=FY","FILING_STATUS=MR","EQY_CONSOLIDATED=Y","SCALING_FORMAT=MLN","Sort=A","Dates=H","DateFormat=P","Fill=—","Direction=H","UseDPDF=Y")</f>
        <v>0</v>
      </c>
      <c r="L101" s="16">
        <v>0</v>
      </c>
    </row>
    <row r="102" spans="1:12">
      <c r="A102" s="10" t="s">
        <v>341</v>
      </c>
      <c r="B102" s="10" t="s">
        <v>342</v>
      </c>
      <c r="C102" s="13">
        <f>_xll.BDH("RCOM IN Equity","OTHER_ADJUSTMENTS","FY 2010","FY 2010","Currency=INR","Period=FY","BEST_FPERIOD_OVERRIDE=FY","FILING_STATUS=MR","EQY_CONSOLIDATED=Y","SCALING_FORMAT=MLN","Sort=A","Dates=H","DateFormat=P","Fill=—","Direction=H","UseDPDF=Y")</f>
        <v>0</v>
      </c>
      <c r="D102" s="13">
        <f>_xll.BDH("RCOM IN Equity","OTHER_ADJUSTMENTS","FY 2011","FY 2011","Currency=INR","Period=FY","BEST_FPERIOD_OVERRIDE=FY","FILING_STATUS=MR","EQY_CONSOLIDATED=Y","SCALING_FORMAT=MLN","Sort=A","Dates=H","DateFormat=P","Fill=—","Direction=H","UseDPDF=Y")</f>
        <v>0</v>
      </c>
      <c r="E102" s="13">
        <f>_xll.BDH("RCOM IN Equity","OTHER_ADJUSTMENTS","FY 2012","FY 2012","Currency=INR","Period=FY","BEST_FPERIOD_OVERRIDE=FY","FILING_STATUS=MR","EQY_CONSOLIDATED=Y","SCALING_FORMAT=MLN","Sort=A","Dates=H","DateFormat=P","Fill=—","Direction=H","UseDPDF=Y")</f>
        <v>0</v>
      </c>
      <c r="F102" s="13">
        <f>_xll.BDH("RCOM IN Equity","OTHER_ADJUSTMENTS","FY 2013","FY 2013","Currency=INR","Period=FY","BEST_FPERIOD_OVERRIDE=FY","FILING_STATUS=MR","EQY_CONSOLIDATED=Y","SCALING_FORMAT=MLN","Sort=A","Dates=H","DateFormat=P","Fill=—","Direction=H","UseDPDF=Y")</f>
        <v>0</v>
      </c>
      <c r="G102" s="13">
        <f>_xll.BDH("RCOM IN Equity","OTHER_ADJUSTMENTS","FY 2014","FY 2014","Currency=INR","Period=FY","BEST_FPERIOD_OVERRIDE=FY","FILING_STATUS=MR","EQY_CONSOLIDATED=Y","SCALING_FORMAT=MLN","Sort=A","Dates=H","DateFormat=P","Fill=—","Direction=H","UseDPDF=Y")</f>
        <v>0</v>
      </c>
      <c r="H102" s="13">
        <f>_xll.BDH("RCOM IN Equity","OTHER_ADJUSTMENTS","FY 2015","FY 2015","Currency=INR","Period=FY","BEST_FPERIOD_OVERRIDE=FY","FILING_STATUS=MR","EQY_CONSOLIDATED=Y","SCALING_FORMAT=MLN","Sort=A","Dates=H","DateFormat=P","Fill=—","Direction=H","UseDPDF=Y")</f>
        <v>0</v>
      </c>
      <c r="I102" s="13">
        <f>_xll.BDH("RCOM IN Equity","OTHER_ADJUSTMENTS","FY 2016","FY 2016","Currency=INR","Period=FY","BEST_FPERIOD_OVERRIDE=FY","FILING_STATUS=MR","EQY_CONSOLIDATED=Y","SCALING_FORMAT=MLN","Sort=A","Dates=H","DateFormat=P","Fill=—","Direction=H","UseDPDF=Y")</f>
        <v>0</v>
      </c>
      <c r="J102" s="13">
        <f>_xll.BDH("RCOM IN Equity","OTHER_ADJUSTMENTS","FY 2017","FY 2017","Currency=INR","Period=FY","BEST_FPERIOD_OVERRIDE=FY","FILING_STATUS=MR","EQY_CONSOLIDATED=Y","SCALING_FORMAT=MLN","Sort=A","Dates=H","DateFormat=P","Fill=—","Direction=H","UseDPDF=Y")</f>
        <v>0</v>
      </c>
      <c r="K102" s="13">
        <f>_xll.BDH("RCOM IN Equity","OTHER_ADJUSTMENTS","FY 2018","FY 2018","Currency=INR","Period=FY","BEST_FPERIOD_OVERRIDE=FY","FILING_STATUS=MR","EQY_CONSOLIDATED=Y","SCALING_FORMAT=MLN","Sort=A","Dates=H","DateFormat=P","Fill=—","Direction=H","UseDPDF=Y")</f>
        <v>0</v>
      </c>
      <c r="L102" s="16">
        <v>0</v>
      </c>
    </row>
    <row r="103" spans="1:12">
      <c r="A103" s="6" t="s">
        <v>343</v>
      </c>
      <c r="B103" s="6" t="s">
        <v>48</v>
      </c>
      <c r="C103" s="19">
        <f>_xll.BDH("RCOM IN Equity","EARN_FOR_COMMON","FY 2010","FY 2010","Currency=INR","Period=FY","BEST_FPERIOD_OVERRIDE=FY","FILING_STATUS=MR","EQY_CONSOLIDATED=Y","SCALING_FORMAT=MLN","FA_ADJUSTED=GAAP","Sort=A","Dates=H","DateFormat=P","Fill=—","Direction=H","UseDPDF=Y")</f>
        <v>46550</v>
      </c>
      <c r="D103" s="19">
        <f>_xll.BDH("RCOM IN Equity","EARN_FOR_COMMON","FY 2011","FY 2011","Currency=INR","Period=FY","BEST_FPERIOD_OVERRIDE=FY","FILING_STATUS=MR","EQY_CONSOLIDATED=Y","SCALING_FORMAT=MLN","FA_ADJUSTED=GAAP","Sort=A","Dates=H","DateFormat=P","Fill=—","Direction=H","UseDPDF=Y")</f>
        <v>13450</v>
      </c>
      <c r="E103" s="19">
        <f>_xll.BDH("RCOM IN Equity","EARN_FOR_COMMON","FY 2012","FY 2012","Currency=INR","Period=FY","BEST_FPERIOD_OVERRIDE=FY","FILING_STATUS=MR","EQY_CONSOLIDATED=Y","SCALING_FORMAT=MLN","FA_ADJUSTED=GAAP","Sort=A","Dates=H","DateFormat=P","Fill=—","Direction=H","UseDPDF=Y")</f>
        <v>9280</v>
      </c>
      <c r="F103" s="19">
        <f>_xll.BDH("RCOM IN Equity","EARN_FOR_COMMON","FY 2013","FY 2013","Currency=INR","Period=FY","BEST_FPERIOD_OVERRIDE=FY","FILING_STATUS=MR","EQY_CONSOLIDATED=Y","SCALING_FORMAT=MLN","FA_ADJUSTED=GAAP","Sort=A","Dates=H","DateFormat=P","Fill=—","Direction=H","UseDPDF=Y")</f>
        <v>6720</v>
      </c>
      <c r="G103" s="19">
        <f>_xll.BDH("RCOM IN Equity","EARN_FOR_COMMON","FY 2014","FY 2014","Currency=INR","Period=FY","BEST_FPERIOD_OVERRIDE=FY","FILING_STATUS=MR","EQY_CONSOLIDATED=Y","SCALING_FORMAT=MLN","FA_ADJUSTED=GAAP","Sort=A","Dates=H","DateFormat=P","Fill=—","Direction=H","UseDPDF=Y")</f>
        <v>10470</v>
      </c>
      <c r="H103" s="19">
        <f>_xll.BDH("RCOM IN Equity","EARN_FOR_COMMON","FY 2015","FY 2015","Currency=INR","Period=FY","BEST_FPERIOD_OVERRIDE=FY","FILING_STATUS=MR","EQY_CONSOLIDATED=Y","SCALING_FORMAT=MLN","FA_ADJUSTED=GAAP","Sort=A","Dates=H","DateFormat=P","Fill=—","Direction=H","UseDPDF=Y")</f>
        <v>7140</v>
      </c>
      <c r="I103" s="19">
        <f>_xll.BDH("RCOM IN Equity","EARN_FOR_COMMON","FY 2016","FY 2016","Currency=INR","Period=FY","BEST_FPERIOD_OVERRIDE=FY","FILING_STATUS=MR","EQY_CONSOLIDATED=Y","SCALING_FORMAT=MLN","FA_ADJUSTED=GAAP","Sort=A","Dates=H","DateFormat=P","Fill=—","Direction=H","UseDPDF=Y")</f>
        <v>6390</v>
      </c>
      <c r="J103" s="19">
        <f>_xll.BDH("RCOM IN Equity","EARN_FOR_COMMON","FY 2017","FY 2017","Currency=INR","Period=FY","BEST_FPERIOD_OVERRIDE=FY","FILING_STATUS=MR","EQY_CONSOLIDATED=Y","SCALING_FORMAT=MLN","FA_ADJUSTED=GAAP","Sort=A","Dates=H","DateFormat=P","Fill=—","Direction=H","UseDPDF=Y")</f>
        <v>-14030</v>
      </c>
      <c r="K103" s="19">
        <f>_xll.BDH("RCOM IN Equity","EARN_FOR_COMMON","FY 2018","FY 2018","Currency=INR","Period=FY","BEST_FPERIOD_OVERRIDE=FY","FILING_STATUS=MR","EQY_CONSOLIDATED=Y","SCALING_FORMAT=MLN","FA_ADJUSTED=GAAP","Sort=A","Dates=H","DateFormat=P","Fill=—","Direction=H","UseDPDF=Y")</f>
        <v>-238390</v>
      </c>
      <c r="L103" s="22">
        <v>-192140</v>
      </c>
    </row>
    <row r="104" spans="1:12">
      <c r="A104" s="6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21"/>
    </row>
    <row r="105" spans="1:12">
      <c r="A105" s="6" t="s">
        <v>344</v>
      </c>
      <c r="B105" s="6" t="s">
        <v>48</v>
      </c>
      <c r="C105" s="19">
        <f>_xll.BDH("RCOM IN Equity","EARN_FOR_COMMON","FY 2010","FY 2010","Currency=INR","Period=FY","BEST_FPERIOD_OVERRIDE=FY","FILING_STATUS=MR","EQY_CONSOLIDATED=Y","SCALING_FORMAT=MLN","FA_ADJUSTED=Adjusted","Sort=A","Dates=H","DateFormat=P","Fill=—","Direction=H","UseDPDF=Y")</f>
        <v>47190.099000000002</v>
      </c>
      <c r="D105" s="19">
        <f>_xll.BDH("RCOM IN Equity","EARN_FOR_COMMON","FY 2011","FY 2011","Currency=INR","Period=FY","BEST_FPERIOD_OVERRIDE=FY","FILING_STATUS=MR","EQY_CONSOLIDATED=Y","SCALING_FORMAT=MLN","FA_ADJUSTED=Adjusted","Sort=A","Dates=H","DateFormat=P","Fill=—","Direction=H","UseDPDF=Y")</f>
        <v>10829.2125</v>
      </c>
      <c r="E105" s="19">
        <f>_xll.BDH("RCOM IN Equity","EARN_FOR_COMMON","FY 2012","FY 2012","Currency=INR","Period=FY","BEST_FPERIOD_OVERRIDE=FY","FILING_STATUS=MR","EQY_CONSOLIDATED=Y","SCALING_FORMAT=MLN","FA_ADJUSTED=Adjusted","Sort=A","Dates=H","DateFormat=P","Fill=—","Direction=H","UseDPDF=Y")</f>
        <v>11576.7</v>
      </c>
      <c r="F105" s="19">
        <f>_xll.BDH("RCOM IN Equity","EARN_FOR_COMMON","FY 2013","FY 2013","Currency=INR","Period=FY","BEST_FPERIOD_OVERRIDE=FY","FILING_STATUS=MR","EQY_CONSOLIDATED=Y","SCALING_FORMAT=MLN","FA_ADJUSTED=Adjusted","Sort=A","Dates=H","DateFormat=P","Fill=—","Direction=H","UseDPDF=Y")</f>
        <v>6686.9949999999999</v>
      </c>
      <c r="G105" s="19">
        <f>_xll.BDH("RCOM IN Equity","EARN_FOR_COMMON","FY 2014","FY 2014","Currency=INR","Period=FY","BEST_FPERIOD_OVERRIDE=FY","FILING_STATUS=MR","EQY_CONSOLIDATED=Y","SCALING_FORMAT=MLN","FA_ADJUSTED=Adjusted","Sort=A","Dates=H","DateFormat=P","Fill=—","Direction=H","UseDPDF=Y")</f>
        <v>10542.611000000001</v>
      </c>
      <c r="H105" s="19">
        <f>_xll.BDH("RCOM IN Equity","EARN_FOR_COMMON","FY 2015","FY 2015","Currency=INR","Period=FY","BEST_FPERIOD_OVERRIDE=FY","FILING_STATUS=MR","EQY_CONSOLIDATED=Y","SCALING_FORMAT=MLN","FA_ADJUSTED=Adjusted","Sort=A","Dates=H","DateFormat=P","Fill=—","Direction=H","UseDPDF=Y")</f>
        <v>6930.7520000000004</v>
      </c>
      <c r="I105" s="19">
        <f>_xll.BDH("RCOM IN Equity","EARN_FOR_COMMON","FY 2016","FY 2016","Currency=INR","Period=FY","BEST_FPERIOD_OVERRIDE=FY","FILING_STATUS=MR","EQY_CONSOLIDATED=Y","SCALING_FORMAT=MLN","FA_ADJUSTED=Adjusted","Sort=A","Dates=H","DateFormat=P","Fill=—","Direction=H","UseDPDF=Y")</f>
        <v>4984.1149999999998</v>
      </c>
      <c r="J105" s="19">
        <f>_xll.BDH("RCOM IN Equity","EARN_FOR_COMMON","FY 2017","FY 2017","Currency=INR","Period=FY","BEST_FPERIOD_OVERRIDE=FY","FILING_STATUS=MR","EQY_CONSOLIDATED=Y","SCALING_FORMAT=MLN","FA_ADJUSTED=Adjusted","Sort=A","Dates=H","DateFormat=P","Fill=—","Direction=H","UseDPDF=Y")</f>
        <v>1250</v>
      </c>
      <c r="K105" s="19">
        <f>_xll.BDH("RCOM IN Equity","EARN_FOR_COMMON","FY 2018","FY 2018","Currency=INR","Period=FY","BEST_FPERIOD_OVERRIDE=FY","FILING_STATUS=MR","EQY_CONSOLIDATED=Y","SCALING_FORMAT=MLN","FA_ADJUSTED=Adjusted","Sort=A","Dates=H","DateFormat=P","Fill=—","Direction=H","UseDPDF=Y")</f>
        <v>490</v>
      </c>
      <c r="L105" s="22">
        <v>11100</v>
      </c>
    </row>
    <row r="106" spans="1:12">
      <c r="A106" s="10" t="s">
        <v>345</v>
      </c>
      <c r="B106" s="10" t="s">
        <v>346</v>
      </c>
      <c r="C106" s="13">
        <f>_xll.BDH("RCOM IN Equity","IS_NET_ABNORMAL_ITEMS","FY 2010","FY 2010","Currency=INR","Period=FY","BEST_FPERIOD_OVERRIDE=FY","FILING_STATUS=MR","EQY_CONSOLIDATED=Y","SCALING_FORMAT=MLN","Sort=A","Dates=H","DateFormat=P","Fill=—","Direction=H","UseDPDF=Y")</f>
        <v>640.09900000000005</v>
      </c>
      <c r="D106" s="13">
        <f>_xll.BDH("RCOM IN Equity","IS_NET_ABNORMAL_ITEMS","FY 2011","FY 2011","Currency=INR","Period=FY","BEST_FPERIOD_OVERRIDE=FY","FILING_STATUS=MR","EQY_CONSOLIDATED=Y","SCALING_FORMAT=MLN","Sort=A","Dates=H","DateFormat=P","Fill=—","Direction=H","UseDPDF=Y")</f>
        <v>-2620.7874999999999</v>
      </c>
      <c r="E106" s="13">
        <f>_xll.BDH("RCOM IN Equity","IS_NET_ABNORMAL_ITEMS","FY 2012","FY 2012","Currency=INR","Period=FY","BEST_FPERIOD_OVERRIDE=FY","FILING_STATUS=MR","EQY_CONSOLIDATED=Y","SCALING_FORMAT=MLN","Sort=A","Dates=H","DateFormat=P","Fill=—","Direction=H","UseDPDF=Y")</f>
        <v>2296.6999999999998</v>
      </c>
      <c r="F106" s="13">
        <f>_xll.BDH("RCOM IN Equity","IS_NET_ABNORMAL_ITEMS","FY 2013","FY 2013","Currency=INR","Period=FY","BEST_FPERIOD_OVERRIDE=FY","FILING_STATUS=MR","EQY_CONSOLIDATED=Y","SCALING_FORMAT=MLN","Sort=A","Dates=H","DateFormat=P","Fill=—","Direction=H","UseDPDF=Y")</f>
        <v>-33.005000000000003</v>
      </c>
      <c r="G106" s="13">
        <f>_xll.BDH("RCOM IN Equity","IS_NET_ABNORMAL_ITEMS","FY 2014","FY 2014","Currency=INR","Period=FY","BEST_FPERIOD_OVERRIDE=FY","FILING_STATUS=MR","EQY_CONSOLIDATED=Y","SCALING_FORMAT=MLN","Sort=A","Dates=H","DateFormat=P","Fill=—","Direction=H","UseDPDF=Y")</f>
        <v>72.611000000000004</v>
      </c>
      <c r="H106" s="13">
        <f>_xll.BDH("RCOM IN Equity","IS_NET_ABNORMAL_ITEMS","FY 2015","FY 2015","Currency=INR","Period=FY","BEST_FPERIOD_OVERRIDE=FY","FILING_STATUS=MR","EQY_CONSOLIDATED=Y","SCALING_FORMAT=MLN","Sort=A","Dates=H","DateFormat=P","Fill=—","Direction=H","UseDPDF=Y")</f>
        <v>-209.24799999999999</v>
      </c>
      <c r="I106" s="13">
        <f>_xll.BDH("RCOM IN Equity","IS_NET_ABNORMAL_ITEMS","FY 2016","FY 2016","Currency=INR","Period=FY","BEST_FPERIOD_OVERRIDE=FY","FILING_STATUS=MR","EQY_CONSOLIDATED=Y","SCALING_FORMAT=MLN","Sort=A","Dates=H","DateFormat=P","Fill=—","Direction=H","UseDPDF=Y")</f>
        <v>-1405.885</v>
      </c>
      <c r="J106" s="13">
        <f>_xll.BDH("RCOM IN Equity","IS_NET_ABNORMAL_ITEMS","FY 2017","FY 2017","Currency=INR","Period=FY","BEST_FPERIOD_OVERRIDE=FY","FILING_STATUS=MR","EQY_CONSOLIDATED=Y","SCALING_FORMAT=MLN","Sort=A","Dates=H","DateFormat=P","Fill=—","Direction=H","UseDPDF=Y")</f>
        <v>0</v>
      </c>
      <c r="K106" s="13">
        <f>_xll.BDH("RCOM IN Equity","IS_NET_ABNORMAL_ITEMS","FY 2018","FY 2018","Currency=INR","Period=FY","BEST_FPERIOD_OVERRIDE=FY","FILING_STATUS=MR","EQY_CONSOLIDATED=Y","SCALING_FORMAT=MLN","Sort=A","Dates=H","DateFormat=P","Fill=—","Direction=H","UseDPDF=Y")</f>
        <v>0</v>
      </c>
      <c r="L106" s="16">
        <v>0</v>
      </c>
    </row>
    <row r="107" spans="1:12">
      <c r="A107" s="10" t="s">
        <v>347</v>
      </c>
      <c r="B107" s="10" t="s">
        <v>328</v>
      </c>
      <c r="C107" s="13">
        <f>_xll.BDH("RCOM IN Equity","XO_GL_NET_OF_TAX","FY 2010","FY 2010","Currency=INR","Period=FY","BEST_FPERIOD_OVERRIDE=FY","FILING_STATUS=MR","EQY_CONSOLIDATED=Y","SCALING_FORMAT=MLN","Sort=A","Dates=H","DateFormat=P","Fill=—","Direction=H","UseDPDF=Y")</f>
        <v>0</v>
      </c>
      <c r="D107" s="13">
        <f>_xll.BDH("RCOM IN Equity","XO_GL_NET_OF_TAX","FY 2011","FY 2011","Currency=INR","Period=FY","BEST_FPERIOD_OVERRIDE=FY","FILING_STATUS=MR","EQY_CONSOLIDATED=Y","SCALING_FORMAT=MLN","Sort=A","Dates=H","DateFormat=P","Fill=—","Direction=H","UseDPDF=Y")</f>
        <v>0</v>
      </c>
      <c r="E107" s="13">
        <f>_xll.BDH("RCOM IN Equity","XO_GL_NET_OF_TAX","FY 2012","FY 2012","Currency=INR","Period=FY","BEST_FPERIOD_OVERRIDE=FY","FILING_STATUS=MR","EQY_CONSOLIDATED=Y","SCALING_FORMAT=MLN","Sort=A","Dates=H","DateFormat=P","Fill=—","Direction=H","UseDPDF=Y")</f>
        <v>0</v>
      </c>
      <c r="F107" s="13">
        <f>_xll.BDH("RCOM IN Equity","XO_GL_NET_OF_TAX","FY 2013","FY 2013","Currency=INR","Period=FY","BEST_FPERIOD_OVERRIDE=FY","FILING_STATUS=MR","EQY_CONSOLIDATED=Y","SCALING_FORMAT=MLN","Sort=A","Dates=H","DateFormat=P","Fill=—","Direction=H","UseDPDF=Y")</f>
        <v>0</v>
      </c>
      <c r="G107" s="13">
        <f>_xll.BDH("RCOM IN Equity","XO_GL_NET_OF_TAX","FY 2014","FY 2014","Currency=INR","Period=FY","BEST_FPERIOD_OVERRIDE=FY","FILING_STATUS=MR","EQY_CONSOLIDATED=Y","SCALING_FORMAT=MLN","Sort=A","Dates=H","DateFormat=P","Fill=—","Direction=H","UseDPDF=Y")</f>
        <v>0</v>
      </c>
      <c r="H107" s="13">
        <f>_xll.BDH("RCOM IN Equity","XO_GL_NET_OF_TAX","FY 2015","FY 2015","Currency=INR","Period=FY","BEST_FPERIOD_OVERRIDE=FY","FILING_STATUS=MR","EQY_CONSOLIDATED=Y","SCALING_FORMAT=MLN","Sort=A","Dates=H","DateFormat=P","Fill=—","Direction=H","UseDPDF=Y")</f>
        <v>0</v>
      </c>
      <c r="I107" s="13">
        <f>_xll.BDH("RCOM IN Equity","XO_GL_NET_OF_TAX","FY 2016","FY 2016","Currency=INR","Period=FY","BEST_FPERIOD_OVERRIDE=FY","FILING_STATUS=MR","EQY_CONSOLIDATED=Y","SCALING_FORMAT=MLN","Sort=A","Dates=H","DateFormat=P","Fill=—","Direction=H","UseDPDF=Y")</f>
        <v>0</v>
      </c>
      <c r="J107" s="13">
        <f>_xll.BDH("RCOM IN Equity","XO_GL_NET_OF_TAX","FY 2017","FY 2017","Currency=INR","Period=FY","BEST_FPERIOD_OVERRIDE=FY","FILING_STATUS=MR","EQY_CONSOLIDATED=Y","SCALING_FORMAT=MLN","Sort=A","Dates=H","DateFormat=P","Fill=—","Direction=H","UseDPDF=Y")</f>
        <v>15280</v>
      </c>
      <c r="K107" s="13">
        <f>_xll.BDH("RCOM IN Equity","XO_GL_NET_OF_TAX","FY 2018","FY 2018","Currency=INR","Period=FY","BEST_FPERIOD_OVERRIDE=FY","FILING_STATUS=MR","EQY_CONSOLIDATED=Y","SCALING_FORMAT=MLN","Sort=A","Dates=H","DateFormat=P","Fill=—","Direction=H","UseDPDF=Y")</f>
        <v>238880</v>
      </c>
      <c r="L107" s="16">
        <v>203240</v>
      </c>
    </row>
    <row r="108" spans="1:12">
      <c r="A108" s="6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21"/>
    </row>
    <row r="109" spans="1:12">
      <c r="A109" s="10" t="s">
        <v>212</v>
      </c>
      <c r="B109" s="10" t="s">
        <v>71</v>
      </c>
      <c r="C109" s="13">
        <f>_xll.BDH("RCOM IN Equity","IS_AVG_NUM_SH_FOR_EPS","FY 2010","FY 2010","Currency=INR","Period=FY","BEST_FPERIOD_OVERRIDE=FY","FILING_STATUS=MR","EQY_CONSOLIDATED=Y","Sort=A","Dates=H","DateFormat=P","Fill=—","Direction=H","UseDPDF=Y")</f>
        <v>2064.0268999999998</v>
      </c>
      <c r="D109" s="13">
        <f>_xll.BDH("RCOM IN Equity","IS_AVG_NUM_SH_FOR_EPS","FY 2011","FY 2011","Currency=INR","Period=FY","BEST_FPERIOD_OVERRIDE=FY","FILING_STATUS=MR","EQY_CONSOLIDATED=Y","Sort=A","Dates=H","DateFormat=P","Fill=—","Direction=H","UseDPDF=Y")</f>
        <v>2064.0268999999998</v>
      </c>
      <c r="E109" s="13">
        <f>_xll.BDH("RCOM IN Equity","IS_AVG_NUM_SH_FOR_EPS","FY 2012","FY 2012","Currency=INR","Period=FY","BEST_FPERIOD_OVERRIDE=FY","FILING_STATUS=MR","EQY_CONSOLIDATED=Y","Sort=A","Dates=H","DateFormat=P","Fill=—","Direction=H","UseDPDF=Y")</f>
        <v>2064.0268999999998</v>
      </c>
      <c r="F109" s="13">
        <f>_xll.BDH("RCOM IN Equity","IS_AVG_NUM_SH_FOR_EPS","FY 2013","FY 2013","Currency=INR","Period=FY","BEST_FPERIOD_OVERRIDE=FY","FILING_STATUS=MR","EQY_CONSOLIDATED=Y","Sort=A","Dates=H","DateFormat=P","Fill=—","Direction=H","UseDPDF=Y")</f>
        <v>2064.0268999999998</v>
      </c>
      <c r="G109" s="13">
        <f>_xll.BDH("RCOM IN Equity","IS_AVG_NUM_SH_FOR_EPS","FY 2014","FY 2014","Currency=INR","Period=FY","BEST_FPERIOD_OVERRIDE=FY","FILING_STATUS=MR","EQY_CONSOLIDATED=Y","Sort=A","Dates=H","DateFormat=P","Fill=—","Direction=H","UseDPDF=Y")</f>
        <v>2064.0268999999998</v>
      </c>
      <c r="H109" s="13">
        <f>_xll.BDH("RCOM IN Equity","IS_AVG_NUM_SH_FOR_EPS","FY 2015","FY 2015","Currency=INR","Period=FY","BEST_FPERIOD_OVERRIDE=FY","FILING_STATUS=MR","EQY_CONSOLIDATED=Y","Sort=A","Dates=H","DateFormat=P","Fill=—","Direction=H","UseDPDF=Y")</f>
        <v>2333.9049</v>
      </c>
      <c r="I109" s="13">
        <f>_xll.BDH("RCOM IN Equity","IS_AVG_NUM_SH_FOR_EPS","FY 2016","FY 2016","Currency=INR","Period=FY","BEST_FPERIOD_OVERRIDE=FY","FILING_STATUS=MR","EQY_CONSOLIDATED=Y","Sort=A","Dates=H","DateFormat=P","Fill=—","Direction=H","UseDPDF=Y")</f>
        <v>2467.7006999999999</v>
      </c>
      <c r="J109" s="13">
        <f>_xll.BDH("RCOM IN Equity","IS_AVG_NUM_SH_FOR_EPS","FY 2017","FY 2017","Currency=INR","Period=FY","BEST_FPERIOD_OVERRIDE=FY","FILING_STATUS=MR","EQY_CONSOLIDATED=Y","Sort=A","Dates=H","DateFormat=P","Fill=—","Direction=H","UseDPDF=Y")</f>
        <v>2467.7006999999999</v>
      </c>
      <c r="K109" s="13">
        <f>_xll.BDH("RCOM IN Equity","IS_AVG_NUM_SH_FOR_EPS","FY 2018","FY 2018","Currency=INR","Period=FY","BEST_FPERIOD_OVERRIDE=FY","FILING_STATUS=MR","EQY_CONSOLIDATED=Y","Sort=A","Dates=H","DateFormat=P","Fill=—","Direction=H","UseDPDF=Y")</f>
        <v>2582.8681000000001</v>
      </c>
      <c r="L109" s="16">
        <v>2766</v>
      </c>
    </row>
    <row r="110" spans="1:12">
      <c r="A110" s="6" t="s">
        <v>66</v>
      </c>
      <c r="B110" s="6" t="s">
        <v>67</v>
      </c>
      <c r="C110" s="20">
        <f>_xll.BDH("RCOM IN Equity","IS_EPS","FY 2010","FY 2010","Currency=INR","Period=FY","BEST_FPERIOD_OVERRIDE=FY","FILING_STATUS=MR","EQY_CONSOLIDATED=Y","FA_ADJUSTED=GAAP","Sort=A","Dates=H","DateFormat=P","Fill=—","Direction=H","UseDPDF=Y")</f>
        <v>22.553000000000001</v>
      </c>
      <c r="D110" s="20">
        <f>_xll.BDH("RCOM IN Equity","IS_EPS","FY 2011","FY 2011","Currency=INR","Period=FY","BEST_FPERIOD_OVERRIDE=FY","FILING_STATUS=MR","EQY_CONSOLIDATED=Y","FA_ADJUSTED=GAAP","Sort=A","Dates=H","DateFormat=P","Fill=—","Direction=H","UseDPDF=Y")</f>
        <v>6.5164</v>
      </c>
      <c r="E110" s="20">
        <f>_xll.BDH("RCOM IN Equity","IS_EPS","FY 2012","FY 2012","Currency=INR","Period=FY","BEST_FPERIOD_OVERRIDE=FY","FILING_STATUS=MR","EQY_CONSOLIDATED=Y","FA_ADJUSTED=GAAP","Sort=A","Dates=H","DateFormat=P","Fill=—","Direction=H","UseDPDF=Y")</f>
        <v>4.5</v>
      </c>
      <c r="F110" s="20">
        <f>_xll.BDH("RCOM IN Equity","IS_EPS","FY 2013","FY 2013","Currency=INR","Period=FY","BEST_FPERIOD_OVERRIDE=FY","FILING_STATUS=MR","EQY_CONSOLIDATED=Y","FA_ADJUSTED=GAAP","Sort=A","Dates=H","DateFormat=P","Fill=—","Direction=H","UseDPDF=Y")</f>
        <v>3.26</v>
      </c>
      <c r="G110" s="20">
        <f>_xll.BDH("RCOM IN Equity","IS_EPS","FY 2014","FY 2014","Currency=INR","Period=FY","BEST_FPERIOD_OVERRIDE=FY","FILING_STATUS=MR","EQY_CONSOLIDATED=Y","FA_ADJUSTED=GAAP","Sort=A","Dates=H","DateFormat=P","Fill=—","Direction=H","UseDPDF=Y")</f>
        <v>5.07</v>
      </c>
      <c r="H110" s="20">
        <f>_xll.BDH("RCOM IN Equity","IS_EPS","FY 2015","FY 2015","Currency=INR","Period=FY","BEST_FPERIOD_OVERRIDE=FY","FILING_STATUS=MR","EQY_CONSOLIDATED=Y","FA_ADJUSTED=GAAP","Sort=A","Dates=H","DateFormat=P","Fill=—","Direction=H","UseDPDF=Y")</f>
        <v>3.05</v>
      </c>
      <c r="I110" s="20">
        <f>_xll.BDH("RCOM IN Equity","IS_EPS","FY 2016","FY 2016","Currency=INR","Period=FY","BEST_FPERIOD_OVERRIDE=FY","FILING_STATUS=MR","EQY_CONSOLIDATED=Y","FA_ADJUSTED=GAAP","Sort=A","Dates=H","DateFormat=P","Fill=—","Direction=H","UseDPDF=Y")</f>
        <v>2.59</v>
      </c>
      <c r="J110" s="20">
        <f>_xll.BDH("RCOM IN Equity","IS_EPS","FY 2017","FY 2017","Currency=INR","Period=FY","BEST_FPERIOD_OVERRIDE=FY","FILING_STATUS=MR","EQY_CONSOLIDATED=Y","FA_ADJUSTED=GAAP","Sort=A","Dates=H","DateFormat=P","Fill=—","Direction=H","UseDPDF=Y")</f>
        <v>-5.6855000000000002</v>
      </c>
      <c r="K110" s="20">
        <f>_xll.BDH("RCOM IN Equity","IS_EPS","FY 2018","FY 2018","Currency=INR","Period=FY","BEST_FPERIOD_OVERRIDE=FY","FILING_STATUS=MR","EQY_CONSOLIDATED=Y","FA_ADJUSTED=GAAP","Sort=A","Dates=H","DateFormat=P","Fill=—","Direction=H","UseDPDF=Y")</f>
        <v>-92.296599999999998</v>
      </c>
      <c r="L110" s="23">
        <v>-74.560955000000007</v>
      </c>
    </row>
    <row r="111" spans="1:12">
      <c r="A111" s="6" t="s">
        <v>348</v>
      </c>
      <c r="B111" s="6" t="s">
        <v>219</v>
      </c>
      <c r="C111" s="20">
        <f>_xll.BDH("RCOM IN Equity","IS_EARN_BEF_XO_ITEMS_PER_SH","FY 2010","FY 2010","Currency=INR","Period=FY","BEST_FPERIOD_OVERRIDE=FY","FILING_STATUS=MR","EQY_CONSOLIDATED=Y","Sort=A","Dates=H","DateFormat=P","Fill=—","Direction=H","UseDPDF=Y")</f>
        <v>22.553000000000001</v>
      </c>
      <c r="D111" s="20">
        <f>_xll.BDH("RCOM IN Equity","IS_EARN_BEF_XO_ITEMS_PER_SH","FY 2011","FY 2011","Currency=INR","Period=FY","BEST_FPERIOD_OVERRIDE=FY","FILING_STATUS=MR","EQY_CONSOLIDATED=Y","Sort=A","Dates=H","DateFormat=P","Fill=—","Direction=H","UseDPDF=Y")</f>
        <v>6.5164</v>
      </c>
      <c r="E111" s="20">
        <f>_xll.BDH("RCOM IN Equity","IS_EARN_BEF_XO_ITEMS_PER_SH","FY 2012","FY 2012","Currency=INR","Period=FY","BEST_FPERIOD_OVERRIDE=FY","FILING_STATUS=MR","EQY_CONSOLIDATED=Y","Sort=A","Dates=H","DateFormat=P","Fill=—","Direction=H","UseDPDF=Y")</f>
        <v>4.5</v>
      </c>
      <c r="F111" s="20">
        <f>_xll.BDH("RCOM IN Equity","IS_EARN_BEF_XO_ITEMS_PER_SH","FY 2013","FY 2013","Currency=INR","Period=FY","BEST_FPERIOD_OVERRIDE=FY","FILING_STATUS=MR","EQY_CONSOLIDATED=Y","Sort=A","Dates=H","DateFormat=P","Fill=—","Direction=H","UseDPDF=Y")</f>
        <v>3.26</v>
      </c>
      <c r="G111" s="20">
        <f>_xll.BDH("RCOM IN Equity","IS_EARN_BEF_XO_ITEMS_PER_SH","FY 2014","FY 2014","Currency=INR","Period=FY","BEST_FPERIOD_OVERRIDE=FY","FILING_STATUS=MR","EQY_CONSOLIDATED=Y","Sort=A","Dates=H","DateFormat=P","Fill=—","Direction=H","UseDPDF=Y")</f>
        <v>5.07</v>
      </c>
      <c r="H111" s="20">
        <f>_xll.BDH("RCOM IN Equity","IS_EARN_BEF_XO_ITEMS_PER_SH","FY 2015","FY 2015","Currency=INR","Period=FY","BEST_FPERIOD_OVERRIDE=FY","FILING_STATUS=MR","EQY_CONSOLIDATED=Y","Sort=A","Dates=H","DateFormat=P","Fill=—","Direction=H","UseDPDF=Y")</f>
        <v>3.05</v>
      </c>
      <c r="I111" s="20">
        <f>_xll.BDH("RCOM IN Equity","IS_EARN_BEF_XO_ITEMS_PER_SH","FY 2016","FY 2016","Currency=INR","Period=FY","BEST_FPERIOD_OVERRIDE=FY","FILING_STATUS=MR","EQY_CONSOLIDATED=Y","Sort=A","Dates=H","DateFormat=P","Fill=—","Direction=H","UseDPDF=Y")</f>
        <v>2.59</v>
      </c>
      <c r="J111" s="20">
        <f>_xll.BDH("RCOM IN Equity","IS_EARN_BEF_XO_ITEMS_PER_SH","FY 2017","FY 2017","Currency=INR","Period=FY","BEST_FPERIOD_OVERRIDE=FY","FILING_STATUS=MR","EQY_CONSOLIDATED=Y","Sort=A","Dates=H","DateFormat=P","Fill=—","Direction=H","UseDPDF=Y")</f>
        <v>0.50649999999999995</v>
      </c>
      <c r="K111" s="20">
        <f>_xll.BDH("RCOM IN Equity","IS_EARN_BEF_XO_ITEMS_PER_SH","FY 2018","FY 2018","Currency=INR","Period=FY","BEST_FPERIOD_OVERRIDE=FY","FILING_STATUS=MR","EQY_CONSOLIDATED=Y","Sort=A","Dates=H","DateFormat=P","Fill=—","Direction=H","UseDPDF=Y")</f>
        <v>0.18970000000000001</v>
      </c>
      <c r="L111" s="23">
        <v>4.0190530000000004</v>
      </c>
    </row>
    <row r="112" spans="1:12">
      <c r="A112" s="6" t="s">
        <v>349</v>
      </c>
      <c r="B112" s="6" t="s">
        <v>221</v>
      </c>
      <c r="C112" s="20">
        <f>_xll.BDH("RCOM IN Equity","IS_BASIC_EPS_CONT_OPS","FY 2010","FY 2010","Currency=INR","Period=FY","BEST_FPERIOD_OVERRIDE=FY","FILING_STATUS=MR","EQY_CONSOLIDATED=Y","Sort=A","Dates=H","DateFormat=P","Fill=—","Direction=H","UseDPDF=Y")</f>
        <v>22.863099999999999</v>
      </c>
      <c r="D112" s="20">
        <f>_xll.BDH("RCOM IN Equity","IS_BASIC_EPS_CONT_OPS","FY 2011","FY 2011","Currency=INR","Period=FY","BEST_FPERIOD_OVERRIDE=FY","FILING_STATUS=MR","EQY_CONSOLIDATED=Y","Sort=A","Dates=H","DateFormat=P","Fill=—","Direction=H","UseDPDF=Y")</f>
        <v>5.2465999999999999</v>
      </c>
      <c r="E112" s="20">
        <f>_xll.BDH("RCOM IN Equity","IS_BASIC_EPS_CONT_OPS","FY 2012","FY 2012","Currency=INR","Period=FY","BEST_FPERIOD_OVERRIDE=FY","FILING_STATUS=MR","EQY_CONSOLIDATED=Y","Sort=A","Dates=H","DateFormat=P","Fill=—","Direction=H","UseDPDF=Y")</f>
        <v>5.6088000000000005</v>
      </c>
      <c r="F112" s="20">
        <f>_xll.BDH("RCOM IN Equity","IS_BASIC_EPS_CONT_OPS","FY 2013","FY 2013","Currency=INR","Period=FY","BEST_FPERIOD_OVERRIDE=FY","FILING_STATUS=MR","EQY_CONSOLIDATED=Y","Sort=A","Dates=H","DateFormat=P","Fill=—","Direction=H","UseDPDF=Y")</f>
        <v>3.2397999999999998</v>
      </c>
      <c r="G112" s="20">
        <f>_xll.BDH("RCOM IN Equity","IS_BASIC_EPS_CONT_OPS","FY 2014","FY 2014","Currency=INR","Period=FY","BEST_FPERIOD_OVERRIDE=FY","FILING_STATUS=MR","EQY_CONSOLIDATED=Y","Sort=A","Dates=H","DateFormat=P","Fill=—","Direction=H","UseDPDF=Y")</f>
        <v>5.1078000000000001</v>
      </c>
      <c r="H112" s="20">
        <f>_xll.BDH("RCOM IN Equity","IS_BASIC_EPS_CONT_OPS","FY 2015","FY 2015","Currency=INR","Period=FY","BEST_FPERIOD_OVERRIDE=FY","FILING_STATUS=MR","EQY_CONSOLIDATED=Y","Sort=A","Dates=H","DateFormat=P","Fill=—","Direction=H","UseDPDF=Y")</f>
        <v>2.9695999999999998</v>
      </c>
      <c r="I112" s="20">
        <f>_xll.BDH("RCOM IN Equity","IS_BASIC_EPS_CONT_OPS","FY 2016","FY 2016","Currency=INR","Period=FY","BEST_FPERIOD_OVERRIDE=FY","FILING_STATUS=MR","EQY_CONSOLIDATED=Y","Sort=A","Dates=H","DateFormat=P","Fill=—","Direction=H","UseDPDF=Y")</f>
        <v>2.0196999999999998</v>
      </c>
      <c r="J112" s="20">
        <f>_xll.BDH("RCOM IN Equity","IS_BASIC_EPS_CONT_OPS","FY 2017","FY 2017","Currency=INR","Period=FY","BEST_FPERIOD_OVERRIDE=FY","FILING_STATUS=MR","EQY_CONSOLIDATED=Y","Sort=A","Dates=H","DateFormat=P","Fill=—","Direction=H","UseDPDF=Y")</f>
        <v>0.50649999999999995</v>
      </c>
      <c r="K112" s="20">
        <f>_xll.BDH("RCOM IN Equity","IS_BASIC_EPS_CONT_OPS","FY 2018","FY 2018","Currency=INR","Period=FY","BEST_FPERIOD_OVERRIDE=FY","FILING_STATUS=MR","EQY_CONSOLIDATED=Y","Sort=A","Dates=H","DateFormat=P","Fill=—","Direction=H","UseDPDF=Y")</f>
        <v>0.18970000000000001</v>
      </c>
      <c r="L112" s="23">
        <v>4.0190530000000004</v>
      </c>
    </row>
    <row r="113" spans="1:12">
      <c r="A113" s="6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21"/>
    </row>
    <row r="114" spans="1:12">
      <c r="A114" s="10" t="s">
        <v>211</v>
      </c>
      <c r="B114" s="10" t="s">
        <v>73</v>
      </c>
      <c r="C114" s="13">
        <f>_xll.BDH("RCOM IN Equity","IS_SH_FOR_DILUTED_EPS","FY 2010","FY 2010","Currency=INR","Period=FY","BEST_FPERIOD_OVERRIDE=FY","FILING_STATUS=MR","EQY_CONSOLIDATED=Y","Sort=A","Dates=H","DateFormat=P","Fill=—","Direction=H","UseDPDF=Y")</f>
        <v>2153.1658000000002</v>
      </c>
      <c r="D114" s="13">
        <f>_xll.BDH("RCOM IN Equity","IS_SH_FOR_DILUTED_EPS","FY 2011","FY 2011","Currency=INR","Period=FY","BEST_FPERIOD_OVERRIDE=FY","FILING_STATUS=MR","EQY_CONSOLIDATED=Y","Sort=A","Dates=H","DateFormat=P","Fill=—","Direction=H","UseDPDF=Y")</f>
        <v>2153.1658000000002</v>
      </c>
      <c r="E114" s="13">
        <f>_xll.BDH("RCOM IN Equity","IS_SH_FOR_DILUTED_EPS","FY 2012","FY 2012","Currency=INR","Period=FY","BEST_FPERIOD_OVERRIDE=FY","FILING_STATUS=MR","EQY_CONSOLIDATED=Y","Sort=A","Dates=H","DateFormat=P","Fill=—","Direction=H","UseDPDF=Y")</f>
        <v>2104.0468999999998</v>
      </c>
      <c r="F114" s="13">
        <f>_xll.BDH("RCOM IN Equity","IS_SH_FOR_DILUTED_EPS","FY 2013","FY 2013","Currency=INR","Period=FY","BEST_FPERIOD_OVERRIDE=FY","FILING_STATUS=MR","EQY_CONSOLIDATED=Y","Sort=A","Dates=H","DateFormat=P","Fill=—","Direction=H","UseDPDF=Y")</f>
        <v>2064.0268999999998</v>
      </c>
      <c r="G114" s="13">
        <f>_xll.BDH("RCOM IN Equity","IS_SH_FOR_DILUTED_EPS","FY 2014","FY 2014","Currency=INR","Period=FY","BEST_FPERIOD_OVERRIDE=FY","FILING_STATUS=MR","EQY_CONSOLIDATED=Y","Sort=A","Dates=H","DateFormat=P","Fill=—","Direction=H","UseDPDF=Y")</f>
        <v>2064.0268999999998</v>
      </c>
      <c r="H114" s="13">
        <f>_xll.BDH("RCOM IN Equity","IS_SH_FOR_DILUTED_EPS","FY 2015","FY 2015","Currency=INR","Period=FY","BEST_FPERIOD_OVERRIDE=FY","FILING_STATUS=MR","EQY_CONSOLIDATED=Y","Sort=A","Dates=H","DateFormat=P","Fill=—","Direction=H","UseDPDF=Y")</f>
        <v>2333.9049</v>
      </c>
      <c r="I114" s="13">
        <f>_xll.BDH("RCOM IN Equity","IS_SH_FOR_DILUTED_EPS","FY 2016","FY 2016","Currency=INR","Period=FY","BEST_FPERIOD_OVERRIDE=FY","FILING_STATUS=MR","EQY_CONSOLIDATED=Y","Sort=A","Dates=H","DateFormat=P","Fill=—","Direction=H","UseDPDF=Y")</f>
        <v>2467.7006999999999</v>
      </c>
      <c r="J114" s="13">
        <f>_xll.BDH("RCOM IN Equity","IS_SH_FOR_DILUTED_EPS","FY 2017","FY 2017","Currency=INR","Period=FY","BEST_FPERIOD_OVERRIDE=FY","FILING_STATUS=MR","EQY_CONSOLIDATED=Y","Sort=A","Dates=H","DateFormat=P","Fill=—","Direction=H","UseDPDF=Y")</f>
        <v>2467.7006999999999</v>
      </c>
      <c r="K114" s="13">
        <f>_xll.BDH("RCOM IN Equity","IS_SH_FOR_DILUTED_EPS","FY 2018","FY 2018","Currency=INR","Period=FY","BEST_FPERIOD_OVERRIDE=FY","FILING_STATUS=MR","EQY_CONSOLIDATED=Y","Sort=A","Dates=H","DateFormat=P","Fill=—","Direction=H","UseDPDF=Y")</f>
        <v>2582.8681000000001</v>
      </c>
      <c r="L114" s="16">
        <v>2766</v>
      </c>
    </row>
    <row r="115" spans="1:12">
      <c r="A115" s="6" t="s">
        <v>68</v>
      </c>
      <c r="B115" s="6" t="s">
        <v>69</v>
      </c>
      <c r="C115" s="20">
        <f>_xll.BDH("RCOM IN Equity","IS_DILUTED_EPS","FY 2010","FY 2010","Currency=INR","Period=FY","BEST_FPERIOD_OVERRIDE=FY","FILING_STATUS=MR","EQY_CONSOLIDATED=Y","FA_ADJUSTED=GAAP","Sort=A","Dates=H","DateFormat=P","Fill=—","Direction=H","UseDPDF=Y")</f>
        <v>21.619299999999999</v>
      </c>
      <c r="D115" s="20">
        <f>_xll.BDH("RCOM IN Equity","IS_DILUTED_EPS","FY 2011","FY 2011","Currency=INR","Period=FY","BEST_FPERIOD_OVERRIDE=FY","FILING_STATUS=MR","EQY_CONSOLIDATED=Y","FA_ADJUSTED=GAAP","Sort=A","Dates=H","DateFormat=P","Fill=—","Direction=H","UseDPDF=Y")</f>
        <v>6.2465999999999999</v>
      </c>
      <c r="E115" s="20">
        <f>_xll.BDH("RCOM IN Equity","IS_DILUTED_EPS","FY 2012","FY 2012","Currency=INR","Period=FY","BEST_FPERIOD_OVERRIDE=FY","FILING_STATUS=MR","EQY_CONSOLIDATED=Y","FA_ADJUSTED=GAAP","Sort=A","Dates=H","DateFormat=P","Fill=—","Direction=H","UseDPDF=Y")</f>
        <v>4.41</v>
      </c>
      <c r="F115" s="20">
        <f>_xll.BDH("RCOM IN Equity","IS_DILUTED_EPS","FY 2013","FY 2013","Currency=INR","Period=FY","BEST_FPERIOD_OVERRIDE=FY","FILING_STATUS=MR","EQY_CONSOLIDATED=Y","FA_ADJUSTED=GAAP","Sort=A","Dates=H","DateFormat=P","Fill=—","Direction=H","UseDPDF=Y")</f>
        <v>3.26</v>
      </c>
      <c r="G115" s="20">
        <f>_xll.BDH("RCOM IN Equity","IS_DILUTED_EPS","FY 2014","FY 2014","Currency=INR","Period=FY","BEST_FPERIOD_OVERRIDE=FY","FILING_STATUS=MR","EQY_CONSOLIDATED=Y","FA_ADJUSTED=GAAP","Sort=A","Dates=H","DateFormat=P","Fill=—","Direction=H","UseDPDF=Y")</f>
        <v>5.07</v>
      </c>
      <c r="H115" s="20">
        <f>_xll.BDH("RCOM IN Equity","IS_DILUTED_EPS","FY 2015","FY 2015","Currency=INR","Period=FY","BEST_FPERIOD_OVERRIDE=FY","FILING_STATUS=MR","EQY_CONSOLIDATED=Y","FA_ADJUSTED=GAAP","Sort=A","Dates=H","DateFormat=P","Fill=—","Direction=H","UseDPDF=Y")</f>
        <v>3.05</v>
      </c>
      <c r="I115" s="20">
        <f>_xll.BDH("RCOM IN Equity","IS_DILUTED_EPS","FY 2016","FY 2016","Currency=INR","Period=FY","BEST_FPERIOD_OVERRIDE=FY","FILING_STATUS=MR","EQY_CONSOLIDATED=Y","FA_ADJUSTED=GAAP","Sort=A","Dates=H","DateFormat=P","Fill=—","Direction=H","UseDPDF=Y")</f>
        <v>2.59</v>
      </c>
      <c r="J115" s="20">
        <f>_xll.BDH("RCOM IN Equity","IS_DILUTED_EPS","FY 2017","FY 2017","Currency=INR","Period=FY","BEST_FPERIOD_OVERRIDE=FY","FILING_STATUS=MR","EQY_CONSOLIDATED=Y","FA_ADJUSTED=GAAP","Sort=A","Dates=H","DateFormat=P","Fill=—","Direction=H","UseDPDF=Y")</f>
        <v>-5.6855000000000002</v>
      </c>
      <c r="K115" s="20">
        <f>_xll.BDH("RCOM IN Equity","IS_DILUTED_EPS","FY 2018","FY 2018","Currency=INR","Period=FY","BEST_FPERIOD_OVERRIDE=FY","FILING_STATUS=MR","EQY_CONSOLIDATED=Y","FA_ADJUSTED=GAAP","Sort=A","Dates=H","DateFormat=P","Fill=—","Direction=H","UseDPDF=Y")</f>
        <v>-92.296599999999998</v>
      </c>
      <c r="L115" s="23">
        <v>-74.560955000000007</v>
      </c>
    </row>
    <row r="116" spans="1:12">
      <c r="A116" s="6" t="s">
        <v>350</v>
      </c>
      <c r="B116" s="6" t="s">
        <v>224</v>
      </c>
      <c r="C116" s="20">
        <f>_xll.BDH("RCOM IN Equity","IS_DIL_EPS_BEF_XO","FY 2010","FY 2010","Currency=INR","Period=FY","BEST_FPERIOD_OVERRIDE=FY","FILING_STATUS=MR","EQY_CONSOLIDATED=Y","Sort=A","Dates=H","DateFormat=P","Fill=—","Direction=H","UseDPDF=Y")</f>
        <v>21.619299999999999</v>
      </c>
      <c r="D116" s="20">
        <f>_xll.BDH("RCOM IN Equity","IS_DIL_EPS_BEF_XO","FY 2011","FY 2011","Currency=INR","Period=FY","BEST_FPERIOD_OVERRIDE=FY","FILING_STATUS=MR","EQY_CONSOLIDATED=Y","Sort=A","Dates=H","DateFormat=P","Fill=—","Direction=H","UseDPDF=Y")</f>
        <v>6.2465999999999999</v>
      </c>
      <c r="E116" s="20">
        <f>_xll.BDH("RCOM IN Equity","IS_DIL_EPS_BEF_XO","FY 2012","FY 2012","Currency=INR","Period=FY","BEST_FPERIOD_OVERRIDE=FY","FILING_STATUS=MR","EQY_CONSOLIDATED=Y","Sort=A","Dates=H","DateFormat=P","Fill=—","Direction=H","UseDPDF=Y")</f>
        <v>4.41</v>
      </c>
      <c r="F116" s="20">
        <f>_xll.BDH("RCOM IN Equity","IS_DIL_EPS_BEF_XO","FY 2013","FY 2013","Currency=INR","Period=FY","BEST_FPERIOD_OVERRIDE=FY","FILING_STATUS=MR","EQY_CONSOLIDATED=Y","Sort=A","Dates=H","DateFormat=P","Fill=—","Direction=H","UseDPDF=Y")</f>
        <v>3.26</v>
      </c>
      <c r="G116" s="20">
        <f>_xll.BDH("RCOM IN Equity","IS_DIL_EPS_BEF_XO","FY 2014","FY 2014","Currency=INR","Period=FY","BEST_FPERIOD_OVERRIDE=FY","FILING_STATUS=MR","EQY_CONSOLIDATED=Y","Sort=A","Dates=H","DateFormat=P","Fill=—","Direction=H","UseDPDF=Y")</f>
        <v>5.07</v>
      </c>
      <c r="H116" s="20">
        <f>_xll.BDH("RCOM IN Equity","IS_DIL_EPS_BEF_XO","FY 2015","FY 2015","Currency=INR","Period=FY","BEST_FPERIOD_OVERRIDE=FY","FILING_STATUS=MR","EQY_CONSOLIDATED=Y","Sort=A","Dates=H","DateFormat=P","Fill=—","Direction=H","UseDPDF=Y")</f>
        <v>3.05</v>
      </c>
      <c r="I116" s="20">
        <f>_xll.BDH("RCOM IN Equity","IS_DIL_EPS_BEF_XO","FY 2016","FY 2016","Currency=INR","Period=FY","BEST_FPERIOD_OVERRIDE=FY","FILING_STATUS=MR","EQY_CONSOLIDATED=Y","Sort=A","Dates=H","DateFormat=P","Fill=—","Direction=H","UseDPDF=Y")</f>
        <v>2.59</v>
      </c>
      <c r="J116" s="20">
        <f>_xll.BDH("RCOM IN Equity","IS_DIL_EPS_BEF_XO","FY 2017","FY 2017","Currency=INR","Period=FY","BEST_FPERIOD_OVERRIDE=FY","FILING_STATUS=MR","EQY_CONSOLIDATED=Y","Sort=A","Dates=H","DateFormat=P","Fill=—","Direction=H","UseDPDF=Y")</f>
        <v>0.50649999999999995</v>
      </c>
      <c r="K116" s="20">
        <f>_xll.BDH("RCOM IN Equity","IS_DIL_EPS_BEF_XO","FY 2018","FY 2018","Currency=INR","Period=FY","BEST_FPERIOD_OVERRIDE=FY","FILING_STATUS=MR","EQY_CONSOLIDATED=Y","Sort=A","Dates=H","DateFormat=P","Fill=—","Direction=H","UseDPDF=Y")</f>
        <v>0.18970000000000001</v>
      </c>
      <c r="L116" s="23">
        <v>4.0190530000000004</v>
      </c>
    </row>
    <row r="117" spans="1:12">
      <c r="A117" s="6" t="s">
        <v>351</v>
      </c>
      <c r="B117" s="6" t="s">
        <v>50</v>
      </c>
      <c r="C117" s="20">
        <f>_xll.BDH("RCOM IN Equity","IS_DIL_EPS_CONT_OPS","FY 2010","FY 2010","Currency=INR","Period=FY","BEST_FPERIOD_OVERRIDE=FY","FILING_STATUS=MR","EQY_CONSOLIDATED=Y","Sort=A","Dates=H","DateFormat=P","Fill=—","Direction=H","UseDPDF=Y")</f>
        <v>21.916599999999999</v>
      </c>
      <c r="D117" s="20">
        <f>_xll.BDH("RCOM IN Equity","IS_DIL_EPS_CONT_OPS","FY 2011","FY 2011","Currency=INR","Period=FY","BEST_FPERIOD_OVERRIDE=FY","FILING_STATUS=MR","EQY_CONSOLIDATED=Y","Sort=A","Dates=H","DateFormat=P","Fill=—","Direction=H","UseDPDF=Y")</f>
        <v>5.0293999999999999</v>
      </c>
      <c r="E117" s="20">
        <f>_xll.BDH("RCOM IN Equity","IS_DIL_EPS_CONT_OPS","FY 2012","FY 2012","Currency=INR","Period=FY","BEST_FPERIOD_OVERRIDE=FY","FILING_STATUS=MR","EQY_CONSOLIDATED=Y","Sort=A","Dates=H","DateFormat=P","Fill=—","Direction=H","UseDPDF=Y")</f>
        <v>5.5015999999999998</v>
      </c>
      <c r="F117" s="20">
        <f>_xll.BDH("RCOM IN Equity","IS_DIL_EPS_CONT_OPS","FY 2013","FY 2013","Currency=INR","Period=FY","BEST_FPERIOD_OVERRIDE=FY","FILING_STATUS=MR","EQY_CONSOLIDATED=Y","Sort=A","Dates=H","DateFormat=P","Fill=—","Direction=H","UseDPDF=Y")</f>
        <v>3.2397999999999998</v>
      </c>
      <c r="G117" s="20">
        <f>_xll.BDH("RCOM IN Equity","IS_DIL_EPS_CONT_OPS","FY 2014","FY 2014","Currency=INR","Period=FY","BEST_FPERIOD_OVERRIDE=FY","FILING_STATUS=MR","EQY_CONSOLIDATED=Y","Sort=A","Dates=H","DateFormat=P","Fill=—","Direction=H","UseDPDF=Y")</f>
        <v>5.1078000000000001</v>
      </c>
      <c r="H117" s="20">
        <f>_xll.BDH("RCOM IN Equity","IS_DIL_EPS_CONT_OPS","FY 2015","FY 2015","Currency=INR","Period=FY","BEST_FPERIOD_OVERRIDE=FY","FILING_STATUS=MR","EQY_CONSOLIDATED=Y","Sort=A","Dates=H","DateFormat=P","Fill=—","Direction=H","UseDPDF=Y")</f>
        <v>2.9695999999999998</v>
      </c>
      <c r="I117" s="20">
        <f>_xll.BDH("RCOM IN Equity","IS_DIL_EPS_CONT_OPS","FY 2016","FY 2016","Currency=INR","Period=FY","BEST_FPERIOD_OVERRIDE=FY","FILING_STATUS=MR","EQY_CONSOLIDATED=Y","Sort=A","Dates=H","DateFormat=P","Fill=—","Direction=H","UseDPDF=Y")</f>
        <v>2.0196999999999998</v>
      </c>
      <c r="J117" s="20">
        <f>_xll.BDH("RCOM IN Equity","IS_DIL_EPS_CONT_OPS","FY 2017","FY 2017","Currency=INR","Period=FY","BEST_FPERIOD_OVERRIDE=FY","FILING_STATUS=MR","EQY_CONSOLIDATED=Y","Sort=A","Dates=H","DateFormat=P","Fill=—","Direction=H","UseDPDF=Y")</f>
        <v>0.50649999999999995</v>
      </c>
      <c r="K117" s="20">
        <f>_xll.BDH("RCOM IN Equity","IS_DIL_EPS_CONT_OPS","FY 2018","FY 2018","Currency=INR","Period=FY","BEST_FPERIOD_OVERRIDE=FY","FILING_STATUS=MR","EQY_CONSOLIDATED=Y","Sort=A","Dates=H","DateFormat=P","Fill=—","Direction=H","UseDPDF=Y")</f>
        <v>0.18970000000000001</v>
      </c>
      <c r="L117" s="23">
        <v>4.0190530000000004</v>
      </c>
    </row>
    <row r="118" spans="1:12">
      <c r="A118" s="6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21"/>
    </row>
    <row r="119" spans="1:12">
      <c r="A119" s="6" t="s">
        <v>2</v>
      </c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21"/>
    </row>
    <row r="120" spans="1:12">
      <c r="A120" s="10" t="s">
        <v>352</v>
      </c>
      <c r="B120" s="10" t="s">
        <v>353</v>
      </c>
      <c r="C120" s="12" t="s">
        <v>354</v>
      </c>
      <c r="D120" s="12" t="s">
        <v>354</v>
      </c>
      <c r="E120" s="12" t="s">
        <v>354</v>
      </c>
      <c r="F120" s="12" t="s">
        <v>354</v>
      </c>
      <c r="G120" s="12" t="s">
        <v>354</v>
      </c>
      <c r="H120" s="12" t="s">
        <v>354</v>
      </c>
      <c r="I120" s="12" t="s">
        <v>354</v>
      </c>
      <c r="J120" s="12" t="s">
        <v>354</v>
      </c>
      <c r="K120" s="12" t="s">
        <v>354</v>
      </c>
      <c r="L120" s="15"/>
    </row>
    <row r="121" spans="1:12">
      <c r="A121" s="10" t="s">
        <v>46</v>
      </c>
      <c r="B121" s="10" t="s">
        <v>46</v>
      </c>
      <c r="C121" s="13">
        <f>_xll.BDH("RCOM IN Equity","EBITDA","FY 2010","FY 2010","Currency=INR","Period=FY","BEST_FPERIOD_OVERRIDE=FY","FILING_STATUS=MR","EQY_CONSOLIDATED=Y","SCALING_FORMAT=MLN","FA_ADJUSTED=Adjusted","Sort=A","Dates=H","DateFormat=P","Fill=—","Direction=H","UseDPDF=Y")</f>
        <v>72955</v>
      </c>
      <c r="D121" s="13">
        <f>_xll.BDH("RCOM IN Equity","EBITDA","FY 2011","FY 2011","Currency=INR","Period=FY","BEST_FPERIOD_OVERRIDE=FY","FILING_STATUS=MR","EQY_CONSOLIDATED=Y","SCALING_FORMAT=MLN","FA_ADJUSTED=Adjusted","Sort=A","Dates=H","DateFormat=P","Fill=—","Direction=H","UseDPDF=Y")</f>
        <v>83760.800000000003</v>
      </c>
      <c r="E121" s="13">
        <f>_xll.BDH("RCOM IN Equity","EBITDA","FY 2012","FY 2012","Currency=INR","Period=FY","BEST_FPERIOD_OVERRIDE=FY","FILING_STATUS=MR","EQY_CONSOLIDATED=Y","SCALING_FORMAT=MLN","FA_ADJUSTED=Adjusted","Sort=A","Dates=H","DateFormat=P","Fill=—","Direction=H","UseDPDF=Y")</f>
        <v>61650</v>
      </c>
      <c r="F121" s="13">
        <f>_xll.BDH("RCOM IN Equity","EBITDA","FY 2013","FY 2013","Currency=INR","Period=FY","BEST_FPERIOD_OVERRIDE=FY","FILING_STATUS=MR","EQY_CONSOLIDATED=Y","SCALING_FORMAT=MLN","FA_ADJUSTED=Adjusted","Sort=A","Dates=H","DateFormat=P","Fill=—","Direction=H","UseDPDF=Y")</f>
        <v>59710</v>
      </c>
      <c r="G121" s="13">
        <f>_xll.BDH("RCOM IN Equity","EBITDA","FY 2014","FY 2014","Currency=INR","Period=FY","BEST_FPERIOD_OVERRIDE=FY","FILING_STATUS=MR","EQY_CONSOLIDATED=Y","SCALING_FORMAT=MLN","FA_ADJUSTED=Adjusted","Sort=A","Dates=H","DateFormat=P","Fill=—","Direction=H","UseDPDF=Y")</f>
        <v>67260</v>
      </c>
      <c r="H121" s="13">
        <f>_xll.BDH("RCOM IN Equity","EBITDA","FY 2015","FY 2015","Currency=INR","Period=FY","BEST_FPERIOD_OVERRIDE=FY","FILING_STATUS=MR","EQY_CONSOLIDATED=Y","SCALING_FORMAT=MLN","FA_ADJUSTED=Adjusted","Sort=A","Dates=H","DateFormat=P","Fill=—","Direction=H","UseDPDF=Y")</f>
        <v>72100</v>
      </c>
      <c r="I121" s="13">
        <f>_xll.BDH("RCOM IN Equity","EBITDA","FY 2016","FY 2016","Currency=INR","Period=FY","BEST_FPERIOD_OVERRIDE=FY","FILING_STATUS=MR","EQY_CONSOLIDATED=Y","SCALING_FORMAT=MLN","FA_ADJUSTED=Adjusted","Sort=A","Dates=H","DateFormat=P","Fill=—","Direction=H","UseDPDF=Y")</f>
        <v>72760</v>
      </c>
      <c r="J121" s="13">
        <f>_xll.BDH("RCOM IN Equity","EBITDA","FY 2017","FY 2017","Currency=INR","Period=FY","BEST_FPERIOD_OVERRIDE=FY","FILING_STATUS=MR","EQY_CONSOLIDATED=Y","SCALING_FORMAT=MLN","FA_ADJUSTED=Adjusted","Sort=A","Dates=H","DateFormat=P","Fill=—","Direction=H","UseDPDF=Y")</f>
        <v>46610</v>
      </c>
      <c r="K121" s="13">
        <f>_xll.BDH("RCOM IN Equity","EBITDA","FY 2018","FY 2018","Currency=INR","Period=FY","BEST_FPERIOD_OVERRIDE=FY","FILING_STATUS=MR","EQY_CONSOLIDATED=Y","SCALING_FORMAT=MLN","FA_ADJUSTED=Adjusted","Sort=A","Dates=H","DateFormat=P","Fill=—","Direction=H","UseDPDF=Y")</f>
        <v>31100</v>
      </c>
      <c r="L121" s="16">
        <v>5160</v>
      </c>
    </row>
    <row r="122" spans="1:12">
      <c r="A122" s="10" t="s">
        <v>355</v>
      </c>
      <c r="B122" s="10" t="s">
        <v>356</v>
      </c>
      <c r="C122" s="14">
        <f>_xll.BDH("RCOM IN Equity","EBITDA_MARGIN","FY 2010","FY 2010","Currency=INR","Period=FY","BEST_FPERIOD_OVERRIDE=FY","FILING_STATUS=MR","EQY_CONSOLIDATED=Y","FA_ADJUSTED=Adjusted","Sort=A","Dates=H","DateFormat=P","Fill=—","Direction=H","UseDPDF=Y")</f>
        <v>35.269399999999997</v>
      </c>
      <c r="D122" s="14">
        <f>_xll.BDH("RCOM IN Equity","EBITDA_MARGIN","FY 2011","FY 2011","Currency=INR","Period=FY","BEST_FPERIOD_OVERRIDE=FY","FILING_STATUS=MR","EQY_CONSOLIDATED=Y","FA_ADJUSTED=Adjusted","Sort=A","Dates=H","DateFormat=P","Fill=—","Direction=H","UseDPDF=Y")</f>
        <v>37.919699999999999</v>
      </c>
      <c r="E122" s="14">
        <f>_xll.BDH("RCOM IN Equity","EBITDA_MARGIN","FY 2012","FY 2012","Currency=INR","Period=FY","BEST_FPERIOD_OVERRIDE=FY","FILING_STATUS=MR","EQY_CONSOLIDATED=Y","FA_ADJUSTED=Adjusted","Sort=A","Dates=H","DateFormat=P","Fill=—","Direction=H","UseDPDF=Y")</f>
        <v>32.939700000000002</v>
      </c>
      <c r="F122" s="14">
        <f>_xll.BDH("RCOM IN Equity","EBITDA_MARGIN","FY 2013","FY 2013","Currency=INR","Period=FY","BEST_FPERIOD_OVERRIDE=FY","FILING_STATUS=MR","EQY_CONSOLIDATED=Y","FA_ADJUSTED=Adjusted","Sort=A","Dates=H","DateFormat=P","Fill=—","Direction=H","UseDPDF=Y")</f>
        <v>30.947400000000002</v>
      </c>
      <c r="G122" s="14">
        <f>_xll.BDH("RCOM IN Equity","EBITDA_MARGIN","FY 2014","FY 2014","Currency=INR","Period=FY","BEST_FPERIOD_OVERRIDE=FY","FILING_STATUS=MR","EQY_CONSOLIDATED=Y","FA_ADJUSTED=Adjusted","Sort=A","Dates=H","DateFormat=P","Fill=—","Direction=H","UseDPDF=Y")</f>
        <v>32.1203</v>
      </c>
      <c r="H122" s="14">
        <f>_xll.BDH("RCOM IN Equity","EBITDA_MARGIN","FY 2015","FY 2015","Currency=INR","Period=FY","BEST_FPERIOD_OVERRIDE=FY","FILING_STATUS=MR","EQY_CONSOLIDATED=Y","FA_ADJUSTED=Adjusted","Sort=A","Dates=H","DateFormat=P","Fill=—","Direction=H","UseDPDF=Y")</f>
        <v>33.6554</v>
      </c>
      <c r="I122" s="14">
        <f>_xll.BDH("RCOM IN Equity","EBITDA_MARGIN","FY 2016","FY 2016","Currency=INR","Period=FY","BEST_FPERIOD_OVERRIDE=FY","FILING_STATUS=MR","EQY_CONSOLIDATED=Y","FA_ADJUSTED=Adjusted","Sort=A","Dates=H","DateFormat=P","Fill=—","Direction=H","UseDPDF=Y")</f>
        <v>33.4636</v>
      </c>
      <c r="J122" s="14">
        <f>_xll.BDH("RCOM IN Equity","EBITDA_MARGIN","FY 2017","FY 2017","Currency=INR","Period=FY","BEST_FPERIOD_OVERRIDE=FY","FILING_STATUS=MR","EQY_CONSOLIDATED=Y","FA_ADJUSTED=Adjusted","Sort=A","Dates=H","DateFormat=P","Fill=—","Direction=H","UseDPDF=Y")</f>
        <v>71.116900000000001</v>
      </c>
      <c r="K122" s="14">
        <f>_xll.BDH("RCOM IN Equity","EBITDA_MARGIN","FY 2018","FY 2018","Currency=INR","Period=FY","BEST_FPERIOD_OVERRIDE=FY","FILING_STATUS=MR","EQY_CONSOLIDATED=Y","FA_ADJUSTED=Adjusted","Sort=A","Dates=H","DateFormat=P","Fill=—","Direction=H","UseDPDF=Y")</f>
        <v>67.711699999999993</v>
      </c>
      <c r="L122" s="17">
        <v>12.893553223388301</v>
      </c>
    </row>
    <row r="123" spans="1:12">
      <c r="A123" s="10" t="s">
        <v>357</v>
      </c>
      <c r="B123" s="10" t="s">
        <v>357</v>
      </c>
      <c r="C123" s="13">
        <f>_xll.BDH("RCOM IN Equity","EBITA","FY 2010","FY 2010","Currency=INR","Period=FY","BEST_FPERIOD_OVERRIDE=FY","FILING_STATUS=MR","EQY_CONSOLIDATED=Y","SCALING_FORMAT=MLN","FA_ADJUSTED=Adjusted","Sort=A","Dates=H","DateFormat=P","Fill=—","Direction=H","UseDPDF=Y")</f>
        <v>44309</v>
      </c>
      <c r="D123" s="13">
        <f>_xll.BDH("RCOM IN Equity","EBITA","FY 2011","FY 2011","Currency=INR","Period=FY","BEST_FPERIOD_OVERRIDE=FY","FILING_STATUS=MR","EQY_CONSOLIDATED=Y","SCALING_FORMAT=MLN","FA_ADJUSTED=Adjusted","Sort=A","Dates=H","DateFormat=P","Fill=—","Direction=H","UseDPDF=Y")</f>
        <v>46320.800000000003</v>
      </c>
      <c r="E123" s="13">
        <f>_xll.BDH("RCOM IN Equity","EBITA","FY 2012","FY 2012","Currency=INR","Period=FY","BEST_FPERIOD_OVERRIDE=FY","FILING_STATUS=MR","EQY_CONSOLIDATED=Y","SCALING_FORMAT=MLN","FA_ADJUSTED=Adjusted","Sort=A","Dates=H","DateFormat=P","Fill=—","Direction=H","UseDPDF=Y")</f>
        <v>45280</v>
      </c>
      <c r="F123" s="13">
        <f>_xll.BDH("RCOM IN Equity","EBITA","FY 2013","FY 2013","Currency=INR","Period=FY","BEST_FPERIOD_OVERRIDE=FY","FILING_STATUS=MR","EQY_CONSOLIDATED=Y","SCALING_FORMAT=MLN","FA_ADJUSTED=Adjusted","Sort=A","Dates=H","DateFormat=P","Fill=—","Direction=H","UseDPDF=Y")</f>
        <v>40630</v>
      </c>
      <c r="G123" s="13" t="str">
        <f>_xll.BDH("RCOM IN Equity","EBITA","FY 2014","FY 2014","Currency=INR","Period=FY","BEST_FPERIOD_OVERRIDE=FY","FILING_STATUS=MR","EQY_CONSOLIDATED=Y","SCALING_FORMAT=MLN","FA_ADJUSTED=Adjusted","Sort=A","Dates=H","DateFormat=P","Fill=—","Direction=H","UseDPDF=Y")</f>
        <v>—</v>
      </c>
      <c r="H123" s="13" t="str">
        <f>_xll.BDH("RCOM IN Equity","EBITA","FY 2015","FY 2015","Currency=INR","Period=FY","BEST_FPERIOD_OVERRIDE=FY","FILING_STATUS=MR","EQY_CONSOLIDATED=Y","SCALING_FORMAT=MLN","FA_ADJUSTED=Adjusted","Sort=A","Dates=H","DateFormat=P","Fill=—","Direction=H","UseDPDF=Y")</f>
        <v>—</v>
      </c>
      <c r="I123" s="13" t="str">
        <f>_xll.BDH("RCOM IN Equity","EBITA","FY 2016","FY 2016","Currency=INR","Period=FY","BEST_FPERIOD_OVERRIDE=FY","FILING_STATUS=MR","EQY_CONSOLIDATED=Y","SCALING_FORMAT=MLN","FA_ADJUSTED=Adjusted","Sort=A","Dates=H","DateFormat=P","Fill=—","Direction=H","UseDPDF=Y")</f>
        <v>—</v>
      </c>
      <c r="J123" s="13" t="str">
        <f>_xll.BDH("RCOM IN Equity","EBITA","FY 2017","FY 2017","Currency=INR","Period=FY","BEST_FPERIOD_OVERRIDE=FY","FILING_STATUS=MR","EQY_CONSOLIDATED=Y","SCALING_FORMAT=MLN","FA_ADJUSTED=Adjusted","Sort=A","Dates=H","DateFormat=P","Fill=—","Direction=H","UseDPDF=Y")</f>
        <v>—</v>
      </c>
      <c r="K123" s="13" t="str">
        <f>_xll.BDH("RCOM IN Equity","EBITA","FY 2018","FY 2018","Currency=INR","Period=FY","BEST_FPERIOD_OVERRIDE=FY","FILING_STATUS=MR","EQY_CONSOLIDATED=Y","SCALING_FORMAT=MLN","FA_ADJUSTED=Adjusted","Sort=A","Dates=H","DateFormat=P","Fill=—","Direction=H","UseDPDF=Y")</f>
        <v>—</v>
      </c>
      <c r="L123" s="16"/>
    </row>
    <row r="124" spans="1:12">
      <c r="A124" s="10" t="s">
        <v>102</v>
      </c>
      <c r="B124" s="10" t="s">
        <v>102</v>
      </c>
      <c r="C124" s="13">
        <f>_xll.BDH("RCOM IN Equity","EBIT","FY 2010","FY 2010","Currency=INR","Period=FY","BEST_FPERIOD_OVERRIDE=FY","FILING_STATUS=MR","EQY_CONSOLIDATED=Y","SCALING_FORMAT=MLN","FA_ADJUSTED=Adjusted","Sort=A","Dates=H","DateFormat=P","Fill=—","Direction=H","UseDPDF=Y")</f>
        <v>35489.9</v>
      </c>
      <c r="D124" s="13">
        <f>_xll.BDH("RCOM IN Equity","EBIT","FY 2011","FY 2011","Currency=INR","Period=FY","BEST_FPERIOD_OVERRIDE=FY","FILING_STATUS=MR","EQY_CONSOLIDATED=Y","SCALING_FORMAT=MLN","FA_ADJUSTED=Adjusted","Sort=A","Dates=H","DateFormat=P","Fill=—","Direction=H","UseDPDF=Y")</f>
        <v>18720.8</v>
      </c>
      <c r="E124" s="13">
        <f>_xll.BDH("RCOM IN Equity","EBIT","FY 2012","FY 2012","Currency=INR","Period=FY","BEST_FPERIOD_OVERRIDE=FY","FILING_STATUS=MR","EQY_CONSOLIDATED=Y","SCALING_FORMAT=MLN","FA_ADJUSTED=Adjusted","Sort=A","Dates=H","DateFormat=P","Fill=—","Direction=H","UseDPDF=Y")</f>
        <v>21870</v>
      </c>
      <c r="F124" s="13">
        <f>_xll.BDH("RCOM IN Equity","EBIT","FY 2013","FY 2013","Currency=INR","Period=FY","BEST_FPERIOD_OVERRIDE=FY","FILING_STATUS=MR","EQY_CONSOLIDATED=Y","SCALING_FORMAT=MLN","FA_ADJUSTED=Adjusted","Sort=A","Dates=H","DateFormat=P","Fill=—","Direction=H","UseDPDF=Y")</f>
        <v>21260</v>
      </c>
      <c r="G124" s="13">
        <f>_xll.BDH("RCOM IN Equity","EBIT","FY 2014","FY 2014","Currency=INR","Period=FY","BEST_FPERIOD_OVERRIDE=FY","FILING_STATUS=MR","EQY_CONSOLIDATED=Y","SCALING_FORMAT=MLN","FA_ADJUSTED=Adjusted","Sort=A","Dates=H","DateFormat=P","Fill=—","Direction=H","UseDPDF=Y")</f>
        <v>21910</v>
      </c>
      <c r="H124" s="13">
        <f>_xll.BDH("RCOM IN Equity","EBIT","FY 2015","FY 2015","Currency=INR","Period=FY","BEST_FPERIOD_OVERRIDE=FY","FILING_STATUS=MR","EQY_CONSOLIDATED=Y","SCALING_FORMAT=MLN","FA_ADJUSTED=Adjusted","Sort=A","Dates=H","DateFormat=P","Fill=—","Direction=H","UseDPDF=Y")</f>
        <v>33930</v>
      </c>
      <c r="I124" s="13">
        <f>_xll.BDH("RCOM IN Equity","EBIT","FY 2016","FY 2016","Currency=INR","Period=FY","BEST_FPERIOD_OVERRIDE=FY","FILING_STATUS=MR","EQY_CONSOLIDATED=Y","SCALING_FORMAT=MLN","FA_ADJUSTED=Adjusted","Sort=A","Dates=H","DateFormat=P","Fill=—","Direction=H","UseDPDF=Y")</f>
        <v>27920</v>
      </c>
      <c r="J124" s="13">
        <f>_xll.BDH("RCOM IN Equity","EBIT","FY 2017","FY 2017","Currency=INR","Period=FY","BEST_FPERIOD_OVERRIDE=FY","FILING_STATUS=MR","EQY_CONSOLIDATED=Y","SCALING_FORMAT=MLN","FA_ADJUSTED=Adjusted","Sort=A","Dates=H","DateFormat=P","Fill=—","Direction=H","UseDPDF=Y")</f>
        <v>4400</v>
      </c>
      <c r="K124" s="13">
        <f>_xll.BDH("RCOM IN Equity","EBIT","FY 2018","FY 2018","Currency=INR","Period=FY","BEST_FPERIOD_OVERRIDE=FY","FILING_STATUS=MR","EQY_CONSOLIDATED=Y","SCALING_FORMAT=MLN","FA_ADJUSTED=Adjusted","Sort=A","Dates=H","DateFormat=P","Fill=—","Direction=H","UseDPDF=Y")</f>
        <v>2430</v>
      </c>
      <c r="L124" s="16">
        <v>-2810</v>
      </c>
    </row>
    <row r="125" spans="1:12">
      <c r="A125" s="10" t="s">
        <v>358</v>
      </c>
      <c r="B125" s="10" t="s">
        <v>359</v>
      </c>
      <c r="C125" s="14">
        <f>_xll.BDH("RCOM IN Equity","OPER_MARGIN","FY 2010","FY 2010","Currency=INR","Period=FY","BEST_FPERIOD_OVERRIDE=FY","FILING_STATUS=MR","EQY_CONSOLIDATED=Y","FA_ADJUSTED=Adjusted","Sort=A","Dates=H","DateFormat=P","Fill=—","Direction=H","UseDPDF=Y")</f>
        <v>17.157299999999999</v>
      </c>
      <c r="D125" s="14">
        <f>_xll.BDH("RCOM IN Equity","OPER_MARGIN","FY 2011","FY 2011","Currency=INR","Period=FY","BEST_FPERIOD_OVERRIDE=FY","FILING_STATUS=MR","EQY_CONSOLIDATED=Y","FA_ADJUSTED=Adjusted","Sort=A","Dates=H","DateFormat=P","Fill=—","Direction=H","UseDPDF=Y")</f>
        <v>8.4751999999999992</v>
      </c>
      <c r="E125" s="14">
        <f>_xll.BDH("RCOM IN Equity","OPER_MARGIN","FY 2012","FY 2012","Currency=INR","Period=FY","BEST_FPERIOD_OVERRIDE=FY","FILING_STATUS=MR","EQY_CONSOLIDATED=Y","FA_ADJUSTED=Adjusted","Sort=A","Dates=H","DateFormat=P","Fill=—","Direction=H","UseDPDF=Y")</f>
        <v>11.6852</v>
      </c>
      <c r="F125" s="14">
        <f>_xll.BDH("RCOM IN Equity","OPER_MARGIN","FY 2013","FY 2013","Currency=INR","Period=FY","BEST_FPERIOD_OVERRIDE=FY","FILING_STATUS=MR","EQY_CONSOLIDATED=Y","FA_ADJUSTED=Adjusted","Sort=A","Dates=H","DateFormat=P","Fill=—","Direction=H","UseDPDF=Y")</f>
        <v>11.019</v>
      </c>
      <c r="G125" s="14">
        <f>_xll.BDH("RCOM IN Equity","OPER_MARGIN","FY 2014","FY 2014","Currency=INR","Period=FY","BEST_FPERIOD_OVERRIDE=FY","FILING_STATUS=MR","EQY_CONSOLIDATED=Y","FA_ADJUSTED=Adjusted","Sort=A","Dates=H","DateFormat=P","Fill=—","Direction=H","UseDPDF=Y")</f>
        <v>10.463200000000001</v>
      </c>
      <c r="H125" s="14">
        <f>_xll.BDH("RCOM IN Equity","OPER_MARGIN","FY 2015","FY 2015","Currency=INR","Period=FY","BEST_FPERIOD_OVERRIDE=FY","FILING_STATUS=MR","EQY_CONSOLIDATED=Y","FA_ADJUSTED=Adjusted","Sort=A","Dates=H","DateFormat=P","Fill=—","Direction=H","UseDPDF=Y")</f>
        <v>15.838100000000001</v>
      </c>
      <c r="I125" s="14">
        <f>_xll.BDH("RCOM IN Equity","OPER_MARGIN","FY 2016","FY 2016","Currency=INR","Period=FY","BEST_FPERIOD_OVERRIDE=FY","FILING_STATUS=MR","EQY_CONSOLIDATED=Y","FA_ADJUSTED=Adjusted","Sort=A","Dates=H","DateFormat=P","Fill=—","Direction=H","UseDPDF=Y")</f>
        <v>12.8409</v>
      </c>
      <c r="J125" s="14">
        <f>_xll.BDH("RCOM IN Equity","OPER_MARGIN","FY 2017","FY 2017","Currency=INR","Period=FY","BEST_FPERIOD_OVERRIDE=FY","FILING_STATUS=MR","EQY_CONSOLIDATED=Y","FA_ADJUSTED=Adjusted","Sort=A","Dates=H","DateFormat=P","Fill=—","Direction=H","UseDPDF=Y")</f>
        <v>6.7134999999999998</v>
      </c>
      <c r="K125" s="14">
        <f>_xll.BDH("RCOM IN Equity","OPER_MARGIN","FY 2018","FY 2018","Currency=INR","Period=FY","BEST_FPERIOD_OVERRIDE=FY","FILING_STATUS=MR","EQY_CONSOLIDATED=Y","FA_ADJUSTED=Adjusted","Sort=A","Dates=H","DateFormat=P","Fill=—","Direction=H","UseDPDF=Y")</f>
        <v>5.2907000000000002</v>
      </c>
      <c r="L125" s="17">
        <v>-7.0214892553723098</v>
      </c>
    </row>
    <row r="126" spans="1:12">
      <c r="A126" s="10" t="s">
        <v>360</v>
      </c>
      <c r="B126" s="10" t="s">
        <v>361</v>
      </c>
      <c r="C126" s="14">
        <f>_xll.BDH("RCOM IN Equity","PROF_MARGIN","FY 2010","FY 2010","Currency=INR","Period=FY","BEST_FPERIOD_OVERRIDE=FY","FILING_STATUS=MR","EQY_CONSOLIDATED=Y","FA_ADJUSTED=Adjusted","Sort=A","Dates=H","DateFormat=P","Fill=—","Direction=H","UseDPDF=Y")</f>
        <v>22.813600000000001</v>
      </c>
      <c r="D126" s="14">
        <f>_xll.BDH("RCOM IN Equity","PROF_MARGIN","FY 2011","FY 2011","Currency=INR","Period=FY","BEST_FPERIOD_OVERRIDE=FY","FILING_STATUS=MR","EQY_CONSOLIDATED=Y","FA_ADJUSTED=Adjusted","Sort=A","Dates=H","DateFormat=P","Fill=—","Direction=H","UseDPDF=Y")</f>
        <v>4.9024999999999999</v>
      </c>
      <c r="E126" s="14">
        <f>_xll.BDH("RCOM IN Equity","PROF_MARGIN","FY 2012","FY 2012","Currency=INR","Period=FY","BEST_FPERIOD_OVERRIDE=FY","FILING_STATUS=MR","EQY_CONSOLIDATED=Y","FA_ADJUSTED=Adjusted","Sort=A","Dates=H","DateFormat=P","Fill=—","Direction=H","UseDPDF=Y")</f>
        <v>6.1855000000000002</v>
      </c>
      <c r="F126" s="14">
        <f>_xll.BDH("RCOM IN Equity","PROF_MARGIN","FY 2013","FY 2013","Currency=INR","Period=FY","BEST_FPERIOD_OVERRIDE=FY","FILING_STATUS=MR","EQY_CONSOLIDATED=Y","FA_ADJUSTED=Adjusted","Sort=A","Dates=H","DateFormat=P","Fill=—","Direction=H","UseDPDF=Y")</f>
        <v>3.4657999999999998</v>
      </c>
      <c r="G126" s="14">
        <f>_xll.BDH("RCOM IN Equity","PROF_MARGIN","FY 2014","FY 2014","Currency=INR","Period=FY","BEST_FPERIOD_OVERRIDE=FY","FILING_STATUS=MR","EQY_CONSOLIDATED=Y","FA_ADJUSTED=Adjusted","Sort=A","Dates=H","DateFormat=P","Fill=—","Direction=H","UseDPDF=Y")</f>
        <v>5.0347</v>
      </c>
      <c r="H126" s="14">
        <f>_xll.BDH("RCOM IN Equity","PROF_MARGIN","FY 2015","FY 2015","Currency=INR","Period=FY","BEST_FPERIOD_OVERRIDE=FY","FILING_STATUS=MR","EQY_CONSOLIDATED=Y","FA_ADJUSTED=Adjusted","Sort=A","Dates=H","DateFormat=P","Fill=—","Direction=H","UseDPDF=Y")</f>
        <v>3.2351999999999999</v>
      </c>
      <c r="I126" s="14">
        <f>_xll.BDH("RCOM IN Equity","PROF_MARGIN","FY 2016","FY 2016","Currency=INR","Period=FY","BEST_FPERIOD_OVERRIDE=FY","FILING_STATUS=MR","EQY_CONSOLIDATED=Y","FA_ADJUSTED=Adjusted","Sort=A","Dates=H","DateFormat=P","Fill=—","Direction=H","UseDPDF=Y")</f>
        <v>2.2923</v>
      </c>
      <c r="J126" s="14">
        <f>_xll.BDH("RCOM IN Equity","PROF_MARGIN","FY 2017","FY 2017","Currency=INR","Period=FY","BEST_FPERIOD_OVERRIDE=FY","FILING_STATUS=MR","EQY_CONSOLIDATED=Y","FA_ADJUSTED=Adjusted","Sort=A","Dates=H","DateFormat=P","Fill=—","Direction=H","UseDPDF=Y")</f>
        <v>1.9072</v>
      </c>
      <c r="K126" s="14">
        <f>_xll.BDH("RCOM IN Equity","PROF_MARGIN","FY 2018","FY 2018","Currency=INR","Period=FY","BEST_FPERIOD_OVERRIDE=FY","FILING_STATUS=MR","EQY_CONSOLIDATED=Y","FA_ADJUSTED=Adjusted","Sort=A","Dates=H","DateFormat=P","Fill=—","Direction=H","UseDPDF=Y")</f>
        <v>1.0668</v>
      </c>
      <c r="L126" s="17">
        <v>27.736131934033001</v>
      </c>
    </row>
    <row r="127" spans="1:12">
      <c r="A127" s="10" t="s">
        <v>362</v>
      </c>
      <c r="B127" s="10" t="s">
        <v>363</v>
      </c>
      <c r="C127" s="14">
        <f>_xll.BDH("RCOM IN Equity","ACTUAL_SALES_PER_EMPL","FY 2010","FY 2010","Currency=INR","Period=FY","BEST_FPERIOD_OVERRIDE=FY","FILING_STATUS=MR","EQY_CONSOLIDATED=Y","FA_ADJUSTED=Adjusted","Sort=A","Dates=H","DateFormat=P","Fill=—","Direction=H","UseDPDF=Y")</f>
        <v>6678197.8433999997</v>
      </c>
      <c r="D127" s="14">
        <f>_xll.BDH("RCOM IN Equity","ACTUAL_SALES_PER_EMPL","FY 2011","FY 2011","Currency=INR","Period=FY","BEST_FPERIOD_OVERRIDE=FY","FILING_STATUS=MR","EQY_CONSOLIDATED=Y","FA_ADJUSTED=Adjusted","Sort=A","Dates=H","DateFormat=P","Fill=—","Direction=H","UseDPDF=Y")</f>
        <v>7870657.4024999999</v>
      </c>
      <c r="E127" s="14">
        <f>_xll.BDH("RCOM IN Equity","ACTUAL_SALES_PER_EMPL","FY 2012","FY 2012","Currency=INR","Period=FY","BEST_FPERIOD_OVERRIDE=FY","FILING_STATUS=MR","EQY_CONSOLIDATED=Y","FA_ADJUSTED=Adjusted","Sort=A","Dates=H","DateFormat=P","Fill=—","Direction=H","UseDPDF=Y")</f>
        <v>7651676.2061000001</v>
      </c>
      <c r="F127" s="14">
        <f>_xll.BDH("RCOM IN Equity","ACTUAL_SALES_PER_EMPL","FY 2013","FY 2013","Currency=INR","Period=FY","BEST_FPERIOD_OVERRIDE=FY","FILING_STATUS=MR","EQY_CONSOLIDATED=Y","FA_ADJUSTED=Adjusted","Sort=A","Dates=H","DateFormat=P","Fill=—","Direction=H","UseDPDF=Y")</f>
        <v>10343644.454</v>
      </c>
      <c r="G127" s="14" t="str">
        <f>_xll.BDH("RCOM IN Equity","ACTUAL_SALES_PER_EMPL","FY 2014","FY 2014","Currency=INR","Period=FY","BEST_FPERIOD_OVERRIDE=FY","FILING_STATUS=MR","EQY_CONSOLIDATED=Y","FA_ADJUSTED=Adjusted","Sort=A","Dates=H","DateFormat=P","Fill=—","Direction=H","UseDPDF=Y")</f>
        <v>—</v>
      </c>
      <c r="H127" s="14" t="str">
        <f>_xll.BDH("RCOM IN Equity","ACTUAL_SALES_PER_EMPL","FY 2015","FY 2015","Currency=INR","Period=FY","BEST_FPERIOD_OVERRIDE=FY","FILING_STATUS=MR","EQY_CONSOLIDATED=Y","FA_ADJUSTED=Adjusted","Sort=A","Dates=H","DateFormat=P","Fill=—","Direction=H","UseDPDF=Y")</f>
        <v>—</v>
      </c>
      <c r="I127" s="14" t="str">
        <f>_xll.BDH("RCOM IN Equity","ACTUAL_SALES_PER_EMPL","FY 2016","FY 2016","Currency=INR","Period=FY","BEST_FPERIOD_OVERRIDE=FY","FILING_STATUS=MR","EQY_CONSOLIDATED=Y","FA_ADJUSTED=Adjusted","Sort=A","Dates=H","DateFormat=P","Fill=—","Direction=H","UseDPDF=Y")</f>
        <v>—</v>
      </c>
      <c r="J127" s="14" t="str">
        <f>_xll.BDH("RCOM IN Equity","ACTUAL_SALES_PER_EMPL","FY 2017","FY 2017","Currency=INR","Period=FY","BEST_FPERIOD_OVERRIDE=FY","FILING_STATUS=MR","EQY_CONSOLIDATED=Y","FA_ADJUSTED=Adjusted","Sort=A","Dates=H","DateFormat=P","Fill=—","Direction=H","UseDPDF=Y")</f>
        <v>—</v>
      </c>
      <c r="K127" s="14" t="str">
        <f>_xll.BDH("RCOM IN Equity","ACTUAL_SALES_PER_EMPL","FY 2018","FY 2018","Currency=INR","Period=FY","BEST_FPERIOD_OVERRIDE=FY","FILING_STATUS=MR","EQY_CONSOLIDATED=Y","FA_ADJUSTED=Adjusted","Sort=A","Dates=H","DateFormat=P","Fill=—","Direction=H","UseDPDF=Y")</f>
        <v>—</v>
      </c>
      <c r="L127" s="17"/>
    </row>
    <row r="128" spans="1:12">
      <c r="A128" s="10" t="s">
        <v>364</v>
      </c>
      <c r="B128" s="10" t="s">
        <v>227</v>
      </c>
      <c r="C128" s="14">
        <f>_xll.BDH("RCOM IN Equity","EQY_DPS","FY 2010","FY 2010","Currency=INR","Period=FY","BEST_FPERIOD_OVERRIDE=FY","FILING_STATUS=MR","EQY_CONSOLIDATED=Y","Sort=A","Dates=H","DateFormat=P","Fill=—","Direction=H","UseDPDF=Y")</f>
        <v>0.85</v>
      </c>
      <c r="D128" s="14">
        <f>_xll.BDH("RCOM IN Equity","EQY_DPS","FY 2011","FY 2011","Currency=INR","Period=FY","BEST_FPERIOD_OVERRIDE=FY","FILING_STATUS=MR","EQY_CONSOLIDATED=Y","Sort=A","Dates=H","DateFormat=P","Fill=—","Direction=H","UseDPDF=Y")</f>
        <v>0.5</v>
      </c>
      <c r="E128" s="14">
        <f>_xll.BDH("RCOM IN Equity","EQY_DPS","FY 2012","FY 2012","Currency=INR","Period=FY","BEST_FPERIOD_OVERRIDE=FY","FILING_STATUS=MR","EQY_CONSOLIDATED=Y","Sort=A","Dates=H","DateFormat=P","Fill=—","Direction=H","UseDPDF=Y")</f>
        <v>0.25</v>
      </c>
      <c r="F128" s="14">
        <f>_xll.BDH("RCOM IN Equity","EQY_DPS","FY 2013","FY 2013","Currency=INR","Period=FY","BEST_FPERIOD_OVERRIDE=FY","FILING_STATUS=MR","EQY_CONSOLIDATED=Y","Sort=A","Dates=H","DateFormat=P","Fill=—","Direction=H","UseDPDF=Y")</f>
        <v>0.25</v>
      </c>
      <c r="G128" s="14">
        <f>_xll.BDH("RCOM IN Equity","EQY_DPS","FY 2014","FY 2014","Currency=INR","Period=FY","BEST_FPERIOD_OVERRIDE=FY","FILING_STATUS=MR","EQY_CONSOLIDATED=Y","Sort=A","Dates=H","DateFormat=P","Fill=—","Direction=H","UseDPDF=Y")</f>
        <v>0</v>
      </c>
      <c r="H128" s="14">
        <f>_xll.BDH("RCOM IN Equity","EQY_DPS","FY 2015","FY 2015","Currency=INR","Period=FY","BEST_FPERIOD_OVERRIDE=FY","FILING_STATUS=MR","EQY_CONSOLIDATED=Y","Sort=A","Dates=H","DateFormat=P","Fill=—","Direction=H","UseDPDF=Y")</f>
        <v>0</v>
      </c>
      <c r="I128" s="14">
        <f>_xll.BDH("RCOM IN Equity","EQY_DPS","FY 2016","FY 2016","Currency=INR","Period=FY","BEST_FPERIOD_OVERRIDE=FY","FILING_STATUS=MR","EQY_CONSOLIDATED=Y","Sort=A","Dates=H","DateFormat=P","Fill=—","Direction=H","UseDPDF=Y")</f>
        <v>0</v>
      </c>
      <c r="J128" s="14">
        <f>_xll.BDH("RCOM IN Equity","EQY_DPS","FY 2017","FY 2017","Currency=INR","Period=FY","BEST_FPERIOD_OVERRIDE=FY","FILING_STATUS=MR","EQY_CONSOLIDATED=Y","Sort=A","Dates=H","DateFormat=P","Fill=—","Direction=H","UseDPDF=Y")</f>
        <v>0</v>
      </c>
      <c r="K128" s="14">
        <f>_xll.BDH("RCOM IN Equity","EQY_DPS","FY 2018","FY 2018","Currency=INR","Period=FY","BEST_FPERIOD_OVERRIDE=FY","FILING_STATUS=MR","EQY_CONSOLIDATED=Y","Sort=A","Dates=H","DateFormat=P","Fill=—","Direction=H","UseDPDF=Y")</f>
        <v>0</v>
      </c>
      <c r="L128" s="17"/>
    </row>
    <row r="129" spans="1:12">
      <c r="A129" s="10" t="s">
        <v>365</v>
      </c>
      <c r="B129" s="10" t="s">
        <v>366</v>
      </c>
      <c r="C129" s="13">
        <f>_xll.BDH("RCOM IN Equity","IS_TOT_CASH_COM_DVD","FY 2010","FY 2010","Currency=INR","Period=FY","BEST_FPERIOD_OVERRIDE=FY","FILING_STATUS=MR","EQY_CONSOLIDATED=Y","SCALING_FORMAT=MLN","Sort=A","Dates=H","DateFormat=P","Fill=—","Direction=H","UseDPDF=Y")</f>
        <v>1754.4</v>
      </c>
      <c r="D129" s="13">
        <f>_xll.BDH("RCOM IN Equity","IS_TOT_CASH_COM_DVD","FY 2011","FY 2011","Currency=INR","Period=FY","BEST_FPERIOD_OVERRIDE=FY","FILING_STATUS=MR","EQY_CONSOLIDATED=Y","SCALING_FORMAT=MLN","Sort=A","Dates=H","DateFormat=P","Fill=—","Direction=H","UseDPDF=Y")</f>
        <v>1030</v>
      </c>
      <c r="E129" s="13">
        <f>_xll.BDH("RCOM IN Equity","IS_TOT_CASH_COM_DVD","FY 2012","FY 2012","Currency=INR","Period=FY","BEST_FPERIOD_OVERRIDE=FY","FILING_STATUS=MR","EQY_CONSOLIDATED=Y","SCALING_FORMAT=MLN","Sort=A","Dates=H","DateFormat=P","Fill=—","Direction=H","UseDPDF=Y")</f>
        <v>520</v>
      </c>
      <c r="F129" s="13">
        <f>_xll.BDH("RCOM IN Equity","IS_TOT_CASH_COM_DVD","FY 2013","FY 2013","Currency=INR","Period=FY","BEST_FPERIOD_OVERRIDE=FY","FILING_STATUS=MR","EQY_CONSOLIDATED=Y","SCALING_FORMAT=MLN","Sort=A","Dates=H","DateFormat=P","Fill=—","Direction=H","UseDPDF=Y")</f>
        <v>520</v>
      </c>
      <c r="G129" s="13">
        <f>_xll.BDH("RCOM IN Equity","IS_TOT_CASH_COM_DVD","FY 2014","FY 2014","Currency=INR","Period=FY","BEST_FPERIOD_OVERRIDE=FY","FILING_STATUS=MR","EQY_CONSOLIDATED=Y","SCALING_FORMAT=MLN","Sort=A","Dates=H","DateFormat=P","Fill=—","Direction=H","UseDPDF=Y")</f>
        <v>0</v>
      </c>
      <c r="H129" s="13">
        <f>_xll.BDH("RCOM IN Equity","IS_TOT_CASH_COM_DVD","FY 2015","FY 2015","Currency=INR","Period=FY","BEST_FPERIOD_OVERRIDE=FY","FILING_STATUS=MR","EQY_CONSOLIDATED=Y","SCALING_FORMAT=MLN","Sort=A","Dates=H","DateFormat=P","Fill=—","Direction=H","UseDPDF=Y")</f>
        <v>0</v>
      </c>
      <c r="I129" s="13">
        <f>_xll.BDH("RCOM IN Equity","IS_TOT_CASH_COM_DVD","FY 2016","FY 2016","Currency=INR","Period=FY","BEST_FPERIOD_OVERRIDE=FY","FILING_STATUS=MR","EQY_CONSOLIDATED=Y","SCALING_FORMAT=MLN","Sort=A","Dates=H","DateFormat=P","Fill=—","Direction=H","UseDPDF=Y")</f>
        <v>0</v>
      </c>
      <c r="J129" s="13">
        <f>_xll.BDH("RCOM IN Equity","IS_TOT_CASH_COM_DVD","FY 2017","FY 2017","Currency=INR","Period=FY","BEST_FPERIOD_OVERRIDE=FY","FILING_STATUS=MR","EQY_CONSOLIDATED=Y","SCALING_FORMAT=MLN","Sort=A","Dates=H","DateFormat=P","Fill=—","Direction=H","UseDPDF=Y")</f>
        <v>0</v>
      </c>
      <c r="K129" s="13">
        <f>_xll.BDH("RCOM IN Equity","IS_TOT_CASH_COM_DVD","FY 2018","FY 2018","Currency=INR","Period=FY","BEST_FPERIOD_OVERRIDE=FY","FILING_STATUS=MR","EQY_CONSOLIDATED=Y","SCALING_FORMAT=MLN","Sort=A","Dates=H","DateFormat=P","Fill=—","Direction=H","UseDPDF=Y")</f>
        <v>0</v>
      </c>
      <c r="L129" s="16"/>
    </row>
    <row r="130" spans="1:12">
      <c r="A130" s="10" t="s">
        <v>367</v>
      </c>
      <c r="B130" s="10" t="s">
        <v>368</v>
      </c>
      <c r="C130" s="13">
        <f>_xll.BDH("RCOM IN Equity","IS_PERSONNEL_EXP","FY 2010","FY 2010","Currency=INR","Period=FY","BEST_FPERIOD_OVERRIDE=FY","FILING_STATUS=MR","EQY_CONSOLIDATED=Y","SCALING_FORMAT=MLN","Sort=A","Dates=H","DateFormat=P","Fill=—","Direction=H","UseDPDF=Y")</f>
        <v>15000.7</v>
      </c>
      <c r="D130" s="13">
        <f>_xll.BDH("RCOM IN Equity","IS_PERSONNEL_EXP","FY 2011","FY 2011","Currency=INR","Period=FY","BEST_FPERIOD_OVERRIDE=FY","FILING_STATUS=MR","EQY_CONSOLIDATED=Y","SCALING_FORMAT=MLN","Sort=A","Dates=H","DateFormat=P","Fill=—","Direction=H","UseDPDF=Y")</f>
        <v>14690</v>
      </c>
      <c r="E130" s="13">
        <f>_xll.BDH("RCOM IN Equity","IS_PERSONNEL_EXP","FY 2012","FY 2012","Currency=INR","Period=FY","BEST_FPERIOD_OVERRIDE=FY","FILING_STATUS=MR","EQY_CONSOLIDATED=Y","SCALING_FORMAT=MLN","Sort=A","Dates=H","DateFormat=P","Fill=—","Direction=H","UseDPDF=Y")</f>
        <v>12830</v>
      </c>
      <c r="F130" s="13">
        <f>_xll.BDH("RCOM IN Equity","IS_PERSONNEL_EXP","FY 2013","FY 2013","Currency=INR","Period=FY","BEST_FPERIOD_OVERRIDE=FY","FILING_STATUS=MR","EQY_CONSOLIDATED=Y","SCALING_FORMAT=MLN","Sort=A","Dates=H","DateFormat=P","Fill=—","Direction=H","UseDPDF=Y")</f>
        <v>11890</v>
      </c>
      <c r="G130" s="13">
        <f>_xll.BDH("RCOM IN Equity","IS_PERSONNEL_EXP","FY 2014","FY 2014","Currency=INR","Period=FY","BEST_FPERIOD_OVERRIDE=FY","FILING_STATUS=MR","EQY_CONSOLIDATED=Y","SCALING_FORMAT=MLN","Sort=A","Dates=H","DateFormat=P","Fill=—","Direction=H","UseDPDF=Y")</f>
        <v>10250</v>
      </c>
      <c r="H130" s="13">
        <f>_xll.BDH("RCOM IN Equity","IS_PERSONNEL_EXP","FY 2015","FY 2015","Currency=INR","Period=FY","BEST_FPERIOD_OVERRIDE=FY","FILING_STATUS=MR","EQY_CONSOLIDATED=Y","SCALING_FORMAT=MLN","Sort=A","Dates=H","DateFormat=P","Fill=—","Direction=H","UseDPDF=Y")</f>
        <v>9980</v>
      </c>
      <c r="I130" s="13">
        <f>_xll.BDH("RCOM IN Equity","IS_PERSONNEL_EXP","FY 2016","FY 2016","Currency=INR","Period=FY","BEST_FPERIOD_OVERRIDE=FY","FILING_STATUS=MR","EQY_CONSOLIDATED=Y","SCALING_FORMAT=MLN","Sort=A","Dates=H","DateFormat=P","Fill=—","Direction=H","UseDPDF=Y")</f>
        <v>11200</v>
      </c>
      <c r="J130" s="13">
        <f>_xll.BDH("RCOM IN Equity","IS_PERSONNEL_EXP","FY 2017","FY 2017","Currency=INR","Period=FY","BEST_FPERIOD_OVERRIDE=FY","FILING_STATUS=MR","EQY_CONSOLIDATED=Y","SCALING_FORMAT=MLN","Sort=A","Dates=H","DateFormat=P","Fill=—","Direction=H","UseDPDF=Y")</f>
        <v>4420</v>
      </c>
      <c r="K130" s="13">
        <f>_xll.BDH("RCOM IN Equity","IS_PERSONNEL_EXP","FY 2018","FY 2018","Currency=INR","Period=FY","BEST_FPERIOD_OVERRIDE=FY","FILING_STATUS=MR","EQY_CONSOLIDATED=Y","SCALING_FORMAT=MLN","Sort=A","Dates=H","DateFormat=P","Fill=—","Direction=H","UseDPDF=Y")</f>
        <v>4270</v>
      </c>
      <c r="L130" s="16">
        <v>4630</v>
      </c>
    </row>
    <row r="131" spans="1:12">
      <c r="A131" s="10" t="s">
        <v>369</v>
      </c>
      <c r="B131" s="10" t="s">
        <v>370</v>
      </c>
      <c r="C131" s="13" t="str">
        <f>_xll.BDH("RCOM IN Equity","IS_EXPORT_SALES","FY 2010","FY 2010","Currency=INR","Period=FY","BEST_FPERIOD_OVERRIDE=FY","FILING_STATUS=MR","EQY_CONSOLIDATED=Y","SCALING_FORMAT=MLN","Sort=A","Dates=H","DateFormat=P","Fill=—","Direction=H","UseDPDF=Y")</f>
        <v>—</v>
      </c>
      <c r="D131" s="13" t="str">
        <f>_xll.BDH("RCOM IN Equity","IS_EXPORT_SALES","FY 2011","FY 2011","Currency=INR","Period=FY","BEST_FPERIOD_OVERRIDE=FY","FILING_STATUS=MR","EQY_CONSOLIDATED=Y","SCALING_FORMAT=MLN","Sort=A","Dates=H","DateFormat=P","Fill=—","Direction=H","UseDPDF=Y")</f>
        <v>—</v>
      </c>
      <c r="E131" s="13">
        <f>_xll.BDH("RCOM IN Equity","IS_EXPORT_SALES","FY 2012","FY 2012","Currency=INR","Period=FY","BEST_FPERIOD_OVERRIDE=FY","FILING_STATUS=MR","EQY_CONSOLIDATED=Y","SCALING_FORMAT=MLN","Sort=A","Dates=H","DateFormat=P","Fill=—","Direction=H","UseDPDF=Y")</f>
        <v>9990</v>
      </c>
      <c r="F131" s="13" t="str">
        <f>_xll.BDH("RCOM IN Equity","IS_EXPORT_SALES","FY 2013","FY 2013","Currency=INR","Period=FY","BEST_FPERIOD_OVERRIDE=FY","FILING_STATUS=MR","EQY_CONSOLIDATED=Y","SCALING_FORMAT=MLN","Sort=A","Dates=H","DateFormat=P","Fill=—","Direction=H","UseDPDF=Y")</f>
        <v>—</v>
      </c>
      <c r="G131" s="13" t="str">
        <f>_xll.BDH("RCOM IN Equity","IS_EXPORT_SALES","FY 2014","FY 2014","Currency=INR","Period=FY","BEST_FPERIOD_OVERRIDE=FY","FILING_STATUS=MR","EQY_CONSOLIDATED=Y","SCALING_FORMAT=MLN","Sort=A","Dates=H","DateFormat=P","Fill=—","Direction=H","UseDPDF=Y")</f>
        <v>—</v>
      </c>
      <c r="H131" s="13" t="str">
        <f>_xll.BDH("RCOM IN Equity","IS_EXPORT_SALES","FY 2015","FY 2015","Currency=INR","Period=FY","BEST_FPERIOD_OVERRIDE=FY","FILING_STATUS=MR","EQY_CONSOLIDATED=Y","SCALING_FORMAT=MLN","Sort=A","Dates=H","DateFormat=P","Fill=—","Direction=H","UseDPDF=Y")</f>
        <v>—</v>
      </c>
      <c r="I131" s="13" t="str">
        <f>_xll.BDH("RCOM IN Equity","IS_EXPORT_SALES","FY 2016","FY 2016","Currency=INR","Period=FY","BEST_FPERIOD_OVERRIDE=FY","FILING_STATUS=MR","EQY_CONSOLIDATED=Y","SCALING_FORMAT=MLN","Sort=A","Dates=H","DateFormat=P","Fill=—","Direction=H","UseDPDF=Y")</f>
        <v>—</v>
      </c>
      <c r="J131" s="13" t="str">
        <f>_xll.BDH("RCOM IN Equity","IS_EXPORT_SALES","FY 2017","FY 2017","Currency=INR","Period=FY","BEST_FPERIOD_OVERRIDE=FY","FILING_STATUS=MR","EQY_CONSOLIDATED=Y","SCALING_FORMAT=MLN","Sort=A","Dates=H","DateFormat=P","Fill=—","Direction=H","UseDPDF=Y")</f>
        <v>—</v>
      </c>
      <c r="K131" s="13" t="str">
        <f>_xll.BDH("RCOM IN Equity","IS_EXPORT_SALES","FY 2018","FY 2018","Currency=INR","Period=FY","BEST_FPERIOD_OVERRIDE=FY","FILING_STATUS=MR","EQY_CONSOLIDATED=Y","SCALING_FORMAT=MLN","Sort=A","Dates=H","DateFormat=P","Fill=—","Direction=H","UseDPDF=Y")</f>
        <v>—</v>
      </c>
      <c r="L131" s="16"/>
    </row>
    <row r="132" spans="1:12">
      <c r="A132" s="10" t="s">
        <v>371</v>
      </c>
      <c r="B132" s="10" t="s">
        <v>372</v>
      </c>
      <c r="C132" s="13">
        <f>_xll.BDH("RCOM IN Equity","IS_DEPR_EXP","FY 2010","FY 2010","Currency=INR","Period=FY","BEST_FPERIOD_OVERRIDE=FY","FILING_STATUS=MR","EQY_CONSOLIDATED=Y","SCALING_FORMAT=MLN","Sort=A","Dates=H","DateFormat=P","Fill=—","Direction=H","UseDPDF=Y")</f>
        <v>28646</v>
      </c>
      <c r="D132" s="13">
        <f>_xll.BDH("RCOM IN Equity","IS_DEPR_EXP","FY 2011","FY 2011","Currency=INR","Period=FY","BEST_FPERIOD_OVERRIDE=FY","FILING_STATUS=MR","EQY_CONSOLIDATED=Y","SCALING_FORMAT=MLN","Sort=A","Dates=H","DateFormat=P","Fill=—","Direction=H","UseDPDF=Y")</f>
        <v>37440</v>
      </c>
      <c r="E132" s="13">
        <f>_xll.BDH("RCOM IN Equity","IS_DEPR_EXP","FY 2012","FY 2012","Currency=INR","Period=FY","BEST_FPERIOD_OVERRIDE=FY","FILING_STATUS=MR","EQY_CONSOLIDATED=Y","SCALING_FORMAT=MLN","Sort=A","Dates=H","DateFormat=P","Fill=—","Direction=H","UseDPDF=Y")</f>
        <v>16370</v>
      </c>
      <c r="F132" s="13">
        <f>_xll.BDH("RCOM IN Equity","IS_DEPR_EXP","FY 2013","FY 2013","Currency=INR","Period=FY","BEST_FPERIOD_OVERRIDE=FY","FILING_STATUS=MR","EQY_CONSOLIDATED=Y","SCALING_FORMAT=MLN","Sort=A","Dates=H","DateFormat=P","Fill=—","Direction=H","UseDPDF=Y")</f>
        <v>19080</v>
      </c>
      <c r="G132" s="13" t="str">
        <f>_xll.BDH("RCOM IN Equity","IS_DEPR_EXP","FY 2014","FY 2014","Currency=INR","Period=FY","BEST_FPERIOD_OVERRIDE=FY","FILING_STATUS=MR","EQY_CONSOLIDATED=Y","SCALING_FORMAT=MLN","Sort=A","Dates=H","DateFormat=P","Fill=—","Direction=H","UseDPDF=Y")</f>
        <v>—</v>
      </c>
      <c r="H132" s="13" t="str">
        <f>_xll.BDH("RCOM IN Equity","IS_DEPR_EXP","FY 2015","FY 2015","Currency=INR","Period=FY","BEST_FPERIOD_OVERRIDE=FY","FILING_STATUS=MR","EQY_CONSOLIDATED=Y","SCALING_FORMAT=MLN","Sort=A","Dates=H","DateFormat=P","Fill=—","Direction=H","UseDPDF=Y")</f>
        <v>—</v>
      </c>
      <c r="I132" s="13" t="str">
        <f>_xll.BDH("RCOM IN Equity","IS_DEPR_EXP","FY 2016","FY 2016","Currency=INR","Period=FY","BEST_FPERIOD_OVERRIDE=FY","FILING_STATUS=MR","EQY_CONSOLIDATED=Y","SCALING_FORMAT=MLN","Sort=A","Dates=H","DateFormat=P","Fill=—","Direction=H","UseDPDF=Y")</f>
        <v>—</v>
      </c>
      <c r="J132" s="13" t="str">
        <f>_xll.BDH("RCOM IN Equity","IS_DEPR_EXP","FY 2017","FY 2017","Currency=INR","Period=FY","BEST_FPERIOD_OVERRIDE=FY","FILING_STATUS=MR","EQY_CONSOLIDATED=Y","SCALING_FORMAT=MLN","Sort=A","Dates=H","DateFormat=P","Fill=—","Direction=H","UseDPDF=Y")</f>
        <v>—</v>
      </c>
      <c r="K132" s="13" t="str">
        <f>_xll.BDH("RCOM IN Equity","IS_DEPR_EXP","FY 2018","FY 2018","Currency=INR","Period=FY","BEST_FPERIOD_OVERRIDE=FY","FILING_STATUS=MR","EQY_CONSOLIDATED=Y","SCALING_FORMAT=MLN","Sort=A","Dates=H","DateFormat=P","Fill=—","Direction=H","UseDPDF=Y")</f>
        <v>—</v>
      </c>
      <c r="L132" s="16"/>
    </row>
    <row r="133" spans="1:12">
      <c r="A133" s="10" t="s">
        <v>373</v>
      </c>
      <c r="B133" s="10" t="s">
        <v>374</v>
      </c>
      <c r="C133" s="13">
        <f>_xll.BDH("RCOM IN Equity","BS_CURR_RENTAL_EXPENSE","FY 2010","FY 2010","Currency=INR","Period=FY","BEST_FPERIOD_OVERRIDE=FY","FILING_STATUS=MR","EQY_CONSOLIDATED=Y","SCALING_FORMAT=MLN","Sort=A","Dates=H","DateFormat=P","Fill=—","Direction=H","UseDPDF=Y")</f>
        <v>3950.2</v>
      </c>
      <c r="D133" s="13">
        <f>_xll.BDH("RCOM IN Equity","BS_CURR_RENTAL_EXPENSE","FY 2011","FY 2011","Currency=INR","Period=FY","BEST_FPERIOD_OVERRIDE=FY","FILING_STATUS=MR","EQY_CONSOLIDATED=Y","SCALING_FORMAT=MLN","Sort=A","Dates=H","DateFormat=P","Fill=—","Direction=H","UseDPDF=Y")</f>
        <v>3420</v>
      </c>
      <c r="E133" s="13">
        <f>_xll.BDH("RCOM IN Equity","BS_CURR_RENTAL_EXPENSE","FY 2012","FY 2012","Currency=INR","Period=FY","BEST_FPERIOD_OVERRIDE=FY","FILING_STATUS=MR","EQY_CONSOLIDATED=Y","SCALING_FORMAT=MLN","Sort=A","Dates=H","DateFormat=P","Fill=—","Direction=H","UseDPDF=Y")</f>
        <v>3040</v>
      </c>
      <c r="F133" s="13">
        <f>_xll.BDH("RCOM IN Equity","BS_CURR_RENTAL_EXPENSE","FY 2013","FY 2013","Currency=INR","Period=FY","BEST_FPERIOD_OVERRIDE=FY","FILING_STATUS=MR","EQY_CONSOLIDATED=Y","SCALING_FORMAT=MLN","Sort=A","Dates=H","DateFormat=P","Fill=—","Direction=H","UseDPDF=Y")</f>
        <v>3640</v>
      </c>
      <c r="G133" s="13">
        <f>_xll.BDH("RCOM IN Equity","BS_CURR_RENTAL_EXPENSE","FY 2014","FY 2014","Currency=INR","Period=FY","BEST_FPERIOD_OVERRIDE=FY","FILING_STATUS=MR","EQY_CONSOLIDATED=Y","SCALING_FORMAT=MLN","Sort=A","Dates=H","DateFormat=P","Fill=—","Direction=H","UseDPDF=Y")</f>
        <v>2250</v>
      </c>
      <c r="H133" s="13">
        <f>_xll.BDH("RCOM IN Equity","BS_CURR_RENTAL_EXPENSE","FY 2015","FY 2015","Currency=INR","Period=FY","BEST_FPERIOD_OVERRIDE=FY","FILING_STATUS=MR","EQY_CONSOLIDATED=Y","SCALING_FORMAT=MLN","Sort=A","Dates=H","DateFormat=P","Fill=—","Direction=H","UseDPDF=Y")</f>
        <v>2110</v>
      </c>
      <c r="I133" s="13">
        <f>_xll.BDH("RCOM IN Equity","BS_CURR_RENTAL_EXPENSE","FY 2016","FY 2016","Currency=INR","Period=FY","BEST_FPERIOD_OVERRIDE=FY","FILING_STATUS=MR","EQY_CONSOLIDATED=Y","SCALING_FORMAT=MLN","Sort=A","Dates=H","DateFormat=P","Fill=—","Direction=H","UseDPDF=Y")</f>
        <v>800</v>
      </c>
      <c r="J133" s="13">
        <f>_xll.BDH("RCOM IN Equity","BS_CURR_RENTAL_EXPENSE","FY 2017","FY 2017","Currency=INR","Period=FY","BEST_FPERIOD_OVERRIDE=FY","FILING_STATUS=MR","EQY_CONSOLIDATED=Y","SCALING_FORMAT=MLN","Sort=A","Dates=H","DateFormat=P","Fill=—","Direction=H","UseDPDF=Y")</f>
        <v>250</v>
      </c>
      <c r="K133" s="13">
        <f>_xll.BDH("RCOM IN Equity","BS_CURR_RENTAL_EXPENSE","FY 2018","FY 2018","Currency=INR","Period=FY","BEST_FPERIOD_OVERRIDE=FY","FILING_STATUS=MR","EQY_CONSOLIDATED=Y","SCALING_FORMAT=MLN","Sort=A","Dates=H","DateFormat=P","Fill=—","Direction=H","UseDPDF=Y")</f>
        <v>790</v>
      </c>
      <c r="L133" s="16"/>
    </row>
    <row r="134" spans="1:12">
      <c r="A134" s="7" t="s">
        <v>57</v>
      </c>
      <c r="B134" s="7"/>
      <c r="C134" s="7" t="s">
        <v>3</v>
      </c>
      <c r="D134" s="7"/>
      <c r="E134" s="7"/>
      <c r="F134" s="7"/>
      <c r="G134" s="7"/>
      <c r="H134" s="7"/>
      <c r="I134" s="7"/>
      <c r="J134" s="7"/>
      <c r="K134" s="7"/>
      <c r="L134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112"/>
  <sheetViews>
    <sheetView topLeftCell="A4" workbookViewId="0"/>
  </sheetViews>
  <sheetFormatPr defaultRowHeight="14.4"/>
  <cols>
    <col min="1" max="1" width="35.21875" customWidth="1"/>
    <col min="2" max="2" width="0" hidden="1" customWidth="1"/>
    <col min="3" max="12" width="11.777343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1">
      <c r="A2" s="8" t="s">
        <v>375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59</v>
      </c>
      <c r="B4" s="3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13</v>
      </c>
      <c r="K4" s="4" t="s">
        <v>14</v>
      </c>
      <c r="L4" s="4" t="s">
        <v>209</v>
      </c>
    </row>
    <row r="5" spans="1:12">
      <c r="A5" s="9" t="s">
        <v>16</v>
      </c>
      <c r="B5" s="9"/>
      <c r="C5" s="5" t="s">
        <v>17</v>
      </c>
      <c r="D5" s="5" t="s">
        <v>18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</row>
    <row r="6" spans="1:12">
      <c r="A6" s="6" t="s">
        <v>0</v>
      </c>
      <c r="B6" s="6" t="s">
        <v>38</v>
      </c>
      <c r="C6" s="19">
        <f>_xll.BDH("RCOM IN Equity","SALES_REV_TURN","FY 2010","FY 2010","Currency=INR","Period=FY","BEST_FPERIOD_OVERRIDE=FY","FILING_STATUS=MR","EQY_CONSOLIDATED=Y","SCALING_FORMAT=MLN","FA_ADJUSTED=GAAP","Sort=A","Dates=H","DateFormat=P","Fill=—","Direction=H","UseDPDF=Y")</f>
        <v>206850.5</v>
      </c>
      <c r="D6" s="19">
        <f>_xll.BDH("RCOM IN Equity","SALES_REV_TURN","FY 2011","FY 2011","Currency=INR","Period=FY","BEST_FPERIOD_OVERRIDE=FY","FILING_STATUS=MR","EQY_CONSOLIDATED=Y","SCALING_FORMAT=MLN","FA_ADJUSTED=GAAP","Sort=A","Dates=H","DateFormat=P","Fill=—","Direction=H","UseDPDF=Y")</f>
        <v>220890</v>
      </c>
      <c r="E6" s="19">
        <f>_xll.BDH("RCOM IN Equity","SALES_REV_TURN","FY 2012","FY 2012","Currency=INR","Period=FY","BEST_FPERIOD_OVERRIDE=FY","FILING_STATUS=MR","EQY_CONSOLIDATED=Y","SCALING_FORMAT=MLN","FA_ADJUSTED=GAAP","Sort=A","Dates=H","DateFormat=P","Fill=—","Direction=H","UseDPDF=Y")</f>
        <v>187160</v>
      </c>
      <c r="F6" s="19">
        <f>_xll.BDH("RCOM IN Equity","SALES_REV_TURN","FY 2013","FY 2013","Currency=INR","Period=FY","BEST_FPERIOD_OVERRIDE=FY","FILING_STATUS=MR","EQY_CONSOLIDATED=Y","SCALING_FORMAT=MLN","FA_ADJUSTED=GAAP","Sort=A","Dates=H","DateFormat=P","Fill=—","Direction=H","UseDPDF=Y")</f>
        <v>192940</v>
      </c>
      <c r="G6" s="19">
        <f>_xll.BDH("RCOM IN Equity","SALES_REV_TURN","FY 2014","FY 2014","Currency=INR","Period=FY","BEST_FPERIOD_OVERRIDE=FY","FILING_STATUS=MR","EQY_CONSOLIDATED=Y","SCALING_FORMAT=MLN","FA_ADJUSTED=GAAP","Sort=A","Dates=H","DateFormat=P","Fill=—","Direction=H","UseDPDF=Y")</f>
        <v>209400</v>
      </c>
      <c r="H6" s="19">
        <f>_xll.BDH("RCOM IN Equity","SALES_REV_TURN","FY 2015","FY 2015","Currency=INR","Period=FY","BEST_FPERIOD_OVERRIDE=FY","FILING_STATUS=MR","EQY_CONSOLIDATED=Y","SCALING_FORMAT=MLN","FA_ADJUSTED=GAAP","Sort=A","Dates=H","DateFormat=P","Fill=—","Direction=H","UseDPDF=Y")</f>
        <v>214230</v>
      </c>
      <c r="I6" s="19">
        <f>_xll.BDH("RCOM IN Equity","SALES_REV_TURN","FY 2016","FY 2016","Currency=INR","Period=FY","BEST_FPERIOD_OVERRIDE=FY","FILING_STATUS=MR","EQY_CONSOLIDATED=Y","SCALING_FORMAT=MLN","FA_ADJUSTED=GAAP","Sort=A","Dates=H","DateFormat=P","Fill=—","Direction=H","UseDPDF=Y")</f>
        <v>217430</v>
      </c>
      <c r="J6" s="19">
        <f>_xll.BDH("RCOM IN Equity","SALES_REV_TURN","FY 2017","FY 2017","Currency=INR","Period=FY","BEST_FPERIOD_OVERRIDE=FY","FILING_STATUS=MR","EQY_CONSOLIDATED=Y","SCALING_FORMAT=MLN","FA_ADJUSTED=GAAP","Sort=A","Dates=H","DateFormat=P","Fill=—","Direction=H","UseDPDF=Y")</f>
        <v>65540</v>
      </c>
      <c r="K6" s="19">
        <f>_xll.BDH("RCOM IN Equity","SALES_REV_TURN","FY 2018","FY 2018","Currency=INR","Period=FY","BEST_FPERIOD_OVERRIDE=FY","FILING_STATUS=MR","EQY_CONSOLIDATED=Y","SCALING_FORMAT=MLN","FA_ADJUSTED=GAAP","Sort=A","Dates=H","DateFormat=P","Fill=—","Direction=H","UseDPDF=Y")</f>
        <v>45930</v>
      </c>
      <c r="L6" s="22">
        <v>40020</v>
      </c>
    </row>
    <row r="7" spans="1:12">
      <c r="A7" s="11" t="s">
        <v>249</v>
      </c>
      <c r="B7" s="11" t="s">
        <v>38</v>
      </c>
      <c r="C7" s="25">
        <v>100</v>
      </c>
      <c r="D7" s="25">
        <v>100</v>
      </c>
      <c r="E7" s="25">
        <v>100</v>
      </c>
      <c r="F7" s="25">
        <v>100</v>
      </c>
      <c r="G7" s="25">
        <v>100</v>
      </c>
      <c r="H7" s="25">
        <v>100</v>
      </c>
      <c r="I7" s="25">
        <v>100</v>
      </c>
      <c r="J7" s="25">
        <v>100</v>
      </c>
      <c r="K7" s="25">
        <v>100</v>
      </c>
      <c r="L7" s="28">
        <v>100</v>
      </c>
    </row>
    <row r="8" spans="1:12">
      <c r="A8" s="10" t="s">
        <v>250</v>
      </c>
      <c r="B8" s="10" t="s">
        <v>251</v>
      </c>
      <c r="C8" s="13">
        <f>_xll.BDH("RCOM IN Equity","IS_SALES_AND_SERVICES_REVENUES","FY 2010","FY 2010","Currency=INR","Period=FY","BEST_FPERIOD_OVERRIDE=FY","FILING_STATUS=MR","EQY_CONSOLIDATED=Y","SCALING_FORMAT=MLN","FA_ADJUSTED=GAAP","Sort=A","Dates=H","DateFormat=P","Fill=—","Direction=H","UseDPDF=Y")</f>
        <v>206850.5</v>
      </c>
      <c r="D8" s="13">
        <f>_xll.BDH("RCOM IN Equity","IS_SALES_AND_SERVICES_REVENUES","FY 2011","FY 2011","Currency=INR","Period=FY","BEST_FPERIOD_OVERRIDE=FY","FILING_STATUS=MR","EQY_CONSOLIDATED=Y","SCALING_FORMAT=MLN","FA_ADJUSTED=GAAP","Sort=A","Dates=H","DateFormat=P","Fill=—","Direction=H","UseDPDF=Y")</f>
        <v>220890</v>
      </c>
      <c r="E8" s="13">
        <f>_xll.BDH("RCOM IN Equity","IS_SALES_AND_SERVICES_REVENUES","FY 2012","FY 2012","Currency=INR","Period=FY","BEST_FPERIOD_OVERRIDE=FY","FILING_STATUS=MR","EQY_CONSOLIDATED=Y","SCALING_FORMAT=MLN","FA_ADJUSTED=GAAP","Sort=A","Dates=H","DateFormat=P","Fill=—","Direction=H","UseDPDF=Y")</f>
        <v>187160</v>
      </c>
      <c r="F8" s="13">
        <f>_xll.BDH("RCOM IN Equity","IS_SALES_AND_SERVICES_REVENUES","FY 2013","FY 2013","Currency=INR","Period=FY","BEST_FPERIOD_OVERRIDE=FY","FILING_STATUS=MR","EQY_CONSOLIDATED=Y","SCALING_FORMAT=MLN","FA_ADJUSTED=GAAP","Sort=A","Dates=H","DateFormat=P","Fill=—","Direction=H","UseDPDF=Y")</f>
        <v>192940</v>
      </c>
      <c r="G8" s="13">
        <f>_xll.BDH("RCOM IN Equity","IS_SALES_AND_SERVICES_REVENUES","FY 2014","FY 2014","Currency=INR","Period=FY","BEST_FPERIOD_OVERRIDE=FY","FILING_STATUS=MR","EQY_CONSOLIDATED=Y","SCALING_FORMAT=MLN","FA_ADJUSTED=GAAP","Sort=A","Dates=H","DateFormat=P","Fill=—","Direction=H","UseDPDF=Y")</f>
        <v>209400</v>
      </c>
      <c r="H8" s="13">
        <f>_xll.BDH("RCOM IN Equity","IS_SALES_AND_SERVICES_REVENUES","FY 2015","FY 2015","Currency=INR","Period=FY","BEST_FPERIOD_OVERRIDE=FY","FILING_STATUS=MR","EQY_CONSOLIDATED=Y","SCALING_FORMAT=MLN","FA_ADJUSTED=GAAP","Sort=A","Dates=H","DateFormat=P","Fill=—","Direction=H","UseDPDF=Y")</f>
        <v>214230</v>
      </c>
      <c r="I8" s="13">
        <f>_xll.BDH("RCOM IN Equity","IS_SALES_AND_SERVICES_REVENUES","FY 2016","FY 2016","Currency=INR","Period=FY","BEST_FPERIOD_OVERRIDE=FY","FILING_STATUS=MR","EQY_CONSOLIDATED=Y","SCALING_FORMAT=MLN","FA_ADJUSTED=GAAP","Sort=A","Dates=H","DateFormat=P","Fill=—","Direction=H","UseDPDF=Y")</f>
        <v>217430</v>
      </c>
      <c r="J8" s="13">
        <f>_xll.BDH("RCOM IN Equity","IS_SALES_AND_SERVICES_REVENUES","FY 2017","FY 2017","Currency=INR","Period=FY","BEST_FPERIOD_OVERRIDE=FY","FILING_STATUS=MR","EQY_CONSOLIDATED=Y","SCALING_FORMAT=MLN","FA_ADJUSTED=GAAP","Sort=A","Dates=H","DateFormat=P","Fill=—","Direction=H","UseDPDF=Y")</f>
        <v>65540</v>
      </c>
      <c r="K8" s="13">
        <f>_xll.BDH("RCOM IN Equity","IS_SALES_AND_SERVICES_REVENUES","FY 2018","FY 2018","Currency=INR","Period=FY","BEST_FPERIOD_OVERRIDE=FY","FILING_STATUS=MR","EQY_CONSOLIDATED=Y","SCALING_FORMAT=MLN","FA_ADJUSTED=GAAP","Sort=A","Dates=H","DateFormat=P","Fill=—","Direction=H","UseDPDF=Y")</f>
        <v>45930</v>
      </c>
      <c r="L8" s="16">
        <v>40020</v>
      </c>
    </row>
    <row r="9" spans="1:12">
      <c r="A9" s="11" t="s">
        <v>249</v>
      </c>
      <c r="B9" s="11" t="s">
        <v>251</v>
      </c>
      <c r="C9" s="25">
        <v>100</v>
      </c>
      <c r="D9" s="25">
        <v>100</v>
      </c>
      <c r="E9" s="25">
        <v>100</v>
      </c>
      <c r="F9" s="25">
        <v>100</v>
      </c>
      <c r="G9" s="25">
        <v>100</v>
      </c>
      <c r="H9" s="25">
        <v>100</v>
      </c>
      <c r="I9" s="25">
        <v>100</v>
      </c>
      <c r="J9" s="25">
        <v>100</v>
      </c>
      <c r="K9" s="25">
        <v>100</v>
      </c>
      <c r="L9" s="28">
        <v>0</v>
      </c>
    </row>
    <row r="10" spans="1:12">
      <c r="A10" s="11" t="s">
        <v>249</v>
      </c>
      <c r="B10" s="11" t="s">
        <v>376</v>
      </c>
      <c r="C10" s="25" t="s">
        <v>44</v>
      </c>
      <c r="D10" s="25" t="s">
        <v>44</v>
      </c>
      <c r="E10" s="25" t="s">
        <v>44</v>
      </c>
      <c r="F10" s="25" t="s">
        <v>44</v>
      </c>
      <c r="G10" s="25" t="s">
        <v>44</v>
      </c>
      <c r="H10" s="25" t="s">
        <v>44</v>
      </c>
      <c r="I10" s="25" t="s">
        <v>44</v>
      </c>
      <c r="J10" s="25" t="s">
        <v>44</v>
      </c>
      <c r="K10" s="25" t="s">
        <v>44</v>
      </c>
      <c r="L10" s="28">
        <v>0</v>
      </c>
    </row>
    <row r="11" spans="1:12">
      <c r="A11" s="11" t="s">
        <v>249</v>
      </c>
      <c r="B11" s="11" t="s">
        <v>253</v>
      </c>
      <c r="C11" s="25" t="s">
        <v>44</v>
      </c>
      <c r="D11" s="25" t="s">
        <v>44</v>
      </c>
      <c r="E11" s="25" t="s">
        <v>44</v>
      </c>
      <c r="F11" s="25" t="s">
        <v>44</v>
      </c>
      <c r="G11" s="25" t="s">
        <v>44</v>
      </c>
      <c r="H11" s="25" t="s">
        <v>44</v>
      </c>
      <c r="I11" s="25" t="s">
        <v>44</v>
      </c>
      <c r="J11" s="25" t="s">
        <v>44</v>
      </c>
      <c r="K11" s="25" t="s">
        <v>44</v>
      </c>
      <c r="L11" s="28">
        <v>0</v>
      </c>
    </row>
    <row r="12" spans="1:12">
      <c r="A12" s="11" t="s">
        <v>249</v>
      </c>
      <c r="B12" s="11" t="s">
        <v>254</v>
      </c>
      <c r="C12" s="25" t="s">
        <v>44</v>
      </c>
      <c r="D12" s="25" t="s">
        <v>44</v>
      </c>
      <c r="E12" s="25" t="s">
        <v>44</v>
      </c>
      <c r="F12" s="25" t="s">
        <v>44</v>
      </c>
      <c r="G12" s="25" t="s">
        <v>44</v>
      </c>
      <c r="H12" s="25" t="s">
        <v>44</v>
      </c>
      <c r="I12" s="25" t="s">
        <v>44</v>
      </c>
      <c r="J12" s="25" t="s">
        <v>44</v>
      </c>
      <c r="K12" s="25" t="s">
        <v>44</v>
      </c>
      <c r="L12" s="28">
        <v>0</v>
      </c>
    </row>
    <row r="13" spans="1:12">
      <c r="A13" s="11" t="s">
        <v>249</v>
      </c>
      <c r="B13" s="11" t="s">
        <v>255</v>
      </c>
      <c r="C13" s="25" t="s">
        <v>44</v>
      </c>
      <c r="D13" s="25" t="s">
        <v>44</v>
      </c>
      <c r="E13" s="25" t="s">
        <v>44</v>
      </c>
      <c r="F13" s="25" t="s">
        <v>44</v>
      </c>
      <c r="G13" s="25" t="s">
        <v>44</v>
      </c>
      <c r="H13" s="25" t="s">
        <v>44</v>
      </c>
      <c r="I13" s="25" t="s">
        <v>44</v>
      </c>
      <c r="J13" s="25" t="s">
        <v>44</v>
      </c>
      <c r="K13" s="25" t="s">
        <v>44</v>
      </c>
      <c r="L13" s="28">
        <v>0</v>
      </c>
    </row>
    <row r="14" spans="1:12">
      <c r="A14" s="11" t="s">
        <v>249</v>
      </c>
      <c r="B14" s="11" t="s">
        <v>256</v>
      </c>
      <c r="C14" s="25" t="s">
        <v>44</v>
      </c>
      <c r="D14" s="25" t="s">
        <v>44</v>
      </c>
      <c r="E14" s="25" t="s">
        <v>44</v>
      </c>
      <c r="F14" s="25" t="s">
        <v>44</v>
      </c>
      <c r="G14" s="25" t="s">
        <v>44</v>
      </c>
      <c r="H14" s="25" t="s">
        <v>44</v>
      </c>
      <c r="I14" s="25" t="s">
        <v>44</v>
      </c>
      <c r="J14" s="25" t="s">
        <v>44</v>
      </c>
      <c r="K14" s="25" t="s">
        <v>44</v>
      </c>
      <c r="L14" s="28">
        <v>0</v>
      </c>
    </row>
    <row r="15" spans="1:12">
      <c r="A15" s="11" t="s">
        <v>249</v>
      </c>
      <c r="B15" s="11" t="s">
        <v>257</v>
      </c>
      <c r="C15" s="25" t="s">
        <v>44</v>
      </c>
      <c r="D15" s="25" t="s">
        <v>44</v>
      </c>
      <c r="E15" s="25" t="s">
        <v>44</v>
      </c>
      <c r="F15" s="25" t="s">
        <v>44</v>
      </c>
      <c r="G15" s="25" t="s">
        <v>44</v>
      </c>
      <c r="H15" s="25" t="s">
        <v>44</v>
      </c>
      <c r="I15" s="25" t="s">
        <v>44</v>
      </c>
      <c r="J15" s="25" t="s">
        <v>44</v>
      </c>
      <c r="K15" s="25" t="s">
        <v>44</v>
      </c>
      <c r="L15" s="28">
        <v>0</v>
      </c>
    </row>
    <row r="16" spans="1:12">
      <c r="A16" s="11" t="s">
        <v>249</v>
      </c>
      <c r="B16" s="11" t="s">
        <v>42</v>
      </c>
      <c r="C16" s="25" t="s">
        <v>44</v>
      </c>
      <c r="D16" s="25" t="s">
        <v>44</v>
      </c>
      <c r="E16" s="25" t="s">
        <v>44</v>
      </c>
      <c r="F16" s="25" t="s">
        <v>44</v>
      </c>
      <c r="G16" s="25" t="s">
        <v>44</v>
      </c>
      <c r="H16" s="25" t="s">
        <v>44</v>
      </c>
      <c r="I16" s="25" t="s">
        <v>44</v>
      </c>
      <c r="J16" s="25" t="s">
        <v>44</v>
      </c>
      <c r="K16" s="25" t="s">
        <v>44</v>
      </c>
      <c r="L16" s="28">
        <v>0</v>
      </c>
    </row>
    <row r="17" spans="1:12">
      <c r="A17" s="10" t="s">
        <v>258</v>
      </c>
      <c r="B17" s="10" t="s">
        <v>259</v>
      </c>
      <c r="C17" s="13">
        <f>_xll.BDH("RCOM IN Equity","IS_OTHER_OPER_INC","FY 2010","FY 2010","Currency=INR","Period=FY","BEST_FPERIOD_OVERRIDE=FY","FILING_STATUS=MR","EQY_CONSOLIDATED=Y","SCALING_FORMAT=MLN","FA_ADJUSTED=GAAP","Sort=A","Dates=H","DateFormat=P","Fill=—","Direction=H","UseDPDF=Y")</f>
        <v>8113.3</v>
      </c>
      <c r="D17" s="13">
        <f>_xll.BDH("RCOM IN Equity","IS_OTHER_OPER_INC","FY 2011","FY 2011","Currency=INR","Period=FY","BEST_FPERIOD_OVERRIDE=FY","FILING_STATUS=MR","EQY_CONSOLIDATED=Y","SCALING_FORMAT=MLN","FA_ADJUSTED=GAAP","Sort=A","Dates=H","DateFormat=P","Fill=—","Direction=H","UseDPDF=Y")</f>
        <v>3420</v>
      </c>
      <c r="E17" s="13">
        <f>_xll.BDH("RCOM IN Equity","IS_OTHER_OPER_INC","FY 2012","FY 2012","Currency=INR","Period=FY","BEST_FPERIOD_OVERRIDE=FY","FILING_STATUS=MR","EQY_CONSOLIDATED=Y","SCALING_FORMAT=MLN","FA_ADJUSTED=GAAP","Sort=A","Dates=H","DateFormat=P","Fill=—","Direction=H","UseDPDF=Y")</f>
        <v>9610</v>
      </c>
      <c r="F17" s="13">
        <f>_xll.BDH("RCOM IN Equity","IS_OTHER_OPER_INC","FY 2013","FY 2013","Currency=INR","Period=FY","BEST_FPERIOD_OVERRIDE=FY","FILING_STATUS=MR","EQY_CONSOLIDATED=Y","SCALING_FORMAT=MLN","FA_ADJUSTED=GAAP","Sort=A","Dates=H","DateFormat=P","Fill=—","Direction=H","UseDPDF=Y")</f>
        <v>12670</v>
      </c>
      <c r="G17" s="13">
        <f>_xll.BDH("RCOM IN Equity","IS_OTHER_OPER_INC","FY 2014","FY 2014","Currency=INR","Period=FY","BEST_FPERIOD_OVERRIDE=FY","FILING_STATUS=MR","EQY_CONSOLIDATED=Y","SCALING_FORMAT=MLN","FA_ADJUSTED=GAAP","Sort=A","Dates=H","DateFormat=P","Fill=—","Direction=H","UseDPDF=Y")</f>
        <v>2980</v>
      </c>
      <c r="H17" s="13">
        <f>_xll.BDH("RCOM IN Equity","IS_OTHER_OPER_INC","FY 2015","FY 2015","Currency=INR","Period=FY","BEST_FPERIOD_OVERRIDE=FY","FILING_STATUS=MR","EQY_CONSOLIDATED=Y","SCALING_FORMAT=MLN","FA_ADJUSTED=GAAP","Sort=A","Dates=H","DateFormat=P","Fill=—","Direction=H","UseDPDF=Y")</f>
        <v>3470</v>
      </c>
      <c r="I17" s="13">
        <f>_xll.BDH("RCOM IN Equity","IS_OTHER_OPER_INC","FY 2016","FY 2016","Currency=INR","Period=FY","BEST_FPERIOD_OVERRIDE=FY","FILING_STATUS=MR","EQY_CONSOLIDATED=Y","SCALING_FORMAT=MLN","FA_ADJUSTED=GAAP","Sort=A","Dates=H","DateFormat=P","Fill=—","Direction=H","UseDPDF=Y")</f>
        <v>2110</v>
      </c>
      <c r="J17" s="13">
        <f>_xll.BDH("RCOM IN Equity","IS_OTHER_OPER_INC","FY 2017","FY 2017","Currency=INR","Period=FY","BEST_FPERIOD_OVERRIDE=FY","FILING_STATUS=MR","EQY_CONSOLIDATED=Y","SCALING_FORMAT=MLN","FA_ADJUSTED=GAAP","Sort=A","Dates=H","DateFormat=P","Fill=—","Direction=H","UseDPDF=Y")</f>
        <v>1180</v>
      </c>
      <c r="K17" s="13">
        <f>_xll.BDH("RCOM IN Equity","IS_OTHER_OPER_INC","FY 2018","FY 2018","Currency=INR","Period=FY","BEST_FPERIOD_OVERRIDE=FY","FILING_STATUS=MR","EQY_CONSOLIDATED=Y","SCALING_FORMAT=MLN","FA_ADJUSTED=GAAP","Sort=A","Dates=H","DateFormat=P","Fill=—","Direction=H","UseDPDF=Y")</f>
        <v>1580</v>
      </c>
      <c r="L17" s="16">
        <v>20</v>
      </c>
    </row>
    <row r="18" spans="1:12">
      <c r="A18" s="11" t="s">
        <v>249</v>
      </c>
      <c r="B18" s="11" t="s">
        <v>259</v>
      </c>
      <c r="C18" s="25">
        <v>3.922301</v>
      </c>
      <c r="D18" s="25">
        <v>1.5482819999999999</v>
      </c>
      <c r="E18" s="25">
        <v>5.1346439999999998</v>
      </c>
      <c r="F18" s="25">
        <v>6.566808</v>
      </c>
      <c r="G18" s="25">
        <v>1.423114</v>
      </c>
      <c r="H18" s="25">
        <v>1.6197539999999999</v>
      </c>
      <c r="I18" s="25">
        <v>0.97042700000000004</v>
      </c>
      <c r="J18" s="25">
        <v>1.800427</v>
      </c>
      <c r="K18" s="25">
        <v>3.4400170000000001</v>
      </c>
      <c r="L18" s="28">
        <v>0</v>
      </c>
    </row>
    <row r="19" spans="1:12">
      <c r="A19" s="10" t="s">
        <v>260</v>
      </c>
      <c r="B19" s="10" t="s">
        <v>261</v>
      </c>
      <c r="C19" s="13">
        <f>_xll.BDH("RCOM IN Equity","IS_OPERATING_EXPN","FY 2010","FY 2010","Currency=INR","Period=FY","BEST_FPERIOD_OVERRIDE=FY","FILING_STATUS=MR","EQY_CONSOLIDATED=Y","SCALING_FORMAT=MLN","FA_ADJUSTED=GAAP","Sort=A","Dates=H","DateFormat=P","Fill=—","Direction=H","UseDPDF=Y")</f>
        <v>182538.5</v>
      </c>
      <c r="D19" s="13">
        <f>_xll.BDH("RCOM IN Equity","IS_OPERATING_EXPN","FY 2011","FY 2011","Currency=INR","Period=FY","BEST_FPERIOD_OVERRIDE=FY","FILING_STATUS=MR","EQY_CONSOLIDATED=Y","SCALING_FORMAT=MLN","FA_ADJUSTED=GAAP","Sort=A","Dates=H","DateFormat=P","Fill=—","Direction=H","UseDPDF=Y")</f>
        <v>205590</v>
      </c>
      <c r="E19" s="13">
        <f>_xll.BDH("RCOM IN Equity","IS_OPERATING_EXPN","FY 2012","FY 2012","Currency=INR","Period=FY","BEST_FPERIOD_OVERRIDE=FY","FILING_STATUS=MR","EQY_CONSOLIDATED=Y","SCALING_FORMAT=MLN","FA_ADJUSTED=GAAP","Sort=A","Dates=H","DateFormat=P","Fill=—","Direction=H","UseDPDF=Y")</f>
        <v>178600</v>
      </c>
      <c r="F19" s="13">
        <f>_xll.BDH("RCOM IN Equity","IS_OPERATING_EXPN","FY 2013","FY 2013","Currency=INR","Period=FY","BEST_FPERIOD_OVERRIDE=FY","FILING_STATUS=MR","EQY_CONSOLIDATED=Y","SCALING_FORMAT=MLN","FA_ADJUSTED=GAAP","Sort=A","Dates=H","DateFormat=P","Fill=—","Direction=H","UseDPDF=Y")</f>
        <v>184650</v>
      </c>
      <c r="G19" s="13">
        <f>_xll.BDH("RCOM IN Equity","IS_OPERATING_EXPN","FY 2014","FY 2014","Currency=INR","Period=FY","BEST_FPERIOD_OVERRIDE=FY","FILING_STATUS=MR","EQY_CONSOLIDATED=Y","SCALING_FORMAT=MLN","FA_ADJUSTED=GAAP","Sort=A","Dates=H","DateFormat=P","Fill=—","Direction=H","UseDPDF=Y")</f>
        <v>190670</v>
      </c>
      <c r="H19" s="13">
        <f>_xll.BDH("RCOM IN Equity","IS_OPERATING_EXPN","FY 2015","FY 2015","Currency=INR","Period=FY","BEST_FPERIOD_OVERRIDE=FY","FILING_STATUS=MR","EQY_CONSOLIDATED=Y","SCALING_FORMAT=MLN","FA_ADJUSTED=GAAP","Sort=A","Dates=H","DateFormat=P","Fill=—","Direction=H","UseDPDF=Y")</f>
        <v>183810</v>
      </c>
      <c r="I19" s="13">
        <f>_xll.BDH("RCOM IN Equity","IS_OPERATING_EXPN","FY 2016","FY 2016","Currency=INR","Period=FY","BEST_FPERIOD_OVERRIDE=FY","FILING_STATUS=MR","EQY_CONSOLIDATED=Y","SCALING_FORMAT=MLN","FA_ADJUSTED=GAAP","Sort=A","Dates=H","DateFormat=P","Fill=—","Direction=H","UseDPDF=Y")</f>
        <v>191780</v>
      </c>
      <c r="J19" s="13">
        <f>_xll.BDH("RCOM IN Equity","IS_OPERATING_EXPN","FY 2017","FY 2017","Currency=INR","Period=FY","BEST_FPERIOD_OVERRIDE=FY","FILING_STATUS=MR","EQY_CONSOLIDATED=Y","SCALING_FORMAT=MLN","FA_ADJUSTED=GAAP","Sort=A","Dates=H","DateFormat=P","Fill=—","Direction=H","UseDPDF=Y")</f>
        <v>62320</v>
      </c>
      <c r="K19" s="13">
        <f>_xll.BDH("RCOM IN Equity","IS_OPERATING_EXPN","FY 2018","FY 2018","Currency=INR","Period=FY","BEST_FPERIOD_OVERRIDE=FY","FILING_STATUS=MR","EQY_CONSOLIDATED=Y","SCALING_FORMAT=MLN","FA_ADJUSTED=GAAP","Sort=A","Dates=H","DateFormat=P","Fill=—","Direction=H","UseDPDF=Y")</f>
        <v>45080</v>
      </c>
      <c r="L19" s="16">
        <v>42850</v>
      </c>
    </row>
    <row r="20" spans="1:12">
      <c r="A20" s="11" t="s">
        <v>249</v>
      </c>
      <c r="B20" s="11" t="s">
        <v>261</v>
      </c>
      <c r="C20" s="25">
        <v>88.246583999999999</v>
      </c>
      <c r="D20" s="25">
        <v>93.073475000000002</v>
      </c>
      <c r="E20" s="25">
        <v>95.426372999999998</v>
      </c>
      <c r="F20" s="25">
        <v>95.703327000000002</v>
      </c>
      <c r="G20" s="25">
        <v>91.055396000000002</v>
      </c>
      <c r="H20" s="25">
        <v>85.800308000000001</v>
      </c>
      <c r="I20" s="25">
        <v>88.203100000000006</v>
      </c>
      <c r="J20" s="25">
        <v>95.086969999999994</v>
      </c>
      <c r="K20" s="25">
        <v>98.149358000000007</v>
      </c>
      <c r="L20" s="28">
        <v>107.07146426786601</v>
      </c>
    </row>
    <row r="21" spans="1:12">
      <c r="A21" s="10" t="s">
        <v>262</v>
      </c>
      <c r="B21" s="10" t="s">
        <v>263</v>
      </c>
      <c r="C21" s="13">
        <f>_xll.BDH("RCOM IN Equity","IS_SG&amp;A_EXPENSE","FY 2010","FY 2010","Currency=INR","Period=FY","BEST_FPERIOD_OVERRIDE=FY","FILING_STATUS=MR","EQY_CONSOLIDATED=Y","SCALING_FORMAT=MLN","FA_ADJUSTED=GAAP","Sort=A","Dates=H","DateFormat=P","Fill=—","Direction=H","UseDPDF=Y")</f>
        <v>33345.599999999999</v>
      </c>
      <c r="D21" s="13">
        <f>_xll.BDH("RCOM IN Equity","IS_SG&amp;A_EXPENSE","FY 2011","FY 2011","Currency=INR","Period=FY","BEST_FPERIOD_OVERRIDE=FY","FILING_STATUS=MR","EQY_CONSOLIDATED=Y","SCALING_FORMAT=MLN","FA_ADJUSTED=GAAP","Sort=A","Dates=H","DateFormat=P","Fill=—","Direction=H","UseDPDF=Y")</f>
        <v>31060</v>
      </c>
      <c r="E21" s="13">
        <f>_xll.BDH("RCOM IN Equity","IS_SG&amp;A_EXPENSE","FY 2012","FY 2012","Currency=INR","Period=FY","BEST_FPERIOD_OVERRIDE=FY","FILING_STATUS=MR","EQY_CONSOLIDATED=Y","SCALING_FORMAT=MLN","FA_ADJUSTED=GAAP","Sort=A","Dates=H","DateFormat=P","Fill=—","Direction=H","UseDPDF=Y")</f>
        <v>28960</v>
      </c>
      <c r="F21" s="13">
        <f>_xll.BDH("RCOM IN Equity","IS_SG&amp;A_EXPENSE","FY 2013","FY 2013","Currency=INR","Period=FY","BEST_FPERIOD_OVERRIDE=FY","FILING_STATUS=MR","EQY_CONSOLIDATED=Y","SCALING_FORMAT=MLN","FA_ADJUSTED=GAAP","Sort=A","Dates=H","DateFormat=P","Fill=—","Direction=H","UseDPDF=Y")</f>
        <v>29540</v>
      </c>
      <c r="G21" s="13">
        <f>_xll.BDH("RCOM IN Equity","IS_SG&amp;A_EXPENSE","FY 2014","FY 2014","Currency=INR","Period=FY","BEST_FPERIOD_OVERRIDE=FY","FILING_STATUS=MR","EQY_CONSOLIDATED=Y","SCALING_FORMAT=MLN","FA_ADJUSTED=GAAP","Sort=A","Dates=H","DateFormat=P","Fill=—","Direction=H","UseDPDF=Y")</f>
        <v>27310</v>
      </c>
      <c r="H21" s="13">
        <f>_xll.BDH("RCOM IN Equity","IS_SG&amp;A_EXPENSE","FY 2015","FY 2015","Currency=INR","Period=FY","BEST_FPERIOD_OVERRIDE=FY","FILING_STATUS=MR","EQY_CONSOLIDATED=Y","SCALING_FORMAT=MLN","FA_ADJUSTED=GAAP","Sort=A","Dates=H","DateFormat=P","Fill=—","Direction=H","UseDPDF=Y")</f>
        <v>25910</v>
      </c>
      <c r="I21" s="13">
        <f>_xll.BDH("RCOM IN Equity","IS_SG&amp;A_EXPENSE","FY 2016","FY 2016","Currency=INR","Period=FY","BEST_FPERIOD_OVERRIDE=FY","FILING_STATUS=MR","EQY_CONSOLIDATED=Y","SCALING_FORMAT=MLN","FA_ADJUSTED=GAAP","Sort=A","Dates=H","DateFormat=P","Fill=—","Direction=H","UseDPDF=Y")</f>
        <v>20970</v>
      </c>
      <c r="J21" s="13">
        <f>_xll.BDH("RCOM IN Equity","IS_SG&amp;A_EXPENSE","FY 2017","FY 2017","Currency=INR","Period=FY","BEST_FPERIOD_OVERRIDE=FY","FILING_STATUS=MR","EQY_CONSOLIDATED=Y","SCALING_FORMAT=MLN","FA_ADJUSTED=GAAP","Sort=A","Dates=H","DateFormat=P","Fill=—","Direction=H","UseDPDF=Y")</f>
        <v>6340</v>
      </c>
      <c r="K21" s="13">
        <f>_xll.BDH("RCOM IN Equity","IS_SG&amp;A_EXPENSE","FY 2018","FY 2018","Currency=INR","Period=FY","BEST_FPERIOD_OVERRIDE=FY","FILING_STATUS=MR","EQY_CONSOLIDATED=Y","SCALING_FORMAT=MLN","FA_ADJUSTED=GAAP","Sort=A","Dates=H","DateFormat=P","Fill=—","Direction=H","UseDPDF=Y")</f>
        <v>5310</v>
      </c>
      <c r="L21" s="16"/>
    </row>
    <row r="22" spans="1:12">
      <c r="A22" s="11" t="s">
        <v>249</v>
      </c>
      <c r="B22" s="11" t="s">
        <v>263</v>
      </c>
      <c r="C22" s="25">
        <v>16.120628183156398</v>
      </c>
      <c r="D22" s="25">
        <v>14.061297478382899</v>
      </c>
      <c r="E22" s="25">
        <v>15.473391750374001</v>
      </c>
      <c r="F22" s="25">
        <v>15.3104592101171</v>
      </c>
      <c r="G22" s="25">
        <v>13.0420248328558</v>
      </c>
      <c r="H22" s="25">
        <v>12.0944778975867</v>
      </c>
      <c r="I22" s="25">
        <v>9.6444832819758108</v>
      </c>
      <c r="J22" s="25">
        <v>9.6734818431492204</v>
      </c>
      <c r="K22" s="25">
        <v>11.561071195297201</v>
      </c>
      <c r="L22" s="28">
        <v>0</v>
      </c>
    </row>
    <row r="23" spans="1:12">
      <c r="A23" s="11" t="s">
        <v>264</v>
      </c>
      <c r="B23" s="11" t="s">
        <v>265</v>
      </c>
      <c r="C23" s="25">
        <f>_xll.BDH("RCOM IN Equity","IS_SELLING_EXPENSES","FY 2010","FY 2010","Currency=INR","Period=FY","BEST_FPERIOD_OVERRIDE=FY","FILING_STATUS=MR","EQY_CONSOLIDATED=Y","SCALING_FORMAT=MLN","FA_ADJUSTED=GAAP","Sort=A","Dates=H","DateFormat=P","Fill=—","Direction=H","UseDPDF=Y")</f>
        <v>22498.9</v>
      </c>
      <c r="D23" s="25">
        <f>_xll.BDH("RCOM IN Equity","IS_SELLING_EXPENSES","FY 2011","FY 2011","Currency=INR","Period=FY","BEST_FPERIOD_OVERRIDE=FY","FILING_STATUS=MR","EQY_CONSOLIDATED=Y","SCALING_FORMAT=MLN","FA_ADJUSTED=GAAP","Sort=A","Dates=H","DateFormat=P","Fill=—","Direction=H","UseDPDF=Y")</f>
        <v>21040</v>
      </c>
      <c r="E23" s="25">
        <f>_xll.BDH("RCOM IN Equity","IS_SELLING_EXPENSES","FY 2012","FY 2012","Currency=INR","Period=FY","BEST_FPERIOD_OVERRIDE=FY","FILING_STATUS=MR","EQY_CONSOLIDATED=Y","SCALING_FORMAT=MLN","FA_ADJUSTED=GAAP","Sort=A","Dates=H","DateFormat=P","Fill=—","Direction=H","UseDPDF=Y")</f>
        <v>19890</v>
      </c>
      <c r="F23" s="25">
        <f>_xll.BDH("RCOM IN Equity","IS_SELLING_EXPENSES","FY 2013","FY 2013","Currency=INR","Period=FY","BEST_FPERIOD_OVERRIDE=FY","FILING_STATUS=MR","EQY_CONSOLIDATED=Y","SCALING_FORMAT=MLN","FA_ADJUSTED=GAAP","Sort=A","Dates=H","DateFormat=P","Fill=—","Direction=H","UseDPDF=Y")</f>
        <v>18540</v>
      </c>
      <c r="G23" s="25">
        <f>_xll.BDH("RCOM IN Equity","IS_SELLING_EXPENSES","FY 2014","FY 2014","Currency=INR","Period=FY","BEST_FPERIOD_OVERRIDE=FY","FILING_STATUS=MR","EQY_CONSOLIDATED=Y","SCALING_FORMAT=MLN","FA_ADJUSTED=GAAP","Sort=A","Dates=H","DateFormat=P","Fill=—","Direction=H","UseDPDF=Y")</f>
        <v>15430</v>
      </c>
      <c r="H23" s="25">
        <f>_xll.BDH("RCOM IN Equity","IS_SELLING_EXPENSES","FY 2015","FY 2015","Currency=INR","Period=FY","BEST_FPERIOD_OVERRIDE=FY","FILING_STATUS=MR","EQY_CONSOLIDATED=Y","SCALING_FORMAT=MLN","FA_ADJUSTED=GAAP","Sort=A","Dates=H","DateFormat=P","Fill=—","Direction=H","UseDPDF=Y")</f>
        <v>16750</v>
      </c>
      <c r="I23" s="25">
        <f>_xll.BDH("RCOM IN Equity","IS_SELLING_EXPENSES","FY 2016","FY 2016","Currency=INR","Period=FY","BEST_FPERIOD_OVERRIDE=FY","FILING_STATUS=MR","EQY_CONSOLIDATED=Y","SCALING_FORMAT=MLN","FA_ADJUSTED=GAAP","Sort=A","Dates=H","DateFormat=P","Fill=—","Direction=H","UseDPDF=Y")</f>
        <v>17780</v>
      </c>
      <c r="J23" s="25">
        <f>_xll.BDH("RCOM IN Equity","IS_SELLING_EXPENSES","FY 2017","FY 2017","Currency=INR","Period=FY","BEST_FPERIOD_OVERRIDE=FY","FILING_STATUS=MR","EQY_CONSOLIDATED=Y","SCALING_FORMAT=MLN","FA_ADJUSTED=GAAP","Sort=A","Dates=H","DateFormat=P","Fill=—","Direction=H","UseDPDF=Y")</f>
        <v>810</v>
      </c>
      <c r="K23" s="25">
        <f>_xll.BDH("RCOM IN Equity","IS_SELLING_EXPENSES","FY 2018","FY 2018","Currency=INR","Period=FY","BEST_FPERIOD_OVERRIDE=FY","FILING_STATUS=MR","EQY_CONSOLIDATED=Y","SCALING_FORMAT=MLN","FA_ADJUSTED=GAAP","Sort=A","Dates=H","DateFormat=P","Fill=—","Direction=H","UseDPDF=Y")</f>
        <v>390</v>
      </c>
      <c r="L23" s="28"/>
    </row>
    <row r="24" spans="1:12">
      <c r="A24" s="11" t="s">
        <v>249</v>
      </c>
      <c r="B24" s="11" t="s">
        <v>265</v>
      </c>
      <c r="C24" s="25">
        <v>10.876889347620599</v>
      </c>
      <c r="D24" s="25">
        <v>9.5251029924396793</v>
      </c>
      <c r="E24" s="25">
        <v>10.6272707843556</v>
      </c>
      <c r="F24" s="25">
        <v>9.6092049341764305</v>
      </c>
      <c r="G24" s="25">
        <v>7.3686723973256898</v>
      </c>
      <c r="H24" s="25">
        <v>7.8186995285440899</v>
      </c>
      <c r="I24" s="25">
        <v>8.1773444326909797</v>
      </c>
      <c r="J24" s="25">
        <v>1.23588648153799</v>
      </c>
      <c r="K24" s="25">
        <v>0.84911822338341003</v>
      </c>
      <c r="L24" s="28">
        <v>0</v>
      </c>
    </row>
    <row r="25" spans="1:12">
      <c r="A25" s="11" t="s">
        <v>266</v>
      </c>
      <c r="B25" s="11" t="s">
        <v>267</v>
      </c>
      <c r="C25" s="25">
        <f>_xll.BDH("RCOM IN Equity","IS_GENERAL_AND_ADMINISTRATIVE","FY 2010","FY 2010","Currency=INR","Period=FY","BEST_FPERIOD_OVERRIDE=FY","FILING_STATUS=MR","EQY_CONSOLIDATED=Y","SCALING_FORMAT=MLN","FA_ADJUSTED=GAAP","Sort=A","Dates=H","DateFormat=P","Fill=—","Direction=H","UseDPDF=Y")</f>
        <v>10846.7</v>
      </c>
      <c r="D25" s="25">
        <f>_xll.BDH("RCOM IN Equity","IS_GENERAL_AND_ADMINISTRATIVE","FY 2011","FY 2011","Currency=INR","Period=FY","BEST_FPERIOD_OVERRIDE=FY","FILING_STATUS=MR","EQY_CONSOLIDATED=Y","SCALING_FORMAT=MLN","FA_ADJUSTED=GAAP","Sort=A","Dates=H","DateFormat=P","Fill=—","Direction=H","UseDPDF=Y")</f>
        <v>10020</v>
      </c>
      <c r="E25" s="25">
        <f>_xll.BDH("RCOM IN Equity","IS_GENERAL_AND_ADMINISTRATIVE","FY 2012","FY 2012","Currency=INR","Period=FY","BEST_FPERIOD_OVERRIDE=FY","FILING_STATUS=MR","EQY_CONSOLIDATED=Y","SCALING_FORMAT=MLN","FA_ADJUSTED=GAAP","Sort=A","Dates=H","DateFormat=P","Fill=—","Direction=H","UseDPDF=Y")</f>
        <v>9070</v>
      </c>
      <c r="F25" s="25">
        <f>_xll.BDH("RCOM IN Equity","IS_GENERAL_AND_ADMINISTRATIVE","FY 2013","FY 2013","Currency=INR","Period=FY","BEST_FPERIOD_OVERRIDE=FY","FILING_STATUS=MR","EQY_CONSOLIDATED=Y","SCALING_FORMAT=MLN","FA_ADJUSTED=GAAP","Sort=A","Dates=H","DateFormat=P","Fill=—","Direction=H","UseDPDF=Y")</f>
        <v>11000</v>
      </c>
      <c r="G25" s="25">
        <f>_xll.BDH("RCOM IN Equity","IS_GENERAL_AND_ADMINISTRATIVE","FY 2014","FY 2014","Currency=INR","Period=FY","BEST_FPERIOD_OVERRIDE=FY","FILING_STATUS=MR","EQY_CONSOLIDATED=Y","SCALING_FORMAT=MLN","FA_ADJUSTED=GAAP","Sort=A","Dates=H","DateFormat=P","Fill=—","Direction=H","UseDPDF=Y")</f>
        <v>11880</v>
      </c>
      <c r="H25" s="25">
        <f>_xll.BDH("RCOM IN Equity","IS_GENERAL_AND_ADMINISTRATIVE","FY 2015","FY 2015","Currency=INR","Period=FY","BEST_FPERIOD_OVERRIDE=FY","FILING_STATUS=MR","EQY_CONSOLIDATED=Y","SCALING_FORMAT=MLN","FA_ADJUSTED=GAAP","Sort=A","Dates=H","DateFormat=P","Fill=—","Direction=H","UseDPDF=Y")</f>
        <v>9160</v>
      </c>
      <c r="I25" s="25">
        <f>_xll.BDH("RCOM IN Equity","IS_GENERAL_AND_ADMINISTRATIVE","FY 2016","FY 2016","Currency=INR","Period=FY","BEST_FPERIOD_OVERRIDE=FY","FILING_STATUS=MR","EQY_CONSOLIDATED=Y","SCALING_FORMAT=MLN","FA_ADJUSTED=GAAP","Sort=A","Dates=H","DateFormat=P","Fill=—","Direction=H","UseDPDF=Y")</f>
        <v>3190</v>
      </c>
      <c r="J25" s="25">
        <f>_xll.BDH("RCOM IN Equity","IS_GENERAL_AND_ADMINISTRATIVE","FY 2017","FY 2017","Currency=INR","Period=FY","BEST_FPERIOD_OVERRIDE=FY","FILING_STATUS=MR","EQY_CONSOLIDATED=Y","SCALING_FORMAT=MLN","FA_ADJUSTED=GAAP","Sort=A","Dates=H","DateFormat=P","Fill=—","Direction=H","UseDPDF=Y")</f>
        <v>5530</v>
      </c>
      <c r="K25" s="25">
        <f>_xll.BDH("RCOM IN Equity","IS_GENERAL_AND_ADMINISTRATIVE","FY 2018","FY 2018","Currency=INR","Period=FY","BEST_FPERIOD_OVERRIDE=FY","FILING_STATUS=MR","EQY_CONSOLIDATED=Y","SCALING_FORMAT=MLN","FA_ADJUSTED=GAAP","Sort=A","Dates=H","DateFormat=P","Fill=—","Direction=H","UseDPDF=Y")</f>
        <v>4920</v>
      </c>
      <c r="L25" s="28"/>
    </row>
    <row r="26" spans="1:12">
      <c r="A26" s="11" t="s">
        <v>249</v>
      </c>
      <c r="B26" s="11" t="s">
        <v>267</v>
      </c>
      <c r="C26" s="25">
        <v>5.2437388355358099</v>
      </c>
      <c r="D26" s="25">
        <v>4.5361944859432297</v>
      </c>
      <c r="E26" s="25">
        <v>4.8461209660183799</v>
      </c>
      <c r="F26" s="25">
        <v>5.7012542759407099</v>
      </c>
      <c r="G26" s="25">
        <v>5.6733524355300897</v>
      </c>
      <c r="H26" s="25">
        <v>4.2757783690426203</v>
      </c>
      <c r="I26" s="25">
        <v>1.4671388492848301</v>
      </c>
      <c r="J26" s="25">
        <v>8.4375953616112298</v>
      </c>
      <c r="K26" s="25">
        <v>10.711952971913799</v>
      </c>
      <c r="L26" s="28">
        <v>0</v>
      </c>
    </row>
    <row r="27" spans="1:12">
      <c r="A27" s="10" t="s">
        <v>268</v>
      </c>
      <c r="B27" s="10" t="s">
        <v>377</v>
      </c>
      <c r="C27" s="13">
        <f>_xll.BDH("RCOM IN Equity","IS_OPERATING_EXPENSES_R&amp;D","FY 2010","FY 2010","Currency=INR","Period=FY","BEST_FPERIOD_OVERRIDE=FY","FILING_STATUS=MR","EQY_CONSOLIDATED=Y","SCALING_FORMAT=MLN","FA_ADJUSTED=GAAP","Sort=A","Dates=H","DateFormat=P","Fill=—","Direction=H","UseDPDF=Y")</f>
        <v>0</v>
      </c>
      <c r="D27" s="13">
        <f>_xll.BDH("RCOM IN Equity","IS_OPERATING_EXPENSES_R&amp;D","FY 2011","FY 2011","Currency=INR","Period=FY","BEST_FPERIOD_OVERRIDE=FY","FILING_STATUS=MR","EQY_CONSOLIDATED=Y","SCALING_FORMAT=MLN","FA_ADJUSTED=GAAP","Sort=A","Dates=H","DateFormat=P","Fill=—","Direction=H","UseDPDF=Y")</f>
        <v>0</v>
      </c>
      <c r="E27" s="13">
        <f>_xll.BDH("RCOM IN Equity","IS_OPERATING_EXPENSES_R&amp;D","FY 2012","FY 2012","Currency=INR","Period=FY","BEST_FPERIOD_OVERRIDE=FY","FILING_STATUS=MR","EQY_CONSOLIDATED=Y","SCALING_FORMAT=MLN","FA_ADJUSTED=GAAP","Sort=A","Dates=H","DateFormat=P","Fill=—","Direction=H","UseDPDF=Y")</f>
        <v>0</v>
      </c>
      <c r="F27" s="13">
        <f>_xll.BDH("RCOM IN Equity","IS_OPERATING_EXPENSES_R&amp;D","FY 2013","FY 2013","Currency=INR","Period=FY","BEST_FPERIOD_OVERRIDE=FY","FILING_STATUS=MR","EQY_CONSOLIDATED=Y","SCALING_FORMAT=MLN","FA_ADJUSTED=GAAP","Sort=A","Dates=H","DateFormat=P","Fill=—","Direction=H","UseDPDF=Y")</f>
        <v>0</v>
      </c>
      <c r="G27" s="13">
        <f>_xll.BDH("RCOM IN Equity","IS_OPERATING_EXPENSES_R&amp;D","FY 2014","FY 2014","Currency=INR","Period=FY","BEST_FPERIOD_OVERRIDE=FY","FILING_STATUS=MR","EQY_CONSOLIDATED=Y","SCALING_FORMAT=MLN","FA_ADJUSTED=GAAP","Sort=A","Dates=H","DateFormat=P","Fill=—","Direction=H","UseDPDF=Y")</f>
        <v>0</v>
      </c>
      <c r="H27" s="13">
        <f>_xll.BDH("RCOM IN Equity","IS_OPERATING_EXPENSES_R&amp;D","FY 2015","FY 2015","Currency=INR","Period=FY","BEST_FPERIOD_OVERRIDE=FY","FILING_STATUS=MR","EQY_CONSOLIDATED=Y","SCALING_FORMAT=MLN","FA_ADJUSTED=GAAP","Sort=A","Dates=H","DateFormat=P","Fill=—","Direction=H","UseDPDF=Y")</f>
        <v>0</v>
      </c>
      <c r="I27" s="13">
        <f>_xll.BDH("RCOM IN Equity","IS_OPERATING_EXPENSES_R&amp;D","FY 2016","FY 2016","Currency=INR","Period=FY","BEST_FPERIOD_OVERRIDE=FY","FILING_STATUS=MR","EQY_CONSOLIDATED=Y","SCALING_FORMAT=MLN","FA_ADJUSTED=GAAP","Sort=A","Dates=H","DateFormat=P","Fill=—","Direction=H","UseDPDF=Y")</f>
        <v>0</v>
      </c>
      <c r="J27" s="13">
        <f>_xll.BDH("RCOM IN Equity","IS_OPERATING_EXPENSES_R&amp;D","FY 2017","FY 2017","Currency=INR","Period=FY","BEST_FPERIOD_OVERRIDE=FY","FILING_STATUS=MR","EQY_CONSOLIDATED=Y","SCALING_FORMAT=MLN","FA_ADJUSTED=GAAP","Sort=A","Dates=H","DateFormat=P","Fill=—","Direction=H","UseDPDF=Y")</f>
        <v>0</v>
      </c>
      <c r="K27" s="13">
        <f>_xll.BDH("RCOM IN Equity","IS_OPERATING_EXPENSES_R&amp;D","FY 2018","FY 2018","Currency=INR","Period=FY","BEST_FPERIOD_OVERRIDE=FY","FILING_STATUS=MR","EQY_CONSOLIDATED=Y","SCALING_FORMAT=MLN","FA_ADJUSTED=GAAP","Sort=A","Dates=H","DateFormat=P","Fill=—","Direction=H","UseDPDF=Y")</f>
        <v>0</v>
      </c>
      <c r="L27" s="16"/>
    </row>
    <row r="28" spans="1:12">
      <c r="A28" s="11" t="s">
        <v>249</v>
      </c>
      <c r="B28" s="11" t="s">
        <v>377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8">
        <v>0</v>
      </c>
    </row>
    <row r="29" spans="1:12">
      <c r="A29" s="10" t="s">
        <v>270</v>
      </c>
      <c r="B29" s="10" t="s">
        <v>271</v>
      </c>
      <c r="C29" s="13">
        <f>_xll.BDH("RCOM IN Equity","IS_DEPRECIATION_AND_AMORTIZATION","FY 2010","FY 2010","Currency=INR","Period=FY","BEST_FPERIOD_OVERRIDE=FY","FILING_STATUS=MR","EQY_CONSOLIDATED=Y","SCALING_FORMAT=MLN","FA_ADJUSTED=GAAP","Sort=A","Dates=H","DateFormat=P","Fill=—","Direction=H","UseDPDF=Y")</f>
        <v>34415.599999999999</v>
      </c>
      <c r="D29" s="13">
        <f>_xll.BDH("RCOM IN Equity","IS_DEPRECIATION_AND_AMORTIZATION","FY 2011","FY 2011","Currency=INR","Period=FY","BEST_FPERIOD_OVERRIDE=FY","FILING_STATUS=MR","EQY_CONSOLIDATED=Y","SCALING_FORMAT=MLN","FA_ADJUSTED=GAAP","Sort=A","Dates=H","DateFormat=P","Fill=—","Direction=H","UseDPDF=Y")</f>
        <v>65040</v>
      </c>
      <c r="E29" s="13">
        <f>_xll.BDH("RCOM IN Equity","IS_DEPRECIATION_AND_AMORTIZATION","FY 2012","FY 2012","Currency=INR","Period=FY","BEST_FPERIOD_OVERRIDE=FY","FILING_STATUS=MR","EQY_CONSOLIDATED=Y","SCALING_FORMAT=MLN","FA_ADJUSTED=GAAP","Sort=A","Dates=H","DateFormat=P","Fill=—","Direction=H","UseDPDF=Y")</f>
        <v>36080</v>
      </c>
      <c r="F29" s="13">
        <f>_xll.BDH("RCOM IN Equity","IS_DEPRECIATION_AND_AMORTIZATION","FY 2013","FY 2013","Currency=INR","Period=FY","BEST_FPERIOD_OVERRIDE=FY","FILING_STATUS=MR","EQY_CONSOLIDATED=Y","SCALING_FORMAT=MLN","FA_ADJUSTED=GAAP","Sort=A","Dates=H","DateFormat=P","Fill=—","Direction=H","UseDPDF=Y")</f>
        <v>38450</v>
      </c>
      <c r="G29" s="13">
        <f>_xll.BDH("RCOM IN Equity","IS_DEPRECIATION_AND_AMORTIZATION","FY 2014","FY 2014","Currency=INR","Period=FY","BEST_FPERIOD_OVERRIDE=FY","FILING_STATUS=MR","EQY_CONSOLIDATED=Y","SCALING_FORMAT=MLN","FA_ADJUSTED=GAAP","Sort=A","Dates=H","DateFormat=P","Fill=—","Direction=H","UseDPDF=Y")</f>
        <v>45350</v>
      </c>
      <c r="H29" s="13">
        <f>_xll.BDH("RCOM IN Equity","IS_DEPRECIATION_AND_AMORTIZATION","FY 2015","FY 2015","Currency=INR","Period=FY","BEST_FPERIOD_OVERRIDE=FY","FILING_STATUS=MR","EQY_CONSOLIDATED=Y","SCALING_FORMAT=MLN","FA_ADJUSTED=GAAP","Sort=A","Dates=H","DateFormat=P","Fill=—","Direction=H","UseDPDF=Y")</f>
        <v>38170</v>
      </c>
      <c r="I29" s="13">
        <f>_xll.BDH("RCOM IN Equity","IS_DEPRECIATION_AND_AMORTIZATION","FY 2016","FY 2016","Currency=INR","Period=FY","BEST_FPERIOD_OVERRIDE=FY","FILING_STATUS=MR","EQY_CONSOLIDATED=Y","SCALING_FORMAT=MLN","FA_ADJUSTED=GAAP","Sort=A","Dates=H","DateFormat=P","Fill=—","Direction=H","UseDPDF=Y")</f>
        <v>44840</v>
      </c>
      <c r="J29" s="13">
        <f>_xll.BDH("RCOM IN Equity","IS_DEPRECIATION_AND_AMORTIZATION","FY 2017","FY 2017","Currency=INR","Period=FY","BEST_FPERIOD_OVERRIDE=FY","FILING_STATUS=MR","EQY_CONSOLIDATED=Y","SCALING_FORMAT=MLN","FA_ADJUSTED=GAAP","Sort=A","Dates=H","DateFormat=P","Fill=—","Direction=H","UseDPDF=Y")</f>
        <v>8210</v>
      </c>
      <c r="K29" s="13">
        <f>_xll.BDH("RCOM IN Equity","IS_DEPRECIATION_AND_AMORTIZATION","FY 2018","FY 2018","Currency=INR","Period=FY","BEST_FPERIOD_OVERRIDE=FY","FILING_STATUS=MR","EQY_CONSOLIDATED=Y","SCALING_FORMAT=MLN","FA_ADJUSTED=GAAP","Sort=A","Dates=H","DateFormat=P","Fill=—","Direction=H","UseDPDF=Y")</f>
        <v>7210</v>
      </c>
      <c r="L29" s="16">
        <v>7970</v>
      </c>
    </row>
    <row r="30" spans="1:12">
      <c r="A30" s="11" t="s">
        <v>249</v>
      </c>
      <c r="B30" s="11" t="s">
        <v>271</v>
      </c>
      <c r="C30" s="25">
        <v>16.637909988131501</v>
      </c>
      <c r="D30" s="25">
        <v>29.444519896781198</v>
      </c>
      <c r="E30" s="25">
        <v>19.2776234238085</v>
      </c>
      <c r="F30" s="25">
        <v>19.928475173629099</v>
      </c>
      <c r="G30" s="25">
        <v>21.657115568290401</v>
      </c>
      <c r="H30" s="25">
        <v>17.817299164449398</v>
      </c>
      <c r="I30" s="25">
        <v>20.622729154210599</v>
      </c>
      <c r="J30" s="25">
        <v>12.526701251144299</v>
      </c>
      <c r="K30" s="25">
        <v>15.6978010015241</v>
      </c>
      <c r="L30" s="28">
        <v>0</v>
      </c>
    </row>
    <row r="31" spans="1:12">
      <c r="A31" s="10" t="s">
        <v>272</v>
      </c>
      <c r="B31" s="10" t="s">
        <v>273</v>
      </c>
      <c r="C31" s="13">
        <f>_xll.BDH("RCOM IN Equity","IS_PROVISION_DOUBTFUL_ACCOUNTS","FY 2010","FY 2010","Currency=INR","Period=FY","BEST_FPERIOD_OVERRIDE=FY","FILING_STATUS=MR","EQY_CONSOLIDATED=Y","SCALING_FORMAT=MLN","FA_ADJUSTED=GAAP","Sort=A","Dates=H","DateFormat=P","Fill=—","Direction=H","UseDPDF=Y")</f>
        <v>1982.8</v>
      </c>
      <c r="D31" s="13">
        <f>_xll.BDH("RCOM IN Equity","IS_PROVISION_DOUBTFUL_ACCOUNTS","FY 2011","FY 2011","Currency=INR","Period=FY","BEST_FPERIOD_OVERRIDE=FY","FILING_STATUS=MR","EQY_CONSOLIDATED=Y","SCALING_FORMAT=MLN","FA_ADJUSTED=GAAP","Sort=A","Dates=H","DateFormat=P","Fill=—","Direction=H","UseDPDF=Y")</f>
        <v>1690</v>
      </c>
      <c r="E31" s="13">
        <f>_xll.BDH("RCOM IN Equity","IS_PROVISION_DOUBTFUL_ACCOUNTS","FY 2012","FY 2012","Currency=INR","Period=FY","BEST_FPERIOD_OVERRIDE=FY","FILING_STATUS=MR","EQY_CONSOLIDATED=Y","SCALING_FORMAT=MLN","FA_ADJUSTED=GAAP","Sort=A","Dates=H","DateFormat=P","Fill=—","Direction=H","UseDPDF=Y")</f>
        <v>610</v>
      </c>
      <c r="F31" s="13">
        <f>_xll.BDH("RCOM IN Equity","IS_PROVISION_DOUBTFUL_ACCOUNTS","FY 2013","FY 2013","Currency=INR","Period=FY","BEST_FPERIOD_OVERRIDE=FY","FILING_STATUS=MR","EQY_CONSOLIDATED=Y","SCALING_FORMAT=MLN","FA_ADJUSTED=GAAP","Sort=A","Dates=H","DateFormat=P","Fill=—","Direction=H","UseDPDF=Y")</f>
        <v>1080</v>
      </c>
      <c r="G31" s="13">
        <f>_xll.BDH("RCOM IN Equity","IS_PROVISION_DOUBTFUL_ACCOUNTS","FY 2014","FY 2014","Currency=INR","Period=FY","BEST_FPERIOD_OVERRIDE=FY","FILING_STATUS=MR","EQY_CONSOLIDATED=Y","SCALING_FORMAT=MLN","FA_ADJUSTED=GAAP","Sort=A","Dates=H","DateFormat=P","Fill=—","Direction=H","UseDPDF=Y")</f>
        <v>2890</v>
      </c>
      <c r="H31" s="13">
        <f>_xll.BDH("RCOM IN Equity","IS_PROVISION_DOUBTFUL_ACCOUNTS","FY 2015","FY 2015","Currency=INR","Period=FY","BEST_FPERIOD_OVERRIDE=FY","FILING_STATUS=MR","EQY_CONSOLIDATED=Y","SCALING_FORMAT=MLN","FA_ADJUSTED=GAAP","Sort=A","Dates=H","DateFormat=P","Fill=—","Direction=H","UseDPDF=Y")</f>
        <v>1160</v>
      </c>
      <c r="I31" s="13">
        <f>_xll.BDH("RCOM IN Equity","IS_PROVISION_DOUBTFUL_ACCOUNTS","FY 2016","FY 2016","Currency=INR","Period=FY","BEST_FPERIOD_OVERRIDE=FY","FILING_STATUS=MR","EQY_CONSOLIDATED=Y","SCALING_FORMAT=MLN","FA_ADJUSTED=GAAP","Sort=A","Dates=H","DateFormat=P","Fill=—","Direction=H","UseDPDF=Y")</f>
        <v>1360</v>
      </c>
      <c r="J31" s="13">
        <f>_xll.BDH("RCOM IN Equity","IS_PROVISION_DOUBTFUL_ACCOUNTS","FY 2017","FY 2017","Currency=INR","Period=FY","BEST_FPERIOD_OVERRIDE=FY","FILING_STATUS=MR","EQY_CONSOLIDATED=Y","SCALING_FORMAT=MLN","FA_ADJUSTED=GAAP","Sort=A","Dates=H","DateFormat=P","Fill=—","Direction=H","UseDPDF=Y")</f>
        <v>880</v>
      </c>
      <c r="K31" s="13">
        <f>_xll.BDH("RCOM IN Equity","IS_PROVISION_DOUBTFUL_ACCOUNTS","FY 2018","FY 2018","Currency=INR","Period=FY","BEST_FPERIOD_OVERRIDE=FY","FILING_STATUS=MR","EQY_CONSOLIDATED=Y","SCALING_FORMAT=MLN","FA_ADJUSTED=GAAP","Sort=A","Dates=H","DateFormat=P","Fill=—","Direction=H","UseDPDF=Y")</f>
        <v>450</v>
      </c>
      <c r="L31" s="16"/>
    </row>
    <row r="32" spans="1:12">
      <c r="A32" s="11" t="s">
        <v>249</v>
      </c>
      <c r="B32" s="11" t="s">
        <v>273</v>
      </c>
      <c r="C32" s="25">
        <v>0.95856669430337405</v>
      </c>
      <c r="D32" s="25">
        <v>0.76508669473493596</v>
      </c>
      <c r="E32" s="25">
        <v>0.32592434280829202</v>
      </c>
      <c r="F32" s="25">
        <v>0.55975951072872399</v>
      </c>
      <c r="G32" s="25">
        <v>1.3801337153772699</v>
      </c>
      <c r="H32" s="25">
        <v>0.54147411660364997</v>
      </c>
      <c r="I32" s="25">
        <v>0.625488663017983</v>
      </c>
      <c r="J32" s="25">
        <v>1.3426914861153501</v>
      </c>
      <c r="K32" s="25">
        <v>0.979751796211626</v>
      </c>
      <c r="L32" s="28">
        <v>0</v>
      </c>
    </row>
    <row r="33" spans="1:12">
      <c r="A33" s="10" t="s">
        <v>274</v>
      </c>
      <c r="B33" s="10" t="s">
        <v>378</v>
      </c>
      <c r="C33" s="13">
        <f>_xll.BDH("RCOM IN Equity","OTHER_OPERATING_EXPENSES_RATIO","FY 2010","FY 2010","Currency=INR","Period=FY","BEST_FPERIOD_OVERRIDE=FY","FILING_STATUS=MR","EQY_CONSOLIDATED=Y","SCALING_FORMAT=MLN","FA_ADJUSTED=GAAP","Sort=A","Dates=H","DateFormat=P","Fill=—","Direction=H","UseDPDF=Y")</f>
        <v>112794.5</v>
      </c>
      <c r="D33" s="13">
        <f>_xll.BDH("RCOM IN Equity","OTHER_OPERATING_EXPENSES_RATIO","FY 2011","FY 2011","Currency=INR","Period=FY","BEST_FPERIOD_OVERRIDE=FY","FILING_STATUS=MR","EQY_CONSOLIDATED=Y","SCALING_FORMAT=MLN","FA_ADJUSTED=GAAP","Sort=A","Dates=H","DateFormat=P","Fill=—","Direction=H","UseDPDF=Y")</f>
        <v>107800</v>
      </c>
      <c r="E33" s="13">
        <f>_xll.BDH("RCOM IN Equity","OTHER_OPERATING_EXPENSES_RATIO","FY 2012","FY 2012","Currency=INR","Period=FY","BEST_FPERIOD_OVERRIDE=FY","FILING_STATUS=MR","EQY_CONSOLIDATED=Y","SCALING_FORMAT=MLN","FA_ADJUSTED=GAAP","Sort=A","Dates=H","DateFormat=P","Fill=—","Direction=H","UseDPDF=Y")</f>
        <v>112950</v>
      </c>
      <c r="F33" s="13">
        <f>_xll.BDH("RCOM IN Equity","OTHER_OPERATING_EXPENSES_RATIO","FY 2013","FY 2013","Currency=INR","Period=FY","BEST_FPERIOD_OVERRIDE=FY","FILING_STATUS=MR","EQY_CONSOLIDATED=Y","SCALING_FORMAT=MLN","FA_ADJUSTED=GAAP","Sort=A","Dates=H","DateFormat=P","Fill=—","Direction=H","UseDPDF=Y")</f>
        <v>115580</v>
      </c>
      <c r="G33" s="13">
        <f>_xll.BDH("RCOM IN Equity","OTHER_OPERATING_EXPENSES_RATIO","FY 2014","FY 2014","Currency=INR","Period=FY","BEST_FPERIOD_OVERRIDE=FY","FILING_STATUS=MR","EQY_CONSOLIDATED=Y","SCALING_FORMAT=MLN","FA_ADJUSTED=GAAP","Sort=A","Dates=H","DateFormat=P","Fill=—","Direction=H","UseDPDF=Y")</f>
        <v>115120</v>
      </c>
      <c r="H33" s="13">
        <f>_xll.BDH("RCOM IN Equity","OTHER_OPERATING_EXPENSES_RATIO","FY 2015","FY 2015","Currency=INR","Period=FY","BEST_FPERIOD_OVERRIDE=FY","FILING_STATUS=MR","EQY_CONSOLIDATED=Y","SCALING_FORMAT=MLN","FA_ADJUSTED=GAAP","Sort=A","Dates=H","DateFormat=P","Fill=—","Direction=H","UseDPDF=Y")</f>
        <v>118570</v>
      </c>
      <c r="I33" s="13">
        <f>_xll.BDH("RCOM IN Equity","OTHER_OPERATING_EXPENSES_RATIO","FY 2016","FY 2016","Currency=INR","Period=FY","BEST_FPERIOD_OVERRIDE=FY","FILING_STATUS=MR","EQY_CONSOLIDATED=Y","SCALING_FORMAT=MLN","FA_ADJUSTED=GAAP","Sort=A","Dates=H","DateFormat=P","Fill=—","Direction=H","UseDPDF=Y")</f>
        <v>124610</v>
      </c>
      <c r="J33" s="13">
        <f>_xll.BDH("RCOM IN Equity","OTHER_OPERATING_EXPENSES_RATIO","FY 2017","FY 2017","Currency=INR","Period=FY","BEST_FPERIOD_OVERRIDE=FY","FILING_STATUS=MR","EQY_CONSOLIDATED=Y","SCALING_FORMAT=MLN","FA_ADJUSTED=GAAP","Sort=A","Dates=H","DateFormat=P","Fill=—","Direction=H","UseDPDF=Y")</f>
        <v>46890</v>
      </c>
      <c r="K33" s="13">
        <f>_xll.BDH("RCOM IN Equity","OTHER_OPERATING_EXPENSES_RATIO","FY 2018","FY 2018","Currency=INR","Period=FY","BEST_FPERIOD_OVERRIDE=FY","FILING_STATUS=MR","EQY_CONSOLIDATED=Y","SCALING_FORMAT=MLN","FA_ADJUSTED=GAAP","Sort=A","Dates=H","DateFormat=P","Fill=—","Direction=H","UseDPDF=Y")</f>
        <v>32110</v>
      </c>
      <c r="L33" s="16">
        <v>30070</v>
      </c>
    </row>
    <row r="34" spans="1:12">
      <c r="A34" s="11" t="s">
        <v>249</v>
      </c>
      <c r="B34" s="11" t="s">
        <v>378</v>
      </c>
      <c r="C34" s="25">
        <v>54.5294790198718</v>
      </c>
      <c r="D34" s="25">
        <v>48.802571415636699</v>
      </c>
      <c r="E34" s="25">
        <v>60.3494336396666</v>
      </c>
      <c r="F34" s="25">
        <v>59.904633564838797</v>
      </c>
      <c r="G34" s="25">
        <v>54.976122254059199</v>
      </c>
      <c r="H34" s="25">
        <v>55.347056901461002</v>
      </c>
      <c r="I34" s="25">
        <v>57.310398749022703</v>
      </c>
      <c r="J34" s="25">
        <v>71.544095209032605</v>
      </c>
      <c r="K34" s="25">
        <v>69.910733725234095</v>
      </c>
      <c r="L34" s="28">
        <v>0</v>
      </c>
    </row>
    <row r="35" spans="1:12">
      <c r="A35" s="6" t="s">
        <v>276</v>
      </c>
      <c r="B35" s="6" t="s">
        <v>64</v>
      </c>
      <c r="C35" s="19">
        <f>_xll.BDH("RCOM IN Equity","IS_OPER_INC","FY 2010","FY 2010","Currency=INR","Period=FY","BEST_FPERIOD_OVERRIDE=FY","FILING_STATUS=MR","EQY_CONSOLIDATED=Y","SCALING_FORMAT=MLN","FA_ADJUSTED=GAAP","Sort=A","Dates=H","DateFormat=P","Fill=—","Direction=H","UseDPDF=Y")</f>
        <v>32425.3</v>
      </c>
      <c r="D35" s="19">
        <f>_xll.BDH("RCOM IN Equity","IS_OPER_INC","FY 2011","FY 2011","Currency=INR","Period=FY","BEST_FPERIOD_OVERRIDE=FY","FILING_STATUS=MR","EQY_CONSOLIDATED=Y","SCALING_FORMAT=MLN","FA_ADJUSTED=GAAP","Sort=A","Dates=H","DateFormat=P","Fill=—","Direction=H","UseDPDF=Y")</f>
        <v>18720</v>
      </c>
      <c r="E35" s="19">
        <f>_xll.BDH("RCOM IN Equity","IS_OPER_INC","FY 2012","FY 2012","Currency=INR","Period=FY","BEST_FPERIOD_OVERRIDE=FY","FILING_STATUS=MR","EQY_CONSOLIDATED=Y","SCALING_FORMAT=MLN","FA_ADJUSTED=GAAP","Sort=A","Dates=H","DateFormat=P","Fill=—","Direction=H","UseDPDF=Y")</f>
        <v>18170</v>
      </c>
      <c r="F35" s="19">
        <f>_xll.BDH("RCOM IN Equity","IS_OPER_INC","FY 2013","FY 2013","Currency=INR","Period=FY","BEST_FPERIOD_OVERRIDE=FY","FILING_STATUS=MR","EQY_CONSOLIDATED=Y","SCALING_FORMAT=MLN","FA_ADJUSTED=GAAP","Sort=A","Dates=H","DateFormat=P","Fill=—","Direction=H","UseDPDF=Y")</f>
        <v>20960</v>
      </c>
      <c r="G35" s="19">
        <f>_xll.BDH("RCOM IN Equity","IS_OPER_INC","FY 2014","FY 2014","Currency=INR","Period=FY","BEST_FPERIOD_OVERRIDE=FY","FILING_STATUS=MR","EQY_CONSOLIDATED=Y","SCALING_FORMAT=MLN","FA_ADJUSTED=GAAP","Sort=A","Dates=H","DateFormat=P","Fill=—","Direction=H","UseDPDF=Y")</f>
        <v>21710</v>
      </c>
      <c r="H35" s="19">
        <f>_xll.BDH("RCOM IN Equity","IS_OPER_INC","FY 2015","FY 2015","Currency=INR","Period=FY","BEST_FPERIOD_OVERRIDE=FY","FILING_STATUS=MR","EQY_CONSOLIDATED=Y","SCALING_FORMAT=MLN","FA_ADJUSTED=GAAP","Sort=A","Dates=H","DateFormat=P","Fill=—","Direction=H","UseDPDF=Y")</f>
        <v>33890</v>
      </c>
      <c r="I35" s="19">
        <f>_xll.BDH("RCOM IN Equity","IS_OPER_INC","FY 2016","FY 2016","Currency=INR","Period=FY","BEST_FPERIOD_OVERRIDE=FY","FILING_STATUS=MR","EQY_CONSOLIDATED=Y","SCALING_FORMAT=MLN","FA_ADJUSTED=GAAP","Sort=A","Dates=H","DateFormat=P","Fill=—","Direction=H","UseDPDF=Y")</f>
        <v>27760</v>
      </c>
      <c r="J35" s="19">
        <f>_xll.BDH("RCOM IN Equity","IS_OPER_INC","FY 2017","FY 2017","Currency=INR","Period=FY","BEST_FPERIOD_OVERRIDE=FY","FILING_STATUS=MR","EQY_CONSOLIDATED=Y","SCALING_FORMAT=MLN","FA_ADJUSTED=GAAP","Sort=A","Dates=H","DateFormat=P","Fill=—","Direction=H","UseDPDF=Y")</f>
        <v>4400</v>
      </c>
      <c r="K35" s="19">
        <f>_xll.BDH("RCOM IN Equity","IS_OPER_INC","FY 2018","FY 2018","Currency=INR","Period=FY","BEST_FPERIOD_OVERRIDE=FY","FILING_STATUS=MR","EQY_CONSOLIDATED=Y","SCALING_FORMAT=MLN","FA_ADJUSTED=GAAP","Sort=A","Dates=H","DateFormat=P","Fill=—","Direction=H","UseDPDF=Y")</f>
        <v>2430</v>
      </c>
      <c r="L35" s="22">
        <v>-2810</v>
      </c>
    </row>
    <row r="36" spans="1:12">
      <c r="A36" s="11" t="s">
        <v>249</v>
      </c>
      <c r="B36" s="11" t="s">
        <v>64</v>
      </c>
      <c r="C36" s="25">
        <v>15.675717000000001</v>
      </c>
      <c r="D36" s="25">
        <v>8.4748059999999992</v>
      </c>
      <c r="E36" s="25">
        <v>9.7082709999999999</v>
      </c>
      <c r="F36" s="25">
        <v>10.863481</v>
      </c>
      <c r="G36" s="25">
        <v>10.367717000000001</v>
      </c>
      <c r="H36" s="25">
        <v>15.819445999999999</v>
      </c>
      <c r="I36" s="25">
        <v>12.767327</v>
      </c>
      <c r="J36" s="25">
        <v>6.713457</v>
      </c>
      <c r="K36" s="25">
        <v>5.2906599999999999</v>
      </c>
      <c r="L36" s="28">
        <v>-6.4485981308411198</v>
      </c>
    </row>
    <row r="37" spans="1:12">
      <c r="A37" s="10" t="s">
        <v>277</v>
      </c>
      <c r="B37" s="10" t="s">
        <v>379</v>
      </c>
      <c r="C37" s="13">
        <f>_xll.BDH("RCOM IN Equity","NONOP_INCOME_LOSS","FY 2010","FY 2010","Currency=INR","Period=FY","BEST_FPERIOD_OVERRIDE=FY","FILING_STATUS=MR","EQY_CONSOLIDATED=Y","SCALING_FORMAT=MLN","FA_ADJUSTED=GAAP","Sort=A","Dates=H","DateFormat=P","Fill=—","Direction=H","UseDPDF=Y")</f>
        <v>-19803</v>
      </c>
      <c r="D37" s="13">
        <f>_xll.BDH("RCOM IN Equity","NONOP_INCOME_LOSS","FY 2011","FY 2011","Currency=INR","Period=FY","BEST_FPERIOD_OVERRIDE=FY","FILING_STATUS=MR","EQY_CONSOLIDATED=Y","SCALING_FORMAT=MLN","FA_ADJUSTED=GAAP","Sort=A","Dates=H","DateFormat=P","Fill=—","Direction=H","UseDPDF=Y")</f>
        <v>3550</v>
      </c>
      <c r="E37" s="13">
        <f>_xll.BDH("RCOM IN Equity","NONOP_INCOME_LOSS","FY 2012","FY 2012","Currency=INR","Period=FY","BEST_FPERIOD_OVERRIDE=FY","FILING_STATUS=MR","EQY_CONSOLIDATED=Y","SCALING_FORMAT=MLN","FA_ADJUSTED=GAAP","Sort=A","Dates=H","DateFormat=P","Fill=—","Direction=H","UseDPDF=Y")</f>
        <v>9350</v>
      </c>
      <c r="F37" s="13">
        <f>_xll.BDH("RCOM IN Equity","NONOP_INCOME_LOSS","FY 2013","FY 2013","Currency=INR","Period=FY","BEST_FPERIOD_OVERRIDE=FY","FILING_STATUS=MR","EQY_CONSOLIDATED=Y","SCALING_FORMAT=MLN","FA_ADJUSTED=GAAP","Sort=A","Dates=H","DateFormat=P","Fill=—","Direction=H","UseDPDF=Y")</f>
        <v>12810</v>
      </c>
      <c r="G37" s="13">
        <f>_xll.BDH("RCOM IN Equity","NONOP_INCOME_LOSS","FY 2014","FY 2014","Currency=INR","Period=FY","BEST_FPERIOD_OVERRIDE=FY","FILING_STATUS=MR","EQY_CONSOLIDATED=Y","SCALING_FORMAT=MLN","FA_ADJUSTED=GAAP","Sort=A","Dates=H","DateFormat=P","Fill=—","Direction=H","UseDPDF=Y")</f>
        <v>20550</v>
      </c>
      <c r="H37" s="13">
        <f>_xll.BDH("RCOM IN Equity","NONOP_INCOME_LOSS","FY 2015","FY 2015","Currency=INR","Period=FY","BEST_FPERIOD_OVERRIDE=FY","FILING_STATUS=MR","EQY_CONSOLIDATED=Y","SCALING_FORMAT=MLN","FA_ADJUSTED=GAAP","Sort=A","Dates=H","DateFormat=P","Fill=—","Direction=H","UseDPDF=Y")</f>
        <v>24430</v>
      </c>
      <c r="I37" s="13">
        <f>_xll.BDH("RCOM IN Equity","NONOP_INCOME_LOSS","FY 2016","FY 2016","Currency=INR","Period=FY","BEST_FPERIOD_OVERRIDE=FY","FILING_STATUS=MR","EQY_CONSOLIDATED=Y","SCALING_FORMAT=MLN","FA_ADJUSTED=GAAP","Sort=A","Dates=H","DateFormat=P","Fill=—","Direction=H","UseDPDF=Y")</f>
        <v>25440</v>
      </c>
      <c r="J37" s="13">
        <f>_xll.BDH("RCOM IN Equity","NONOP_INCOME_LOSS","FY 2017","FY 2017","Currency=INR","Period=FY","BEST_FPERIOD_OVERRIDE=FY","FILING_STATUS=MR","EQY_CONSOLIDATED=Y","SCALING_FORMAT=MLN","FA_ADJUSTED=GAAP","Sort=A","Dates=H","DateFormat=P","Fill=—","Direction=H","UseDPDF=Y")</f>
        <v>2850</v>
      </c>
      <c r="K37" s="13">
        <f>_xll.BDH("RCOM IN Equity","NONOP_INCOME_LOSS","FY 2018","FY 2018","Currency=INR","Period=FY","BEST_FPERIOD_OVERRIDE=FY","FILING_STATUS=MR","EQY_CONSOLIDATED=Y","SCALING_FORMAT=MLN","FA_ADJUSTED=GAAP","Sort=A","Dates=H","DateFormat=P","Fill=—","Direction=H","UseDPDF=Y")</f>
        <v>2460</v>
      </c>
      <c r="L37" s="16">
        <v>-22880</v>
      </c>
    </row>
    <row r="38" spans="1:12">
      <c r="A38" s="11" t="s">
        <v>249</v>
      </c>
      <c r="B38" s="11" t="s">
        <v>379</v>
      </c>
      <c r="C38" s="25">
        <v>-9.5735809195530095</v>
      </c>
      <c r="D38" s="25">
        <v>1.60713477296392</v>
      </c>
      <c r="E38" s="25">
        <v>4.9957255823894</v>
      </c>
      <c r="F38" s="25">
        <v>6.6393697522545896</v>
      </c>
      <c r="G38" s="25">
        <v>9.8137535816618904</v>
      </c>
      <c r="H38" s="25">
        <v>11.403631610885499</v>
      </c>
      <c r="I38" s="25">
        <v>11.7003173435129</v>
      </c>
      <c r="J38" s="25">
        <v>4.3484894720781204</v>
      </c>
      <c r="K38" s="25">
        <v>5.3559764859568899</v>
      </c>
      <c r="L38" s="28">
        <v>0</v>
      </c>
    </row>
    <row r="39" spans="1:12">
      <c r="A39" s="10" t="s">
        <v>279</v>
      </c>
      <c r="B39" s="10" t="s">
        <v>280</v>
      </c>
      <c r="C39" s="13" t="str">
        <f>_xll.BDH("RCOM IN Equity","IS_NET_INTEREST_EXPENSE","FY 2010","FY 2010","Currency=INR","Period=FY","BEST_FPERIOD_OVERRIDE=FY","FILING_STATUS=MR","EQY_CONSOLIDATED=Y","SCALING_FORMAT=MLN","FA_ADJUSTED=GAAP","Sort=A","Dates=H","DateFormat=P","Fill=—","Direction=H","UseDPDF=Y")</f>
        <v>—</v>
      </c>
      <c r="D39" s="13">
        <f>_xll.BDH("RCOM IN Equity","IS_NET_INTEREST_EXPENSE","FY 2011","FY 2011","Currency=INR","Period=FY","BEST_FPERIOD_OVERRIDE=FY","FILING_STATUS=MR","EQY_CONSOLIDATED=Y","SCALING_FORMAT=MLN","FA_ADJUSTED=GAAP","Sort=A","Dates=H","DateFormat=P","Fill=—","Direction=H","UseDPDF=Y")</f>
        <v>8410</v>
      </c>
      <c r="E39" s="13">
        <f>_xll.BDH("RCOM IN Equity","IS_NET_INTEREST_EXPENSE","FY 2012","FY 2012","Currency=INR","Period=FY","BEST_FPERIOD_OVERRIDE=FY","FILING_STATUS=MR","EQY_CONSOLIDATED=Y","SCALING_FORMAT=MLN","FA_ADJUSTED=GAAP","Sort=A","Dates=H","DateFormat=P","Fill=—","Direction=H","UseDPDF=Y")</f>
        <v>14370</v>
      </c>
      <c r="F39" s="13">
        <f>_xll.BDH("RCOM IN Equity","IS_NET_INTEREST_EXPENSE","FY 2013","FY 2013","Currency=INR","Period=FY","BEST_FPERIOD_OVERRIDE=FY","FILING_STATUS=MR","EQY_CONSOLIDATED=Y","SCALING_FORMAT=MLN","FA_ADJUSTED=GAAP","Sort=A","Dates=H","DateFormat=P","Fill=—","Direction=H","UseDPDF=Y")</f>
        <v>21000</v>
      </c>
      <c r="G39" s="13">
        <f>_xll.BDH("RCOM IN Equity","IS_NET_INTEREST_EXPENSE","FY 2014","FY 2014","Currency=INR","Period=FY","BEST_FPERIOD_OVERRIDE=FY","FILING_STATUS=MR","EQY_CONSOLIDATED=Y","SCALING_FORMAT=MLN","FA_ADJUSTED=GAAP","Sort=A","Dates=H","DateFormat=P","Fill=—","Direction=H","UseDPDF=Y")</f>
        <v>27430</v>
      </c>
      <c r="H39" s="13">
        <f>_xll.BDH("RCOM IN Equity","IS_NET_INTEREST_EXPENSE","FY 2015","FY 2015","Currency=INR","Period=FY","BEST_FPERIOD_OVERRIDE=FY","FILING_STATUS=MR","EQY_CONSOLIDATED=Y","SCALING_FORMAT=MLN","FA_ADJUSTED=GAAP","Sort=A","Dates=H","DateFormat=P","Fill=—","Direction=H","UseDPDF=Y")</f>
        <v>24150</v>
      </c>
      <c r="I39" s="13">
        <f>_xll.BDH("RCOM IN Equity","IS_NET_INTEREST_EXPENSE","FY 2016","FY 2016","Currency=INR","Period=FY","BEST_FPERIOD_OVERRIDE=FY","FILING_STATUS=MR","EQY_CONSOLIDATED=Y","SCALING_FORMAT=MLN","FA_ADJUSTED=GAAP","Sort=A","Dates=H","DateFormat=P","Fill=—","Direction=H","UseDPDF=Y")</f>
        <v>22100</v>
      </c>
      <c r="J39" s="13">
        <f>_xll.BDH("RCOM IN Equity","IS_NET_INTEREST_EXPENSE","FY 2017","FY 2017","Currency=INR","Period=FY","BEST_FPERIOD_OVERRIDE=FY","FILING_STATUS=MR","EQY_CONSOLIDATED=Y","SCALING_FORMAT=MLN","FA_ADJUSTED=GAAP","Sort=A","Dates=H","DateFormat=P","Fill=—","Direction=H","UseDPDF=Y")</f>
        <v>2000</v>
      </c>
      <c r="K39" s="13">
        <f>_xll.BDH("RCOM IN Equity","IS_NET_INTEREST_EXPENSE","FY 2018","FY 2018","Currency=INR","Period=FY","BEST_FPERIOD_OVERRIDE=FY","FILING_STATUS=MR","EQY_CONSOLIDATED=Y","SCALING_FORMAT=MLN","FA_ADJUSTED=GAAP","Sort=A","Dates=H","DateFormat=P","Fill=—","Direction=H","UseDPDF=Y")</f>
        <v>1560</v>
      </c>
      <c r="L39" s="16"/>
    </row>
    <row r="40" spans="1:12">
      <c r="A40" s="11" t="s">
        <v>249</v>
      </c>
      <c r="B40" s="11" t="s">
        <v>280</v>
      </c>
      <c r="C40" s="25" t="s">
        <v>44</v>
      </c>
      <c r="D40" s="25">
        <v>3.8073249128525499</v>
      </c>
      <c r="E40" s="25">
        <v>7.6779226330412502</v>
      </c>
      <c r="F40" s="25">
        <v>10.884212708614101</v>
      </c>
      <c r="G40" s="25">
        <v>13.0993314231137</v>
      </c>
      <c r="H40" s="25">
        <v>11.272930962050101</v>
      </c>
      <c r="I40" s="25">
        <v>10.164190774042201</v>
      </c>
      <c r="J40" s="25">
        <v>3.0515715593530701</v>
      </c>
      <c r="K40" s="25">
        <v>3.3964728935336401</v>
      </c>
      <c r="L40" s="28">
        <v>0</v>
      </c>
    </row>
    <row r="41" spans="1:12">
      <c r="A41" s="11" t="s">
        <v>281</v>
      </c>
      <c r="B41" s="11" t="s">
        <v>282</v>
      </c>
      <c r="C41" s="25">
        <f>_xll.BDH("RCOM IN Equity","IS_INT_EXPENSE","FY 2010","FY 2010","Currency=INR","Period=FY","BEST_FPERIOD_OVERRIDE=FY","FILING_STATUS=MR","EQY_CONSOLIDATED=Y","SCALING_FORMAT=MLN","FA_ADJUSTED=GAAP","Sort=A","Dates=H","DateFormat=P","Fill=—","Direction=H","UseDPDF=Y")</f>
        <v>13422</v>
      </c>
      <c r="D41" s="25">
        <f>_xll.BDH("RCOM IN Equity","IS_INT_EXPENSE","FY 2011","FY 2011","Currency=INR","Period=FY","BEST_FPERIOD_OVERRIDE=FY","FILING_STATUS=MR","EQY_CONSOLIDATED=Y","SCALING_FORMAT=MLN","FA_ADJUSTED=GAAP","Sort=A","Dates=H","DateFormat=P","Fill=—","Direction=H","UseDPDF=Y")</f>
        <v>9020</v>
      </c>
      <c r="E41" s="25">
        <f>_xll.BDH("RCOM IN Equity","IS_INT_EXPENSE","FY 2012","FY 2012","Currency=INR","Period=FY","BEST_FPERIOD_OVERRIDE=FY","FILING_STATUS=MR","EQY_CONSOLIDATED=Y","SCALING_FORMAT=MLN","FA_ADJUSTED=GAAP","Sort=A","Dates=H","DateFormat=P","Fill=—","Direction=H","UseDPDF=Y")</f>
        <v>14770</v>
      </c>
      <c r="F41" s="25">
        <f>_xll.BDH("RCOM IN Equity","IS_INT_EXPENSE","FY 2013","FY 2013","Currency=INR","Period=FY","BEST_FPERIOD_OVERRIDE=FY","FILING_STATUS=MR","EQY_CONSOLIDATED=Y","SCALING_FORMAT=MLN","FA_ADJUSTED=GAAP","Sort=A","Dates=H","DateFormat=P","Fill=—","Direction=H","UseDPDF=Y")</f>
        <v>22650</v>
      </c>
      <c r="G41" s="25">
        <f>_xll.BDH("RCOM IN Equity","IS_INT_EXPENSE","FY 2014","FY 2014","Currency=INR","Period=FY","BEST_FPERIOD_OVERRIDE=FY","FILING_STATUS=MR","EQY_CONSOLIDATED=Y","SCALING_FORMAT=MLN","FA_ADJUSTED=GAAP","Sort=A","Dates=H","DateFormat=P","Fill=—","Direction=H","UseDPDF=Y")</f>
        <v>27900</v>
      </c>
      <c r="H41" s="25">
        <f>_xll.BDH("RCOM IN Equity","IS_INT_EXPENSE","FY 2015","FY 2015","Currency=INR","Period=FY","BEST_FPERIOD_OVERRIDE=FY","FILING_STATUS=MR","EQY_CONSOLIDATED=Y","SCALING_FORMAT=MLN","FA_ADJUSTED=GAAP","Sort=A","Dates=H","DateFormat=P","Fill=—","Direction=H","UseDPDF=Y")</f>
        <v>24620</v>
      </c>
      <c r="I41" s="25">
        <f>_xll.BDH("RCOM IN Equity","IS_INT_EXPENSE","FY 2016","FY 2016","Currency=INR","Period=FY","BEST_FPERIOD_OVERRIDE=FY","FILING_STATUS=MR","EQY_CONSOLIDATED=Y","SCALING_FORMAT=MLN","FA_ADJUSTED=GAAP","Sort=A","Dates=H","DateFormat=P","Fill=—","Direction=H","UseDPDF=Y")</f>
        <v>23160</v>
      </c>
      <c r="J41" s="25">
        <f>_xll.BDH("RCOM IN Equity","IS_INT_EXPENSE","FY 2017","FY 2017","Currency=INR","Period=FY","BEST_FPERIOD_OVERRIDE=FY","FILING_STATUS=MR","EQY_CONSOLIDATED=Y","SCALING_FORMAT=MLN","FA_ADJUSTED=GAAP","Sort=A","Dates=H","DateFormat=P","Fill=—","Direction=H","UseDPDF=Y")</f>
        <v>2240</v>
      </c>
      <c r="K41" s="25">
        <f>_xll.BDH("RCOM IN Equity","IS_INT_EXPENSE","FY 2018","FY 2018","Currency=INR","Period=FY","BEST_FPERIOD_OVERRIDE=FY","FILING_STATUS=MR","EQY_CONSOLIDATED=Y","SCALING_FORMAT=MLN","FA_ADJUSTED=GAAP","Sort=A","Dates=H","DateFormat=P","Fill=—","Direction=H","UseDPDF=Y")</f>
        <v>1680</v>
      </c>
      <c r="L41" s="28"/>
    </row>
    <row r="42" spans="1:12">
      <c r="A42" s="11" t="s">
        <v>249</v>
      </c>
      <c r="B42" s="11" t="s">
        <v>282</v>
      </c>
      <c r="C42" s="25">
        <v>6.4887439999999996</v>
      </c>
      <c r="D42" s="25">
        <v>4.0834799999999998</v>
      </c>
      <c r="E42" s="25">
        <v>7.8916440000000003</v>
      </c>
      <c r="F42" s="25">
        <v>11.739401000000001</v>
      </c>
      <c r="G42" s="25">
        <v>13.323782</v>
      </c>
      <c r="H42" s="25">
        <v>11.492321</v>
      </c>
      <c r="I42" s="25">
        <v>10.651704000000001</v>
      </c>
      <c r="J42" s="25">
        <v>3.4177599999999999</v>
      </c>
      <c r="K42" s="25">
        <v>3.65774</v>
      </c>
      <c r="L42" s="28">
        <v>4.8598130841121501</v>
      </c>
    </row>
    <row r="43" spans="1:12">
      <c r="A43" s="11" t="s">
        <v>283</v>
      </c>
      <c r="B43" s="11" t="s">
        <v>284</v>
      </c>
      <c r="C43" s="25" t="str">
        <f>_xll.BDH("RCOM IN Equity","IS_INT_INC","FY 2010","FY 2010","Currency=INR","Period=FY","BEST_FPERIOD_OVERRIDE=FY","FILING_STATUS=MR","EQY_CONSOLIDATED=Y","SCALING_FORMAT=MLN","FA_ADJUSTED=GAAP","Sort=A","Dates=H","DateFormat=P","Fill=—","Direction=H","UseDPDF=Y")</f>
        <v>—</v>
      </c>
      <c r="D43" s="25">
        <f>_xll.BDH("RCOM IN Equity","IS_INT_INC","FY 2011","FY 2011","Currency=INR","Period=FY","BEST_FPERIOD_OVERRIDE=FY","FILING_STATUS=MR","EQY_CONSOLIDATED=Y","SCALING_FORMAT=MLN","FA_ADJUSTED=GAAP","Sort=A","Dates=H","DateFormat=P","Fill=—","Direction=H","UseDPDF=Y")</f>
        <v>610</v>
      </c>
      <c r="E43" s="25">
        <f>_xll.BDH("RCOM IN Equity","IS_INT_INC","FY 2012","FY 2012","Currency=INR","Period=FY","BEST_FPERIOD_OVERRIDE=FY","FILING_STATUS=MR","EQY_CONSOLIDATED=Y","SCALING_FORMAT=MLN","FA_ADJUSTED=GAAP","Sort=A","Dates=H","DateFormat=P","Fill=—","Direction=H","UseDPDF=Y")</f>
        <v>400</v>
      </c>
      <c r="F43" s="25">
        <f>_xll.BDH("RCOM IN Equity","IS_INT_INC","FY 2013","FY 2013","Currency=INR","Period=FY","BEST_FPERIOD_OVERRIDE=FY","FILING_STATUS=MR","EQY_CONSOLIDATED=Y","SCALING_FORMAT=MLN","FA_ADJUSTED=GAAP","Sort=A","Dates=H","DateFormat=P","Fill=—","Direction=H","UseDPDF=Y")</f>
        <v>1650</v>
      </c>
      <c r="G43" s="25">
        <f>_xll.BDH("RCOM IN Equity","IS_INT_INC","FY 2014","FY 2014","Currency=INR","Period=FY","BEST_FPERIOD_OVERRIDE=FY","FILING_STATUS=MR","EQY_CONSOLIDATED=Y","SCALING_FORMAT=MLN","FA_ADJUSTED=GAAP","Sort=A","Dates=H","DateFormat=P","Fill=—","Direction=H","UseDPDF=Y")</f>
        <v>470</v>
      </c>
      <c r="H43" s="25">
        <f>_xll.BDH("RCOM IN Equity","IS_INT_INC","FY 2015","FY 2015","Currency=INR","Period=FY","BEST_FPERIOD_OVERRIDE=FY","FILING_STATUS=MR","EQY_CONSOLIDATED=Y","SCALING_FORMAT=MLN","FA_ADJUSTED=GAAP","Sort=A","Dates=H","DateFormat=P","Fill=—","Direction=H","UseDPDF=Y")</f>
        <v>470</v>
      </c>
      <c r="I43" s="25">
        <f>_xll.BDH("RCOM IN Equity","IS_INT_INC","FY 2016","FY 2016","Currency=INR","Period=FY","BEST_FPERIOD_OVERRIDE=FY","FILING_STATUS=MR","EQY_CONSOLIDATED=Y","SCALING_FORMAT=MLN","FA_ADJUSTED=GAAP","Sort=A","Dates=H","DateFormat=P","Fill=—","Direction=H","UseDPDF=Y")</f>
        <v>1060</v>
      </c>
      <c r="J43" s="25">
        <f>_xll.BDH("RCOM IN Equity","IS_INT_INC","FY 2017","FY 2017","Currency=INR","Period=FY","BEST_FPERIOD_OVERRIDE=FY","FILING_STATUS=MR","EQY_CONSOLIDATED=Y","SCALING_FORMAT=MLN","FA_ADJUSTED=GAAP","Sort=A","Dates=H","DateFormat=P","Fill=—","Direction=H","UseDPDF=Y")</f>
        <v>240</v>
      </c>
      <c r="K43" s="25">
        <f>_xll.BDH("RCOM IN Equity","IS_INT_INC","FY 2018","FY 2018","Currency=INR","Period=FY","BEST_FPERIOD_OVERRIDE=FY","FILING_STATUS=MR","EQY_CONSOLIDATED=Y","SCALING_FORMAT=MLN","FA_ADJUSTED=GAAP","Sort=A","Dates=H","DateFormat=P","Fill=—","Direction=H","UseDPDF=Y")</f>
        <v>120</v>
      </c>
      <c r="L43" s="28"/>
    </row>
    <row r="44" spans="1:12">
      <c r="A44" s="11" t="s">
        <v>249</v>
      </c>
      <c r="B44" s="11" t="s">
        <v>284</v>
      </c>
      <c r="C44" s="25" t="s">
        <v>44</v>
      </c>
      <c r="D44" s="25">
        <v>0.27615555253746199</v>
      </c>
      <c r="E44" s="25">
        <v>0.213720880530028</v>
      </c>
      <c r="F44" s="25">
        <v>0.85518814139110599</v>
      </c>
      <c r="G44" s="25">
        <v>0.22445081184336199</v>
      </c>
      <c r="H44" s="25">
        <v>0.21939037483078899</v>
      </c>
      <c r="I44" s="25">
        <v>0.48751322264636898</v>
      </c>
      <c r="J44" s="25">
        <v>0.36618858712236801</v>
      </c>
      <c r="K44" s="25">
        <v>0.261267145656434</v>
      </c>
      <c r="L44" s="28"/>
    </row>
    <row r="45" spans="1:12">
      <c r="A45" s="10" t="s">
        <v>285</v>
      </c>
      <c r="B45" s="10" t="s">
        <v>286</v>
      </c>
      <c r="C45" s="13">
        <f>_xll.BDH("RCOM IN Equity","IS_OTHER_INVESTMENT_INCOME_LOSS","FY 2010","FY 2010","Currency=INR","Period=FY","BEST_FPERIOD_OVERRIDE=FY","FILING_STATUS=MR","EQY_CONSOLIDATED=Y","SCALING_FORMAT=MLN","FA_ADJUSTED=GAAP","Sort=A","Dates=H","DateFormat=P","Fill=—","Direction=H","UseDPDF=Y")</f>
        <v>-0.6</v>
      </c>
      <c r="D45" s="13">
        <f>_xll.BDH("RCOM IN Equity","IS_OTHER_INVESTMENT_INCOME_LOSS","FY 2011","FY 2011","Currency=INR","Period=FY","BEST_FPERIOD_OVERRIDE=FY","FILING_STATUS=MR","EQY_CONSOLIDATED=Y","SCALING_FORMAT=MLN","FA_ADJUSTED=GAAP","Sort=A","Dates=H","DateFormat=P","Fill=—","Direction=H","UseDPDF=Y")</f>
        <v>0</v>
      </c>
      <c r="E45" s="13" t="str">
        <f>_xll.BDH("RCOM IN Equity","IS_OTHER_INVESTMENT_INCOME_LOSS","FY 2012","FY 2012","Currency=INR","Period=FY","BEST_FPERIOD_OVERRIDE=FY","FILING_STATUS=MR","EQY_CONSOLIDATED=Y","SCALING_FORMAT=MLN","FA_ADJUSTED=GAAP","Sort=A","Dates=H","DateFormat=P","Fill=—","Direction=H","UseDPDF=Y")</f>
        <v>—</v>
      </c>
      <c r="F45" s="13" t="str">
        <f>_xll.BDH("RCOM IN Equity","IS_OTHER_INVESTMENT_INCOME_LOSS","FY 2013","FY 2013","Currency=INR","Period=FY","BEST_FPERIOD_OVERRIDE=FY","FILING_STATUS=MR","EQY_CONSOLIDATED=Y","SCALING_FORMAT=MLN","FA_ADJUSTED=GAAP","Sort=A","Dates=H","DateFormat=P","Fill=—","Direction=H","UseDPDF=Y")</f>
        <v>—</v>
      </c>
      <c r="G45" s="13" t="str">
        <f>_xll.BDH("RCOM IN Equity","IS_OTHER_INVESTMENT_INCOME_LOSS","FY 2014","FY 2014","Currency=INR","Period=FY","BEST_FPERIOD_OVERRIDE=FY","FILING_STATUS=MR","EQY_CONSOLIDATED=Y","SCALING_FORMAT=MLN","FA_ADJUSTED=GAAP","Sort=A","Dates=H","DateFormat=P","Fill=—","Direction=H","UseDPDF=Y")</f>
        <v>—</v>
      </c>
      <c r="H45" s="13" t="str">
        <f>_xll.BDH("RCOM IN Equity","IS_OTHER_INVESTMENT_INCOME_LOSS","FY 2015","FY 2015","Currency=INR","Period=FY","BEST_FPERIOD_OVERRIDE=FY","FILING_STATUS=MR","EQY_CONSOLIDATED=Y","SCALING_FORMAT=MLN","FA_ADJUSTED=GAAP","Sort=A","Dates=H","DateFormat=P","Fill=—","Direction=H","UseDPDF=Y")</f>
        <v>—</v>
      </c>
      <c r="I45" s="13" t="str">
        <f>_xll.BDH("RCOM IN Equity","IS_OTHER_INVESTMENT_INCOME_LOSS","FY 2016","FY 2016","Currency=INR","Period=FY","BEST_FPERIOD_OVERRIDE=FY","FILING_STATUS=MR","EQY_CONSOLIDATED=Y","SCALING_FORMAT=MLN","FA_ADJUSTED=GAAP","Sort=A","Dates=H","DateFormat=P","Fill=—","Direction=H","UseDPDF=Y")</f>
        <v>—</v>
      </c>
      <c r="J45" s="13" t="str">
        <f>_xll.BDH("RCOM IN Equity","IS_OTHER_INVESTMENT_INCOME_LOSS","FY 2017","FY 2017","Currency=INR","Period=FY","BEST_FPERIOD_OVERRIDE=FY","FILING_STATUS=MR","EQY_CONSOLIDATED=Y","SCALING_FORMAT=MLN","FA_ADJUSTED=GAAP","Sort=A","Dates=H","DateFormat=P","Fill=—","Direction=H","UseDPDF=Y")</f>
        <v>—</v>
      </c>
      <c r="K45" s="13" t="str">
        <f>_xll.BDH("RCOM IN Equity","IS_OTHER_INVESTMENT_INCOME_LOSS","FY 2018","FY 2018","Currency=INR","Period=FY","BEST_FPERIOD_OVERRIDE=FY","FILING_STATUS=MR","EQY_CONSOLIDATED=Y","SCALING_FORMAT=MLN","FA_ADJUSTED=GAAP","Sort=A","Dates=H","DateFormat=P","Fill=—","Direction=H","UseDPDF=Y")</f>
        <v>—</v>
      </c>
      <c r="L45" s="16"/>
    </row>
    <row r="46" spans="1:12">
      <c r="A46" s="11" t="s">
        <v>249</v>
      </c>
      <c r="B46" s="11" t="s">
        <v>286</v>
      </c>
      <c r="C46" s="25">
        <v>-2.9006456353743398E-4</v>
      </c>
      <c r="D46" s="25">
        <v>0</v>
      </c>
      <c r="E46" s="25" t="s">
        <v>44</v>
      </c>
      <c r="F46" s="25" t="s">
        <v>44</v>
      </c>
      <c r="G46" s="25" t="s">
        <v>44</v>
      </c>
      <c r="H46" s="25" t="s">
        <v>44</v>
      </c>
      <c r="I46" s="25" t="s">
        <v>44</v>
      </c>
      <c r="J46" s="25" t="s">
        <v>44</v>
      </c>
      <c r="K46" s="25" t="s">
        <v>44</v>
      </c>
      <c r="L46" s="28">
        <v>0</v>
      </c>
    </row>
    <row r="47" spans="1:12">
      <c r="A47" s="10" t="s">
        <v>287</v>
      </c>
      <c r="B47" s="10" t="s">
        <v>288</v>
      </c>
      <c r="C47" s="13">
        <f>_xll.BDH("RCOM IN Equity","IS_FOREIGN_EXCH_LOSS","FY 2010","FY 2010","Currency=INR","Period=FY","BEST_FPERIOD_OVERRIDE=FY","FILING_STATUS=MR","EQY_CONSOLIDATED=Y","SCALING_FORMAT=MLN","FA_ADJUSTED=GAAP","Sort=A","Dates=H","DateFormat=P","Fill=—","Direction=H","UseDPDF=Y")</f>
        <v>-28405.7</v>
      </c>
      <c r="D47" s="13">
        <f>_xll.BDH("RCOM IN Equity","IS_FOREIGN_EXCH_LOSS","FY 2011","FY 2011","Currency=INR","Period=FY","BEST_FPERIOD_OVERRIDE=FY","FILING_STATUS=MR","EQY_CONSOLIDATED=Y","SCALING_FORMAT=MLN","FA_ADJUSTED=GAAP","Sort=A","Dates=H","DateFormat=P","Fill=—","Direction=H","UseDPDF=Y")</f>
        <v>-350</v>
      </c>
      <c r="E47" s="13">
        <f>_xll.BDH("RCOM IN Equity","IS_FOREIGN_EXCH_LOSS","FY 2012","FY 2012","Currency=INR","Period=FY","BEST_FPERIOD_OVERRIDE=FY","FILING_STATUS=MR","EQY_CONSOLIDATED=Y","SCALING_FORMAT=MLN","FA_ADJUSTED=GAAP","Sort=A","Dates=H","DateFormat=P","Fill=—","Direction=H","UseDPDF=Y")</f>
        <v>15830</v>
      </c>
      <c r="F47" s="13">
        <f>_xll.BDH("RCOM IN Equity","IS_FOREIGN_EXCH_LOSS","FY 2013","FY 2013","Currency=INR","Period=FY","BEST_FPERIOD_OVERRIDE=FY","FILING_STATUS=MR","EQY_CONSOLIDATED=Y","SCALING_FORMAT=MLN","FA_ADJUSTED=GAAP","Sort=A","Dates=H","DateFormat=P","Fill=—","Direction=H","UseDPDF=Y")</f>
        <v>8400</v>
      </c>
      <c r="G47" s="13">
        <f>_xll.BDH("RCOM IN Equity","IS_FOREIGN_EXCH_LOSS","FY 2014","FY 2014","Currency=INR","Period=FY","BEST_FPERIOD_OVERRIDE=FY","FILING_STATUS=MR","EQY_CONSOLIDATED=Y","SCALING_FORMAT=MLN","FA_ADJUSTED=GAAP","Sort=A","Dates=H","DateFormat=P","Fill=—","Direction=H","UseDPDF=Y")</f>
        <v>6580</v>
      </c>
      <c r="H47" s="13">
        <f>_xll.BDH("RCOM IN Equity","IS_FOREIGN_EXCH_LOSS","FY 2015","FY 2015","Currency=INR","Period=FY","BEST_FPERIOD_OVERRIDE=FY","FILING_STATUS=MR","EQY_CONSOLIDATED=Y","SCALING_FORMAT=MLN","FA_ADJUSTED=GAAP","Sort=A","Dates=H","DateFormat=P","Fill=—","Direction=H","UseDPDF=Y")</f>
        <v>5500</v>
      </c>
      <c r="I47" s="13">
        <f>_xll.BDH("RCOM IN Equity","IS_FOREIGN_EXCH_LOSS","FY 2016","FY 2016","Currency=INR","Period=FY","BEST_FPERIOD_OVERRIDE=FY","FILING_STATUS=MR","EQY_CONSOLIDATED=Y","SCALING_FORMAT=MLN","FA_ADJUSTED=GAAP","Sort=A","Dates=H","DateFormat=P","Fill=—","Direction=H","UseDPDF=Y")</f>
        <v>240</v>
      </c>
      <c r="J47" s="13">
        <f>_xll.BDH("RCOM IN Equity","IS_FOREIGN_EXCH_LOSS","FY 2017","FY 2017","Currency=INR","Period=FY","BEST_FPERIOD_OVERRIDE=FY","FILING_STATUS=MR","EQY_CONSOLIDATED=Y","SCALING_FORMAT=MLN","FA_ADJUSTED=GAAP","Sort=A","Dates=H","DateFormat=P","Fill=—","Direction=H","UseDPDF=Y")</f>
        <v>-20</v>
      </c>
      <c r="K47" s="13">
        <f>_xll.BDH("RCOM IN Equity","IS_FOREIGN_EXCH_LOSS","FY 2018","FY 2018","Currency=INR","Period=FY","BEST_FPERIOD_OVERRIDE=FY","FILING_STATUS=MR","EQY_CONSOLIDATED=Y","SCALING_FORMAT=MLN","FA_ADJUSTED=GAAP","Sort=A","Dates=H","DateFormat=P","Fill=—","Direction=H","UseDPDF=Y")</f>
        <v>-20</v>
      </c>
      <c r="L47" s="16"/>
    </row>
    <row r="48" spans="1:12">
      <c r="A48" s="11" t="s">
        <v>249</v>
      </c>
      <c r="B48" s="11" t="s">
        <v>288</v>
      </c>
      <c r="C48" s="25">
        <v>-13.732478</v>
      </c>
      <c r="D48" s="25">
        <v>-0.15845000000000001</v>
      </c>
      <c r="E48" s="25">
        <v>8.4580040000000007</v>
      </c>
      <c r="F48" s="25">
        <v>4.3536849999999996</v>
      </c>
      <c r="G48" s="25">
        <v>3.1423109999999999</v>
      </c>
      <c r="H48" s="25">
        <v>2.5673339999999998</v>
      </c>
      <c r="I48" s="25">
        <v>0.11038000000000001</v>
      </c>
      <c r="J48" s="25">
        <v>-3.0516000000000001E-2</v>
      </c>
      <c r="K48" s="25">
        <v>-4.3545E-2</v>
      </c>
      <c r="L48" s="28"/>
    </row>
    <row r="49" spans="1:12">
      <c r="A49" s="10" t="s">
        <v>289</v>
      </c>
      <c r="B49" s="10" t="s">
        <v>290</v>
      </c>
      <c r="C49" s="13" t="str">
        <f>_xll.BDH("RCOM IN Equity","INCOME_LOSS_FROM_AFFILIATES","FY 2010","FY 2010","Currency=INR","Period=FY","BEST_FPERIOD_OVERRIDE=FY","FILING_STATUS=MR","EQY_CONSOLIDATED=Y","SCALING_FORMAT=MLN","FA_ADJUSTED=GAAP","Sort=A","Dates=H","DateFormat=P","Fill=—","Direction=H","UseDPDF=Y")</f>
        <v>—</v>
      </c>
      <c r="D49" s="13" t="str">
        <f>_xll.BDH("RCOM IN Equity","INCOME_LOSS_FROM_AFFILIATES","FY 2011","FY 2011","Currency=INR","Period=FY","BEST_FPERIOD_OVERRIDE=FY","FILING_STATUS=MR","EQY_CONSOLIDATED=Y","SCALING_FORMAT=MLN","FA_ADJUSTED=GAAP","Sort=A","Dates=H","DateFormat=P","Fill=—","Direction=H","UseDPDF=Y")</f>
        <v>—</v>
      </c>
      <c r="E49" s="13" t="str">
        <f>_xll.BDH("RCOM IN Equity","INCOME_LOSS_FROM_AFFILIATES","FY 2012","FY 2012","Currency=INR","Period=FY","BEST_FPERIOD_OVERRIDE=FY","FILING_STATUS=MR","EQY_CONSOLIDATED=Y","SCALING_FORMAT=MLN","FA_ADJUSTED=GAAP","Sort=A","Dates=H","DateFormat=P","Fill=—","Direction=H","UseDPDF=Y")</f>
        <v>—</v>
      </c>
      <c r="F49" s="13" t="str">
        <f>_xll.BDH("RCOM IN Equity","INCOME_LOSS_FROM_AFFILIATES","FY 2013","FY 2013","Currency=INR","Period=FY","BEST_FPERIOD_OVERRIDE=FY","FILING_STATUS=MR","EQY_CONSOLIDATED=Y","SCALING_FORMAT=MLN","FA_ADJUSTED=GAAP","Sort=A","Dates=H","DateFormat=P","Fill=—","Direction=H","UseDPDF=Y")</f>
        <v>—</v>
      </c>
      <c r="G49" s="13">
        <f>_xll.BDH("RCOM IN Equity","INCOME_LOSS_FROM_AFFILIATES","FY 2014","FY 2014","Currency=INR","Period=FY","BEST_FPERIOD_OVERRIDE=FY","FILING_STATUS=MR","EQY_CONSOLIDATED=Y","SCALING_FORMAT=MLN","FA_ADJUSTED=GAAP","Sort=A","Dates=H","DateFormat=P","Fill=—","Direction=H","UseDPDF=Y")</f>
        <v>0</v>
      </c>
      <c r="H49" s="13">
        <f>_xll.BDH("RCOM IN Equity","INCOME_LOSS_FROM_AFFILIATES","FY 2015","FY 2015","Currency=INR","Period=FY","BEST_FPERIOD_OVERRIDE=FY","FILING_STATUS=MR","EQY_CONSOLIDATED=Y","SCALING_FORMAT=MLN","FA_ADJUSTED=GAAP","Sort=A","Dates=H","DateFormat=P","Fill=—","Direction=H","UseDPDF=Y")</f>
        <v>0</v>
      </c>
      <c r="I49" s="13">
        <f>_xll.BDH("RCOM IN Equity","INCOME_LOSS_FROM_AFFILIATES","FY 2016","FY 2016","Currency=INR","Period=FY","BEST_FPERIOD_OVERRIDE=FY","FILING_STATUS=MR","EQY_CONSOLIDATED=Y","SCALING_FORMAT=MLN","FA_ADJUSTED=GAAP","Sort=A","Dates=H","DateFormat=P","Fill=—","Direction=H","UseDPDF=Y")</f>
        <v>-20</v>
      </c>
      <c r="J49" s="13">
        <f>_xll.BDH("RCOM IN Equity","INCOME_LOSS_FROM_AFFILIATES","FY 2017","FY 2017","Currency=INR","Period=FY","BEST_FPERIOD_OVERRIDE=FY","FILING_STATUS=MR","EQY_CONSOLIDATED=Y","SCALING_FORMAT=MLN","FA_ADJUSTED=GAAP","Sort=A","Dates=H","DateFormat=P","Fill=—","Direction=H","UseDPDF=Y")</f>
        <v>-30</v>
      </c>
      <c r="K49" s="13">
        <f>_xll.BDH("RCOM IN Equity","INCOME_LOSS_FROM_AFFILIATES","FY 2018","FY 2018","Currency=INR","Period=FY","BEST_FPERIOD_OVERRIDE=FY","FILING_STATUS=MR","EQY_CONSOLIDATED=Y","SCALING_FORMAT=MLN","FA_ADJUSTED=GAAP","Sort=A","Dates=H","DateFormat=P","Fill=—","Direction=H","UseDPDF=Y")</f>
        <v>-50</v>
      </c>
      <c r="L49" s="16"/>
    </row>
    <row r="50" spans="1:12">
      <c r="A50" s="11" t="s">
        <v>249</v>
      </c>
      <c r="B50" s="11" t="s">
        <v>290</v>
      </c>
      <c r="C50" s="25" t="s">
        <v>44</v>
      </c>
      <c r="D50" s="25" t="s">
        <v>44</v>
      </c>
      <c r="E50" s="25" t="s">
        <v>44</v>
      </c>
      <c r="F50" s="25" t="s">
        <v>44</v>
      </c>
      <c r="G50" s="25">
        <v>0</v>
      </c>
      <c r="H50" s="25">
        <v>0</v>
      </c>
      <c r="I50" s="25">
        <v>-9.19836269144092E-3</v>
      </c>
      <c r="J50" s="25">
        <v>-4.5773573390296002E-2</v>
      </c>
      <c r="K50" s="25">
        <v>-0.108861310690181</v>
      </c>
      <c r="L50" s="28">
        <v>0</v>
      </c>
    </row>
    <row r="51" spans="1:12">
      <c r="A51" s="10" t="s">
        <v>291</v>
      </c>
      <c r="B51" s="10" t="s">
        <v>380</v>
      </c>
      <c r="C51" s="13">
        <f>_xll.BDH("RCOM IN Equity","OTHER_NONOP_INCOME_LOSS","FY 2010","FY 2010","Currency=INR","Period=FY","BEST_FPERIOD_OVERRIDE=FY","FILING_STATUS=MR","EQY_CONSOLIDATED=Y","SCALING_FORMAT=MLN","FA_ADJUSTED=GAAP","Sort=A","Dates=H","DateFormat=P","Fill=—","Direction=H","UseDPDF=Y")</f>
        <v>-4818.7</v>
      </c>
      <c r="D51" s="13">
        <f>_xll.BDH("RCOM IN Equity","OTHER_NONOP_INCOME_LOSS","FY 2011","FY 2011","Currency=INR","Period=FY","BEST_FPERIOD_OVERRIDE=FY","FILING_STATUS=MR","EQY_CONSOLIDATED=Y","SCALING_FORMAT=MLN","FA_ADJUSTED=GAAP","Sort=A","Dates=H","DateFormat=P","Fill=—","Direction=H","UseDPDF=Y")</f>
        <v>-4510</v>
      </c>
      <c r="E51" s="13">
        <f>_xll.BDH("RCOM IN Equity","OTHER_NONOP_INCOME_LOSS","FY 2012","FY 2012","Currency=INR","Period=FY","BEST_FPERIOD_OVERRIDE=FY","FILING_STATUS=MR","EQY_CONSOLIDATED=Y","SCALING_FORMAT=MLN","FA_ADJUSTED=GAAP","Sort=A","Dates=H","DateFormat=P","Fill=—","Direction=H","UseDPDF=Y")</f>
        <v>-20850</v>
      </c>
      <c r="F51" s="13">
        <f>_xll.BDH("RCOM IN Equity","OTHER_NONOP_INCOME_LOSS","FY 2013","FY 2013","Currency=INR","Period=FY","BEST_FPERIOD_OVERRIDE=FY","FILING_STATUS=MR","EQY_CONSOLIDATED=Y","SCALING_FORMAT=MLN","FA_ADJUSTED=GAAP","Sort=A","Dates=H","DateFormat=P","Fill=—","Direction=H","UseDPDF=Y")</f>
        <v>-16590</v>
      </c>
      <c r="G51" s="13">
        <f>_xll.BDH("RCOM IN Equity","OTHER_NONOP_INCOME_LOSS","FY 2014","FY 2014","Currency=INR","Period=FY","BEST_FPERIOD_OVERRIDE=FY","FILING_STATUS=MR","EQY_CONSOLIDATED=Y","SCALING_FORMAT=MLN","FA_ADJUSTED=GAAP","Sort=A","Dates=H","DateFormat=P","Fill=—","Direction=H","UseDPDF=Y")</f>
        <v>-13460</v>
      </c>
      <c r="H51" s="13">
        <f>_xll.BDH("RCOM IN Equity","OTHER_NONOP_INCOME_LOSS","FY 2015","FY 2015","Currency=INR","Period=FY","BEST_FPERIOD_OVERRIDE=FY","FILING_STATUS=MR","EQY_CONSOLIDATED=Y","SCALING_FORMAT=MLN","FA_ADJUSTED=GAAP","Sort=A","Dates=H","DateFormat=P","Fill=—","Direction=H","UseDPDF=Y")</f>
        <v>-5220</v>
      </c>
      <c r="I51" s="13">
        <f>_xll.BDH("RCOM IN Equity","OTHER_NONOP_INCOME_LOSS","FY 2016","FY 2016","Currency=INR","Period=FY","BEST_FPERIOD_OVERRIDE=FY","FILING_STATUS=MR","EQY_CONSOLIDATED=Y","SCALING_FORMAT=MLN","FA_ADJUSTED=GAAP","Sort=A","Dates=H","DateFormat=P","Fill=—","Direction=H","UseDPDF=Y")</f>
        <v>3120</v>
      </c>
      <c r="J51" s="13">
        <f>_xll.BDH("RCOM IN Equity","OTHER_NONOP_INCOME_LOSS","FY 2017","FY 2017","Currency=INR","Period=FY","BEST_FPERIOD_OVERRIDE=FY","FILING_STATUS=MR","EQY_CONSOLIDATED=Y","SCALING_FORMAT=MLN","FA_ADJUSTED=GAAP","Sort=A","Dates=H","DateFormat=P","Fill=—","Direction=H","UseDPDF=Y")</f>
        <v>900</v>
      </c>
      <c r="K51" s="13">
        <f>_xll.BDH("RCOM IN Equity","OTHER_NONOP_INCOME_LOSS","FY 2018","FY 2018","Currency=INR","Period=FY","BEST_FPERIOD_OVERRIDE=FY","FILING_STATUS=MR","EQY_CONSOLIDATED=Y","SCALING_FORMAT=MLN","FA_ADJUSTED=GAAP","Sort=A","Dates=H","DateFormat=P","Fill=—","Direction=H","UseDPDF=Y")</f>
        <v>970</v>
      </c>
      <c r="L51" s="16">
        <v>-22840</v>
      </c>
    </row>
    <row r="52" spans="1:12">
      <c r="A52" s="11" t="s">
        <v>249</v>
      </c>
      <c r="B52" s="11" t="s">
        <v>380</v>
      </c>
      <c r="C52" s="25">
        <v>-2.32955685386306</v>
      </c>
      <c r="D52" s="25">
        <v>-2.0417402326950098</v>
      </c>
      <c r="E52" s="25">
        <v>-11.1402008976277</v>
      </c>
      <c r="F52" s="25">
        <v>-8.5985280398051191</v>
      </c>
      <c r="G52" s="25">
        <v>-6.4278892072588301</v>
      </c>
      <c r="H52" s="25">
        <v>-2.4366335247164299</v>
      </c>
      <c r="I52" s="25">
        <v>1.43494457986478</v>
      </c>
      <c r="J52" s="25">
        <v>1.3732072017088801</v>
      </c>
      <c r="K52" s="25">
        <v>2.1119094273895098</v>
      </c>
      <c r="L52" s="28">
        <v>0</v>
      </c>
    </row>
    <row r="53" spans="1:12">
      <c r="A53" s="6" t="s">
        <v>381</v>
      </c>
      <c r="B53" s="6" t="s">
        <v>115</v>
      </c>
      <c r="C53" s="19">
        <f>_xll.BDH("RCOM IN Equity","PRETAX_INC","FY 2010","FY 2010","Currency=INR","Period=FY","BEST_FPERIOD_OVERRIDE=FY","FILING_STATUS=MR","EQY_CONSOLIDATED=Y","SCALING_FORMAT=MLN","FA_ADJUSTED=GAAP","Sort=A","Dates=H","DateFormat=P","Fill=—","Direction=H","UseDPDF=Y")</f>
        <v>52228.3</v>
      </c>
      <c r="D53" s="19">
        <f>_xll.BDH("RCOM IN Equity","PRETAX_INC","FY 2011","FY 2011","Currency=INR","Period=FY","BEST_FPERIOD_OVERRIDE=FY","FILING_STATUS=MR","EQY_CONSOLIDATED=Y","SCALING_FORMAT=MLN","FA_ADJUSTED=GAAP","Sort=A","Dates=H","DateFormat=P","Fill=—","Direction=H","UseDPDF=Y")</f>
        <v>15170</v>
      </c>
      <c r="E53" s="19">
        <f>_xll.BDH("RCOM IN Equity","PRETAX_INC","FY 2012","FY 2012","Currency=INR","Period=FY","BEST_FPERIOD_OVERRIDE=FY","FILING_STATUS=MR","EQY_CONSOLIDATED=Y","SCALING_FORMAT=MLN","FA_ADJUSTED=GAAP","Sort=A","Dates=H","DateFormat=P","Fill=—","Direction=H","UseDPDF=Y")</f>
        <v>8820</v>
      </c>
      <c r="F53" s="19">
        <f>_xll.BDH("RCOM IN Equity","PRETAX_INC","FY 2013","FY 2013","Currency=INR","Period=FY","BEST_FPERIOD_OVERRIDE=FY","FILING_STATUS=MR","EQY_CONSOLIDATED=Y","SCALING_FORMAT=MLN","FA_ADJUSTED=GAAP","Sort=A","Dates=H","DateFormat=P","Fill=—","Direction=H","UseDPDF=Y")</f>
        <v>8150</v>
      </c>
      <c r="G53" s="19">
        <f>_xll.BDH("RCOM IN Equity","PRETAX_INC","FY 2014","FY 2014","Currency=INR","Period=FY","BEST_FPERIOD_OVERRIDE=FY","FILING_STATUS=MR","EQY_CONSOLIDATED=Y","SCALING_FORMAT=MLN","FA_ADJUSTED=GAAP","Sort=A","Dates=H","DateFormat=P","Fill=—","Direction=H","UseDPDF=Y")</f>
        <v>1160</v>
      </c>
      <c r="H53" s="19">
        <f>_xll.BDH("RCOM IN Equity","PRETAX_INC","FY 2015","FY 2015","Currency=INR","Period=FY","BEST_FPERIOD_OVERRIDE=FY","FILING_STATUS=MR","EQY_CONSOLIDATED=Y","SCALING_FORMAT=MLN","FA_ADJUSTED=GAAP","Sort=A","Dates=H","DateFormat=P","Fill=—","Direction=H","UseDPDF=Y")</f>
        <v>9460</v>
      </c>
      <c r="I53" s="19">
        <f>_xll.BDH("RCOM IN Equity","PRETAX_INC","FY 2016","FY 2016","Currency=INR","Period=FY","BEST_FPERIOD_OVERRIDE=FY","FILING_STATUS=MR","EQY_CONSOLIDATED=Y","SCALING_FORMAT=MLN","FA_ADJUSTED=GAAP","Sort=A","Dates=H","DateFormat=P","Fill=—","Direction=H","UseDPDF=Y")</f>
        <v>2320</v>
      </c>
      <c r="J53" s="19">
        <f>_xll.BDH("RCOM IN Equity","PRETAX_INC","FY 2017","FY 2017","Currency=INR","Period=FY","BEST_FPERIOD_OVERRIDE=FY","FILING_STATUS=MR","EQY_CONSOLIDATED=Y","SCALING_FORMAT=MLN","FA_ADJUSTED=GAAP","Sort=A","Dates=H","DateFormat=P","Fill=—","Direction=H","UseDPDF=Y")</f>
        <v>1550</v>
      </c>
      <c r="K53" s="19">
        <f>_xll.BDH("RCOM IN Equity","PRETAX_INC","FY 2018","FY 2018","Currency=INR","Period=FY","BEST_FPERIOD_OVERRIDE=FY","FILING_STATUS=MR","EQY_CONSOLIDATED=Y","SCALING_FORMAT=MLN","FA_ADJUSTED=GAAP","Sort=A","Dates=H","DateFormat=P","Fill=—","Direction=H","UseDPDF=Y")</f>
        <v>-30</v>
      </c>
      <c r="L53" s="22">
        <v>20070</v>
      </c>
    </row>
    <row r="54" spans="1:12">
      <c r="A54" s="11" t="s">
        <v>249</v>
      </c>
      <c r="B54" s="11" t="s">
        <v>115</v>
      </c>
      <c r="C54" s="25">
        <v>25.249298406336901</v>
      </c>
      <c r="D54" s="25">
        <v>6.8676716917922898</v>
      </c>
      <c r="E54" s="25">
        <v>4.7125454156871101</v>
      </c>
      <c r="F54" s="25">
        <v>4.2241111226288002</v>
      </c>
      <c r="G54" s="25">
        <v>0.55396370582617005</v>
      </c>
      <c r="H54" s="25">
        <v>4.4158147785090804</v>
      </c>
      <c r="I54" s="25">
        <v>1.0670100722071501</v>
      </c>
      <c r="J54" s="25">
        <v>2.3649679584986298</v>
      </c>
      <c r="K54" s="25">
        <v>-6.5316786414108402E-2</v>
      </c>
      <c r="L54" s="28">
        <v>0</v>
      </c>
    </row>
    <row r="55" spans="1:12">
      <c r="A55" s="10" t="s">
        <v>315</v>
      </c>
      <c r="B55" s="10" t="s">
        <v>316</v>
      </c>
      <c r="C55" s="13">
        <f>_xll.BDH("RCOM IN Equity","IS_INC_TAX_EXP","FY 2010","FY 2010","Currency=INR","Period=FY","BEST_FPERIOD_OVERRIDE=FY","FILING_STATUS=MR","EQY_CONSOLIDATED=Y","SCALING_FORMAT=MLN","FA_ADJUSTED=GAAP","Sort=A","Dates=H","DateFormat=P","Fill=—","Direction=H","UseDPDF=Y")</f>
        <v>4453.8999999999996</v>
      </c>
      <c r="D55" s="13">
        <f>_xll.BDH("RCOM IN Equity","IS_INC_TAX_EXP","FY 2011","FY 2011","Currency=INR","Period=FY","BEST_FPERIOD_OVERRIDE=FY","FILING_STATUS=MR","EQY_CONSOLIDATED=Y","SCALING_FORMAT=MLN","FA_ADJUSTED=GAAP","Sort=A","Dates=H","DateFormat=P","Fill=—","Direction=H","UseDPDF=Y")</f>
        <v>120</v>
      </c>
      <c r="E55" s="13">
        <f>_xll.BDH("RCOM IN Equity","IS_INC_TAX_EXP","FY 2012","FY 2012","Currency=INR","Period=FY","BEST_FPERIOD_OVERRIDE=FY","FILING_STATUS=MR","EQY_CONSOLIDATED=Y","SCALING_FORMAT=MLN","FA_ADJUSTED=GAAP","Sort=A","Dates=H","DateFormat=P","Fill=—","Direction=H","UseDPDF=Y")</f>
        <v>-1060</v>
      </c>
      <c r="F55" s="13">
        <f>_xll.BDH("RCOM IN Equity","IS_INC_TAX_EXP","FY 2013","FY 2013","Currency=INR","Period=FY","BEST_FPERIOD_OVERRIDE=FY","FILING_STATUS=MR","EQY_CONSOLIDATED=Y","SCALING_FORMAT=MLN","FA_ADJUSTED=GAAP","Sort=A","Dates=H","DateFormat=P","Fill=—","Direction=H","UseDPDF=Y")</f>
        <v>710</v>
      </c>
      <c r="G55" s="13">
        <f>_xll.BDH("RCOM IN Equity","IS_INC_TAX_EXP","FY 2014","FY 2014","Currency=INR","Period=FY","BEST_FPERIOD_OVERRIDE=FY","FILING_STATUS=MR","EQY_CONSOLIDATED=Y","SCALING_FORMAT=MLN","FA_ADJUSTED=GAAP","Sort=A","Dates=H","DateFormat=P","Fill=—","Direction=H","UseDPDF=Y")</f>
        <v>-10210</v>
      </c>
      <c r="H55" s="13">
        <f>_xll.BDH("RCOM IN Equity","IS_INC_TAX_EXP","FY 2015","FY 2015","Currency=INR","Period=FY","BEST_FPERIOD_OVERRIDE=FY","FILING_STATUS=MR","EQY_CONSOLIDATED=Y","SCALING_FORMAT=MLN","FA_ADJUSTED=GAAP","Sort=A","Dates=H","DateFormat=P","Fill=—","Direction=H","UseDPDF=Y")</f>
        <v>3260</v>
      </c>
      <c r="I55" s="13">
        <f>_xll.BDH("RCOM IN Equity","IS_INC_TAX_EXP","FY 2016","FY 2016","Currency=INR","Period=FY","BEST_FPERIOD_OVERRIDE=FY","FILING_STATUS=MR","EQY_CONSOLIDATED=Y","SCALING_FORMAT=MLN","FA_ADJUSTED=GAAP","Sort=A","Dates=H","DateFormat=P","Fill=—","Direction=H","UseDPDF=Y")</f>
        <v>-4280</v>
      </c>
      <c r="J55" s="13">
        <f>_xll.BDH("RCOM IN Equity","IS_INC_TAX_EXP","FY 2017","FY 2017","Currency=INR","Period=FY","BEST_FPERIOD_OVERRIDE=FY","FILING_STATUS=MR","EQY_CONSOLIDATED=Y","SCALING_FORMAT=MLN","FA_ADJUSTED=GAAP","Sort=A","Dates=H","DateFormat=P","Fill=—","Direction=H","UseDPDF=Y")</f>
        <v>-900</v>
      </c>
      <c r="K55" s="13">
        <f>_xll.BDH("RCOM IN Equity","IS_INC_TAX_EXP","FY 2018","FY 2018","Currency=INR","Period=FY","BEST_FPERIOD_OVERRIDE=FY","FILING_STATUS=MR","EQY_CONSOLIDATED=Y","SCALING_FORMAT=MLN","FA_ADJUSTED=GAAP","Sort=A","Dates=H","DateFormat=P","Fill=—","Direction=H","UseDPDF=Y")</f>
        <v>160</v>
      </c>
      <c r="L55" s="16">
        <v>9940</v>
      </c>
    </row>
    <row r="56" spans="1:12">
      <c r="A56" s="11" t="s">
        <v>249</v>
      </c>
      <c r="B56" s="11" t="s">
        <v>316</v>
      </c>
      <c r="C56" s="25">
        <v>2.1531980000000002</v>
      </c>
      <c r="D56" s="25">
        <v>5.4325999999999999E-2</v>
      </c>
      <c r="E56" s="25">
        <v>-0.56635999999999997</v>
      </c>
      <c r="F56" s="25">
        <v>0.36798999999999998</v>
      </c>
      <c r="G56" s="25">
        <v>-4.8758359999999996</v>
      </c>
      <c r="H56" s="25">
        <v>1.5217290000000001</v>
      </c>
      <c r="I56" s="25">
        <v>-1.96845</v>
      </c>
      <c r="J56" s="25">
        <v>-1.3732070000000001</v>
      </c>
      <c r="K56" s="25">
        <v>0.348356</v>
      </c>
      <c r="L56" s="28">
        <v>-0.37383177570093501</v>
      </c>
    </row>
    <row r="57" spans="1:12">
      <c r="A57" s="10" t="s">
        <v>317</v>
      </c>
      <c r="B57" s="10" t="s">
        <v>318</v>
      </c>
      <c r="C57" s="13">
        <f>_xll.BDH("RCOM IN Equity","IS_CURRENT_INCOME_TAX_BENEFIT","FY 2010","FY 2010","Currency=INR","Period=FY","BEST_FPERIOD_OVERRIDE=FY","FILING_STATUS=MR","EQY_CONSOLIDATED=Y","SCALING_FORMAT=MLN","Sort=A","Dates=H","DateFormat=P","Fill=—","Direction=H","UseDPDF=Y")</f>
        <v>3725</v>
      </c>
      <c r="D57" s="13">
        <f>_xll.BDH("RCOM IN Equity","IS_CURRENT_INCOME_TAX_BENEFIT","FY 2011","FY 2011","Currency=INR","Period=FY","BEST_FPERIOD_OVERRIDE=FY","FILING_STATUS=MR","EQY_CONSOLIDATED=Y","SCALING_FORMAT=MLN","Sort=A","Dates=H","DateFormat=P","Fill=—","Direction=H","UseDPDF=Y")</f>
        <v>-2800</v>
      </c>
      <c r="E57" s="13">
        <f>_xll.BDH("RCOM IN Equity","IS_CURRENT_INCOME_TAX_BENEFIT","FY 2012","FY 2012","Currency=INR","Period=FY","BEST_FPERIOD_OVERRIDE=FY","FILING_STATUS=MR","EQY_CONSOLIDATED=Y","SCALING_FORMAT=MLN","Sort=A","Dates=H","DateFormat=P","Fill=—","Direction=H","UseDPDF=Y")</f>
        <v>-1060</v>
      </c>
      <c r="F57" s="13">
        <f>_xll.BDH("RCOM IN Equity","IS_CURRENT_INCOME_TAX_BENEFIT","FY 2013","FY 2013","Currency=INR","Period=FY","BEST_FPERIOD_OVERRIDE=FY","FILING_STATUS=MR","EQY_CONSOLIDATED=Y","SCALING_FORMAT=MLN","Sort=A","Dates=H","DateFormat=P","Fill=—","Direction=H","UseDPDF=Y")</f>
        <v>710</v>
      </c>
      <c r="G57" s="13">
        <f>_xll.BDH("RCOM IN Equity","IS_CURRENT_INCOME_TAX_BENEFIT","FY 2014","FY 2014","Currency=INR","Period=FY","BEST_FPERIOD_OVERRIDE=FY","FILING_STATUS=MR","EQY_CONSOLIDATED=Y","SCALING_FORMAT=MLN","Sort=A","Dates=H","DateFormat=P","Fill=—","Direction=H","UseDPDF=Y")</f>
        <v>360</v>
      </c>
      <c r="H57" s="13">
        <f>_xll.BDH("RCOM IN Equity","IS_CURRENT_INCOME_TAX_BENEFIT","FY 2015","FY 2015","Currency=INR","Period=FY","BEST_FPERIOD_OVERRIDE=FY","FILING_STATUS=MR","EQY_CONSOLIDATED=Y","SCALING_FORMAT=MLN","Sort=A","Dates=H","DateFormat=P","Fill=—","Direction=H","UseDPDF=Y")</f>
        <v>1140</v>
      </c>
      <c r="I57" s="13">
        <f>_xll.BDH("RCOM IN Equity","IS_CURRENT_INCOME_TAX_BENEFIT","FY 2016","FY 2016","Currency=INR","Period=FY","BEST_FPERIOD_OVERRIDE=FY","FILING_STATUS=MR","EQY_CONSOLIDATED=Y","SCALING_FORMAT=MLN","Sort=A","Dates=H","DateFormat=P","Fill=—","Direction=H","UseDPDF=Y")</f>
        <v>140</v>
      </c>
      <c r="J57" s="13">
        <f>_xll.BDH("RCOM IN Equity","IS_CURRENT_INCOME_TAX_BENEFIT","FY 2017","FY 2017","Currency=INR","Period=FY","BEST_FPERIOD_OVERRIDE=FY","FILING_STATUS=MR","EQY_CONSOLIDATED=Y","SCALING_FORMAT=MLN","Sort=A","Dates=H","DateFormat=P","Fill=—","Direction=H","UseDPDF=Y")</f>
        <v>20</v>
      </c>
      <c r="K57" s="13">
        <f>_xll.BDH("RCOM IN Equity","IS_CURRENT_INCOME_TAX_BENEFIT","FY 2018","FY 2018","Currency=INR","Period=FY","BEST_FPERIOD_OVERRIDE=FY","FILING_STATUS=MR","EQY_CONSOLIDATED=Y","SCALING_FORMAT=MLN","Sort=A","Dates=H","DateFormat=P","Fill=—","Direction=H","UseDPDF=Y")</f>
        <v>40</v>
      </c>
      <c r="L57" s="16">
        <v>100</v>
      </c>
    </row>
    <row r="58" spans="1:12">
      <c r="A58" s="11" t="s">
        <v>249</v>
      </c>
      <c r="B58" s="11" t="s">
        <v>318</v>
      </c>
      <c r="C58" s="25">
        <v>1.8008174986282399</v>
      </c>
      <c r="D58" s="25">
        <v>-1.26759925754901</v>
      </c>
      <c r="E58" s="25">
        <v>-0.56636033340457403</v>
      </c>
      <c r="F58" s="25">
        <v>0.367990048719809</v>
      </c>
      <c r="G58" s="25">
        <v>0.17191977077363901</v>
      </c>
      <c r="H58" s="25">
        <v>0.53213835597255299</v>
      </c>
      <c r="I58" s="25">
        <v>6.4388538840086496E-2</v>
      </c>
      <c r="J58" s="25">
        <v>3.0515715593530699E-2</v>
      </c>
      <c r="K58" s="25">
        <v>8.7089048552144596E-2</v>
      </c>
      <c r="L58" s="28">
        <v>0</v>
      </c>
    </row>
    <row r="59" spans="1:12">
      <c r="A59" s="10" t="s">
        <v>319</v>
      </c>
      <c r="B59" s="10" t="s">
        <v>320</v>
      </c>
      <c r="C59" s="13">
        <f>_xll.BDH("RCOM IN Equity","IS_DEFERRED_INCOME_TAX_BENEFIT","FY 2010","FY 2010","Currency=INR","Period=FY","BEST_FPERIOD_OVERRIDE=FY","FILING_STATUS=MR","EQY_CONSOLIDATED=Y","SCALING_FORMAT=MLN","Sort=A","Dates=H","DateFormat=P","Fill=—","Direction=H","UseDPDF=Y")</f>
        <v>728.9</v>
      </c>
      <c r="D59" s="13">
        <f>_xll.BDH("RCOM IN Equity","IS_DEFERRED_INCOME_TAX_BENEFIT","FY 2011","FY 2011","Currency=INR","Period=FY","BEST_FPERIOD_OVERRIDE=FY","FILING_STATUS=MR","EQY_CONSOLIDATED=Y","SCALING_FORMAT=MLN","Sort=A","Dates=H","DateFormat=P","Fill=—","Direction=H","UseDPDF=Y")</f>
        <v>2920</v>
      </c>
      <c r="E59" s="13">
        <f>_xll.BDH("RCOM IN Equity","IS_DEFERRED_INCOME_TAX_BENEFIT","FY 2012","FY 2012","Currency=INR","Period=FY","BEST_FPERIOD_OVERRIDE=FY","FILING_STATUS=MR","EQY_CONSOLIDATED=Y","SCALING_FORMAT=MLN","Sort=A","Dates=H","DateFormat=P","Fill=—","Direction=H","UseDPDF=Y")</f>
        <v>0</v>
      </c>
      <c r="F59" s="13">
        <f>_xll.BDH("RCOM IN Equity","IS_DEFERRED_INCOME_TAX_BENEFIT","FY 2013","FY 2013","Currency=INR","Period=FY","BEST_FPERIOD_OVERRIDE=FY","FILING_STATUS=MR","EQY_CONSOLIDATED=Y","SCALING_FORMAT=MLN","Sort=A","Dates=H","DateFormat=P","Fill=—","Direction=H","UseDPDF=Y")</f>
        <v>0</v>
      </c>
      <c r="G59" s="13">
        <f>_xll.BDH("RCOM IN Equity","IS_DEFERRED_INCOME_TAX_BENEFIT","FY 2014","FY 2014","Currency=INR","Period=FY","BEST_FPERIOD_OVERRIDE=FY","FILING_STATUS=MR","EQY_CONSOLIDATED=Y","SCALING_FORMAT=MLN","Sort=A","Dates=H","DateFormat=P","Fill=—","Direction=H","UseDPDF=Y")</f>
        <v>-10570</v>
      </c>
      <c r="H59" s="13">
        <f>_xll.BDH("RCOM IN Equity","IS_DEFERRED_INCOME_TAX_BENEFIT","FY 2015","FY 2015","Currency=INR","Period=FY","BEST_FPERIOD_OVERRIDE=FY","FILING_STATUS=MR","EQY_CONSOLIDATED=Y","SCALING_FORMAT=MLN","Sort=A","Dates=H","DateFormat=P","Fill=—","Direction=H","UseDPDF=Y")</f>
        <v>2120</v>
      </c>
      <c r="I59" s="13">
        <f>_xll.BDH("RCOM IN Equity","IS_DEFERRED_INCOME_TAX_BENEFIT","FY 2016","FY 2016","Currency=INR","Period=FY","BEST_FPERIOD_OVERRIDE=FY","FILING_STATUS=MR","EQY_CONSOLIDATED=Y","SCALING_FORMAT=MLN","Sort=A","Dates=H","DateFormat=P","Fill=—","Direction=H","UseDPDF=Y")</f>
        <v>-4420</v>
      </c>
      <c r="J59" s="13">
        <f>_xll.BDH("RCOM IN Equity","IS_DEFERRED_INCOME_TAX_BENEFIT","FY 2017","FY 2017","Currency=INR","Period=FY","BEST_FPERIOD_OVERRIDE=FY","FILING_STATUS=MR","EQY_CONSOLIDATED=Y","SCALING_FORMAT=MLN","Sort=A","Dates=H","DateFormat=P","Fill=—","Direction=H","UseDPDF=Y")</f>
        <v>-920</v>
      </c>
      <c r="K59" s="13">
        <f>_xll.BDH("RCOM IN Equity","IS_DEFERRED_INCOME_TAX_BENEFIT","FY 2018","FY 2018","Currency=INR","Period=FY","BEST_FPERIOD_OVERRIDE=FY","FILING_STATUS=MR","EQY_CONSOLIDATED=Y","SCALING_FORMAT=MLN","Sort=A","Dates=H","DateFormat=P","Fill=—","Direction=H","UseDPDF=Y")</f>
        <v>120</v>
      </c>
      <c r="L59" s="16">
        <v>9840</v>
      </c>
    </row>
    <row r="60" spans="1:12">
      <c r="A60" s="11" t="s">
        <v>249</v>
      </c>
      <c r="B60" s="11" t="s">
        <v>320</v>
      </c>
      <c r="C60" s="25">
        <v>0.352380100604059</v>
      </c>
      <c r="D60" s="25">
        <v>1.3219249400153901</v>
      </c>
      <c r="E60" s="25">
        <v>0</v>
      </c>
      <c r="F60" s="25">
        <v>0</v>
      </c>
      <c r="G60" s="25">
        <v>-5.0477554918815697</v>
      </c>
      <c r="H60" s="25">
        <v>0.98959062689632604</v>
      </c>
      <c r="I60" s="25">
        <v>-2.0328381548084402</v>
      </c>
      <c r="J60" s="25">
        <v>-1.4037229173024099</v>
      </c>
      <c r="K60" s="25">
        <v>0.261267145656434</v>
      </c>
      <c r="L60" s="28">
        <v>0</v>
      </c>
    </row>
    <row r="61" spans="1:12">
      <c r="A61" s="11" t="s">
        <v>249</v>
      </c>
      <c r="B61" s="11" t="s">
        <v>321</v>
      </c>
      <c r="C61" s="25" t="s">
        <v>44</v>
      </c>
      <c r="D61" s="25" t="s">
        <v>44</v>
      </c>
      <c r="E61" s="25" t="s">
        <v>44</v>
      </c>
      <c r="F61" s="25" t="s">
        <v>44</v>
      </c>
      <c r="G61" s="25" t="s">
        <v>44</v>
      </c>
      <c r="H61" s="25" t="s">
        <v>44</v>
      </c>
      <c r="I61" s="25" t="s">
        <v>44</v>
      </c>
      <c r="J61" s="25" t="s">
        <v>44</v>
      </c>
      <c r="K61" s="25" t="s">
        <v>44</v>
      </c>
      <c r="L61" s="28">
        <v>0</v>
      </c>
    </row>
    <row r="62" spans="1:12">
      <c r="A62" s="11" t="s">
        <v>249</v>
      </c>
      <c r="B62" s="11" t="s">
        <v>322</v>
      </c>
      <c r="C62" s="25" t="s">
        <v>44</v>
      </c>
      <c r="D62" s="25" t="s">
        <v>44</v>
      </c>
      <c r="E62" s="25" t="s">
        <v>44</v>
      </c>
      <c r="F62" s="25" t="s">
        <v>44</v>
      </c>
      <c r="G62" s="25" t="s">
        <v>44</v>
      </c>
      <c r="H62" s="25" t="s">
        <v>44</v>
      </c>
      <c r="I62" s="25" t="s">
        <v>44</v>
      </c>
      <c r="J62" s="25" t="s">
        <v>44</v>
      </c>
      <c r="K62" s="25" t="s">
        <v>44</v>
      </c>
      <c r="L62" s="28">
        <v>0</v>
      </c>
    </row>
    <row r="63" spans="1:12">
      <c r="A63" s="10" t="s">
        <v>323</v>
      </c>
      <c r="B63" s="10" t="s">
        <v>324</v>
      </c>
      <c r="C63" s="13">
        <f>_xll.BDH("RCOM IN Equity","IS_SH_PRO_EQY_MT_INV_NET_OF_TAX","FY 2010","FY 2010","Currency=INR","Period=FY","BEST_FPERIOD_OVERRIDE=FY","FILING_STATUS=MR","EQY_CONSOLIDATED=Y","SCALING_FORMAT=MLN","FA_ADJUSTED=GAAP","Sort=A","Dates=H","DateFormat=P","Fill=—","Direction=H","UseDPDF=Y")</f>
        <v>31.9</v>
      </c>
      <c r="D63" s="13">
        <f>_xll.BDH("RCOM IN Equity","IS_SH_PRO_EQY_MT_INV_NET_OF_TAX","FY 2011","FY 2011","Currency=INR","Period=FY","BEST_FPERIOD_OVERRIDE=FY","FILING_STATUS=MR","EQY_CONSOLIDATED=Y","SCALING_FORMAT=MLN","FA_ADJUSTED=GAAP","Sort=A","Dates=H","DateFormat=P","Fill=—","Direction=H","UseDPDF=Y")</f>
        <v>100</v>
      </c>
      <c r="E63" s="13">
        <f>_xll.BDH("RCOM IN Equity","IS_SH_PRO_EQY_MT_INV_NET_OF_TAX","FY 2012","FY 2012","Currency=INR","Period=FY","BEST_FPERIOD_OVERRIDE=FY","FILING_STATUS=MR","EQY_CONSOLIDATED=Y","SCALING_FORMAT=MLN","FA_ADJUSTED=GAAP","Sort=A","Dates=H","DateFormat=P","Fill=—","Direction=H","UseDPDF=Y")</f>
        <v>-10</v>
      </c>
      <c r="F63" s="13">
        <f>_xll.BDH("RCOM IN Equity","IS_SH_PRO_EQY_MT_INV_NET_OF_TAX","FY 2013","FY 2013","Currency=INR","Period=FY","BEST_FPERIOD_OVERRIDE=FY","FILING_STATUS=MR","EQY_CONSOLIDATED=Y","SCALING_FORMAT=MLN","FA_ADJUSTED=GAAP","Sort=A","Dates=H","DateFormat=P","Fill=—","Direction=H","UseDPDF=Y")</f>
        <v>-10</v>
      </c>
      <c r="G63" s="13">
        <f>_xll.BDH("RCOM IN Equity","IS_SH_PRO_EQY_MT_INV_NET_OF_TAX","FY 2014","FY 2014","Currency=INR","Period=FY","BEST_FPERIOD_OVERRIDE=FY","FILING_STATUS=MR","EQY_CONSOLIDATED=Y","SCALING_FORMAT=MLN","FA_ADJUSTED=GAAP","Sort=A","Dates=H","DateFormat=P","Fill=—","Direction=H","UseDPDF=Y")</f>
        <v>-20</v>
      </c>
      <c r="H63" s="13">
        <f>_xll.BDH("RCOM IN Equity","IS_SH_PRO_EQY_MT_INV_NET_OF_TAX","FY 2015","FY 2015","Currency=INR","Period=FY","BEST_FPERIOD_OVERRIDE=FY","FILING_STATUS=MR","EQY_CONSOLIDATED=Y","SCALING_FORMAT=MLN","FA_ADJUSTED=GAAP","Sort=A","Dates=H","DateFormat=P","Fill=—","Direction=H","UseDPDF=Y")</f>
        <v>-30</v>
      </c>
      <c r="I63" s="13" t="str">
        <f>_xll.BDH("RCOM IN Equity","IS_SH_PRO_EQY_MT_INV_NET_OF_TAX","FY 2016","FY 2016","Currency=INR","Period=FY","BEST_FPERIOD_OVERRIDE=FY","FILING_STATUS=MR","EQY_CONSOLIDATED=Y","SCALING_FORMAT=MLN","FA_ADJUSTED=GAAP","Sort=A","Dates=H","DateFormat=P","Fill=—","Direction=H","UseDPDF=Y")</f>
        <v>—</v>
      </c>
      <c r="J63" s="13" t="str">
        <f>_xll.BDH("RCOM IN Equity","IS_SH_PRO_EQY_MT_INV_NET_OF_TAX","FY 2017","FY 2017","Currency=INR","Period=FY","BEST_FPERIOD_OVERRIDE=FY","FILING_STATUS=MR","EQY_CONSOLIDATED=Y","SCALING_FORMAT=MLN","FA_ADJUSTED=GAAP","Sort=A","Dates=H","DateFormat=P","Fill=—","Direction=H","UseDPDF=Y")</f>
        <v>—</v>
      </c>
      <c r="K63" s="13" t="str">
        <f>_xll.BDH("RCOM IN Equity","IS_SH_PRO_EQY_MT_INV_NET_OF_TAX","FY 2018","FY 2018","Currency=INR","Period=FY","BEST_FPERIOD_OVERRIDE=FY","FILING_STATUS=MR","EQY_CONSOLIDATED=Y","SCALING_FORMAT=MLN","FA_ADJUSTED=GAAP","Sort=A","Dates=H","DateFormat=P","Fill=—","Direction=H","UseDPDF=Y")</f>
        <v>—</v>
      </c>
      <c r="L63" s="16"/>
    </row>
    <row r="64" spans="1:12">
      <c r="A64" s="11" t="s">
        <v>249</v>
      </c>
      <c r="B64" s="11" t="s">
        <v>324</v>
      </c>
      <c r="C64" s="25">
        <v>1.5421765961406901E-2</v>
      </c>
      <c r="D64" s="25">
        <v>4.5271402055321701E-2</v>
      </c>
      <c r="E64" s="25">
        <v>-5.3430220132506898E-3</v>
      </c>
      <c r="F64" s="25">
        <v>-5.1829584326733699E-3</v>
      </c>
      <c r="G64" s="25">
        <v>-9.5510983763132801E-3</v>
      </c>
      <c r="H64" s="25">
        <v>-1.40036409466461E-2</v>
      </c>
      <c r="I64" s="25" t="s">
        <v>44</v>
      </c>
      <c r="J64" s="25" t="s">
        <v>44</v>
      </c>
      <c r="K64" s="25" t="s">
        <v>44</v>
      </c>
      <c r="L64" s="28">
        <v>0</v>
      </c>
    </row>
    <row r="65" spans="1:12">
      <c r="A65" s="6" t="s">
        <v>325</v>
      </c>
      <c r="B65" s="6" t="s">
        <v>326</v>
      </c>
      <c r="C65" s="19">
        <f>_xll.BDH("RCOM IN Equity","IS_INC_BEF_XO_ITEM","FY 2010","FY 2010","Currency=INR","Period=FY","BEST_FPERIOD_OVERRIDE=FY","FILING_STATUS=MR","EQY_CONSOLIDATED=Y","SCALING_FORMAT=MLN","Sort=A","Dates=H","DateFormat=P","Fill=—","Direction=H","UseDPDF=Y")</f>
        <v>47742.5</v>
      </c>
      <c r="D65" s="19">
        <f>_xll.BDH("RCOM IN Equity","IS_INC_BEF_XO_ITEM","FY 2011","FY 2011","Currency=INR","Period=FY","BEST_FPERIOD_OVERRIDE=FY","FILING_STATUS=MR","EQY_CONSOLIDATED=Y","SCALING_FORMAT=MLN","Sort=A","Dates=H","DateFormat=P","Fill=—","Direction=H","UseDPDF=Y")</f>
        <v>14950</v>
      </c>
      <c r="E65" s="19">
        <f>_xll.BDH("RCOM IN Equity","IS_INC_BEF_XO_ITEM","FY 2012","FY 2012","Currency=INR","Period=FY","BEST_FPERIOD_OVERRIDE=FY","FILING_STATUS=MR","EQY_CONSOLIDATED=Y","SCALING_FORMAT=MLN","Sort=A","Dates=H","DateFormat=P","Fill=—","Direction=H","UseDPDF=Y")</f>
        <v>9890</v>
      </c>
      <c r="F65" s="19">
        <f>_xll.BDH("RCOM IN Equity","IS_INC_BEF_XO_ITEM","FY 2013","FY 2013","Currency=INR","Period=FY","BEST_FPERIOD_OVERRIDE=FY","FILING_STATUS=MR","EQY_CONSOLIDATED=Y","SCALING_FORMAT=MLN","Sort=A","Dates=H","DateFormat=P","Fill=—","Direction=H","UseDPDF=Y")</f>
        <v>7450</v>
      </c>
      <c r="G65" s="19">
        <f>_xll.BDH("RCOM IN Equity","IS_INC_BEF_XO_ITEM","FY 2014","FY 2014","Currency=INR","Period=FY","BEST_FPERIOD_OVERRIDE=FY","FILING_STATUS=MR","EQY_CONSOLIDATED=Y","SCALING_FORMAT=MLN","Sort=A","Dates=H","DateFormat=P","Fill=—","Direction=H","UseDPDF=Y")</f>
        <v>11390</v>
      </c>
      <c r="H65" s="19">
        <f>_xll.BDH("RCOM IN Equity","IS_INC_BEF_XO_ITEM","FY 2015","FY 2015","Currency=INR","Period=FY","BEST_FPERIOD_OVERRIDE=FY","FILING_STATUS=MR","EQY_CONSOLIDATED=Y","SCALING_FORMAT=MLN","Sort=A","Dates=H","DateFormat=P","Fill=—","Direction=H","UseDPDF=Y")</f>
        <v>6230</v>
      </c>
      <c r="I65" s="19">
        <f>_xll.BDH("RCOM IN Equity","IS_INC_BEF_XO_ITEM","FY 2016","FY 2016","Currency=INR","Period=FY","BEST_FPERIOD_OVERRIDE=FY","FILING_STATUS=MR","EQY_CONSOLIDATED=Y","SCALING_FORMAT=MLN","Sort=A","Dates=H","DateFormat=P","Fill=—","Direction=H","UseDPDF=Y")</f>
        <v>6600</v>
      </c>
      <c r="J65" s="19">
        <f>_xll.BDH("RCOM IN Equity","IS_INC_BEF_XO_ITEM","FY 2017","FY 2017","Currency=INR","Period=FY","BEST_FPERIOD_OVERRIDE=FY","FILING_STATUS=MR","EQY_CONSOLIDATED=Y","SCALING_FORMAT=MLN","Sort=A","Dates=H","DateFormat=P","Fill=—","Direction=H","UseDPDF=Y")</f>
        <v>2450</v>
      </c>
      <c r="K65" s="19">
        <f>_xll.BDH("RCOM IN Equity","IS_INC_BEF_XO_ITEM","FY 2018","FY 2018","Currency=INR","Period=FY","BEST_FPERIOD_OVERRIDE=FY","FILING_STATUS=MR","EQY_CONSOLIDATED=Y","SCALING_FORMAT=MLN","Sort=A","Dates=H","DateFormat=P","Fill=—","Direction=H","UseDPDF=Y")</f>
        <v>-190</v>
      </c>
      <c r="L65" s="22">
        <v>10120</v>
      </c>
    </row>
    <row r="66" spans="1:12">
      <c r="A66" s="11" t="s">
        <v>249</v>
      </c>
      <c r="B66" s="11" t="s">
        <v>326</v>
      </c>
      <c r="C66" s="25">
        <v>23.080679</v>
      </c>
      <c r="D66" s="25">
        <v>6.7680749999999996</v>
      </c>
      <c r="E66" s="25">
        <v>5.284249</v>
      </c>
      <c r="F66" s="25">
        <v>3.8613040000000001</v>
      </c>
      <c r="G66" s="25">
        <v>5.4393510000000003</v>
      </c>
      <c r="H66" s="25">
        <v>2.9080889999999999</v>
      </c>
      <c r="I66" s="25">
        <v>3.03546</v>
      </c>
      <c r="J66" s="25">
        <v>3.738175</v>
      </c>
      <c r="K66" s="25">
        <v>-0.41367300000000001</v>
      </c>
      <c r="L66" s="28">
        <v>-9.8130841121495305</v>
      </c>
    </row>
    <row r="67" spans="1:12">
      <c r="A67" s="10" t="s">
        <v>327</v>
      </c>
      <c r="B67" s="10" t="s">
        <v>328</v>
      </c>
      <c r="C67" s="13">
        <f>_xll.BDH("RCOM IN Equity","XO_GL_NET_OF_TAX","FY 2010","FY 2010","Currency=INR","Period=FY","BEST_FPERIOD_OVERRIDE=FY","FILING_STATUS=MR","EQY_CONSOLIDATED=Y","SCALING_FORMAT=MLN","Sort=A","Dates=H","DateFormat=P","Fill=—","Direction=H","UseDPDF=Y")</f>
        <v>0</v>
      </c>
      <c r="D67" s="13">
        <f>_xll.BDH("RCOM IN Equity","XO_GL_NET_OF_TAX","FY 2011","FY 2011","Currency=INR","Period=FY","BEST_FPERIOD_OVERRIDE=FY","FILING_STATUS=MR","EQY_CONSOLIDATED=Y","SCALING_FORMAT=MLN","Sort=A","Dates=H","DateFormat=P","Fill=—","Direction=H","UseDPDF=Y")</f>
        <v>0</v>
      </c>
      <c r="E67" s="13">
        <f>_xll.BDH("RCOM IN Equity","XO_GL_NET_OF_TAX","FY 2012","FY 2012","Currency=INR","Period=FY","BEST_FPERIOD_OVERRIDE=FY","FILING_STATUS=MR","EQY_CONSOLIDATED=Y","SCALING_FORMAT=MLN","Sort=A","Dates=H","DateFormat=P","Fill=—","Direction=H","UseDPDF=Y")</f>
        <v>0</v>
      </c>
      <c r="F67" s="13">
        <f>_xll.BDH("RCOM IN Equity","XO_GL_NET_OF_TAX","FY 2013","FY 2013","Currency=INR","Period=FY","BEST_FPERIOD_OVERRIDE=FY","FILING_STATUS=MR","EQY_CONSOLIDATED=Y","SCALING_FORMAT=MLN","Sort=A","Dates=H","DateFormat=P","Fill=—","Direction=H","UseDPDF=Y")</f>
        <v>0</v>
      </c>
      <c r="G67" s="13">
        <f>_xll.BDH("RCOM IN Equity","XO_GL_NET_OF_TAX","FY 2014","FY 2014","Currency=INR","Period=FY","BEST_FPERIOD_OVERRIDE=FY","FILING_STATUS=MR","EQY_CONSOLIDATED=Y","SCALING_FORMAT=MLN","Sort=A","Dates=H","DateFormat=P","Fill=—","Direction=H","UseDPDF=Y")</f>
        <v>0</v>
      </c>
      <c r="H67" s="13">
        <f>_xll.BDH("RCOM IN Equity","XO_GL_NET_OF_TAX","FY 2015","FY 2015","Currency=INR","Period=FY","BEST_FPERIOD_OVERRIDE=FY","FILING_STATUS=MR","EQY_CONSOLIDATED=Y","SCALING_FORMAT=MLN","Sort=A","Dates=H","DateFormat=P","Fill=—","Direction=H","UseDPDF=Y")</f>
        <v>0</v>
      </c>
      <c r="I67" s="13">
        <f>_xll.BDH("RCOM IN Equity","XO_GL_NET_OF_TAX","FY 2016","FY 2016","Currency=INR","Period=FY","BEST_FPERIOD_OVERRIDE=FY","FILING_STATUS=MR","EQY_CONSOLIDATED=Y","SCALING_FORMAT=MLN","Sort=A","Dates=H","DateFormat=P","Fill=—","Direction=H","UseDPDF=Y")</f>
        <v>0</v>
      </c>
      <c r="J67" s="13">
        <f>_xll.BDH("RCOM IN Equity","XO_GL_NET_OF_TAX","FY 2017","FY 2017","Currency=INR","Period=FY","BEST_FPERIOD_OVERRIDE=FY","FILING_STATUS=MR","EQY_CONSOLIDATED=Y","SCALING_FORMAT=MLN","Sort=A","Dates=H","DateFormat=P","Fill=—","Direction=H","UseDPDF=Y")</f>
        <v>15280</v>
      </c>
      <c r="K67" s="13">
        <f>_xll.BDH("RCOM IN Equity","XO_GL_NET_OF_TAX","FY 2018","FY 2018","Currency=INR","Period=FY","BEST_FPERIOD_OVERRIDE=FY","FILING_STATUS=MR","EQY_CONSOLIDATED=Y","SCALING_FORMAT=MLN","Sort=A","Dates=H","DateFormat=P","Fill=—","Direction=H","UseDPDF=Y")</f>
        <v>238880</v>
      </c>
      <c r="L67" s="16">
        <v>203240</v>
      </c>
    </row>
    <row r="68" spans="1:12">
      <c r="A68" s="11" t="s">
        <v>249</v>
      </c>
      <c r="B68" s="11" t="s">
        <v>328</v>
      </c>
      <c r="C68" s="25">
        <v>0</v>
      </c>
      <c r="D68" s="25">
        <v>0</v>
      </c>
      <c r="E68" s="25">
        <v>0</v>
      </c>
      <c r="F68" s="25">
        <v>0</v>
      </c>
      <c r="G68" s="25">
        <v>0</v>
      </c>
      <c r="H68" s="25">
        <v>0</v>
      </c>
      <c r="I68" s="25">
        <v>0</v>
      </c>
      <c r="J68" s="25">
        <v>23.314006713457399</v>
      </c>
      <c r="K68" s="25">
        <v>520.09579795340699</v>
      </c>
      <c r="L68" s="28">
        <v>0</v>
      </c>
    </row>
    <row r="69" spans="1:12">
      <c r="A69" s="10" t="s">
        <v>329</v>
      </c>
      <c r="B69" s="10" t="s">
        <v>330</v>
      </c>
      <c r="C69" s="13">
        <f>_xll.BDH("RCOM IN Equity","IS_DISCONTINUED_OPERATIONS","FY 2010","FY 2010","Currency=INR","Period=FY","BEST_FPERIOD_OVERRIDE=FY","FILING_STATUS=MR","EQY_CONSOLIDATED=Y","SCALING_FORMAT=MLN","Sort=A","Dates=H","DateFormat=P","Fill=—","Direction=H","UseDPDF=Y")</f>
        <v>0</v>
      </c>
      <c r="D69" s="13">
        <f>_xll.BDH("RCOM IN Equity","IS_DISCONTINUED_OPERATIONS","FY 2011","FY 2011","Currency=INR","Period=FY","BEST_FPERIOD_OVERRIDE=FY","FILING_STATUS=MR","EQY_CONSOLIDATED=Y","SCALING_FORMAT=MLN","Sort=A","Dates=H","DateFormat=P","Fill=—","Direction=H","UseDPDF=Y")</f>
        <v>0</v>
      </c>
      <c r="E69" s="13">
        <f>_xll.BDH("RCOM IN Equity","IS_DISCONTINUED_OPERATIONS","FY 2012","FY 2012","Currency=INR","Period=FY","BEST_FPERIOD_OVERRIDE=FY","FILING_STATUS=MR","EQY_CONSOLIDATED=Y","SCALING_FORMAT=MLN","Sort=A","Dates=H","DateFormat=P","Fill=—","Direction=H","UseDPDF=Y")</f>
        <v>0</v>
      </c>
      <c r="F69" s="13">
        <f>_xll.BDH("RCOM IN Equity","IS_DISCONTINUED_OPERATIONS","FY 2013","FY 2013","Currency=INR","Period=FY","BEST_FPERIOD_OVERRIDE=FY","FILING_STATUS=MR","EQY_CONSOLIDATED=Y","SCALING_FORMAT=MLN","Sort=A","Dates=H","DateFormat=P","Fill=—","Direction=H","UseDPDF=Y")</f>
        <v>0</v>
      </c>
      <c r="G69" s="13">
        <f>_xll.BDH("RCOM IN Equity","IS_DISCONTINUED_OPERATIONS","FY 2014","FY 2014","Currency=INR","Period=FY","BEST_FPERIOD_OVERRIDE=FY","FILING_STATUS=MR","EQY_CONSOLIDATED=Y","SCALING_FORMAT=MLN","Sort=A","Dates=H","DateFormat=P","Fill=—","Direction=H","UseDPDF=Y")</f>
        <v>0</v>
      </c>
      <c r="H69" s="13">
        <f>_xll.BDH("RCOM IN Equity","IS_DISCONTINUED_OPERATIONS","FY 2015","FY 2015","Currency=INR","Period=FY","BEST_FPERIOD_OVERRIDE=FY","FILING_STATUS=MR","EQY_CONSOLIDATED=Y","SCALING_FORMAT=MLN","Sort=A","Dates=H","DateFormat=P","Fill=—","Direction=H","UseDPDF=Y")</f>
        <v>0</v>
      </c>
      <c r="I69" s="13">
        <f>_xll.BDH("RCOM IN Equity","IS_DISCONTINUED_OPERATIONS","FY 2016","FY 2016","Currency=INR","Period=FY","BEST_FPERIOD_OVERRIDE=FY","FILING_STATUS=MR","EQY_CONSOLIDATED=Y","SCALING_FORMAT=MLN","Sort=A","Dates=H","DateFormat=P","Fill=—","Direction=H","UseDPDF=Y")</f>
        <v>0</v>
      </c>
      <c r="J69" s="13">
        <f>_xll.BDH("RCOM IN Equity","IS_DISCONTINUED_OPERATIONS","FY 2017","FY 2017","Currency=INR","Period=FY","BEST_FPERIOD_OVERRIDE=FY","FILING_STATUS=MR","EQY_CONSOLIDATED=Y","SCALING_FORMAT=MLN","Sort=A","Dates=H","DateFormat=P","Fill=—","Direction=H","UseDPDF=Y")</f>
        <v>15280</v>
      </c>
      <c r="K69" s="13">
        <f>_xll.BDH("RCOM IN Equity","IS_DISCONTINUED_OPERATIONS","FY 2018","FY 2018","Currency=INR","Period=FY","BEST_FPERIOD_OVERRIDE=FY","FILING_STATUS=MR","EQY_CONSOLIDATED=Y","SCALING_FORMAT=MLN","Sort=A","Dates=H","DateFormat=P","Fill=—","Direction=H","UseDPDF=Y")</f>
        <v>238880</v>
      </c>
      <c r="L69" s="16">
        <v>203240</v>
      </c>
    </row>
    <row r="70" spans="1:12">
      <c r="A70" s="11" t="s">
        <v>249</v>
      </c>
      <c r="B70" s="11" t="s">
        <v>330</v>
      </c>
      <c r="C70" s="25">
        <v>0</v>
      </c>
      <c r="D70" s="25">
        <v>0</v>
      </c>
      <c r="E70" s="25">
        <v>0</v>
      </c>
      <c r="F70" s="25">
        <v>0</v>
      </c>
      <c r="G70" s="25">
        <v>0</v>
      </c>
      <c r="H70" s="25">
        <v>0</v>
      </c>
      <c r="I70" s="25">
        <v>0</v>
      </c>
      <c r="J70" s="25">
        <v>23.314006713457399</v>
      </c>
      <c r="K70" s="25">
        <v>520.09579795340699</v>
      </c>
      <c r="L70" s="28">
        <v>0</v>
      </c>
    </row>
    <row r="71" spans="1:12">
      <c r="A71" s="10" t="s">
        <v>331</v>
      </c>
      <c r="B71" s="10" t="s">
        <v>332</v>
      </c>
      <c r="C71" s="13">
        <f>_xll.BDH("RCOM IN Equity","IS_EXTRAORD_ITEMS_&amp;_ACCTG_CHNG","FY 2010","FY 2010","Currency=INR","Period=FY","BEST_FPERIOD_OVERRIDE=FY","FILING_STATUS=MR","EQY_CONSOLIDATED=Y","SCALING_FORMAT=MLN","Sort=A","Dates=H","DateFormat=P","Fill=—","Direction=H","UseDPDF=Y")</f>
        <v>0</v>
      </c>
      <c r="D71" s="13">
        <f>_xll.BDH("RCOM IN Equity","IS_EXTRAORD_ITEMS_&amp;_ACCTG_CHNG","FY 2011","FY 2011","Currency=INR","Period=FY","BEST_FPERIOD_OVERRIDE=FY","FILING_STATUS=MR","EQY_CONSOLIDATED=Y","SCALING_FORMAT=MLN","Sort=A","Dates=H","DateFormat=P","Fill=—","Direction=H","UseDPDF=Y")</f>
        <v>0</v>
      </c>
      <c r="E71" s="13">
        <f>_xll.BDH("RCOM IN Equity","IS_EXTRAORD_ITEMS_&amp;_ACCTG_CHNG","FY 2012","FY 2012","Currency=INR","Period=FY","BEST_FPERIOD_OVERRIDE=FY","FILING_STATUS=MR","EQY_CONSOLIDATED=Y","SCALING_FORMAT=MLN","Sort=A","Dates=H","DateFormat=P","Fill=—","Direction=H","UseDPDF=Y")</f>
        <v>0</v>
      </c>
      <c r="F71" s="13">
        <f>_xll.BDH("RCOM IN Equity","IS_EXTRAORD_ITEMS_&amp;_ACCTG_CHNG","FY 2013","FY 2013","Currency=INR","Period=FY","BEST_FPERIOD_OVERRIDE=FY","FILING_STATUS=MR","EQY_CONSOLIDATED=Y","SCALING_FORMAT=MLN","Sort=A","Dates=H","DateFormat=P","Fill=—","Direction=H","UseDPDF=Y")</f>
        <v>0</v>
      </c>
      <c r="G71" s="13">
        <f>_xll.BDH("RCOM IN Equity","IS_EXTRAORD_ITEMS_&amp;_ACCTG_CHNG","FY 2014","FY 2014","Currency=INR","Period=FY","BEST_FPERIOD_OVERRIDE=FY","FILING_STATUS=MR","EQY_CONSOLIDATED=Y","SCALING_FORMAT=MLN","Sort=A","Dates=H","DateFormat=P","Fill=—","Direction=H","UseDPDF=Y")</f>
        <v>0</v>
      </c>
      <c r="H71" s="13">
        <f>_xll.BDH("RCOM IN Equity","IS_EXTRAORD_ITEMS_&amp;_ACCTG_CHNG","FY 2015","FY 2015","Currency=INR","Period=FY","BEST_FPERIOD_OVERRIDE=FY","FILING_STATUS=MR","EQY_CONSOLIDATED=Y","SCALING_FORMAT=MLN","Sort=A","Dates=H","DateFormat=P","Fill=—","Direction=H","UseDPDF=Y")</f>
        <v>0</v>
      </c>
      <c r="I71" s="13">
        <f>_xll.BDH("RCOM IN Equity","IS_EXTRAORD_ITEMS_&amp;_ACCTG_CHNG","FY 2016","FY 2016","Currency=INR","Period=FY","BEST_FPERIOD_OVERRIDE=FY","FILING_STATUS=MR","EQY_CONSOLIDATED=Y","SCALING_FORMAT=MLN","Sort=A","Dates=H","DateFormat=P","Fill=—","Direction=H","UseDPDF=Y")</f>
        <v>0</v>
      </c>
      <c r="J71" s="13">
        <f>_xll.BDH("RCOM IN Equity","IS_EXTRAORD_ITEMS_&amp;_ACCTG_CHNG","FY 2017","FY 2017","Currency=INR","Period=FY","BEST_FPERIOD_OVERRIDE=FY","FILING_STATUS=MR","EQY_CONSOLIDATED=Y","SCALING_FORMAT=MLN","Sort=A","Dates=H","DateFormat=P","Fill=—","Direction=H","UseDPDF=Y")</f>
        <v>0</v>
      </c>
      <c r="K71" s="13">
        <f>_xll.BDH("RCOM IN Equity","IS_EXTRAORD_ITEMS_&amp;_ACCTG_CHNG","FY 2018","FY 2018","Currency=INR","Period=FY","BEST_FPERIOD_OVERRIDE=FY","FILING_STATUS=MR","EQY_CONSOLIDATED=Y","SCALING_FORMAT=MLN","Sort=A","Dates=H","DateFormat=P","Fill=—","Direction=H","UseDPDF=Y")</f>
        <v>0</v>
      </c>
      <c r="L71" s="16">
        <v>0</v>
      </c>
    </row>
    <row r="72" spans="1:12">
      <c r="A72" s="11" t="s">
        <v>249</v>
      </c>
      <c r="B72" s="11" t="s">
        <v>332</v>
      </c>
      <c r="C72" s="25">
        <v>0</v>
      </c>
      <c r="D72" s="25">
        <v>0</v>
      </c>
      <c r="E72" s="25">
        <v>0</v>
      </c>
      <c r="F72" s="25">
        <v>0</v>
      </c>
      <c r="G72" s="25">
        <v>0</v>
      </c>
      <c r="H72" s="25">
        <v>0</v>
      </c>
      <c r="I72" s="25">
        <v>0</v>
      </c>
      <c r="J72" s="25">
        <v>0</v>
      </c>
      <c r="K72" s="25">
        <v>0</v>
      </c>
      <c r="L72" s="28">
        <v>0</v>
      </c>
    </row>
    <row r="73" spans="1:12">
      <c r="A73" s="6" t="s">
        <v>333</v>
      </c>
      <c r="B73" s="6" t="s">
        <v>334</v>
      </c>
      <c r="C73" s="19">
        <f>_xll.BDH("RCOM IN Equity","NI_INCLUDING_MINORITY_INT_RATIO","FY 2010","FY 2010","Currency=INR","Period=FY","BEST_FPERIOD_OVERRIDE=FY","FILING_STATUS=MR","EQY_CONSOLIDATED=Y","SCALING_FORMAT=MLN","FA_ADJUSTED=GAAP","Sort=A","Dates=H","DateFormat=P","Fill=—","Direction=H","UseDPDF=Y")</f>
        <v>47742.5</v>
      </c>
      <c r="D73" s="19">
        <f>_xll.BDH("RCOM IN Equity","NI_INCLUDING_MINORITY_INT_RATIO","FY 2011","FY 2011","Currency=INR","Period=FY","BEST_FPERIOD_OVERRIDE=FY","FILING_STATUS=MR","EQY_CONSOLIDATED=Y","SCALING_FORMAT=MLN","FA_ADJUSTED=GAAP","Sort=A","Dates=H","DateFormat=P","Fill=—","Direction=H","UseDPDF=Y")</f>
        <v>14950</v>
      </c>
      <c r="E73" s="19">
        <f>_xll.BDH("RCOM IN Equity","NI_INCLUDING_MINORITY_INT_RATIO","FY 2012","FY 2012","Currency=INR","Period=FY","BEST_FPERIOD_OVERRIDE=FY","FILING_STATUS=MR","EQY_CONSOLIDATED=Y","SCALING_FORMAT=MLN","FA_ADJUSTED=GAAP","Sort=A","Dates=H","DateFormat=P","Fill=—","Direction=H","UseDPDF=Y")</f>
        <v>9890</v>
      </c>
      <c r="F73" s="19">
        <f>_xll.BDH("RCOM IN Equity","NI_INCLUDING_MINORITY_INT_RATIO","FY 2013","FY 2013","Currency=INR","Period=FY","BEST_FPERIOD_OVERRIDE=FY","FILING_STATUS=MR","EQY_CONSOLIDATED=Y","SCALING_FORMAT=MLN","FA_ADJUSTED=GAAP","Sort=A","Dates=H","DateFormat=P","Fill=—","Direction=H","UseDPDF=Y")</f>
        <v>7450</v>
      </c>
      <c r="G73" s="19">
        <f>_xll.BDH("RCOM IN Equity","NI_INCLUDING_MINORITY_INT_RATIO","FY 2014","FY 2014","Currency=INR","Period=FY","BEST_FPERIOD_OVERRIDE=FY","FILING_STATUS=MR","EQY_CONSOLIDATED=Y","SCALING_FORMAT=MLN","FA_ADJUSTED=GAAP","Sort=A","Dates=H","DateFormat=P","Fill=—","Direction=H","UseDPDF=Y")</f>
        <v>11390</v>
      </c>
      <c r="H73" s="19">
        <f>_xll.BDH("RCOM IN Equity","NI_INCLUDING_MINORITY_INT_RATIO","FY 2015","FY 2015","Currency=INR","Period=FY","BEST_FPERIOD_OVERRIDE=FY","FILING_STATUS=MR","EQY_CONSOLIDATED=Y","SCALING_FORMAT=MLN","FA_ADJUSTED=GAAP","Sort=A","Dates=H","DateFormat=P","Fill=—","Direction=H","UseDPDF=Y")</f>
        <v>6230</v>
      </c>
      <c r="I73" s="19">
        <f>_xll.BDH("RCOM IN Equity","NI_INCLUDING_MINORITY_INT_RATIO","FY 2016","FY 2016","Currency=INR","Period=FY","BEST_FPERIOD_OVERRIDE=FY","FILING_STATUS=MR","EQY_CONSOLIDATED=Y","SCALING_FORMAT=MLN","FA_ADJUSTED=GAAP","Sort=A","Dates=H","DateFormat=P","Fill=—","Direction=H","UseDPDF=Y")</f>
        <v>6600</v>
      </c>
      <c r="J73" s="19">
        <f>_xll.BDH("RCOM IN Equity","NI_INCLUDING_MINORITY_INT_RATIO","FY 2017","FY 2017","Currency=INR","Period=FY","BEST_FPERIOD_OVERRIDE=FY","FILING_STATUS=MR","EQY_CONSOLIDATED=Y","SCALING_FORMAT=MLN","FA_ADJUSTED=GAAP","Sort=A","Dates=H","DateFormat=P","Fill=—","Direction=H","UseDPDF=Y")</f>
        <v>-12830</v>
      </c>
      <c r="K73" s="19">
        <f>_xll.BDH("RCOM IN Equity","NI_INCLUDING_MINORITY_INT_RATIO","FY 2018","FY 2018","Currency=INR","Period=FY","BEST_FPERIOD_OVERRIDE=FY","FILING_STATUS=MR","EQY_CONSOLIDATED=Y","SCALING_FORMAT=MLN","FA_ADJUSTED=GAAP","Sort=A","Dates=H","DateFormat=P","Fill=—","Direction=H","UseDPDF=Y")</f>
        <v>-239070</v>
      </c>
      <c r="L73" s="22">
        <v>-193120</v>
      </c>
    </row>
    <row r="74" spans="1:12">
      <c r="A74" s="11" t="s">
        <v>249</v>
      </c>
      <c r="B74" s="11" t="s">
        <v>334</v>
      </c>
      <c r="C74" s="25">
        <v>23.080679041143199</v>
      </c>
      <c r="D74" s="25">
        <v>6.7680746072705897</v>
      </c>
      <c r="E74" s="25">
        <v>5.2842487711049397</v>
      </c>
      <c r="F74" s="25">
        <v>3.8613040323416601</v>
      </c>
      <c r="G74" s="25">
        <v>5.4393505253104104</v>
      </c>
      <c r="H74" s="25">
        <v>2.9080894365868502</v>
      </c>
      <c r="I74" s="25">
        <v>3.0354596881755</v>
      </c>
      <c r="J74" s="25">
        <v>-19.575831553249898</v>
      </c>
      <c r="K74" s="25">
        <v>-520.50947093402999</v>
      </c>
      <c r="L74" s="28">
        <v>0</v>
      </c>
    </row>
    <row r="75" spans="1:12">
      <c r="A75" s="10" t="s">
        <v>335</v>
      </c>
      <c r="B75" s="10" t="s">
        <v>336</v>
      </c>
      <c r="C75" s="13">
        <f>_xll.BDH("RCOM IN Equity","MIN_NONCONTROL_INTEREST_CREDITS","FY 2010","FY 2010","Currency=INR","Period=FY","BEST_FPERIOD_OVERRIDE=FY","FILING_STATUS=MR","EQY_CONSOLIDATED=Y","SCALING_FORMAT=MLN","FA_ADJUSTED=GAAP","Sort=A","Dates=H","DateFormat=P","Fill=—","Direction=H","UseDPDF=Y")</f>
        <v>1192.5</v>
      </c>
      <c r="D75" s="13">
        <f>_xll.BDH("RCOM IN Equity","MIN_NONCONTROL_INTEREST_CREDITS","FY 2011","FY 2011","Currency=INR","Period=FY","BEST_FPERIOD_OVERRIDE=FY","FILING_STATUS=MR","EQY_CONSOLIDATED=Y","SCALING_FORMAT=MLN","FA_ADJUSTED=GAAP","Sort=A","Dates=H","DateFormat=P","Fill=—","Direction=H","UseDPDF=Y")</f>
        <v>1500</v>
      </c>
      <c r="E75" s="13">
        <f>_xll.BDH("RCOM IN Equity","MIN_NONCONTROL_INTEREST_CREDITS","FY 2012","FY 2012","Currency=INR","Period=FY","BEST_FPERIOD_OVERRIDE=FY","FILING_STATUS=MR","EQY_CONSOLIDATED=Y","SCALING_FORMAT=MLN","FA_ADJUSTED=GAAP","Sort=A","Dates=H","DateFormat=P","Fill=—","Direction=H","UseDPDF=Y")</f>
        <v>610</v>
      </c>
      <c r="F75" s="13">
        <f>_xll.BDH("RCOM IN Equity","MIN_NONCONTROL_INTEREST_CREDITS","FY 2013","FY 2013","Currency=INR","Period=FY","BEST_FPERIOD_OVERRIDE=FY","FILING_STATUS=MR","EQY_CONSOLIDATED=Y","SCALING_FORMAT=MLN","FA_ADJUSTED=GAAP","Sort=A","Dates=H","DateFormat=P","Fill=—","Direction=H","UseDPDF=Y")</f>
        <v>730</v>
      </c>
      <c r="G75" s="13">
        <f>_xll.BDH("RCOM IN Equity","MIN_NONCONTROL_INTEREST_CREDITS","FY 2014","FY 2014","Currency=INR","Period=FY","BEST_FPERIOD_OVERRIDE=FY","FILING_STATUS=MR","EQY_CONSOLIDATED=Y","SCALING_FORMAT=MLN","FA_ADJUSTED=GAAP","Sort=A","Dates=H","DateFormat=P","Fill=—","Direction=H","UseDPDF=Y")</f>
        <v>920</v>
      </c>
      <c r="H75" s="13">
        <f>_xll.BDH("RCOM IN Equity","MIN_NONCONTROL_INTEREST_CREDITS","FY 2015","FY 2015","Currency=INR","Period=FY","BEST_FPERIOD_OVERRIDE=FY","FILING_STATUS=MR","EQY_CONSOLIDATED=Y","SCALING_FORMAT=MLN","FA_ADJUSTED=GAAP","Sort=A","Dates=H","DateFormat=P","Fill=—","Direction=H","UseDPDF=Y")</f>
        <v>-910</v>
      </c>
      <c r="I75" s="13">
        <f>_xll.BDH("RCOM IN Equity","MIN_NONCONTROL_INTEREST_CREDITS","FY 2016","FY 2016","Currency=INR","Period=FY","BEST_FPERIOD_OVERRIDE=FY","FILING_STATUS=MR","EQY_CONSOLIDATED=Y","SCALING_FORMAT=MLN","FA_ADJUSTED=GAAP","Sort=A","Dates=H","DateFormat=P","Fill=—","Direction=H","UseDPDF=Y")</f>
        <v>210</v>
      </c>
      <c r="J75" s="13">
        <f>_xll.BDH("RCOM IN Equity","MIN_NONCONTROL_INTEREST_CREDITS","FY 2017","FY 2017","Currency=INR","Period=FY","BEST_FPERIOD_OVERRIDE=FY","FILING_STATUS=MR","EQY_CONSOLIDATED=Y","SCALING_FORMAT=MLN","FA_ADJUSTED=GAAP","Sort=A","Dates=H","DateFormat=P","Fill=—","Direction=H","UseDPDF=Y")</f>
        <v>1200</v>
      </c>
      <c r="K75" s="13">
        <f>_xll.BDH("RCOM IN Equity","MIN_NONCONTROL_INTEREST_CREDITS","FY 2018","FY 2018","Currency=INR","Period=FY","BEST_FPERIOD_OVERRIDE=FY","FILING_STATUS=MR","EQY_CONSOLIDATED=Y","SCALING_FORMAT=MLN","FA_ADJUSTED=GAAP","Sort=A","Dates=H","DateFormat=P","Fill=—","Direction=H","UseDPDF=Y")</f>
        <v>-680</v>
      </c>
      <c r="L75" s="16">
        <v>-980</v>
      </c>
    </row>
    <row r="76" spans="1:12">
      <c r="A76" s="11" t="s">
        <v>249</v>
      </c>
      <c r="B76" s="11" t="s">
        <v>336</v>
      </c>
      <c r="C76" s="25">
        <v>0.57650299999999999</v>
      </c>
      <c r="D76" s="25">
        <v>0.67907099999999998</v>
      </c>
      <c r="E76" s="25">
        <v>0.32592399999999999</v>
      </c>
      <c r="F76" s="25">
        <v>0.37835600000000003</v>
      </c>
      <c r="G76" s="25">
        <v>0.43935099999999999</v>
      </c>
      <c r="H76" s="25">
        <v>-0.42477700000000002</v>
      </c>
      <c r="I76" s="25">
        <v>9.6583000000000002E-2</v>
      </c>
      <c r="J76" s="25">
        <v>1.830943</v>
      </c>
      <c r="K76" s="25">
        <v>-1.4805140000000001</v>
      </c>
      <c r="L76" s="28">
        <v>0</v>
      </c>
    </row>
    <row r="77" spans="1:12">
      <c r="A77" s="6" t="s">
        <v>337</v>
      </c>
      <c r="B77" s="6" t="s">
        <v>338</v>
      </c>
      <c r="C77" s="19">
        <f>_xll.BDH("RCOM IN Equity","NET_INCOME","FY 2010","FY 2010","Currency=INR","Period=FY","BEST_FPERIOD_OVERRIDE=FY","FILING_STATUS=MR","EQY_CONSOLIDATED=Y","SCALING_FORMAT=MLN","FA_ADJUSTED=GAAP","Sort=A","Dates=H","DateFormat=P","Fill=—","Direction=H","UseDPDF=Y")</f>
        <v>46550</v>
      </c>
      <c r="D77" s="19">
        <f>_xll.BDH("RCOM IN Equity","NET_INCOME","FY 2011","FY 2011","Currency=INR","Period=FY","BEST_FPERIOD_OVERRIDE=FY","FILING_STATUS=MR","EQY_CONSOLIDATED=Y","SCALING_FORMAT=MLN","FA_ADJUSTED=GAAP","Sort=A","Dates=H","DateFormat=P","Fill=—","Direction=H","UseDPDF=Y")</f>
        <v>13450</v>
      </c>
      <c r="E77" s="19">
        <f>_xll.BDH("RCOM IN Equity","NET_INCOME","FY 2012","FY 2012","Currency=INR","Period=FY","BEST_FPERIOD_OVERRIDE=FY","FILING_STATUS=MR","EQY_CONSOLIDATED=Y","SCALING_FORMAT=MLN","FA_ADJUSTED=GAAP","Sort=A","Dates=H","DateFormat=P","Fill=—","Direction=H","UseDPDF=Y")</f>
        <v>9280</v>
      </c>
      <c r="F77" s="19">
        <f>_xll.BDH("RCOM IN Equity","NET_INCOME","FY 2013","FY 2013","Currency=INR","Period=FY","BEST_FPERIOD_OVERRIDE=FY","FILING_STATUS=MR","EQY_CONSOLIDATED=Y","SCALING_FORMAT=MLN","FA_ADJUSTED=GAAP","Sort=A","Dates=H","DateFormat=P","Fill=—","Direction=H","UseDPDF=Y")</f>
        <v>6720</v>
      </c>
      <c r="G77" s="19">
        <f>_xll.BDH("RCOM IN Equity","NET_INCOME","FY 2014","FY 2014","Currency=INR","Period=FY","BEST_FPERIOD_OVERRIDE=FY","FILING_STATUS=MR","EQY_CONSOLIDATED=Y","SCALING_FORMAT=MLN","FA_ADJUSTED=GAAP","Sort=A","Dates=H","DateFormat=P","Fill=—","Direction=H","UseDPDF=Y")</f>
        <v>10470</v>
      </c>
      <c r="H77" s="19">
        <f>_xll.BDH("RCOM IN Equity","NET_INCOME","FY 2015","FY 2015","Currency=INR","Period=FY","BEST_FPERIOD_OVERRIDE=FY","FILING_STATUS=MR","EQY_CONSOLIDATED=Y","SCALING_FORMAT=MLN","FA_ADJUSTED=GAAP","Sort=A","Dates=H","DateFormat=P","Fill=—","Direction=H","UseDPDF=Y")</f>
        <v>7140</v>
      </c>
      <c r="I77" s="19">
        <f>_xll.BDH("RCOM IN Equity","NET_INCOME","FY 2016","FY 2016","Currency=INR","Period=FY","BEST_FPERIOD_OVERRIDE=FY","FILING_STATUS=MR","EQY_CONSOLIDATED=Y","SCALING_FORMAT=MLN","FA_ADJUSTED=GAAP","Sort=A","Dates=H","DateFormat=P","Fill=—","Direction=H","UseDPDF=Y")</f>
        <v>6390</v>
      </c>
      <c r="J77" s="19">
        <f>_xll.BDH("RCOM IN Equity","NET_INCOME","FY 2017","FY 2017","Currency=INR","Period=FY","BEST_FPERIOD_OVERRIDE=FY","FILING_STATUS=MR","EQY_CONSOLIDATED=Y","SCALING_FORMAT=MLN","FA_ADJUSTED=GAAP","Sort=A","Dates=H","DateFormat=P","Fill=—","Direction=H","UseDPDF=Y")</f>
        <v>-14030</v>
      </c>
      <c r="K77" s="19">
        <f>_xll.BDH("RCOM IN Equity","NET_INCOME","FY 2018","FY 2018","Currency=INR","Period=FY","BEST_FPERIOD_OVERRIDE=FY","FILING_STATUS=MR","EQY_CONSOLIDATED=Y","SCALING_FORMAT=MLN","FA_ADJUSTED=GAAP","Sort=A","Dates=H","DateFormat=P","Fill=—","Direction=H","UseDPDF=Y")</f>
        <v>-238390</v>
      </c>
      <c r="L77" s="22">
        <v>-192140</v>
      </c>
    </row>
    <row r="78" spans="1:12">
      <c r="A78" s="11" t="s">
        <v>249</v>
      </c>
      <c r="B78" s="11" t="s">
        <v>338</v>
      </c>
      <c r="C78" s="25">
        <v>22.504175721112599</v>
      </c>
      <c r="D78" s="25">
        <v>6.08900357644076</v>
      </c>
      <c r="E78" s="25">
        <v>4.9583244282966401</v>
      </c>
      <c r="F78" s="25">
        <v>3.4829480667564998</v>
      </c>
      <c r="G78" s="25">
        <v>5</v>
      </c>
      <c r="H78" s="25">
        <v>3.3328665453017798</v>
      </c>
      <c r="I78" s="25">
        <v>2.9388768799153699</v>
      </c>
      <c r="J78" s="25">
        <v>-21.406774488861799</v>
      </c>
      <c r="K78" s="25">
        <v>-519.02895710864402</v>
      </c>
      <c r="L78" s="28">
        <v>0</v>
      </c>
    </row>
    <row r="79" spans="1:12">
      <c r="A79" s="10" t="s">
        <v>339</v>
      </c>
      <c r="B79" s="10" t="s">
        <v>340</v>
      </c>
      <c r="C79" s="13">
        <f>_xll.BDH("RCOM IN Equity","IS_TOT_CASH_PFD_DVD","FY 2010","FY 2010","Currency=INR","Period=FY","BEST_FPERIOD_OVERRIDE=FY","FILING_STATUS=MR","EQY_CONSOLIDATED=Y","SCALING_FORMAT=MLN","Sort=A","Dates=H","DateFormat=P","Fill=—","Direction=H","UseDPDF=Y")</f>
        <v>0</v>
      </c>
      <c r="D79" s="13">
        <f>_xll.BDH("RCOM IN Equity","IS_TOT_CASH_PFD_DVD","FY 2011","FY 2011","Currency=INR","Period=FY","BEST_FPERIOD_OVERRIDE=FY","FILING_STATUS=MR","EQY_CONSOLIDATED=Y","SCALING_FORMAT=MLN","Sort=A","Dates=H","DateFormat=P","Fill=—","Direction=H","UseDPDF=Y")</f>
        <v>0</v>
      </c>
      <c r="E79" s="13">
        <f>_xll.BDH("RCOM IN Equity","IS_TOT_CASH_PFD_DVD","FY 2012","FY 2012","Currency=INR","Period=FY","BEST_FPERIOD_OVERRIDE=FY","FILING_STATUS=MR","EQY_CONSOLIDATED=Y","SCALING_FORMAT=MLN","Sort=A","Dates=H","DateFormat=P","Fill=—","Direction=H","UseDPDF=Y")</f>
        <v>0</v>
      </c>
      <c r="F79" s="13">
        <f>_xll.BDH("RCOM IN Equity","IS_TOT_CASH_PFD_DVD","FY 2013","FY 2013","Currency=INR","Period=FY","BEST_FPERIOD_OVERRIDE=FY","FILING_STATUS=MR","EQY_CONSOLIDATED=Y","SCALING_FORMAT=MLN","Sort=A","Dates=H","DateFormat=P","Fill=—","Direction=H","UseDPDF=Y")</f>
        <v>0</v>
      </c>
      <c r="G79" s="13">
        <f>_xll.BDH("RCOM IN Equity","IS_TOT_CASH_PFD_DVD","FY 2014","FY 2014","Currency=INR","Period=FY","BEST_FPERIOD_OVERRIDE=FY","FILING_STATUS=MR","EQY_CONSOLIDATED=Y","SCALING_FORMAT=MLN","Sort=A","Dates=H","DateFormat=P","Fill=—","Direction=H","UseDPDF=Y")</f>
        <v>0</v>
      </c>
      <c r="H79" s="13">
        <f>_xll.BDH("RCOM IN Equity","IS_TOT_CASH_PFD_DVD","FY 2015","FY 2015","Currency=INR","Period=FY","BEST_FPERIOD_OVERRIDE=FY","FILING_STATUS=MR","EQY_CONSOLIDATED=Y","SCALING_FORMAT=MLN","Sort=A","Dates=H","DateFormat=P","Fill=—","Direction=H","UseDPDF=Y")</f>
        <v>0</v>
      </c>
      <c r="I79" s="13">
        <f>_xll.BDH("RCOM IN Equity","IS_TOT_CASH_PFD_DVD","FY 2016","FY 2016","Currency=INR","Period=FY","BEST_FPERIOD_OVERRIDE=FY","FILING_STATUS=MR","EQY_CONSOLIDATED=Y","SCALING_FORMAT=MLN","Sort=A","Dates=H","DateFormat=P","Fill=—","Direction=H","UseDPDF=Y")</f>
        <v>0</v>
      </c>
      <c r="J79" s="13">
        <f>_xll.BDH("RCOM IN Equity","IS_TOT_CASH_PFD_DVD","FY 2017","FY 2017","Currency=INR","Period=FY","BEST_FPERIOD_OVERRIDE=FY","FILING_STATUS=MR","EQY_CONSOLIDATED=Y","SCALING_FORMAT=MLN","Sort=A","Dates=H","DateFormat=P","Fill=—","Direction=H","UseDPDF=Y")</f>
        <v>0</v>
      </c>
      <c r="K79" s="13">
        <f>_xll.BDH("RCOM IN Equity","IS_TOT_CASH_PFD_DVD","FY 2018","FY 2018","Currency=INR","Period=FY","BEST_FPERIOD_OVERRIDE=FY","FILING_STATUS=MR","EQY_CONSOLIDATED=Y","SCALING_FORMAT=MLN","Sort=A","Dates=H","DateFormat=P","Fill=—","Direction=H","UseDPDF=Y")</f>
        <v>0</v>
      </c>
      <c r="L79" s="16">
        <v>0</v>
      </c>
    </row>
    <row r="80" spans="1:12">
      <c r="A80" s="10" t="s">
        <v>341</v>
      </c>
      <c r="B80" s="10" t="s">
        <v>342</v>
      </c>
      <c r="C80" s="13">
        <f>_xll.BDH("RCOM IN Equity","OTHER_ADJUSTMENTS","FY 2010","FY 2010","Currency=INR","Period=FY","BEST_FPERIOD_OVERRIDE=FY","FILING_STATUS=MR","EQY_CONSOLIDATED=Y","SCALING_FORMAT=MLN","Sort=A","Dates=H","DateFormat=P","Fill=—","Direction=H","UseDPDF=Y")</f>
        <v>0</v>
      </c>
      <c r="D80" s="13">
        <f>_xll.BDH("RCOM IN Equity","OTHER_ADJUSTMENTS","FY 2011","FY 2011","Currency=INR","Period=FY","BEST_FPERIOD_OVERRIDE=FY","FILING_STATUS=MR","EQY_CONSOLIDATED=Y","SCALING_FORMAT=MLN","Sort=A","Dates=H","DateFormat=P","Fill=—","Direction=H","UseDPDF=Y")</f>
        <v>0</v>
      </c>
      <c r="E80" s="13">
        <f>_xll.BDH("RCOM IN Equity","OTHER_ADJUSTMENTS","FY 2012","FY 2012","Currency=INR","Period=FY","BEST_FPERIOD_OVERRIDE=FY","FILING_STATUS=MR","EQY_CONSOLIDATED=Y","SCALING_FORMAT=MLN","Sort=A","Dates=H","DateFormat=P","Fill=—","Direction=H","UseDPDF=Y")</f>
        <v>0</v>
      </c>
      <c r="F80" s="13">
        <f>_xll.BDH("RCOM IN Equity","OTHER_ADJUSTMENTS","FY 2013","FY 2013","Currency=INR","Period=FY","BEST_FPERIOD_OVERRIDE=FY","FILING_STATUS=MR","EQY_CONSOLIDATED=Y","SCALING_FORMAT=MLN","Sort=A","Dates=H","DateFormat=P","Fill=—","Direction=H","UseDPDF=Y")</f>
        <v>0</v>
      </c>
      <c r="G80" s="13">
        <f>_xll.BDH("RCOM IN Equity","OTHER_ADJUSTMENTS","FY 2014","FY 2014","Currency=INR","Period=FY","BEST_FPERIOD_OVERRIDE=FY","FILING_STATUS=MR","EQY_CONSOLIDATED=Y","SCALING_FORMAT=MLN","Sort=A","Dates=H","DateFormat=P","Fill=—","Direction=H","UseDPDF=Y")</f>
        <v>0</v>
      </c>
      <c r="H80" s="13">
        <f>_xll.BDH("RCOM IN Equity","OTHER_ADJUSTMENTS","FY 2015","FY 2015","Currency=INR","Period=FY","BEST_FPERIOD_OVERRIDE=FY","FILING_STATUS=MR","EQY_CONSOLIDATED=Y","SCALING_FORMAT=MLN","Sort=A","Dates=H","DateFormat=P","Fill=—","Direction=H","UseDPDF=Y")</f>
        <v>0</v>
      </c>
      <c r="I80" s="13">
        <f>_xll.BDH("RCOM IN Equity","OTHER_ADJUSTMENTS","FY 2016","FY 2016","Currency=INR","Period=FY","BEST_FPERIOD_OVERRIDE=FY","FILING_STATUS=MR","EQY_CONSOLIDATED=Y","SCALING_FORMAT=MLN","Sort=A","Dates=H","DateFormat=P","Fill=—","Direction=H","UseDPDF=Y")</f>
        <v>0</v>
      </c>
      <c r="J80" s="13">
        <f>_xll.BDH("RCOM IN Equity","OTHER_ADJUSTMENTS","FY 2017","FY 2017","Currency=INR","Period=FY","BEST_FPERIOD_OVERRIDE=FY","FILING_STATUS=MR","EQY_CONSOLIDATED=Y","SCALING_FORMAT=MLN","Sort=A","Dates=H","DateFormat=P","Fill=—","Direction=H","UseDPDF=Y")</f>
        <v>0</v>
      </c>
      <c r="K80" s="13">
        <f>_xll.BDH("RCOM IN Equity","OTHER_ADJUSTMENTS","FY 2018","FY 2018","Currency=INR","Period=FY","BEST_FPERIOD_OVERRIDE=FY","FILING_STATUS=MR","EQY_CONSOLIDATED=Y","SCALING_FORMAT=MLN","Sort=A","Dates=H","DateFormat=P","Fill=—","Direction=H","UseDPDF=Y")</f>
        <v>0</v>
      </c>
      <c r="L80" s="16">
        <v>0</v>
      </c>
    </row>
    <row r="81" spans="1:12">
      <c r="A81" s="6" t="s">
        <v>343</v>
      </c>
      <c r="B81" s="6" t="s">
        <v>48</v>
      </c>
      <c r="C81" s="19">
        <f>_xll.BDH("RCOM IN Equity","EARN_FOR_COMMON","FY 2010","FY 2010","Currency=INR","Period=FY","BEST_FPERIOD_OVERRIDE=FY","FILING_STATUS=MR","EQY_CONSOLIDATED=Y","SCALING_FORMAT=MLN","FA_ADJUSTED=GAAP","Sort=A","Dates=H","DateFormat=P","Fill=—","Direction=H","UseDPDF=Y")</f>
        <v>46550</v>
      </c>
      <c r="D81" s="19">
        <f>_xll.BDH("RCOM IN Equity","EARN_FOR_COMMON","FY 2011","FY 2011","Currency=INR","Period=FY","BEST_FPERIOD_OVERRIDE=FY","FILING_STATUS=MR","EQY_CONSOLIDATED=Y","SCALING_FORMAT=MLN","FA_ADJUSTED=GAAP","Sort=A","Dates=H","DateFormat=P","Fill=—","Direction=H","UseDPDF=Y")</f>
        <v>13450</v>
      </c>
      <c r="E81" s="19">
        <f>_xll.BDH("RCOM IN Equity","EARN_FOR_COMMON","FY 2012","FY 2012","Currency=INR","Period=FY","BEST_FPERIOD_OVERRIDE=FY","FILING_STATUS=MR","EQY_CONSOLIDATED=Y","SCALING_FORMAT=MLN","FA_ADJUSTED=GAAP","Sort=A","Dates=H","DateFormat=P","Fill=—","Direction=H","UseDPDF=Y")</f>
        <v>9280</v>
      </c>
      <c r="F81" s="19">
        <f>_xll.BDH("RCOM IN Equity","EARN_FOR_COMMON","FY 2013","FY 2013","Currency=INR","Period=FY","BEST_FPERIOD_OVERRIDE=FY","FILING_STATUS=MR","EQY_CONSOLIDATED=Y","SCALING_FORMAT=MLN","FA_ADJUSTED=GAAP","Sort=A","Dates=H","DateFormat=P","Fill=—","Direction=H","UseDPDF=Y")</f>
        <v>6720</v>
      </c>
      <c r="G81" s="19">
        <f>_xll.BDH("RCOM IN Equity","EARN_FOR_COMMON","FY 2014","FY 2014","Currency=INR","Period=FY","BEST_FPERIOD_OVERRIDE=FY","FILING_STATUS=MR","EQY_CONSOLIDATED=Y","SCALING_FORMAT=MLN","FA_ADJUSTED=GAAP","Sort=A","Dates=H","DateFormat=P","Fill=—","Direction=H","UseDPDF=Y")</f>
        <v>10470</v>
      </c>
      <c r="H81" s="19">
        <f>_xll.BDH("RCOM IN Equity","EARN_FOR_COMMON","FY 2015","FY 2015","Currency=INR","Period=FY","BEST_FPERIOD_OVERRIDE=FY","FILING_STATUS=MR","EQY_CONSOLIDATED=Y","SCALING_FORMAT=MLN","FA_ADJUSTED=GAAP","Sort=A","Dates=H","DateFormat=P","Fill=—","Direction=H","UseDPDF=Y")</f>
        <v>7140</v>
      </c>
      <c r="I81" s="19">
        <f>_xll.BDH("RCOM IN Equity","EARN_FOR_COMMON","FY 2016","FY 2016","Currency=INR","Period=FY","BEST_FPERIOD_OVERRIDE=FY","FILING_STATUS=MR","EQY_CONSOLIDATED=Y","SCALING_FORMAT=MLN","FA_ADJUSTED=GAAP","Sort=A","Dates=H","DateFormat=P","Fill=—","Direction=H","UseDPDF=Y")</f>
        <v>6390</v>
      </c>
      <c r="J81" s="19">
        <f>_xll.BDH("RCOM IN Equity","EARN_FOR_COMMON","FY 2017","FY 2017","Currency=INR","Period=FY","BEST_FPERIOD_OVERRIDE=FY","FILING_STATUS=MR","EQY_CONSOLIDATED=Y","SCALING_FORMAT=MLN","FA_ADJUSTED=GAAP","Sort=A","Dates=H","DateFormat=P","Fill=—","Direction=H","UseDPDF=Y")</f>
        <v>-14030</v>
      </c>
      <c r="K81" s="19">
        <f>_xll.BDH("RCOM IN Equity","EARN_FOR_COMMON","FY 2018","FY 2018","Currency=INR","Period=FY","BEST_FPERIOD_OVERRIDE=FY","FILING_STATUS=MR","EQY_CONSOLIDATED=Y","SCALING_FORMAT=MLN","FA_ADJUSTED=GAAP","Sort=A","Dates=H","DateFormat=P","Fill=—","Direction=H","UseDPDF=Y")</f>
        <v>-238390</v>
      </c>
      <c r="L81" s="22">
        <v>-192140</v>
      </c>
    </row>
    <row r="82" spans="1:12">
      <c r="A82" s="6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21"/>
    </row>
    <row r="83" spans="1:12">
      <c r="A83" s="6" t="s">
        <v>344</v>
      </c>
      <c r="B83" s="6" t="s">
        <v>48</v>
      </c>
      <c r="C83" s="19">
        <f>_xll.BDH("RCOM IN Equity","EARN_FOR_COMMON","FY 2010","FY 2010","Currency=INR","Period=FY","BEST_FPERIOD_OVERRIDE=FY","FILING_STATUS=MR","EQY_CONSOLIDATED=Y","SCALING_FORMAT=MLN","FA_ADJUSTED=Adjusted","Sort=A","Dates=H","DateFormat=P","Fill=—","Direction=H","UseDPDF=Y")</f>
        <v>47190.099000000002</v>
      </c>
      <c r="D83" s="19">
        <f>_xll.BDH("RCOM IN Equity","EARN_FOR_COMMON","FY 2011","FY 2011","Currency=INR","Period=FY","BEST_FPERIOD_OVERRIDE=FY","FILING_STATUS=MR","EQY_CONSOLIDATED=Y","SCALING_FORMAT=MLN","FA_ADJUSTED=Adjusted","Sort=A","Dates=H","DateFormat=P","Fill=—","Direction=H","UseDPDF=Y")</f>
        <v>10829.2125</v>
      </c>
      <c r="E83" s="19">
        <f>_xll.BDH("RCOM IN Equity","EARN_FOR_COMMON","FY 2012","FY 2012","Currency=INR","Period=FY","BEST_FPERIOD_OVERRIDE=FY","FILING_STATUS=MR","EQY_CONSOLIDATED=Y","SCALING_FORMAT=MLN","FA_ADJUSTED=Adjusted","Sort=A","Dates=H","DateFormat=P","Fill=—","Direction=H","UseDPDF=Y")</f>
        <v>11576.7</v>
      </c>
      <c r="F83" s="19">
        <f>_xll.BDH("RCOM IN Equity","EARN_FOR_COMMON","FY 2013","FY 2013","Currency=INR","Period=FY","BEST_FPERIOD_OVERRIDE=FY","FILING_STATUS=MR","EQY_CONSOLIDATED=Y","SCALING_FORMAT=MLN","FA_ADJUSTED=Adjusted","Sort=A","Dates=H","DateFormat=P","Fill=—","Direction=H","UseDPDF=Y")</f>
        <v>6686.9949999999999</v>
      </c>
      <c r="G83" s="19">
        <f>_xll.BDH("RCOM IN Equity","EARN_FOR_COMMON","FY 2014","FY 2014","Currency=INR","Period=FY","BEST_FPERIOD_OVERRIDE=FY","FILING_STATUS=MR","EQY_CONSOLIDATED=Y","SCALING_FORMAT=MLN","FA_ADJUSTED=Adjusted","Sort=A","Dates=H","DateFormat=P","Fill=—","Direction=H","UseDPDF=Y")</f>
        <v>10542.611000000001</v>
      </c>
      <c r="H83" s="19">
        <f>_xll.BDH("RCOM IN Equity","EARN_FOR_COMMON","FY 2015","FY 2015","Currency=INR","Period=FY","BEST_FPERIOD_OVERRIDE=FY","FILING_STATUS=MR","EQY_CONSOLIDATED=Y","SCALING_FORMAT=MLN","FA_ADJUSTED=Adjusted","Sort=A","Dates=H","DateFormat=P","Fill=—","Direction=H","UseDPDF=Y")</f>
        <v>6930.7520000000004</v>
      </c>
      <c r="I83" s="19">
        <f>_xll.BDH("RCOM IN Equity","EARN_FOR_COMMON","FY 2016","FY 2016","Currency=INR","Period=FY","BEST_FPERIOD_OVERRIDE=FY","FILING_STATUS=MR","EQY_CONSOLIDATED=Y","SCALING_FORMAT=MLN","FA_ADJUSTED=Adjusted","Sort=A","Dates=H","DateFormat=P","Fill=—","Direction=H","UseDPDF=Y")</f>
        <v>4984.1149999999998</v>
      </c>
      <c r="J83" s="19">
        <f>_xll.BDH("RCOM IN Equity","EARN_FOR_COMMON","FY 2017","FY 2017","Currency=INR","Period=FY","BEST_FPERIOD_OVERRIDE=FY","FILING_STATUS=MR","EQY_CONSOLIDATED=Y","SCALING_FORMAT=MLN","FA_ADJUSTED=Adjusted","Sort=A","Dates=H","DateFormat=P","Fill=—","Direction=H","UseDPDF=Y")</f>
        <v>1250</v>
      </c>
      <c r="K83" s="19">
        <f>_xll.BDH("RCOM IN Equity","EARN_FOR_COMMON","FY 2018","FY 2018","Currency=INR","Period=FY","BEST_FPERIOD_OVERRIDE=FY","FILING_STATUS=MR","EQY_CONSOLIDATED=Y","SCALING_FORMAT=MLN","FA_ADJUSTED=Adjusted","Sort=A","Dates=H","DateFormat=P","Fill=—","Direction=H","UseDPDF=Y")</f>
        <v>490</v>
      </c>
      <c r="L83" s="22">
        <v>11100</v>
      </c>
    </row>
    <row r="84" spans="1:12">
      <c r="A84" s="10" t="s">
        <v>345</v>
      </c>
      <c r="B84" s="10" t="s">
        <v>346</v>
      </c>
      <c r="C84" s="13">
        <f>_xll.BDH("RCOM IN Equity","IS_NET_ABNORMAL_ITEMS","FY 2010","FY 2010","Currency=INR","Period=FY","BEST_FPERIOD_OVERRIDE=FY","FILING_STATUS=MR","EQY_CONSOLIDATED=Y","SCALING_FORMAT=MLN","Sort=A","Dates=H","DateFormat=P","Fill=—","Direction=H","UseDPDF=Y")</f>
        <v>640.09900000000005</v>
      </c>
      <c r="D84" s="13">
        <f>_xll.BDH("RCOM IN Equity","IS_NET_ABNORMAL_ITEMS","FY 2011","FY 2011","Currency=INR","Period=FY","BEST_FPERIOD_OVERRIDE=FY","FILING_STATUS=MR","EQY_CONSOLIDATED=Y","SCALING_FORMAT=MLN","Sort=A","Dates=H","DateFormat=P","Fill=—","Direction=H","UseDPDF=Y")</f>
        <v>-2620.7874999999999</v>
      </c>
      <c r="E84" s="13">
        <f>_xll.BDH("RCOM IN Equity","IS_NET_ABNORMAL_ITEMS","FY 2012","FY 2012","Currency=INR","Period=FY","BEST_FPERIOD_OVERRIDE=FY","FILING_STATUS=MR","EQY_CONSOLIDATED=Y","SCALING_FORMAT=MLN","Sort=A","Dates=H","DateFormat=P","Fill=—","Direction=H","UseDPDF=Y")</f>
        <v>2296.6999999999998</v>
      </c>
      <c r="F84" s="13">
        <f>_xll.BDH("RCOM IN Equity","IS_NET_ABNORMAL_ITEMS","FY 2013","FY 2013","Currency=INR","Period=FY","BEST_FPERIOD_OVERRIDE=FY","FILING_STATUS=MR","EQY_CONSOLIDATED=Y","SCALING_FORMAT=MLN","Sort=A","Dates=H","DateFormat=P","Fill=—","Direction=H","UseDPDF=Y")</f>
        <v>-33.005000000000003</v>
      </c>
      <c r="G84" s="13">
        <f>_xll.BDH("RCOM IN Equity","IS_NET_ABNORMAL_ITEMS","FY 2014","FY 2014","Currency=INR","Period=FY","BEST_FPERIOD_OVERRIDE=FY","FILING_STATUS=MR","EQY_CONSOLIDATED=Y","SCALING_FORMAT=MLN","Sort=A","Dates=H","DateFormat=P","Fill=—","Direction=H","UseDPDF=Y")</f>
        <v>72.611000000000004</v>
      </c>
      <c r="H84" s="13">
        <f>_xll.BDH("RCOM IN Equity","IS_NET_ABNORMAL_ITEMS","FY 2015","FY 2015","Currency=INR","Period=FY","BEST_FPERIOD_OVERRIDE=FY","FILING_STATUS=MR","EQY_CONSOLIDATED=Y","SCALING_FORMAT=MLN","Sort=A","Dates=H","DateFormat=P","Fill=—","Direction=H","UseDPDF=Y")</f>
        <v>-209.24799999999999</v>
      </c>
      <c r="I84" s="13">
        <f>_xll.BDH("RCOM IN Equity","IS_NET_ABNORMAL_ITEMS","FY 2016","FY 2016","Currency=INR","Period=FY","BEST_FPERIOD_OVERRIDE=FY","FILING_STATUS=MR","EQY_CONSOLIDATED=Y","SCALING_FORMAT=MLN","Sort=A","Dates=H","DateFormat=P","Fill=—","Direction=H","UseDPDF=Y")</f>
        <v>-1405.885</v>
      </c>
      <c r="J84" s="13">
        <f>_xll.BDH("RCOM IN Equity","IS_NET_ABNORMAL_ITEMS","FY 2017","FY 2017","Currency=INR","Period=FY","BEST_FPERIOD_OVERRIDE=FY","FILING_STATUS=MR","EQY_CONSOLIDATED=Y","SCALING_FORMAT=MLN","Sort=A","Dates=H","DateFormat=P","Fill=—","Direction=H","UseDPDF=Y")</f>
        <v>0</v>
      </c>
      <c r="K84" s="13">
        <f>_xll.BDH("RCOM IN Equity","IS_NET_ABNORMAL_ITEMS","FY 2018","FY 2018","Currency=INR","Period=FY","BEST_FPERIOD_OVERRIDE=FY","FILING_STATUS=MR","EQY_CONSOLIDATED=Y","SCALING_FORMAT=MLN","Sort=A","Dates=H","DateFormat=P","Fill=—","Direction=H","UseDPDF=Y")</f>
        <v>0</v>
      </c>
      <c r="L84" s="16">
        <v>0</v>
      </c>
    </row>
    <row r="85" spans="1:12">
      <c r="A85" s="10" t="s">
        <v>347</v>
      </c>
      <c r="B85" s="10" t="s">
        <v>328</v>
      </c>
      <c r="C85" s="13">
        <f>_xll.BDH("RCOM IN Equity","XO_GL_NET_OF_TAX","FY 2010","FY 2010","Currency=INR","Period=FY","BEST_FPERIOD_OVERRIDE=FY","FILING_STATUS=MR","EQY_CONSOLIDATED=Y","SCALING_FORMAT=MLN","Sort=A","Dates=H","DateFormat=P","Fill=—","Direction=H","UseDPDF=Y")</f>
        <v>0</v>
      </c>
      <c r="D85" s="13">
        <f>_xll.BDH("RCOM IN Equity","XO_GL_NET_OF_TAX","FY 2011","FY 2011","Currency=INR","Period=FY","BEST_FPERIOD_OVERRIDE=FY","FILING_STATUS=MR","EQY_CONSOLIDATED=Y","SCALING_FORMAT=MLN","Sort=A","Dates=H","DateFormat=P","Fill=—","Direction=H","UseDPDF=Y")</f>
        <v>0</v>
      </c>
      <c r="E85" s="13">
        <f>_xll.BDH("RCOM IN Equity","XO_GL_NET_OF_TAX","FY 2012","FY 2012","Currency=INR","Period=FY","BEST_FPERIOD_OVERRIDE=FY","FILING_STATUS=MR","EQY_CONSOLIDATED=Y","SCALING_FORMAT=MLN","Sort=A","Dates=H","DateFormat=P","Fill=—","Direction=H","UseDPDF=Y")</f>
        <v>0</v>
      </c>
      <c r="F85" s="13">
        <f>_xll.BDH("RCOM IN Equity","XO_GL_NET_OF_TAX","FY 2013","FY 2013","Currency=INR","Period=FY","BEST_FPERIOD_OVERRIDE=FY","FILING_STATUS=MR","EQY_CONSOLIDATED=Y","SCALING_FORMAT=MLN","Sort=A","Dates=H","DateFormat=P","Fill=—","Direction=H","UseDPDF=Y")</f>
        <v>0</v>
      </c>
      <c r="G85" s="13">
        <f>_xll.BDH("RCOM IN Equity","XO_GL_NET_OF_TAX","FY 2014","FY 2014","Currency=INR","Period=FY","BEST_FPERIOD_OVERRIDE=FY","FILING_STATUS=MR","EQY_CONSOLIDATED=Y","SCALING_FORMAT=MLN","Sort=A","Dates=H","DateFormat=P","Fill=—","Direction=H","UseDPDF=Y")</f>
        <v>0</v>
      </c>
      <c r="H85" s="13">
        <f>_xll.BDH("RCOM IN Equity","XO_GL_NET_OF_TAX","FY 2015","FY 2015","Currency=INR","Period=FY","BEST_FPERIOD_OVERRIDE=FY","FILING_STATUS=MR","EQY_CONSOLIDATED=Y","SCALING_FORMAT=MLN","Sort=A","Dates=H","DateFormat=P","Fill=—","Direction=H","UseDPDF=Y")</f>
        <v>0</v>
      </c>
      <c r="I85" s="13">
        <f>_xll.BDH("RCOM IN Equity","XO_GL_NET_OF_TAX","FY 2016","FY 2016","Currency=INR","Period=FY","BEST_FPERIOD_OVERRIDE=FY","FILING_STATUS=MR","EQY_CONSOLIDATED=Y","SCALING_FORMAT=MLN","Sort=A","Dates=H","DateFormat=P","Fill=—","Direction=H","UseDPDF=Y")</f>
        <v>0</v>
      </c>
      <c r="J85" s="13">
        <f>_xll.BDH("RCOM IN Equity","XO_GL_NET_OF_TAX","FY 2017","FY 2017","Currency=INR","Period=FY","BEST_FPERIOD_OVERRIDE=FY","FILING_STATUS=MR","EQY_CONSOLIDATED=Y","SCALING_FORMAT=MLN","Sort=A","Dates=H","DateFormat=P","Fill=—","Direction=H","UseDPDF=Y")</f>
        <v>15280</v>
      </c>
      <c r="K85" s="13">
        <f>_xll.BDH("RCOM IN Equity","XO_GL_NET_OF_TAX","FY 2018","FY 2018","Currency=INR","Period=FY","BEST_FPERIOD_OVERRIDE=FY","FILING_STATUS=MR","EQY_CONSOLIDATED=Y","SCALING_FORMAT=MLN","Sort=A","Dates=H","DateFormat=P","Fill=—","Direction=H","UseDPDF=Y")</f>
        <v>238880</v>
      </c>
      <c r="L85" s="16">
        <v>203240</v>
      </c>
    </row>
    <row r="86" spans="1:12">
      <c r="A86" s="6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21"/>
    </row>
    <row r="87" spans="1:12">
      <c r="A87" s="10" t="s">
        <v>212</v>
      </c>
      <c r="B87" s="10" t="s">
        <v>71</v>
      </c>
      <c r="C87" s="13">
        <f>_xll.BDH("RCOM IN Equity","IS_AVG_NUM_SH_FOR_EPS","FY 2010","FY 2010","Currency=INR","Period=FY","BEST_FPERIOD_OVERRIDE=FY","FILING_STATUS=MR","EQY_CONSOLIDATED=Y","Sort=A","Dates=H","DateFormat=P","Fill=—","Direction=H","UseDPDF=Y")</f>
        <v>2064.0268999999998</v>
      </c>
      <c r="D87" s="13">
        <f>_xll.BDH("RCOM IN Equity","IS_AVG_NUM_SH_FOR_EPS","FY 2011","FY 2011","Currency=INR","Period=FY","BEST_FPERIOD_OVERRIDE=FY","FILING_STATUS=MR","EQY_CONSOLIDATED=Y","Sort=A","Dates=H","DateFormat=P","Fill=—","Direction=H","UseDPDF=Y")</f>
        <v>2064.0268999999998</v>
      </c>
      <c r="E87" s="13">
        <f>_xll.BDH("RCOM IN Equity","IS_AVG_NUM_SH_FOR_EPS","FY 2012","FY 2012","Currency=INR","Period=FY","BEST_FPERIOD_OVERRIDE=FY","FILING_STATUS=MR","EQY_CONSOLIDATED=Y","Sort=A","Dates=H","DateFormat=P","Fill=—","Direction=H","UseDPDF=Y")</f>
        <v>2064.0268999999998</v>
      </c>
      <c r="F87" s="13">
        <f>_xll.BDH("RCOM IN Equity","IS_AVG_NUM_SH_FOR_EPS","FY 2013","FY 2013","Currency=INR","Period=FY","BEST_FPERIOD_OVERRIDE=FY","FILING_STATUS=MR","EQY_CONSOLIDATED=Y","Sort=A","Dates=H","DateFormat=P","Fill=—","Direction=H","UseDPDF=Y")</f>
        <v>2064.0268999999998</v>
      </c>
      <c r="G87" s="13">
        <f>_xll.BDH("RCOM IN Equity","IS_AVG_NUM_SH_FOR_EPS","FY 2014","FY 2014","Currency=INR","Period=FY","BEST_FPERIOD_OVERRIDE=FY","FILING_STATUS=MR","EQY_CONSOLIDATED=Y","Sort=A","Dates=H","DateFormat=P","Fill=—","Direction=H","UseDPDF=Y")</f>
        <v>2064.0268999999998</v>
      </c>
      <c r="H87" s="13">
        <f>_xll.BDH("RCOM IN Equity","IS_AVG_NUM_SH_FOR_EPS","FY 2015","FY 2015","Currency=INR","Period=FY","BEST_FPERIOD_OVERRIDE=FY","FILING_STATUS=MR","EQY_CONSOLIDATED=Y","Sort=A","Dates=H","DateFormat=P","Fill=—","Direction=H","UseDPDF=Y")</f>
        <v>2333.9049</v>
      </c>
      <c r="I87" s="13">
        <f>_xll.BDH("RCOM IN Equity","IS_AVG_NUM_SH_FOR_EPS","FY 2016","FY 2016","Currency=INR","Period=FY","BEST_FPERIOD_OVERRIDE=FY","FILING_STATUS=MR","EQY_CONSOLIDATED=Y","Sort=A","Dates=H","DateFormat=P","Fill=—","Direction=H","UseDPDF=Y")</f>
        <v>2467.7006999999999</v>
      </c>
      <c r="J87" s="13">
        <f>_xll.BDH("RCOM IN Equity","IS_AVG_NUM_SH_FOR_EPS","FY 2017","FY 2017","Currency=INR","Period=FY","BEST_FPERIOD_OVERRIDE=FY","FILING_STATUS=MR","EQY_CONSOLIDATED=Y","Sort=A","Dates=H","DateFormat=P","Fill=—","Direction=H","UseDPDF=Y")</f>
        <v>2467.7006999999999</v>
      </c>
      <c r="K87" s="13">
        <f>_xll.BDH("RCOM IN Equity","IS_AVG_NUM_SH_FOR_EPS","FY 2018","FY 2018","Currency=INR","Period=FY","BEST_FPERIOD_OVERRIDE=FY","FILING_STATUS=MR","EQY_CONSOLIDATED=Y","Sort=A","Dates=H","DateFormat=P","Fill=—","Direction=H","UseDPDF=Y")</f>
        <v>2582.8681000000001</v>
      </c>
      <c r="L87" s="16">
        <v>2766</v>
      </c>
    </row>
    <row r="88" spans="1:12">
      <c r="A88" s="6" t="s">
        <v>66</v>
      </c>
      <c r="B88" s="6" t="s">
        <v>67</v>
      </c>
      <c r="C88" s="20">
        <f>_xll.BDH("RCOM IN Equity","IS_EPS","FY 2010","FY 2010","Currency=INR","Period=FY","BEST_FPERIOD_OVERRIDE=FY","FILING_STATUS=MR","EQY_CONSOLIDATED=Y","FA_ADJUSTED=GAAP","Sort=A","Dates=H","DateFormat=P","Fill=—","Direction=H","UseDPDF=Y")</f>
        <v>22.553000000000001</v>
      </c>
      <c r="D88" s="20">
        <f>_xll.BDH("RCOM IN Equity","IS_EPS","FY 2011","FY 2011","Currency=INR","Period=FY","BEST_FPERIOD_OVERRIDE=FY","FILING_STATUS=MR","EQY_CONSOLIDATED=Y","FA_ADJUSTED=GAAP","Sort=A","Dates=H","DateFormat=P","Fill=—","Direction=H","UseDPDF=Y")</f>
        <v>6.5164</v>
      </c>
      <c r="E88" s="20">
        <f>_xll.BDH("RCOM IN Equity","IS_EPS","FY 2012","FY 2012","Currency=INR","Period=FY","BEST_FPERIOD_OVERRIDE=FY","FILING_STATUS=MR","EQY_CONSOLIDATED=Y","FA_ADJUSTED=GAAP","Sort=A","Dates=H","DateFormat=P","Fill=—","Direction=H","UseDPDF=Y")</f>
        <v>4.5</v>
      </c>
      <c r="F88" s="20">
        <f>_xll.BDH("RCOM IN Equity","IS_EPS","FY 2013","FY 2013","Currency=INR","Period=FY","BEST_FPERIOD_OVERRIDE=FY","FILING_STATUS=MR","EQY_CONSOLIDATED=Y","FA_ADJUSTED=GAAP","Sort=A","Dates=H","DateFormat=P","Fill=—","Direction=H","UseDPDF=Y")</f>
        <v>3.26</v>
      </c>
      <c r="G88" s="20">
        <f>_xll.BDH("RCOM IN Equity","IS_EPS","FY 2014","FY 2014","Currency=INR","Period=FY","BEST_FPERIOD_OVERRIDE=FY","FILING_STATUS=MR","EQY_CONSOLIDATED=Y","FA_ADJUSTED=GAAP","Sort=A","Dates=H","DateFormat=P","Fill=—","Direction=H","UseDPDF=Y")</f>
        <v>5.07</v>
      </c>
      <c r="H88" s="20">
        <f>_xll.BDH("RCOM IN Equity","IS_EPS","FY 2015","FY 2015","Currency=INR","Period=FY","BEST_FPERIOD_OVERRIDE=FY","FILING_STATUS=MR","EQY_CONSOLIDATED=Y","FA_ADJUSTED=GAAP","Sort=A","Dates=H","DateFormat=P","Fill=—","Direction=H","UseDPDF=Y")</f>
        <v>3.05</v>
      </c>
      <c r="I88" s="20">
        <f>_xll.BDH("RCOM IN Equity","IS_EPS","FY 2016","FY 2016","Currency=INR","Period=FY","BEST_FPERIOD_OVERRIDE=FY","FILING_STATUS=MR","EQY_CONSOLIDATED=Y","FA_ADJUSTED=GAAP","Sort=A","Dates=H","DateFormat=P","Fill=—","Direction=H","UseDPDF=Y")</f>
        <v>2.59</v>
      </c>
      <c r="J88" s="20">
        <f>_xll.BDH("RCOM IN Equity","IS_EPS","FY 2017","FY 2017","Currency=INR","Period=FY","BEST_FPERIOD_OVERRIDE=FY","FILING_STATUS=MR","EQY_CONSOLIDATED=Y","FA_ADJUSTED=GAAP","Sort=A","Dates=H","DateFormat=P","Fill=—","Direction=H","UseDPDF=Y")</f>
        <v>-5.6855000000000002</v>
      </c>
      <c r="K88" s="20">
        <f>_xll.BDH("RCOM IN Equity","IS_EPS","FY 2018","FY 2018","Currency=INR","Period=FY","BEST_FPERIOD_OVERRIDE=FY","FILING_STATUS=MR","EQY_CONSOLIDATED=Y","FA_ADJUSTED=GAAP","Sort=A","Dates=H","DateFormat=P","Fill=—","Direction=H","UseDPDF=Y")</f>
        <v>-92.296599999999998</v>
      </c>
      <c r="L88" s="23">
        <v>-74.560955000000007</v>
      </c>
    </row>
    <row r="89" spans="1:12">
      <c r="A89" s="6" t="s">
        <v>348</v>
      </c>
      <c r="B89" s="6" t="s">
        <v>219</v>
      </c>
      <c r="C89" s="20">
        <f>_xll.BDH("RCOM IN Equity","IS_EARN_BEF_XO_ITEMS_PER_SH","FY 2010","FY 2010","Currency=INR","Period=FY","BEST_FPERIOD_OVERRIDE=FY","FILING_STATUS=MR","EQY_CONSOLIDATED=Y","Sort=A","Dates=H","DateFormat=P","Fill=—","Direction=H","UseDPDF=Y")</f>
        <v>22.553000000000001</v>
      </c>
      <c r="D89" s="20">
        <f>_xll.BDH("RCOM IN Equity","IS_EARN_BEF_XO_ITEMS_PER_SH","FY 2011","FY 2011","Currency=INR","Period=FY","BEST_FPERIOD_OVERRIDE=FY","FILING_STATUS=MR","EQY_CONSOLIDATED=Y","Sort=A","Dates=H","DateFormat=P","Fill=—","Direction=H","UseDPDF=Y")</f>
        <v>6.5164</v>
      </c>
      <c r="E89" s="20">
        <f>_xll.BDH("RCOM IN Equity","IS_EARN_BEF_XO_ITEMS_PER_SH","FY 2012","FY 2012","Currency=INR","Period=FY","BEST_FPERIOD_OVERRIDE=FY","FILING_STATUS=MR","EQY_CONSOLIDATED=Y","Sort=A","Dates=H","DateFormat=P","Fill=—","Direction=H","UseDPDF=Y")</f>
        <v>4.5</v>
      </c>
      <c r="F89" s="20">
        <f>_xll.BDH("RCOM IN Equity","IS_EARN_BEF_XO_ITEMS_PER_SH","FY 2013","FY 2013","Currency=INR","Period=FY","BEST_FPERIOD_OVERRIDE=FY","FILING_STATUS=MR","EQY_CONSOLIDATED=Y","Sort=A","Dates=H","DateFormat=P","Fill=—","Direction=H","UseDPDF=Y")</f>
        <v>3.26</v>
      </c>
      <c r="G89" s="20">
        <f>_xll.BDH("RCOM IN Equity","IS_EARN_BEF_XO_ITEMS_PER_SH","FY 2014","FY 2014","Currency=INR","Period=FY","BEST_FPERIOD_OVERRIDE=FY","FILING_STATUS=MR","EQY_CONSOLIDATED=Y","Sort=A","Dates=H","DateFormat=P","Fill=—","Direction=H","UseDPDF=Y")</f>
        <v>5.07</v>
      </c>
      <c r="H89" s="20">
        <f>_xll.BDH("RCOM IN Equity","IS_EARN_BEF_XO_ITEMS_PER_SH","FY 2015","FY 2015","Currency=INR","Period=FY","BEST_FPERIOD_OVERRIDE=FY","FILING_STATUS=MR","EQY_CONSOLIDATED=Y","Sort=A","Dates=H","DateFormat=P","Fill=—","Direction=H","UseDPDF=Y")</f>
        <v>3.05</v>
      </c>
      <c r="I89" s="20">
        <f>_xll.BDH("RCOM IN Equity","IS_EARN_BEF_XO_ITEMS_PER_SH","FY 2016","FY 2016","Currency=INR","Period=FY","BEST_FPERIOD_OVERRIDE=FY","FILING_STATUS=MR","EQY_CONSOLIDATED=Y","Sort=A","Dates=H","DateFormat=P","Fill=—","Direction=H","UseDPDF=Y")</f>
        <v>2.59</v>
      </c>
      <c r="J89" s="20">
        <f>_xll.BDH("RCOM IN Equity","IS_EARN_BEF_XO_ITEMS_PER_SH","FY 2017","FY 2017","Currency=INR","Period=FY","BEST_FPERIOD_OVERRIDE=FY","FILING_STATUS=MR","EQY_CONSOLIDATED=Y","Sort=A","Dates=H","DateFormat=P","Fill=—","Direction=H","UseDPDF=Y")</f>
        <v>0.50649999999999995</v>
      </c>
      <c r="K89" s="20">
        <f>_xll.BDH("RCOM IN Equity","IS_EARN_BEF_XO_ITEMS_PER_SH","FY 2018","FY 2018","Currency=INR","Period=FY","BEST_FPERIOD_OVERRIDE=FY","FILING_STATUS=MR","EQY_CONSOLIDATED=Y","Sort=A","Dates=H","DateFormat=P","Fill=—","Direction=H","UseDPDF=Y")</f>
        <v>0.18970000000000001</v>
      </c>
      <c r="L89" s="23">
        <v>4.0190530000000004</v>
      </c>
    </row>
    <row r="90" spans="1:12">
      <c r="A90" s="6" t="s">
        <v>349</v>
      </c>
      <c r="B90" s="6" t="s">
        <v>221</v>
      </c>
      <c r="C90" s="20">
        <f>_xll.BDH("RCOM IN Equity","IS_BASIC_EPS_CONT_OPS","FY 2010","FY 2010","Currency=INR","Period=FY","BEST_FPERIOD_OVERRIDE=FY","FILING_STATUS=MR","EQY_CONSOLIDATED=Y","Sort=A","Dates=H","DateFormat=P","Fill=—","Direction=H","UseDPDF=Y")</f>
        <v>22.863099999999999</v>
      </c>
      <c r="D90" s="20">
        <f>_xll.BDH("RCOM IN Equity","IS_BASIC_EPS_CONT_OPS","FY 2011","FY 2011","Currency=INR","Period=FY","BEST_FPERIOD_OVERRIDE=FY","FILING_STATUS=MR","EQY_CONSOLIDATED=Y","Sort=A","Dates=H","DateFormat=P","Fill=—","Direction=H","UseDPDF=Y")</f>
        <v>5.2465999999999999</v>
      </c>
      <c r="E90" s="20">
        <f>_xll.BDH("RCOM IN Equity","IS_BASIC_EPS_CONT_OPS","FY 2012","FY 2012","Currency=INR","Period=FY","BEST_FPERIOD_OVERRIDE=FY","FILING_STATUS=MR","EQY_CONSOLIDATED=Y","Sort=A","Dates=H","DateFormat=P","Fill=—","Direction=H","UseDPDF=Y")</f>
        <v>5.6088000000000005</v>
      </c>
      <c r="F90" s="20">
        <f>_xll.BDH("RCOM IN Equity","IS_BASIC_EPS_CONT_OPS","FY 2013","FY 2013","Currency=INR","Period=FY","BEST_FPERIOD_OVERRIDE=FY","FILING_STATUS=MR","EQY_CONSOLIDATED=Y","Sort=A","Dates=H","DateFormat=P","Fill=—","Direction=H","UseDPDF=Y")</f>
        <v>3.2397999999999998</v>
      </c>
      <c r="G90" s="20">
        <f>_xll.BDH("RCOM IN Equity","IS_BASIC_EPS_CONT_OPS","FY 2014","FY 2014","Currency=INR","Period=FY","BEST_FPERIOD_OVERRIDE=FY","FILING_STATUS=MR","EQY_CONSOLIDATED=Y","Sort=A","Dates=H","DateFormat=P","Fill=—","Direction=H","UseDPDF=Y")</f>
        <v>5.1078000000000001</v>
      </c>
      <c r="H90" s="20">
        <f>_xll.BDH("RCOM IN Equity","IS_BASIC_EPS_CONT_OPS","FY 2015","FY 2015","Currency=INR","Period=FY","BEST_FPERIOD_OVERRIDE=FY","FILING_STATUS=MR","EQY_CONSOLIDATED=Y","Sort=A","Dates=H","DateFormat=P","Fill=—","Direction=H","UseDPDF=Y")</f>
        <v>2.9695999999999998</v>
      </c>
      <c r="I90" s="20">
        <f>_xll.BDH("RCOM IN Equity","IS_BASIC_EPS_CONT_OPS","FY 2016","FY 2016","Currency=INR","Period=FY","BEST_FPERIOD_OVERRIDE=FY","FILING_STATUS=MR","EQY_CONSOLIDATED=Y","Sort=A","Dates=H","DateFormat=P","Fill=—","Direction=H","UseDPDF=Y")</f>
        <v>2.0196999999999998</v>
      </c>
      <c r="J90" s="20">
        <f>_xll.BDH("RCOM IN Equity","IS_BASIC_EPS_CONT_OPS","FY 2017","FY 2017","Currency=INR","Period=FY","BEST_FPERIOD_OVERRIDE=FY","FILING_STATUS=MR","EQY_CONSOLIDATED=Y","Sort=A","Dates=H","DateFormat=P","Fill=—","Direction=H","UseDPDF=Y")</f>
        <v>0.50649999999999995</v>
      </c>
      <c r="K90" s="20">
        <f>_xll.BDH("RCOM IN Equity","IS_BASIC_EPS_CONT_OPS","FY 2018","FY 2018","Currency=INR","Period=FY","BEST_FPERIOD_OVERRIDE=FY","FILING_STATUS=MR","EQY_CONSOLIDATED=Y","Sort=A","Dates=H","DateFormat=P","Fill=—","Direction=H","UseDPDF=Y")</f>
        <v>0.18970000000000001</v>
      </c>
      <c r="L90" s="23">
        <v>4.0190530000000004</v>
      </c>
    </row>
    <row r="91" spans="1:12">
      <c r="A91" s="6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21"/>
    </row>
    <row r="92" spans="1:12">
      <c r="A92" s="10" t="s">
        <v>211</v>
      </c>
      <c r="B92" s="10" t="s">
        <v>73</v>
      </c>
      <c r="C92" s="13">
        <f>_xll.BDH("RCOM IN Equity","IS_SH_FOR_DILUTED_EPS","FY 2010","FY 2010","Currency=INR","Period=FY","BEST_FPERIOD_OVERRIDE=FY","FILING_STATUS=MR","EQY_CONSOLIDATED=Y","Sort=A","Dates=H","DateFormat=P","Fill=—","Direction=H","UseDPDF=Y")</f>
        <v>2153.1658000000002</v>
      </c>
      <c r="D92" s="13">
        <f>_xll.BDH("RCOM IN Equity","IS_SH_FOR_DILUTED_EPS","FY 2011","FY 2011","Currency=INR","Period=FY","BEST_FPERIOD_OVERRIDE=FY","FILING_STATUS=MR","EQY_CONSOLIDATED=Y","Sort=A","Dates=H","DateFormat=P","Fill=—","Direction=H","UseDPDF=Y")</f>
        <v>2153.1658000000002</v>
      </c>
      <c r="E92" s="13">
        <f>_xll.BDH("RCOM IN Equity","IS_SH_FOR_DILUTED_EPS","FY 2012","FY 2012","Currency=INR","Period=FY","BEST_FPERIOD_OVERRIDE=FY","FILING_STATUS=MR","EQY_CONSOLIDATED=Y","Sort=A","Dates=H","DateFormat=P","Fill=—","Direction=H","UseDPDF=Y")</f>
        <v>2104.0468999999998</v>
      </c>
      <c r="F92" s="13">
        <f>_xll.BDH("RCOM IN Equity","IS_SH_FOR_DILUTED_EPS","FY 2013","FY 2013","Currency=INR","Period=FY","BEST_FPERIOD_OVERRIDE=FY","FILING_STATUS=MR","EQY_CONSOLIDATED=Y","Sort=A","Dates=H","DateFormat=P","Fill=—","Direction=H","UseDPDF=Y")</f>
        <v>2064.0268999999998</v>
      </c>
      <c r="G92" s="13">
        <f>_xll.BDH("RCOM IN Equity","IS_SH_FOR_DILUTED_EPS","FY 2014","FY 2014","Currency=INR","Period=FY","BEST_FPERIOD_OVERRIDE=FY","FILING_STATUS=MR","EQY_CONSOLIDATED=Y","Sort=A","Dates=H","DateFormat=P","Fill=—","Direction=H","UseDPDF=Y")</f>
        <v>2064.0268999999998</v>
      </c>
      <c r="H92" s="13">
        <f>_xll.BDH("RCOM IN Equity","IS_SH_FOR_DILUTED_EPS","FY 2015","FY 2015","Currency=INR","Period=FY","BEST_FPERIOD_OVERRIDE=FY","FILING_STATUS=MR","EQY_CONSOLIDATED=Y","Sort=A","Dates=H","DateFormat=P","Fill=—","Direction=H","UseDPDF=Y")</f>
        <v>2333.9049</v>
      </c>
      <c r="I92" s="13">
        <f>_xll.BDH("RCOM IN Equity","IS_SH_FOR_DILUTED_EPS","FY 2016","FY 2016","Currency=INR","Period=FY","BEST_FPERIOD_OVERRIDE=FY","FILING_STATUS=MR","EQY_CONSOLIDATED=Y","Sort=A","Dates=H","DateFormat=P","Fill=—","Direction=H","UseDPDF=Y")</f>
        <v>2467.7006999999999</v>
      </c>
      <c r="J92" s="13">
        <f>_xll.BDH("RCOM IN Equity","IS_SH_FOR_DILUTED_EPS","FY 2017","FY 2017","Currency=INR","Period=FY","BEST_FPERIOD_OVERRIDE=FY","FILING_STATUS=MR","EQY_CONSOLIDATED=Y","Sort=A","Dates=H","DateFormat=P","Fill=—","Direction=H","UseDPDF=Y")</f>
        <v>2467.7006999999999</v>
      </c>
      <c r="K92" s="13">
        <f>_xll.BDH("RCOM IN Equity","IS_SH_FOR_DILUTED_EPS","FY 2018","FY 2018","Currency=INR","Period=FY","BEST_FPERIOD_OVERRIDE=FY","FILING_STATUS=MR","EQY_CONSOLIDATED=Y","Sort=A","Dates=H","DateFormat=P","Fill=—","Direction=H","UseDPDF=Y")</f>
        <v>2582.8681000000001</v>
      </c>
      <c r="L92" s="16">
        <v>2766</v>
      </c>
    </row>
    <row r="93" spans="1:12">
      <c r="A93" s="6" t="s">
        <v>68</v>
      </c>
      <c r="B93" s="6" t="s">
        <v>69</v>
      </c>
      <c r="C93" s="20">
        <f>_xll.BDH("RCOM IN Equity","IS_DILUTED_EPS","FY 2010","FY 2010","Currency=INR","Period=FY","BEST_FPERIOD_OVERRIDE=FY","FILING_STATUS=MR","EQY_CONSOLIDATED=Y","FA_ADJUSTED=GAAP","Sort=A","Dates=H","DateFormat=P","Fill=—","Direction=H","UseDPDF=Y")</f>
        <v>21.619299999999999</v>
      </c>
      <c r="D93" s="20">
        <f>_xll.BDH("RCOM IN Equity","IS_DILUTED_EPS","FY 2011","FY 2011","Currency=INR","Period=FY","BEST_FPERIOD_OVERRIDE=FY","FILING_STATUS=MR","EQY_CONSOLIDATED=Y","FA_ADJUSTED=GAAP","Sort=A","Dates=H","DateFormat=P","Fill=—","Direction=H","UseDPDF=Y")</f>
        <v>6.2465999999999999</v>
      </c>
      <c r="E93" s="20">
        <f>_xll.BDH("RCOM IN Equity","IS_DILUTED_EPS","FY 2012","FY 2012","Currency=INR","Period=FY","BEST_FPERIOD_OVERRIDE=FY","FILING_STATUS=MR","EQY_CONSOLIDATED=Y","FA_ADJUSTED=GAAP","Sort=A","Dates=H","DateFormat=P","Fill=—","Direction=H","UseDPDF=Y")</f>
        <v>4.41</v>
      </c>
      <c r="F93" s="20">
        <f>_xll.BDH("RCOM IN Equity","IS_DILUTED_EPS","FY 2013","FY 2013","Currency=INR","Period=FY","BEST_FPERIOD_OVERRIDE=FY","FILING_STATUS=MR","EQY_CONSOLIDATED=Y","FA_ADJUSTED=GAAP","Sort=A","Dates=H","DateFormat=P","Fill=—","Direction=H","UseDPDF=Y")</f>
        <v>3.26</v>
      </c>
      <c r="G93" s="20">
        <f>_xll.BDH("RCOM IN Equity","IS_DILUTED_EPS","FY 2014","FY 2014","Currency=INR","Period=FY","BEST_FPERIOD_OVERRIDE=FY","FILING_STATUS=MR","EQY_CONSOLIDATED=Y","FA_ADJUSTED=GAAP","Sort=A","Dates=H","DateFormat=P","Fill=—","Direction=H","UseDPDF=Y")</f>
        <v>5.07</v>
      </c>
      <c r="H93" s="20">
        <f>_xll.BDH("RCOM IN Equity","IS_DILUTED_EPS","FY 2015","FY 2015","Currency=INR","Period=FY","BEST_FPERIOD_OVERRIDE=FY","FILING_STATUS=MR","EQY_CONSOLIDATED=Y","FA_ADJUSTED=GAAP","Sort=A","Dates=H","DateFormat=P","Fill=—","Direction=H","UseDPDF=Y")</f>
        <v>3.05</v>
      </c>
      <c r="I93" s="20">
        <f>_xll.BDH("RCOM IN Equity","IS_DILUTED_EPS","FY 2016","FY 2016","Currency=INR","Period=FY","BEST_FPERIOD_OVERRIDE=FY","FILING_STATUS=MR","EQY_CONSOLIDATED=Y","FA_ADJUSTED=GAAP","Sort=A","Dates=H","DateFormat=P","Fill=—","Direction=H","UseDPDF=Y")</f>
        <v>2.59</v>
      </c>
      <c r="J93" s="20">
        <f>_xll.BDH("RCOM IN Equity","IS_DILUTED_EPS","FY 2017","FY 2017","Currency=INR","Period=FY","BEST_FPERIOD_OVERRIDE=FY","FILING_STATUS=MR","EQY_CONSOLIDATED=Y","FA_ADJUSTED=GAAP","Sort=A","Dates=H","DateFormat=P","Fill=—","Direction=H","UseDPDF=Y")</f>
        <v>-5.6855000000000002</v>
      </c>
      <c r="K93" s="20">
        <f>_xll.BDH("RCOM IN Equity","IS_DILUTED_EPS","FY 2018","FY 2018","Currency=INR","Period=FY","BEST_FPERIOD_OVERRIDE=FY","FILING_STATUS=MR","EQY_CONSOLIDATED=Y","FA_ADJUSTED=GAAP","Sort=A","Dates=H","DateFormat=P","Fill=—","Direction=H","UseDPDF=Y")</f>
        <v>-92.296599999999998</v>
      </c>
      <c r="L93" s="23">
        <v>-74.560955000000007</v>
      </c>
    </row>
    <row r="94" spans="1:12">
      <c r="A94" s="6" t="s">
        <v>350</v>
      </c>
      <c r="B94" s="6" t="s">
        <v>224</v>
      </c>
      <c r="C94" s="20">
        <f>_xll.BDH("RCOM IN Equity","IS_DIL_EPS_BEF_XO","FY 2010","FY 2010","Currency=INR","Period=FY","BEST_FPERIOD_OVERRIDE=FY","FILING_STATUS=MR","EQY_CONSOLIDATED=Y","Sort=A","Dates=H","DateFormat=P","Fill=—","Direction=H","UseDPDF=Y")</f>
        <v>21.619299999999999</v>
      </c>
      <c r="D94" s="20">
        <f>_xll.BDH("RCOM IN Equity","IS_DIL_EPS_BEF_XO","FY 2011","FY 2011","Currency=INR","Period=FY","BEST_FPERIOD_OVERRIDE=FY","FILING_STATUS=MR","EQY_CONSOLIDATED=Y","Sort=A","Dates=H","DateFormat=P","Fill=—","Direction=H","UseDPDF=Y")</f>
        <v>6.2465999999999999</v>
      </c>
      <c r="E94" s="20">
        <f>_xll.BDH("RCOM IN Equity","IS_DIL_EPS_BEF_XO","FY 2012","FY 2012","Currency=INR","Period=FY","BEST_FPERIOD_OVERRIDE=FY","FILING_STATUS=MR","EQY_CONSOLIDATED=Y","Sort=A","Dates=H","DateFormat=P","Fill=—","Direction=H","UseDPDF=Y")</f>
        <v>4.41</v>
      </c>
      <c r="F94" s="20">
        <f>_xll.BDH("RCOM IN Equity","IS_DIL_EPS_BEF_XO","FY 2013","FY 2013","Currency=INR","Period=FY","BEST_FPERIOD_OVERRIDE=FY","FILING_STATUS=MR","EQY_CONSOLIDATED=Y","Sort=A","Dates=H","DateFormat=P","Fill=—","Direction=H","UseDPDF=Y")</f>
        <v>3.26</v>
      </c>
      <c r="G94" s="20">
        <f>_xll.BDH("RCOM IN Equity","IS_DIL_EPS_BEF_XO","FY 2014","FY 2014","Currency=INR","Period=FY","BEST_FPERIOD_OVERRIDE=FY","FILING_STATUS=MR","EQY_CONSOLIDATED=Y","Sort=A","Dates=H","DateFormat=P","Fill=—","Direction=H","UseDPDF=Y")</f>
        <v>5.07</v>
      </c>
      <c r="H94" s="20">
        <f>_xll.BDH("RCOM IN Equity","IS_DIL_EPS_BEF_XO","FY 2015","FY 2015","Currency=INR","Period=FY","BEST_FPERIOD_OVERRIDE=FY","FILING_STATUS=MR","EQY_CONSOLIDATED=Y","Sort=A","Dates=H","DateFormat=P","Fill=—","Direction=H","UseDPDF=Y")</f>
        <v>3.05</v>
      </c>
      <c r="I94" s="20">
        <f>_xll.BDH("RCOM IN Equity","IS_DIL_EPS_BEF_XO","FY 2016","FY 2016","Currency=INR","Period=FY","BEST_FPERIOD_OVERRIDE=FY","FILING_STATUS=MR","EQY_CONSOLIDATED=Y","Sort=A","Dates=H","DateFormat=P","Fill=—","Direction=H","UseDPDF=Y")</f>
        <v>2.59</v>
      </c>
      <c r="J94" s="20">
        <f>_xll.BDH("RCOM IN Equity","IS_DIL_EPS_BEF_XO","FY 2017","FY 2017","Currency=INR","Period=FY","BEST_FPERIOD_OVERRIDE=FY","FILING_STATUS=MR","EQY_CONSOLIDATED=Y","Sort=A","Dates=H","DateFormat=P","Fill=—","Direction=H","UseDPDF=Y")</f>
        <v>0.50649999999999995</v>
      </c>
      <c r="K94" s="20">
        <f>_xll.BDH("RCOM IN Equity","IS_DIL_EPS_BEF_XO","FY 2018","FY 2018","Currency=INR","Period=FY","BEST_FPERIOD_OVERRIDE=FY","FILING_STATUS=MR","EQY_CONSOLIDATED=Y","Sort=A","Dates=H","DateFormat=P","Fill=—","Direction=H","UseDPDF=Y")</f>
        <v>0.18970000000000001</v>
      </c>
      <c r="L94" s="23">
        <v>4.0190530000000004</v>
      </c>
    </row>
    <row r="95" spans="1:12">
      <c r="A95" s="6" t="s">
        <v>351</v>
      </c>
      <c r="B95" s="6" t="s">
        <v>50</v>
      </c>
      <c r="C95" s="20">
        <f>_xll.BDH("RCOM IN Equity","IS_DIL_EPS_CONT_OPS","FY 2010","FY 2010","Currency=INR","Period=FY","BEST_FPERIOD_OVERRIDE=FY","FILING_STATUS=MR","EQY_CONSOLIDATED=Y","Sort=A","Dates=H","DateFormat=P","Fill=—","Direction=H","UseDPDF=Y")</f>
        <v>21.916599999999999</v>
      </c>
      <c r="D95" s="20">
        <f>_xll.BDH("RCOM IN Equity","IS_DIL_EPS_CONT_OPS","FY 2011","FY 2011","Currency=INR","Period=FY","BEST_FPERIOD_OVERRIDE=FY","FILING_STATUS=MR","EQY_CONSOLIDATED=Y","Sort=A","Dates=H","DateFormat=P","Fill=—","Direction=H","UseDPDF=Y")</f>
        <v>5.0293999999999999</v>
      </c>
      <c r="E95" s="20">
        <f>_xll.BDH("RCOM IN Equity","IS_DIL_EPS_CONT_OPS","FY 2012","FY 2012","Currency=INR","Period=FY","BEST_FPERIOD_OVERRIDE=FY","FILING_STATUS=MR","EQY_CONSOLIDATED=Y","Sort=A","Dates=H","DateFormat=P","Fill=—","Direction=H","UseDPDF=Y")</f>
        <v>5.5015999999999998</v>
      </c>
      <c r="F95" s="20">
        <f>_xll.BDH("RCOM IN Equity","IS_DIL_EPS_CONT_OPS","FY 2013","FY 2013","Currency=INR","Period=FY","BEST_FPERIOD_OVERRIDE=FY","FILING_STATUS=MR","EQY_CONSOLIDATED=Y","Sort=A","Dates=H","DateFormat=P","Fill=—","Direction=H","UseDPDF=Y")</f>
        <v>3.2397999999999998</v>
      </c>
      <c r="G95" s="20">
        <f>_xll.BDH("RCOM IN Equity","IS_DIL_EPS_CONT_OPS","FY 2014","FY 2014","Currency=INR","Period=FY","BEST_FPERIOD_OVERRIDE=FY","FILING_STATUS=MR","EQY_CONSOLIDATED=Y","Sort=A","Dates=H","DateFormat=P","Fill=—","Direction=H","UseDPDF=Y")</f>
        <v>5.1078000000000001</v>
      </c>
      <c r="H95" s="20">
        <f>_xll.BDH("RCOM IN Equity","IS_DIL_EPS_CONT_OPS","FY 2015","FY 2015","Currency=INR","Period=FY","BEST_FPERIOD_OVERRIDE=FY","FILING_STATUS=MR","EQY_CONSOLIDATED=Y","Sort=A","Dates=H","DateFormat=P","Fill=—","Direction=H","UseDPDF=Y")</f>
        <v>2.9695999999999998</v>
      </c>
      <c r="I95" s="20">
        <f>_xll.BDH("RCOM IN Equity","IS_DIL_EPS_CONT_OPS","FY 2016","FY 2016","Currency=INR","Period=FY","BEST_FPERIOD_OVERRIDE=FY","FILING_STATUS=MR","EQY_CONSOLIDATED=Y","Sort=A","Dates=H","DateFormat=P","Fill=—","Direction=H","UseDPDF=Y")</f>
        <v>2.0196999999999998</v>
      </c>
      <c r="J95" s="20">
        <f>_xll.BDH("RCOM IN Equity","IS_DIL_EPS_CONT_OPS","FY 2017","FY 2017","Currency=INR","Period=FY","BEST_FPERIOD_OVERRIDE=FY","FILING_STATUS=MR","EQY_CONSOLIDATED=Y","Sort=A","Dates=H","DateFormat=P","Fill=—","Direction=H","UseDPDF=Y")</f>
        <v>0.50649999999999995</v>
      </c>
      <c r="K95" s="20">
        <f>_xll.BDH("RCOM IN Equity","IS_DIL_EPS_CONT_OPS","FY 2018","FY 2018","Currency=INR","Period=FY","BEST_FPERIOD_OVERRIDE=FY","FILING_STATUS=MR","EQY_CONSOLIDATED=Y","Sort=A","Dates=H","DateFormat=P","Fill=—","Direction=H","UseDPDF=Y")</f>
        <v>0.18970000000000001</v>
      </c>
      <c r="L95" s="23">
        <v>4.0190530000000004</v>
      </c>
    </row>
    <row r="96" spans="1:12">
      <c r="A96" s="6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21"/>
    </row>
    <row r="97" spans="1:12">
      <c r="A97" s="6" t="s">
        <v>2</v>
      </c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21"/>
    </row>
    <row r="98" spans="1:12">
      <c r="A98" s="10" t="s">
        <v>352</v>
      </c>
      <c r="B98" s="10" t="s">
        <v>353</v>
      </c>
      <c r="C98" s="12" t="s">
        <v>354</v>
      </c>
      <c r="D98" s="12" t="s">
        <v>354</v>
      </c>
      <c r="E98" s="12" t="s">
        <v>354</v>
      </c>
      <c r="F98" s="12" t="s">
        <v>354</v>
      </c>
      <c r="G98" s="12" t="s">
        <v>354</v>
      </c>
      <c r="H98" s="12" t="s">
        <v>354</v>
      </c>
      <c r="I98" s="12" t="s">
        <v>354</v>
      </c>
      <c r="J98" s="12" t="s">
        <v>354</v>
      </c>
      <c r="K98" s="12" t="s">
        <v>354</v>
      </c>
      <c r="L98" s="15"/>
    </row>
    <row r="99" spans="1:12">
      <c r="A99" s="10" t="s">
        <v>46</v>
      </c>
      <c r="B99" s="10" t="s">
        <v>46</v>
      </c>
      <c r="C99" s="13">
        <f>_xll.BDH("RCOM IN Equity","EBITDA","FY 2010","FY 2010","Currency=INR","Period=FY","BEST_FPERIOD_OVERRIDE=FY","FILING_STATUS=MR","EQY_CONSOLIDATED=Y","SCALING_FORMAT=MLN","FA_ADJUSTED=GAAP","Sort=A","Dates=H","DateFormat=P","Fill=—","Direction=H","UseDPDF=Y")</f>
        <v>69890.399999999994</v>
      </c>
      <c r="D99" s="13">
        <f>_xll.BDH("RCOM IN Equity","EBITDA","FY 2011","FY 2011","Currency=INR","Period=FY","BEST_FPERIOD_OVERRIDE=FY","FILING_STATUS=MR","EQY_CONSOLIDATED=Y","SCALING_FORMAT=MLN","FA_ADJUSTED=GAAP","Sort=A","Dates=H","DateFormat=P","Fill=—","Direction=H","UseDPDF=Y")</f>
        <v>83760</v>
      </c>
      <c r="E99" s="13">
        <f>_xll.BDH("RCOM IN Equity","EBITDA","FY 2012","FY 2012","Currency=INR","Period=FY","BEST_FPERIOD_OVERRIDE=FY","FILING_STATUS=MR","EQY_CONSOLIDATED=Y","SCALING_FORMAT=MLN","FA_ADJUSTED=GAAP","Sort=A","Dates=H","DateFormat=P","Fill=—","Direction=H","UseDPDF=Y")</f>
        <v>57950</v>
      </c>
      <c r="F99" s="13">
        <f>_xll.BDH("RCOM IN Equity","EBITDA","FY 2013","FY 2013","Currency=INR","Period=FY","BEST_FPERIOD_OVERRIDE=FY","FILING_STATUS=MR","EQY_CONSOLIDATED=Y","SCALING_FORMAT=MLN","FA_ADJUSTED=GAAP","Sort=A","Dates=H","DateFormat=P","Fill=—","Direction=H","UseDPDF=Y")</f>
        <v>59410</v>
      </c>
      <c r="G99" s="13">
        <f>_xll.BDH("RCOM IN Equity","EBITDA","FY 2014","FY 2014","Currency=INR","Period=FY","BEST_FPERIOD_OVERRIDE=FY","FILING_STATUS=MR","EQY_CONSOLIDATED=Y","SCALING_FORMAT=MLN","FA_ADJUSTED=GAAP","Sort=A","Dates=H","DateFormat=P","Fill=—","Direction=H","UseDPDF=Y")</f>
        <v>67060</v>
      </c>
      <c r="H99" s="13">
        <f>_xll.BDH("RCOM IN Equity","EBITDA","FY 2015","FY 2015","Currency=INR","Period=FY","BEST_FPERIOD_OVERRIDE=FY","FILING_STATUS=MR","EQY_CONSOLIDATED=Y","SCALING_FORMAT=MLN","FA_ADJUSTED=GAAP","Sort=A","Dates=H","DateFormat=P","Fill=—","Direction=H","UseDPDF=Y")</f>
        <v>72060</v>
      </c>
      <c r="I99" s="13">
        <f>_xll.BDH("RCOM IN Equity","EBITDA","FY 2016","FY 2016","Currency=INR","Period=FY","BEST_FPERIOD_OVERRIDE=FY","FILING_STATUS=MR","EQY_CONSOLIDATED=Y","SCALING_FORMAT=MLN","FA_ADJUSTED=GAAP","Sort=A","Dates=H","DateFormat=P","Fill=—","Direction=H","UseDPDF=Y")</f>
        <v>72600</v>
      </c>
      <c r="J99" s="13">
        <f>_xll.BDH("RCOM IN Equity","EBITDA","FY 2017","FY 2017","Currency=INR","Period=FY","BEST_FPERIOD_OVERRIDE=FY","FILING_STATUS=MR","EQY_CONSOLIDATED=Y","SCALING_FORMAT=MLN","FA_ADJUSTED=GAAP","Sort=A","Dates=H","DateFormat=P","Fill=—","Direction=H","UseDPDF=Y")</f>
        <v>46610</v>
      </c>
      <c r="K99" s="13">
        <f>_xll.BDH("RCOM IN Equity","EBITDA","FY 2018","FY 2018","Currency=INR","Period=FY","BEST_FPERIOD_OVERRIDE=FY","FILING_STATUS=MR","EQY_CONSOLIDATED=Y","SCALING_FORMAT=MLN","FA_ADJUSTED=GAAP","Sort=A","Dates=H","DateFormat=P","Fill=—","Direction=H","UseDPDF=Y")</f>
        <v>31100</v>
      </c>
      <c r="L99" s="16">
        <v>5160</v>
      </c>
    </row>
    <row r="100" spans="1:12">
      <c r="A100" s="10" t="s">
        <v>355</v>
      </c>
      <c r="B100" s="10" t="s">
        <v>356</v>
      </c>
      <c r="C100" s="14">
        <f>_xll.BDH("RCOM IN Equity","EBITDA_MARGIN","FY 2010","FY 2010","Currency=INR","Period=FY","BEST_FPERIOD_OVERRIDE=FY","FILING_STATUS=MR","EQY_CONSOLIDATED=Y","FA_ADJUSTED=GAAP","Sort=A","Dates=H","DateFormat=P","Fill=—","Direction=H","UseDPDF=Y")</f>
        <v>33.7879</v>
      </c>
      <c r="D100" s="14">
        <f>_xll.BDH("RCOM IN Equity","EBITDA_MARGIN","FY 2011","FY 2011","Currency=INR","Period=FY","BEST_FPERIOD_OVERRIDE=FY","FILING_STATUS=MR","EQY_CONSOLIDATED=Y","FA_ADJUSTED=GAAP","Sort=A","Dates=H","DateFormat=P","Fill=—","Direction=H","UseDPDF=Y")</f>
        <v>37.9193</v>
      </c>
      <c r="E100" s="14">
        <f>_xll.BDH("RCOM IN Equity","EBITDA_MARGIN","FY 2012","FY 2012","Currency=INR","Period=FY","BEST_FPERIOD_OVERRIDE=FY","FILING_STATUS=MR","EQY_CONSOLIDATED=Y","FA_ADJUSTED=GAAP","Sort=A","Dates=H","DateFormat=P","Fill=—","Direction=H","UseDPDF=Y")</f>
        <v>30.962800000000001</v>
      </c>
      <c r="F100" s="14">
        <f>_xll.BDH("RCOM IN Equity","EBITDA_MARGIN","FY 2013","FY 2013","Currency=INR","Period=FY","BEST_FPERIOD_OVERRIDE=FY","FILING_STATUS=MR","EQY_CONSOLIDATED=Y","FA_ADJUSTED=GAAP","Sort=A","Dates=H","DateFormat=P","Fill=—","Direction=H","UseDPDF=Y")</f>
        <v>30.792000000000002</v>
      </c>
      <c r="G100" s="14">
        <f>_xll.BDH("RCOM IN Equity","EBITDA_MARGIN","FY 2014","FY 2014","Currency=INR","Period=FY","BEST_FPERIOD_OVERRIDE=FY","FILING_STATUS=MR","EQY_CONSOLIDATED=Y","FA_ADJUSTED=GAAP","Sort=A","Dates=H","DateFormat=P","Fill=—","Direction=H","UseDPDF=Y")</f>
        <v>32.024799999999999</v>
      </c>
      <c r="H100" s="14">
        <f>_xll.BDH("RCOM IN Equity","EBITDA_MARGIN","FY 2015","FY 2015","Currency=INR","Period=FY","BEST_FPERIOD_OVERRIDE=FY","FILING_STATUS=MR","EQY_CONSOLIDATED=Y","FA_ADJUSTED=GAAP","Sort=A","Dates=H","DateFormat=P","Fill=—","Direction=H","UseDPDF=Y")</f>
        <v>33.636699999999998</v>
      </c>
      <c r="I100" s="14">
        <f>_xll.BDH("RCOM IN Equity","EBITDA_MARGIN","FY 2016","FY 2016","Currency=INR","Period=FY","BEST_FPERIOD_OVERRIDE=FY","FILING_STATUS=MR","EQY_CONSOLIDATED=Y","FA_ADJUSTED=GAAP","Sort=A","Dates=H","DateFormat=P","Fill=—","Direction=H","UseDPDF=Y")</f>
        <v>33.390099999999997</v>
      </c>
      <c r="J100" s="14">
        <f>_xll.BDH("RCOM IN Equity","EBITDA_MARGIN","FY 2017","FY 2017","Currency=INR","Period=FY","BEST_FPERIOD_OVERRIDE=FY","FILING_STATUS=MR","EQY_CONSOLIDATED=Y","FA_ADJUSTED=GAAP","Sort=A","Dates=H","DateFormat=P","Fill=—","Direction=H","UseDPDF=Y")</f>
        <v>71.116900000000001</v>
      </c>
      <c r="K100" s="14">
        <f>_xll.BDH("RCOM IN Equity","EBITDA_MARGIN","FY 2018","FY 2018","Currency=INR","Period=FY","BEST_FPERIOD_OVERRIDE=FY","FILING_STATUS=MR","EQY_CONSOLIDATED=Y","FA_ADJUSTED=GAAP","Sort=A","Dates=H","DateFormat=P","Fill=—","Direction=H","UseDPDF=Y")</f>
        <v>67.711699999999993</v>
      </c>
      <c r="L100" s="17">
        <v>12.893553223388301</v>
      </c>
    </row>
    <row r="101" spans="1:12">
      <c r="A101" s="10" t="s">
        <v>357</v>
      </c>
      <c r="B101" s="10" t="s">
        <v>357</v>
      </c>
      <c r="C101" s="13">
        <f>_xll.BDH("RCOM IN Equity","EBITA","FY 2010","FY 2010","Currency=INR","Period=FY","BEST_FPERIOD_OVERRIDE=FY","FILING_STATUS=MR","EQY_CONSOLIDATED=Y","SCALING_FORMAT=MLN","FA_ADJUSTED=GAAP","Sort=A","Dates=H","DateFormat=P","Fill=—","Direction=H","UseDPDF=Y")</f>
        <v>41244.400000000001</v>
      </c>
      <c r="D101" s="13">
        <f>_xll.BDH("RCOM IN Equity","EBITA","FY 2011","FY 2011","Currency=INR","Period=FY","BEST_FPERIOD_OVERRIDE=FY","FILING_STATUS=MR","EQY_CONSOLIDATED=Y","SCALING_FORMAT=MLN","FA_ADJUSTED=GAAP","Sort=A","Dates=H","DateFormat=P","Fill=—","Direction=H","UseDPDF=Y")</f>
        <v>46320</v>
      </c>
      <c r="E101" s="13">
        <f>_xll.BDH("RCOM IN Equity","EBITA","FY 2012","FY 2012","Currency=INR","Period=FY","BEST_FPERIOD_OVERRIDE=FY","FILING_STATUS=MR","EQY_CONSOLIDATED=Y","SCALING_FORMAT=MLN","FA_ADJUSTED=GAAP","Sort=A","Dates=H","DateFormat=P","Fill=—","Direction=H","UseDPDF=Y")</f>
        <v>41580</v>
      </c>
      <c r="F101" s="13">
        <f>_xll.BDH("RCOM IN Equity","EBITA","FY 2013","FY 2013","Currency=INR","Period=FY","BEST_FPERIOD_OVERRIDE=FY","FILING_STATUS=MR","EQY_CONSOLIDATED=Y","SCALING_FORMAT=MLN","FA_ADJUSTED=GAAP","Sort=A","Dates=H","DateFormat=P","Fill=—","Direction=H","UseDPDF=Y")</f>
        <v>40330</v>
      </c>
      <c r="G101" s="13" t="str">
        <f>_xll.BDH("RCOM IN Equity","EBITA","FY 2014","FY 2014","Currency=INR","Period=FY","BEST_FPERIOD_OVERRIDE=FY","FILING_STATUS=MR","EQY_CONSOLIDATED=Y","SCALING_FORMAT=MLN","FA_ADJUSTED=GAAP","Sort=A","Dates=H","DateFormat=P","Fill=—","Direction=H","UseDPDF=Y")</f>
        <v>—</v>
      </c>
      <c r="H101" s="13" t="str">
        <f>_xll.BDH("RCOM IN Equity","EBITA","FY 2015","FY 2015","Currency=INR","Period=FY","BEST_FPERIOD_OVERRIDE=FY","FILING_STATUS=MR","EQY_CONSOLIDATED=Y","SCALING_FORMAT=MLN","FA_ADJUSTED=GAAP","Sort=A","Dates=H","DateFormat=P","Fill=—","Direction=H","UseDPDF=Y")</f>
        <v>—</v>
      </c>
      <c r="I101" s="13" t="str">
        <f>_xll.BDH("RCOM IN Equity","EBITA","FY 2016","FY 2016","Currency=INR","Period=FY","BEST_FPERIOD_OVERRIDE=FY","FILING_STATUS=MR","EQY_CONSOLIDATED=Y","SCALING_FORMAT=MLN","FA_ADJUSTED=GAAP","Sort=A","Dates=H","DateFormat=P","Fill=—","Direction=H","UseDPDF=Y")</f>
        <v>—</v>
      </c>
      <c r="J101" s="13" t="str">
        <f>_xll.BDH("RCOM IN Equity","EBITA","FY 2017","FY 2017","Currency=INR","Period=FY","BEST_FPERIOD_OVERRIDE=FY","FILING_STATUS=MR","EQY_CONSOLIDATED=Y","SCALING_FORMAT=MLN","FA_ADJUSTED=GAAP","Sort=A","Dates=H","DateFormat=P","Fill=—","Direction=H","UseDPDF=Y")</f>
        <v>—</v>
      </c>
      <c r="K101" s="13" t="str">
        <f>_xll.BDH("RCOM IN Equity","EBITA","FY 2018","FY 2018","Currency=INR","Period=FY","BEST_FPERIOD_OVERRIDE=FY","FILING_STATUS=MR","EQY_CONSOLIDATED=Y","SCALING_FORMAT=MLN","FA_ADJUSTED=GAAP","Sort=A","Dates=H","DateFormat=P","Fill=—","Direction=H","UseDPDF=Y")</f>
        <v>—</v>
      </c>
      <c r="L101" s="16"/>
    </row>
    <row r="102" spans="1:12">
      <c r="A102" s="10" t="s">
        <v>102</v>
      </c>
      <c r="B102" s="10" t="s">
        <v>102</v>
      </c>
      <c r="C102" s="13">
        <f>_xll.BDH("RCOM IN Equity","EBIT","FY 2010","FY 2010","Currency=INR","Period=FY","BEST_FPERIOD_OVERRIDE=FY","FILING_STATUS=MR","EQY_CONSOLIDATED=Y","SCALING_FORMAT=MLN","FA_ADJUSTED=GAAP","Sort=A","Dates=H","DateFormat=P","Fill=—","Direction=H","UseDPDF=Y")</f>
        <v>32425.3</v>
      </c>
      <c r="D102" s="13">
        <f>_xll.BDH("RCOM IN Equity","EBIT","FY 2011","FY 2011","Currency=INR","Period=FY","BEST_FPERIOD_OVERRIDE=FY","FILING_STATUS=MR","EQY_CONSOLIDATED=Y","SCALING_FORMAT=MLN","FA_ADJUSTED=GAAP","Sort=A","Dates=H","DateFormat=P","Fill=—","Direction=H","UseDPDF=Y")</f>
        <v>18720</v>
      </c>
      <c r="E102" s="13">
        <f>_xll.BDH("RCOM IN Equity","EBIT","FY 2012","FY 2012","Currency=INR","Period=FY","BEST_FPERIOD_OVERRIDE=FY","FILING_STATUS=MR","EQY_CONSOLIDATED=Y","SCALING_FORMAT=MLN","FA_ADJUSTED=GAAP","Sort=A","Dates=H","DateFormat=P","Fill=—","Direction=H","UseDPDF=Y")</f>
        <v>18170</v>
      </c>
      <c r="F102" s="13">
        <f>_xll.BDH("RCOM IN Equity","EBIT","FY 2013","FY 2013","Currency=INR","Period=FY","BEST_FPERIOD_OVERRIDE=FY","FILING_STATUS=MR","EQY_CONSOLIDATED=Y","SCALING_FORMAT=MLN","FA_ADJUSTED=GAAP","Sort=A","Dates=H","DateFormat=P","Fill=—","Direction=H","UseDPDF=Y")</f>
        <v>20960</v>
      </c>
      <c r="G102" s="13">
        <f>_xll.BDH("RCOM IN Equity","EBIT","FY 2014","FY 2014","Currency=INR","Period=FY","BEST_FPERIOD_OVERRIDE=FY","FILING_STATUS=MR","EQY_CONSOLIDATED=Y","SCALING_FORMAT=MLN","FA_ADJUSTED=GAAP","Sort=A","Dates=H","DateFormat=P","Fill=—","Direction=H","UseDPDF=Y")</f>
        <v>21710</v>
      </c>
      <c r="H102" s="13">
        <f>_xll.BDH("RCOM IN Equity","EBIT","FY 2015","FY 2015","Currency=INR","Period=FY","BEST_FPERIOD_OVERRIDE=FY","FILING_STATUS=MR","EQY_CONSOLIDATED=Y","SCALING_FORMAT=MLN","FA_ADJUSTED=GAAP","Sort=A","Dates=H","DateFormat=P","Fill=—","Direction=H","UseDPDF=Y")</f>
        <v>33890</v>
      </c>
      <c r="I102" s="13">
        <f>_xll.BDH("RCOM IN Equity","EBIT","FY 2016","FY 2016","Currency=INR","Period=FY","BEST_FPERIOD_OVERRIDE=FY","FILING_STATUS=MR","EQY_CONSOLIDATED=Y","SCALING_FORMAT=MLN","FA_ADJUSTED=GAAP","Sort=A","Dates=H","DateFormat=P","Fill=—","Direction=H","UseDPDF=Y")</f>
        <v>27760</v>
      </c>
      <c r="J102" s="13">
        <f>_xll.BDH("RCOM IN Equity","EBIT","FY 2017","FY 2017","Currency=INR","Period=FY","BEST_FPERIOD_OVERRIDE=FY","FILING_STATUS=MR","EQY_CONSOLIDATED=Y","SCALING_FORMAT=MLN","FA_ADJUSTED=GAAP","Sort=A","Dates=H","DateFormat=P","Fill=—","Direction=H","UseDPDF=Y")</f>
        <v>4400</v>
      </c>
      <c r="K102" s="13">
        <f>_xll.BDH("RCOM IN Equity","EBIT","FY 2018","FY 2018","Currency=INR","Period=FY","BEST_FPERIOD_OVERRIDE=FY","FILING_STATUS=MR","EQY_CONSOLIDATED=Y","SCALING_FORMAT=MLN","FA_ADJUSTED=GAAP","Sort=A","Dates=H","DateFormat=P","Fill=—","Direction=H","UseDPDF=Y")</f>
        <v>2430</v>
      </c>
      <c r="L102" s="16">
        <v>-2810</v>
      </c>
    </row>
    <row r="103" spans="1:12">
      <c r="A103" s="10" t="s">
        <v>358</v>
      </c>
      <c r="B103" s="10" t="s">
        <v>359</v>
      </c>
      <c r="C103" s="14">
        <f>_xll.BDH("RCOM IN Equity","OPER_MARGIN","FY 2010","FY 2010","Currency=INR","Period=FY","BEST_FPERIOD_OVERRIDE=FY","FILING_STATUS=MR","EQY_CONSOLIDATED=Y","FA_ADJUSTED=GAAP","Sort=A","Dates=H","DateFormat=P","Fill=—","Direction=H","UseDPDF=Y")</f>
        <v>15.675699999999999</v>
      </c>
      <c r="D103" s="14">
        <f>_xll.BDH("RCOM IN Equity","OPER_MARGIN","FY 2011","FY 2011","Currency=INR","Period=FY","BEST_FPERIOD_OVERRIDE=FY","FILING_STATUS=MR","EQY_CONSOLIDATED=Y","FA_ADJUSTED=GAAP","Sort=A","Dates=H","DateFormat=P","Fill=—","Direction=H","UseDPDF=Y")</f>
        <v>8.4748000000000001</v>
      </c>
      <c r="E103" s="14">
        <f>_xll.BDH("RCOM IN Equity","OPER_MARGIN","FY 2012","FY 2012","Currency=INR","Period=FY","BEST_FPERIOD_OVERRIDE=FY","FILING_STATUS=MR","EQY_CONSOLIDATED=Y","FA_ADJUSTED=GAAP","Sort=A","Dates=H","DateFormat=P","Fill=—","Direction=H","UseDPDF=Y")</f>
        <v>9.7082999999999995</v>
      </c>
      <c r="F103" s="14">
        <f>_xll.BDH("RCOM IN Equity","OPER_MARGIN","FY 2013","FY 2013","Currency=INR","Period=FY","BEST_FPERIOD_OVERRIDE=FY","FILING_STATUS=MR","EQY_CONSOLIDATED=Y","FA_ADJUSTED=GAAP","Sort=A","Dates=H","DateFormat=P","Fill=—","Direction=H","UseDPDF=Y")</f>
        <v>10.8635</v>
      </c>
      <c r="G103" s="14">
        <f>_xll.BDH("RCOM IN Equity","OPER_MARGIN","FY 2014","FY 2014","Currency=INR","Period=FY","BEST_FPERIOD_OVERRIDE=FY","FILING_STATUS=MR","EQY_CONSOLIDATED=Y","FA_ADJUSTED=GAAP","Sort=A","Dates=H","DateFormat=P","Fill=—","Direction=H","UseDPDF=Y")</f>
        <v>10.367699999999999</v>
      </c>
      <c r="H103" s="14">
        <f>_xll.BDH("RCOM IN Equity","OPER_MARGIN","FY 2015","FY 2015","Currency=INR","Period=FY","BEST_FPERIOD_OVERRIDE=FY","FILING_STATUS=MR","EQY_CONSOLIDATED=Y","FA_ADJUSTED=GAAP","Sort=A","Dates=H","DateFormat=P","Fill=—","Direction=H","UseDPDF=Y")</f>
        <v>15.8194</v>
      </c>
      <c r="I103" s="14">
        <f>_xll.BDH("RCOM IN Equity","OPER_MARGIN","FY 2016","FY 2016","Currency=INR","Period=FY","BEST_FPERIOD_OVERRIDE=FY","FILING_STATUS=MR","EQY_CONSOLIDATED=Y","FA_ADJUSTED=GAAP","Sort=A","Dates=H","DateFormat=P","Fill=—","Direction=H","UseDPDF=Y")</f>
        <v>12.767300000000001</v>
      </c>
      <c r="J103" s="14">
        <f>_xll.BDH("RCOM IN Equity","OPER_MARGIN","FY 2017","FY 2017","Currency=INR","Period=FY","BEST_FPERIOD_OVERRIDE=FY","FILING_STATUS=MR","EQY_CONSOLIDATED=Y","FA_ADJUSTED=GAAP","Sort=A","Dates=H","DateFormat=P","Fill=—","Direction=H","UseDPDF=Y")</f>
        <v>6.7134999999999998</v>
      </c>
      <c r="K103" s="14">
        <f>_xll.BDH("RCOM IN Equity","OPER_MARGIN","FY 2018","FY 2018","Currency=INR","Period=FY","BEST_FPERIOD_OVERRIDE=FY","FILING_STATUS=MR","EQY_CONSOLIDATED=Y","FA_ADJUSTED=GAAP","Sort=A","Dates=H","DateFormat=P","Fill=—","Direction=H","UseDPDF=Y")</f>
        <v>5.2907000000000002</v>
      </c>
      <c r="L103" s="17">
        <v>-7.0214892553723098</v>
      </c>
    </row>
    <row r="104" spans="1:12">
      <c r="A104" s="10" t="s">
        <v>360</v>
      </c>
      <c r="B104" s="10" t="s">
        <v>361</v>
      </c>
      <c r="C104" s="14">
        <f>_xll.BDH("RCOM IN Equity","PROF_MARGIN","FY 2010","FY 2010","Currency=INR","Period=FY","BEST_FPERIOD_OVERRIDE=FY","FILING_STATUS=MR","EQY_CONSOLIDATED=Y","FA_ADJUSTED=GAAP","Sort=A","Dates=H","DateFormat=P","Fill=—","Direction=H","UseDPDF=Y")</f>
        <v>22.504200000000001</v>
      </c>
      <c r="D104" s="14">
        <f>_xll.BDH("RCOM IN Equity","PROF_MARGIN","FY 2011","FY 2011","Currency=INR","Period=FY","BEST_FPERIOD_OVERRIDE=FY","FILING_STATUS=MR","EQY_CONSOLIDATED=Y","FA_ADJUSTED=GAAP","Sort=A","Dates=H","DateFormat=P","Fill=—","Direction=H","UseDPDF=Y")</f>
        <v>6.0890000000000004</v>
      </c>
      <c r="E104" s="14">
        <f>_xll.BDH("RCOM IN Equity","PROF_MARGIN","FY 2012","FY 2012","Currency=INR","Period=FY","BEST_FPERIOD_OVERRIDE=FY","FILING_STATUS=MR","EQY_CONSOLIDATED=Y","FA_ADJUSTED=GAAP","Sort=A","Dates=H","DateFormat=P","Fill=—","Direction=H","UseDPDF=Y")</f>
        <v>4.9583000000000004</v>
      </c>
      <c r="F104" s="14">
        <f>_xll.BDH("RCOM IN Equity","PROF_MARGIN","FY 2013","FY 2013","Currency=INR","Period=FY","BEST_FPERIOD_OVERRIDE=FY","FILING_STATUS=MR","EQY_CONSOLIDATED=Y","FA_ADJUSTED=GAAP","Sort=A","Dates=H","DateFormat=P","Fill=—","Direction=H","UseDPDF=Y")</f>
        <v>3.4828999999999999</v>
      </c>
      <c r="G104" s="14">
        <f>_xll.BDH("RCOM IN Equity","PROF_MARGIN","FY 2014","FY 2014","Currency=INR","Period=FY","BEST_FPERIOD_OVERRIDE=FY","FILING_STATUS=MR","EQY_CONSOLIDATED=Y","FA_ADJUSTED=GAAP","Sort=A","Dates=H","DateFormat=P","Fill=—","Direction=H","UseDPDF=Y")</f>
        <v>5</v>
      </c>
      <c r="H104" s="14">
        <f>_xll.BDH("RCOM IN Equity","PROF_MARGIN","FY 2015","FY 2015","Currency=INR","Period=FY","BEST_FPERIOD_OVERRIDE=FY","FILING_STATUS=MR","EQY_CONSOLIDATED=Y","FA_ADJUSTED=GAAP","Sort=A","Dates=H","DateFormat=P","Fill=—","Direction=H","UseDPDF=Y")</f>
        <v>3.3329</v>
      </c>
      <c r="I104" s="14">
        <f>_xll.BDH("RCOM IN Equity","PROF_MARGIN","FY 2016","FY 2016","Currency=INR","Period=FY","BEST_FPERIOD_OVERRIDE=FY","FILING_STATUS=MR","EQY_CONSOLIDATED=Y","FA_ADJUSTED=GAAP","Sort=A","Dates=H","DateFormat=P","Fill=—","Direction=H","UseDPDF=Y")</f>
        <v>2.9388999999999998</v>
      </c>
      <c r="J104" s="14">
        <f>_xll.BDH("RCOM IN Equity","PROF_MARGIN","FY 2017","FY 2017","Currency=INR","Period=FY","BEST_FPERIOD_OVERRIDE=FY","FILING_STATUS=MR","EQY_CONSOLIDATED=Y","FA_ADJUSTED=GAAP","Sort=A","Dates=H","DateFormat=P","Fill=—","Direction=H","UseDPDF=Y")</f>
        <v>-21.4068</v>
      </c>
      <c r="K104" s="14">
        <f>_xll.BDH("RCOM IN Equity","PROF_MARGIN","FY 2018","FY 2018","Currency=INR","Period=FY","BEST_FPERIOD_OVERRIDE=FY","FILING_STATUS=MR","EQY_CONSOLIDATED=Y","FA_ADJUSTED=GAAP","Sort=A","Dates=H","DateFormat=P","Fill=—","Direction=H","UseDPDF=Y")</f>
        <v>-519.029</v>
      </c>
      <c r="L104" s="17">
        <v>-480.10994502748599</v>
      </c>
    </row>
    <row r="105" spans="1:12">
      <c r="A105" s="10" t="s">
        <v>362</v>
      </c>
      <c r="B105" s="10" t="s">
        <v>363</v>
      </c>
      <c r="C105" s="14">
        <f>_xll.BDH("RCOM IN Equity","ACTUAL_SALES_PER_EMPL","FY 2010","FY 2010","Currency=INR","Period=FY","BEST_FPERIOD_OVERRIDE=FY","FILING_STATUS=MR","EQY_CONSOLIDATED=Y","FA_ADJUSTED=GAAP","Sort=A","Dates=H","DateFormat=P","Fill=—","Direction=H","UseDPDF=Y")</f>
        <v>6678197.8433999997</v>
      </c>
      <c r="D105" s="14">
        <f>_xll.BDH("RCOM IN Equity","ACTUAL_SALES_PER_EMPL","FY 2011","FY 2011","Currency=INR","Period=FY","BEST_FPERIOD_OVERRIDE=FY","FILING_STATUS=MR","EQY_CONSOLIDATED=Y","FA_ADJUSTED=GAAP","Sort=A","Dates=H","DateFormat=P","Fill=—","Direction=H","UseDPDF=Y")</f>
        <v>7870657.4024999999</v>
      </c>
      <c r="E105" s="14">
        <f>_xll.BDH("RCOM IN Equity","ACTUAL_SALES_PER_EMPL","FY 2012","FY 2012","Currency=INR","Period=FY","BEST_FPERIOD_OVERRIDE=FY","FILING_STATUS=MR","EQY_CONSOLIDATED=Y","FA_ADJUSTED=GAAP","Sort=A","Dates=H","DateFormat=P","Fill=—","Direction=H","UseDPDF=Y")</f>
        <v>7651676.2061000001</v>
      </c>
      <c r="F105" s="14">
        <f>_xll.BDH("RCOM IN Equity","ACTUAL_SALES_PER_EMPL","FY 2013","FY 2013","Currency=INR","Period=FY","BEST_FPERIOD_OVERRIDE=FY","FILING_STATUS=MR","EQY_CONSOLIDATED=Y","FA_ADJUSTED=GAAP","Sort=A","Dates=H","DateFormat=P","Fill=—","Direction=H","UseDPDF=Y")</f>
        <v>10343644.454</v>
      </c>
      <c r="G105" s="14" t="str">
        <f>_xll.BDH("RCOM IN Equity","ACTUAL_SALES_PER_EMPL","FY 2014","FY 2014","Currency=INR","Period=FY","BEST_FPERIOD_OVERRIDE=FY","FILING_STATUS=MR","EQY_CONSOLIDATED=Y","FA_ADJUSTED=GAAP","Sort=A","Dates=H","DateFormat=P","Fill=—","Direction=H","UseDPDF=Y")</f>
        <v>—</v>
      </c>
      <c r="H105" s="14" t="str">
        <f>_xll.BDH("RCOM IN Equity","ACTUAL_SALES_PER_EMPL","FY 2015","FY 2015","Currency=INR","Period=FY","BEST_FPERIOD_OVERRIDE=FY","FILING_STATUS=MR","EQY_CONSOLIDATED=Y","FA_ADJUSTED=GAAP","Sort=A","Dates=H","DateFormat=P","Fill=—","Direction=H","UseDPDF=Y")</f>
        <v>—</v>
      </c>
      <c r="I105" s="14" t="str">
        <f>_xll.BDH("RCOM IN Equity","ACTUAL_SALES_PER_EMPL","FY 2016","FY 2016","Currency=INR","Period=FY","BEST_FPERIOD_OVERRIDE=FY","FILING_STATUS=MR","EQY_CONSOLIDATED=Y","FA_ADJUSTED=GAAP","Sort=A","Dates=H","DateFormat=P","Fill=—","Direction=H","UseDPDF=Y")</f>
        <v>—</v>
      </c>
      <c r="J105" s="14" t="str">
        <f>_xll.BDH("RCOM IN Equity","ACTUAL_SALES_PER_EMPL","FY 2017","FY 2017","Currency=INR","Period=FY","BEST_FPERIOD_OVERRIDE=FY","FILING_STATUS=MR","EQY_CONSOLIDATED=Y","FA_ADJUSTED=GAAP","Sort=A","Dates=H","DateFormat=P","Fill=—","Direction=H","UseDPDF=Y")</f>
        <v>—</v>
      </c>
      <c r="K105" s="14" t="str">
        <f>_xll.BDH("RCOM IN Equity","ACTUAL_SALES_PER_EMPL","FY 2018","FY 2018","Currency=INR","Period=FY","BEST_FPERIOD_OVERRIDE=FY","FILING_STATUS=MR","EQY_CONSOLIDATED=Y","FA_ADJUSTED=GAAP","Sort=A","Dates=H","DateFormat=P","Fill=—","Direction=H","UseDPDF=Y")</f>
        <v>—</v>
      </c>
      <c r="L105" s="17"/>
    </row>
    <row r="106" spans="1:12">
      <c r="A106" s="10" t="s">
        <v>364</v>
      </c>
      <c r="B106" s="10" t="s">
        <v>227</v>
      </c>
      <c r="C106" s="14">
        <f>_xll.BDH("RCOM IN Equity","EQY_DPS","FY 2010","FY 2010","Currency=INR","Period=FY","BEST_FPERIOD_OVERRIDE=FY","FILING_STATUS=MR","EQY_CONSOLIDATED=Y","Sort=A","Dates=H","DateFormat=P","Fill=—","Direction=H","UseDPDF=Y")</f>
        <v>0.85</v>
      </c>
      <c r="D106" s="14">
        <f>_xll.BDH("RCOM IN Equity","EQY_DPS","FY 2011","FY 2011","Currency=INR","Period=FY","BEST_FPERIOD_OVERRIDE=FY","FILING_STATUS=MR","EQY_CONSOLIDATED=Y","Sort=A","Dates=H","DateFormat=P","Fill=—","Direction=H","UseDPDF=Y")</f>
        <v>0.5</v>
      </c>
      <c r="E106" s="14">
        <f>_xll.BDH("RCOM IN Equity","EQY_DPS","FY 2012","FY 2012","Currency=INR","Period=FY","BEST_FPERIOD_OVERRIDE=FY","FILING_STATUS=MR","EQY_CONSOLIDATED=Y","Sort=A","Dates=H","DateFormat=P","Fill=—","Direction=H","UseDPDF=Y")</f>
        <v>0.25</v>
      </c>
      <c r="F106" s="14">
        <f>_xll.BDH("RCOM IN Equity","EQY_DPS","FY 2013","FY 2013","Currency=INR","Period=FY","BEST_FPERIOD_OVERRIDE=FY","FILING_STATUS=MR","EQY_CONSOLIDATED=Y","Sort=A","Dates=H","DateFormat=P","Fill=—","Direction=H","UseDPDF=Y")</f>
        <v>0.25</v>
      </c>
      <c r="G106" s="14">
        <f>_xll.BDH("RCOM IN Equity","EQY_DPS","FY 2014","FY 2014","Currency=INR","Period=FY","BEST_FPERIOD_OVERRIDE=FY","FILING_STATUS=MR","EQY_CONSOLIDATED=Y","Sort=A","Dates=H","DateFormat=P","Fill=—","Direction=H","UseDPDF=Y")</f>
        <v>0</v>
      </c>
      <c r="H106" s="14">
        <f>_xll.BDH("RCOM IN Equity","EQY_DPS","FY 2015","FY 2015","Currency=INR","Period=FY","BEST_FPERIOD_OVERRIDE=FY","FILING_STATUS=MR","EQY_CONSOLIDATED=Y","Sort=A","Dates=H","DateFormat=P","Fill=—","Direction=H","UseDPDF=Y")</f>
        <v>0</v>
      </c>
      <c r="I106" s="14">
        <f>_xll.BDH("RCOM IN Equity","EQY_DPS","FY 2016","FY 2016","Currency=INR","Period=FY","BEST_FPERIOD_OVERRIDE=FY","FILING_STATUS=MR","EQY_CONSOLIDATED=Y","Sort=A","Dates=H","DateFormat=P","Fill=—","Direction=H","UseDPDF=Y")</f>
        <v>0</v>
      </c>
      <c r="J106" s="14">
        <f>_xll.BDH("RCOM IN Equity","EQY_DPS","FY 2017","FY 2017","Currency=INR","Period=FY","BEST_FPERIOD_OVERRIDE=FY","FILING_STATUS=MR","EQY_CONSOLIDATED=Y","Sort=A","Dates=H","DateFormat=P","Fill=—","Direction=H","UseDPDF=Y")</f>
        <v>0</v>
      </c>
      <c r="K106" s="14">
        <f>_xll.BDH("RCOM IN Equity","EQY_DPS","FY 2018","FY 2018","Currency=INR","Period=FY","BEST_FPERIOD_OVERRIDE=FY","FILING_STATUS=MR","EQY_CONSOLIDATED=Y","Sort=A","Dates=H","DateFormat=P","Fill=—","Direction=H","UseDPDF=Y")</f>
        <v>0</v>
      </c>
      <c r="L106" s="17"/>
    </row>
    <row r="107" spans="1:12">
      <c r="A107" s="10" t="s">
        <v>365</v>
      </c>
      <c r="B107" s="10" t="s">
        <v>366</v>
      </c>
      <c r="C107" s="13">
        <f>_xll.BDH("RCOM IN Equity","IS_TOT_CASH_COM_DVD","FY 2010","FY 2010","Currency=INR","Period=FY","BEST_FPERIOD_OVERRIDE=FY","FILING_STATUS=MR","EQY_CONSOLIDATED=Y","SCALING_FORMAT=MLN","Sort=A","Dates=H","DateFormat=P","Fill=—","Direction=H","UseDPDF=Y")</f>
        <v>1754.4</v>
      </c>
      <c r="D107" s="13">
        <f>_xll.BDH("RCOM IN Equity","IS_TOT_CASH_COM_DVD","FY 2011","FY 2011","Currency=INR","Period=FY","BEST_FPERIOD_OVERRIDE=FY","FILING_STATUS=MR","EQY_CONSOLIDATED=Y","SCALING_FORMAT=MLN","Sort=A","Dates=H","DateFormat=P","Fill=—","Direction=H","UseDPDF=Y")</f>
        <v>1030</v>
      </c>
      <c r="E107" s="13">
        <f>_xll.BDH("RCOM IN Equity","IS_TOT_CASH_COM_DVD","FY 2012","FY 2012","Currency=INR","Period=FY","BEST_FPERIOD_OVERRIDE=FY","FILING_STATUS=MR","EQY_CONSOLIDATED=Y","SCALING_FORMAT=MLN","Sort=A","Dates=H","DateFormat=P","Fill=—","Direction=H","UseDPDF=Y")</f>
        <v>520</v>
      </c>
      <c r="F107" s="13">
        <f>_xll.BDH("RCOM IN Equity","IS_TOT_CASH_COM_DVD","FY 2013","FY 2013","Currency=INR","Period=FY","BEST_FPERIOD_OVERRIDE=FY","FILING_STATUS=MR","EQY_CONSOLIDATED=Y","SCALING_FORMAT=MLN","Sort=A","Dates=H","DateFormat=P","Fill=—","Direction=H","UseDPDF=Y")</f>
        <v>520</v>
      </c>
      <c r="G107" s="13">
        <f>_xll.BDH("RCOM IN Equity","IS_TOT_CASH_COM_DVD","FY 2014","FY 2014","Currency=INR","Period=FY","BEST_FPERIOD_OVERRIDE=FY","FILING_STATUS=MR","EQY_CONSOLIDATED=Y","SCALING_FORMAT=MLN","Sort=A","Dates=H","DateFormat=P","Fill=—","Direction=H","UseDPDF=Y")</f>
        <v>0</v>
      </c>
      <c r="H107" s="13">
        <f>_xll.BDH("RCOM IN Equity","IS_TOT_CASH_COM_DVD","FY 2015","FY 2015","Currency=INR","Period=FY","BEST_FPERIOD_OVERRIDE=FY","FILING_STATUS=MR","EQY_CONSOLIDATED=Y","SCALING_FORMAT=MLN","Sort=A","Dates=H","DateFormat=P","Fill=—","Direction=H","UseDPDF=Y")</f>
        <v>0</v>
      </c>
      <c r="I107" s="13">
        <f>_xll.BDH("RCOM IN Equity","IS_TOT_CASH_COM_DVD","FY 2016","FY 2016","Currency=INR","Period=FY","BEST_FPERIOD_OVERRIDE=FY","FILING_STATUS=MR","EQY_CONSOLIDATED=Y","SCALING_FORMAT=MLN","Sort=A","Dates=H","DateFormat=P","Fill=—","Direction=H","UseDPDF=Y")</f>
        <v>0</v>
      </c>
      <c r="J107" s="13">
        <f>_xll.BDH("RCOM IN Equity","IS_TOT_CASH_COM_DVD","FY 2017","FY 2017","Currency=INR","Period=FY","BEST_FPERIOD_OVERRIDE=FY","FILING_STATUS=MR","EQY_CONSOLIDATED=Y","SCALING_FORMAT=MLN","Sort=A","Dates=H","DateFormat=P","Fill=—","Direction=H","UseDPDF=Y")</f>
        <v>0</v>
      </c>
      <c r="K107" s="13">
        <f>_xll.BDH("RCOM IN Equity","IS_TOT_CASH_COM_DVD","FY 2018","FY 2018","Currency=INR","Period=FY","BEST_FPERIOD_OVERRIDE=FY","FILING_STATUS=MR","EQY_CONSOLIDATED=Y","SCALING_FORMAT=MLN","Sort=A","Dates=H","DateFormat=P","Fill=—","Direction=H","UseDPDF=Y")</f>
        <v>0</v>
      </c>
      <c r="L107" s="16"/>
    </row>
    <row r="108" spans="1:12">
      <c r="A108" s="10" t="s">
        <v>367</v>
      </c>
      <c r="B108" s="10" t="s">
        <v>368</v>
      </c>
      <c r="C108" s="13">
        <f>_xll.BDH("RCOM IN Equity","IS_PERSONNEL_EXP","FY 2010","FY 2010","Currency=INR","Period=FY","BEST_FPERIOD_OVERRIDE=FY","FILING_STATUS=MR","EQY_CONSOLIDATED=Y","SCALING_FORMAT=MLN","Sort=A","Dates=H","DateFormat=P","Fill=—","Direction=H","UseDPDF=Y")</f>
        <v>15000.7</v>
      </c>
      <c r="D108" s="13">
        <f>_xll.BDH("RCOM IN Equity","IS_PERSONNEL_EXP","FY 2011","FY 2011","Currency=INR","Period=FY","BEST_FPERIOD_OVERRIDE=FY","FILING_STATUS=MR","EQY_CONSOLIDATED=Y","SCALING_FORMAT=MLN","Sort=A","Dates=H","DateFormat=P","Fill=—","Direction=H","UseDPDF=Y")</f>
        <v>14690</v>
      </c>
      <c r="E108" s="13">
        <f>_xll.BDH("RCOM IN Equity","IS_PERSONNEL_EXP","FY 2012","FY 2012","Currency=INR","Period=FY","BEST_FPERIOD_OVERRIDE=FY","FILING_STATUS=MR","EQY_CONSOLIDATED=Y","SCALING_FORMAT=MLN","Sort=A","Dates=H","DateFormat=P","Fill=—","Direction=H","UseDPDF=Y")</f>
        <v>12830</v>
      </c>
      <c r="F108" s="13">
        <f>_xll.BDH("RCOM IN Equity","IS_PERSONNEL_EXP","FY 2013","FY 2013","Currency=INR","Period=FY","BEST_FPERIOD_OVERRIDE=FY","FILING_STATUS=MR","EQY_CONSOLIDATED=Y","SCALING_FORMAT=MLN","Sort=A","Dates=H","DateFormat=P","Fill=—","Direction=H","UseDPDF=Y")</f>
        <v>11890</v>
      </c>
      <c r="G108" s="13">
        <f>_xll.BDH("RCOM IN Equity","IS_PERSONNEL_EXP","FY 2014","FY 2014","Currency=INR","Period=FY","BEST_FPERIOD_OVERRIDE=FY","FILING_STATUS=MR","EQY_CONSOLIDATED=Y","SCALING_FORMAT=MLN","Sort=A","Dates=H","DateFormat=P","Fill=—","Direction=H","UseDPDF=Y")</f>
        <v>10250</v>
      </c>
      <c r="H108" s="13">
        <f>_xll.BDH("RCOM IN Equity","IS_PERSONNEL_EXP","FY 2015","FY 2015","Currency=INR","Period=FY","BEST_FPERIOD_OVERRIDE=FY","FILING_STATUS=MR","EQY_CONSOLIDATED=Y","SCALING_FORMAT=MLN","Sort=A","Dates=H","DateFormat=P","Fill=—","Direction=H","UseDPDF=Y")</f>
        <v>9980</v>
      </c>
      <c r="I108" s="13">
        <f>_xll.BDH("RCOM IN Equity","IS_PERSONNEL_EXP","FY 2016","FY 2016","Currency=INR","Period=FY","BEST_FPERIOD_OVERRIDE=FY","FILING_STATUS=MR","EQY_CONSOLIDATED=Y","SCALING_FORMAT=MLN","Sort=A","Dates=H","DateFormat=P","Fill=—","Direction=H","UseDPDF=Y")</f>
        <v>11200</v>
      </c>
      <c r="J108" s="13">
        <f>_xll.BDH("RCOM IN Equity","IS_PERSONNEL_EXP","FY 2017","FY 2017","Currency=INR","Period=FY","BEST_FPERIOD_OVERRIDE=FY","FILING_STATUS=MR","EQY_CONSOLIDATED=Y","SCALING_FORMAT=MLN","Sort=A","Dates=H","DateFormat=P","Fill=—","Direction=H","UseDPDF=Y")</f>
        <v>4420</v>
      </c>
      <c r="K108" s="13">
        <f>_xll.BDH("RCOM IN Equity","IS_PERSONNEL_EXP","FY 2018","FY 2018","Currency=INR","Period=FY","BEST_FPERIOD_OVERRIDE=FY","FILING_STATUS=MR","EQY_CONSOLIDATED=Y","SCALING_FORMAT=MLN","Sort=A","Dates=H","DateFormat=P","Fill=—","Direction=H","UseDPDF=Y")</f>
        <v>4270</v>
      </c>
      <c r="L108" s="16">
        <v>4630</v>
      </c>
    </row>
    <row r="109" spans="1:12">
      <c r="A109" s="10" t="s">
        <v>369</v>
      </c>
      <c r="B109" s="10" t="s">
        <v>370</v>
      </c>
      <c r="C109" s="13" t="str">
        <f>_xll.BDH("RCOM IN Equity","IS_EXPORT_SALES","FY 2010","FY 2010","Currency=INR","Period=FY","BEST_FPERIOD_OVERRIDE=FY","FILING_STATUS=MR","EQY_CONSOLIDATED=Y","SCALING_FORMAT=MLN","Sort=A","Dates=H","DateFormat=P","Fill=—","Direction=H","UseDPDF=Y")</f>
        <v>—</v>
      </c>
      <c r="D109" s="13" t="str">
        <f>_xll.BDH("RCOM IN Equity","IS_EXPORT_SALES","FY 2011","FY 2011","Currency=INR","Period=FY","BEST_FPERIOD_OVERRIDE=FY","FILING_STATUS=MR","EQY_CONSOLIDATED=Y","SCALING_FORMAT=MLN","Sort=A","Dates=H","DateFormat=P","Fill=—","Direction=H","UseDPDF=Y")</f>
        <v>—</v>
      </c>
      <c r="E109" s="13">
        <f>_xll.BDH("RCOM IN Equity","IS_EXPORT_SALES","FY 2012","FY 2012","Currency=INR","Period=FY","BEST_FPERIOD_OVERRIDE=FY","FILING_STATUS=MR","EQY_CONSOLIDATED=Y","SCALING_FORMAT=MLN","Sort=A","Dates=H","DateFormat=P","Fill=—","Direction=H","UseDPDF=Y")</f>
        <v>9990</v>
      </c>
      <c r="F109" s="13" t="str">
        <f>_xll.BDH("RCOM IN Equity","IS_EXPORT_SALES","FY 2013","FY 2013","Currency=INR","Period=FY","BEST_FPERIOD_OVERRIDE=FY","FILING_STATUS=MR","EQY_CONSOLIDATED=Y","SCALING_FORMAT=MLN","Sort=A","Dates=H","DateFormat=P","Fill=—","Direction=H","UseDPDF=Y")</f>
        <v>—</v>
      </c>
      <c r="G109" s="13" t="str">
        <f>_xll.BDH("RCOM IN Equity","IS_EXPORT_SALES","FY 2014","FY 2014","Currency=INR","Period=FY","BEST_FPERIOD_OVERRIDE=FY","FILING_STATUS=MR","EQY_CONSOLIDATED=Y","SCALING_FORMAT=MLN","Sort=A","Dates=H","DateFormat=P","Fill=—","Direction=H","UseDPDF=Y")</f>
        <v>—</v>
      </c>
      <c r="H109" s="13" t="str">
        <f>_xll.BDH("RCOM IN Equity","IS_EXPORT_SALES","FY 2015","FY 2015","Currency=INR","Period=FY","BEST_FPERIOD_OVERRIDE=FY","FILING_STATUS=MR","EQY_CONSOLIDATED=Y","SCALING_FORMAT=MLN","Sort=A","Dates=H","DateFormat=P","Fill=—","Direction=H","UseDPDF=Y")</f>
        <v>—</v>
      </c>
      <c r="I109" s="13" t="str">
        <f>_xll.BDH("RCOM IN Equity","IS_EXPORT_SALES","FY 2016","FY 2016","Currency=INR","Period=FY","BEST_FPERIOD_OVERRIDE=FY","FILING_STATUS=MR","EQY_CONSOLIDATED=Y","SCALING_FORMAT=MLN","Sort=A","Dates=H","DateFormat=P","Fill=—","Direction=H","UseDPDF=Y")</f>
        <v>—</v>
      </c>
      <c r="J109" s="13" t="str">
        <f>_xll.BDH("RCOM IN Equity","IS_EXPORT_SALES","FY 2017","FY 2017","Currency=INR","Period=FY","BEST_FPERIOD_OVERRIDE=FY","FILING_STATUS=MR","EQY_CONSOLIDATED=Y","SCALING_FORMAT=MLN","Sort=A","Dates=H","DateFormat=P","Fill=—","Direction=H","UseDPDF=Y")</f>
        <v>—</v>
      </c>
      <c r="K109" s="13" t="str">
        <f>_xll.BDH("RCOM IN Equity","IS_EXPORT_SALES","FY 2018","FY 2018","Currency=INR","Period=FY","BEST_FPERIOD_OVERRIDE=FY","FILING_STATUS=MR","EQY_CONSOLIDATED=Y","SCALING_FORMAT=MLN","Sort=A","Dates=H","DateFormat=P","Fill=—","Direction=H","UseDPDF=Y")</f>
        <v>—</v>
      </c>
      <c r="L109" s="16"/>
    </row>
    <row r="110" spans="1:12">
      <c r="A110" s="10" t="s">
        <v>371</v>
      </c>
      <c r="B110" s="10" t="s">
        <v>372</v>
      </c>
      <c r="C110" s="13">
        <f>_xll.BDH("RCOM IN Equity","IS_DEPR_EXP","FY 2010","FY 2010","Currency=INR","Period=FY","BEST_FPERIOD_OVERRIDE=FY","FILING_STATUS=MR","EQY_CONSOLIDATED=Y","SCALING_FORMAT=MLN","Sort=A","Dates=H","DateFormat=P","Fill=—","Direction=H","UseDPDF=Y")</f>
        <v>28646</v>
      </c>
      <c r="D110" s="13">
        <f>_xll.BDH("RCOM IN Equity","IS_DEPR_EXP","FY 2011","FY 2011","Currency=INR","Period=FY","BEST_FPERIOD_OVERRIDE=FY","FILING_STATUS=MR","EQY_CONSOLIDATED=Y","SCALING_FORMAT=MLN","Sort=A","Dates=H","DateFormat=P","Fill=—","Direction=H","UseDPDF=Y")</f>
        <v>37440</v>
      </c>
      <c r="E110" s="13">
        <f>_xll.BDH("RCOM IN Equity","IS_DEPR_EXP","FY 2012","FY 2012","Currency=INR","Period=FY","BEST_FPERIOD_OVERRIDE=FY","FILING_STATUS=MR","EQY_CONSOLIDATED=Y","SCALING_FORMAT=MLN","Sort=A","Dates=H","DateFormat=P","Fill=—","Direction=H","UseDPDF=Y")</f>
        <v>16370</v>
      </c>
      <c r="F110" s="13">
        <f>_xll.BDH("RCOM IN Equity","IS_DEPR_EXP","FY 2013","FY 2013","Currency=INR","Period=FY","BEST_FPERIOD_OVERRIDE=FY","FILING_STATUS=MR","EQY_CONSOLIDATED=Y","SCALING_FORMAT=MLN","Sort=A","Dates=H","DateFormat=P","Fill=—","Direction=H","UseDPDF=Y")</f>
        <v>19080</v>
      </c>
      <c r="G110" s="13" t="str">
        <f>_xll.BDH("RCOM IN Equity","IS_DEPR_EXP","FY 2014","FY 2014","Currency=INR","Period=FY","BEST_FPERIOD_OVERRIDE=FY","FILING_STATUS=MR","EQY_CONSOLIDATED=Y","SCALING_FORMAT=MLN","Sort=A","Dates=H","DateFormat=P","Fill=—","Direction=H","UseDPDF=Y")</f>
        <v>—</v>
      </c>
      <c r="H110" s="13" t="str">
        <f>_xll.BDH("RCOM IN Equity","IS_DEPR_EXP","FY 2015","FY 2015","Currency=INR","Period=FY","BEST_FPERIOD_OVERRIDE=FY","FILING_STATUS=MR","EQY_CONSOLIDATED=Y","SCALING_FORMAT=MLN","Sort=A","Dates=H","DateFormat=P","Fill=—","Direction=H","UseDPDF=Y")</f>
        <v>—</v>
      </c>
      <c r="I110" s="13" t="str">
        <f>_xll.BDH("RCOM IN Equity","IS_DEPR_EXP","FY 2016","FY 2016","Currency=INR","Period=FY","BEST_FPERIOD_OVERRIDE=FY","FILING_STATUS=MR","EQY_CONSOLIDATED=Y","SCALING_FORMAT=MLN","Sort=A","Dates=H","DateFormat=P","Fill=—","Direction=H","UseDPDF=Y")</f>
        <v>—</v>
      </c>
      <c r="J110" s="13" t="str">
        <f>_xll.BDH("RCOM IN Equity","IS_DEPR_EXP","FY 2017","FY 2017","Currency=INR","Period=FY","BEST_FPERIOD_OVERRIDE=FY","FILING_STATUS=MR","EQY_CONSOLIDATED=Y","SCALING_FORMAT=MLN","Sort=A","Dates=H","DateFormat=P","Fill=—","Direction=H","UseDPDF=Y")</f>
        <v>—</v>
      </c>
      <c r="K110" s="13" t="str">
        <f>_xll.BDH("RCOM IN Equity","IS_DEPR_EXP","FY 2018","FY 2018","Currency=INR","Period=FY","BEST_FPERIOD_OVERRIDE=FY","FILING_STATUS=MR","EQY_CONSOLIDATED=Y","SCALING_FORMAT=MLN","Sort=A","Dates=H","DateFormat=P","Fill=—","Direction=H","UseDPDF=Y")</f>
        <v>—</v>
      </c>
      <c r="L110" s="16"/>
    </row>
    <row r="111" spans="1:12">
      <c r="A111" s="10" t="s">
        <v>373</v>
      </c>
      <c r="B111" s="10" t="s">
        <v>374</v>
      </c>
      <c r="C111" s="13">
        <f>_xll.BDH("RCOM IN Equity","BS_CURR_RENTAL_EXPENSE","FY 2010","FY 2010","Currency=INR","Period=FY","BEST_FPERIOD_OVERRIDE=FY","FILING_STATUS=MR","EQY_CONSOLIDATED=Y","SCALING_FORMAT=MLN","Sort=A","Dates=H","DateFormat=P","Fill=—","Direction=H","UseDPDF=Y")</f>
        <v>3950.2</v>
      </c>
      <c r="D111" s="13">
        <f>_xll.BDH("RCOM IN Equity","BS_CURR_RENTAL_EXPENSE","FY 2011","FY 2011","Currency=INR","Period=FY","BEST_FPERIOD_OVERRIDE=FY","FILING_STATUS=MR","EQY_CONSOLIDATED=Y","SCALING_FORMAT=MLN","Sort=A","Dates=H","DateFormat=P","Fill=—","Direction=H","UseDPDF=Y")</f>
        <v>3420</v>
      </c>
      <c r="E111" s="13">
        <f>_xll.BDH("RCOM IN Equity","BS_CURR_RENTAL_EXPENSE","FY 2012","FY 2012","Currency=INR","Period=FY","BEST_FPERIOD_OVERRIDE=FY","FILING_STATUS=MR","EQY_CONSOLIDATED=Y","SCALING_FORMAT=MLN","Sort=A","Dates=H","DateFormat=P","Fill=—","Direction=H","UseDPDF=Y")</f>
        <v>3040</v>
      </c>
      <c r="F111" s="13">
        <f>_xll.BDH("RCOM IN Equity","BS_CURR_RENTAL_EXPENSE","FY 2013","FY 2013","Currency=INR","Period=FY","BEST_FPERIOD_OVERRIDE=FY","FILING_STATUS=MR","EQY_CONSOLIDATED=Y","SCALING_FORMAT=MLN","Sort=A","Dates=H","DateFormat=P","Fill=—","Direction=H","UseDPDF=Y")</f>
        <v>3640</v>
      </c>
      <c r="G111" s="13">
        <f>_xll.BDH("RCOM IN Equity","BS_CURR_RENTAL_EXPENSE","FY 2014","FY 2014","Currency=INR","Period=FY","BEST_FPERIOD_OVERRIDE=FY","FILING_STATUS=MR","EQY_CONSOLIDATED=Y","SCALING_FORMAT=MLN","Sort=A","Dates=H","DateFormat=P","Fill=—","Direction=H","UseDPDF=Y")</f>
        <v>2250</v>
      </c>
      <c r="H111" s="13">
        <f>_xll.BDH("RCOM IN Equity","BS_CURR_RENTAL_EXPENSE","FY 2015","FY 2015","Currency=INR","Period=FY","BEST_FPERIOD_OVERRIDE=FY","FILING_STATUS=MR","EQY_CONSOLIDATED=Y","SCALING_FORMAT=MLN","Sort=A","Dates=H","DateFormat=P","Fill=—","Direction=H","UseDPDF=Y")</f>
        <v>2110</v>
      </c>
      <c r="I111" s="13">
        <f>_xll.BDH("RCOM IN Equity","BS_CURR_RENTAL_EXPENSE","FY 2016","FY 2016","Currency=INR","Period=FY","BEST_FPERIOD_OVERRIDE=FY","FILING_STATUS=MR","EQY_CONSOLIDATED=Y","SCALING_FORMAT=MLN","Sort=A","Dates=H","DateFormat=P","Fill=—","Direction=H","UseDPDF=Y")</f>
        <v>800</v>
      </c>
      <c r="J111" s="13">
        <f>_xll.BDH("RCOM IN Equity","BS_CURR_RENTAL_EXPENSE","FY 2017","FY 2017","Currency=INR","Period=FY","BEST_FPERIOD_OVERRIDE=FY","FILING_STATUS=MR","EQY_CONSOLIDATED=Y","SCALING_FORMAT=MLN","Sort=A","Dates=H","DateFormat=P","Fill=—","Direction=H","UseDPDF=Y")</f>
        <v>250</v>
      </c>
      <c r="K111" s="13">
        <f>_xll.BDH("RCOM IN Equity","BS_CURR_RENTAL_EXPENSE","FY 2018","FY 2018","Currency=INR","Period=FY","BEST_FPERIOD_OVERRIDE=FY","FILING_STATUS=MR","EQY_CONSOLIDATED=Y","SCALING_FORMAT=MLN","Sort=A","Dates=H","DateFormat=P","Fill=—","Direction=H","UseDPDF=Y")</f>
        <v>790</v>
      </c>
      <c r="L111" s="16"/>
    </row>
    <row r="112" spans="1:12">
      <c r="A112" s="7" t="s">
        <v>57</v>
      </c>
      <c r="B112" s="7"/>
      <c r="C112" s="7" t="s">
        <v>3</v>
      </c>
      <c r="D112" s="7"/>
      <c r="E112" s="7"/>
      <c r="F112" s="7"/>
      <c r="G112" s="7"/>
      <c r="H112" s="7"/>
      <c r="I112" s="7"/>
      <c r="J112" s="7"/>
      <c r="K112" s="7"/>
      <c r="L11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Adj Highlights</vt:lpstr>
      <vt:lpstr>GAAP Highlights</vt:lpstr>
      <vt:lpstr>Earnings</vt:lpstr>
      <vt:lpstr>Enterprise Value</vt:lpstr>
      <vt:lpstr>Multiples</vt:lpstr>
      <vt:lpstr>Per Share</vt:lpstr>
      <vt:lpstr>Stock Value</vt:lpstr>
      <vt:lpstr>Income - Adjusted</vt:lpstr>
      <vt:lpstr>Income - GAAP</vt:lpstr>
      <vt:lpstr>Income - As Reported</vt:lpstr>
      <vt:lpstr>Reconciliation</vt:lpstr>
      <vt:lpstr>SBC &amp; Amort</vt:lpstr>
      <vt:lpstr>Adj %</vt:lpstr>
      <vt:lpstr>GAAP %</vt:lpstr>
      <vt:lpstr>Bal Sheet - Standardized</vt:lpstr>
      <vt:lpstr>Bal Sheet - As Reported</vt:lpstr>
      <vt:lpstr>Bal Sheet - Common Size</vt:lpstr>
      <vt:lpstr>Cash Flow - Standardized</vt:lpstr>
      <vt:lpstr>Cash Flow - As Reported</vt:lpstr>
      <vt:lpstr>Profitability</vt:lpstr>
      <vt:lpstr>Growth</vt:lpstr>
      <vt:lpstr>Credit</vt:lpstr>
      <vt:lpstr>Liquidity</vt:lpstr>
      <vt:lpstr>Working Capital</vt:lpstr>
      <vt:lpstr>Yield Analysis</vt:lpstr>
      <vt:lpstr>DuPont Analysis</vt:lpstr>
      <vt:lpstr>CAPEX &amp; Depreciation</vt:lpstr>
      <vt:lpstr>Addl - Overview</vt:lpstr>
      <vt:lpstr>As Reported Summary</vt:lpstr>
      <vt:lpstr>Dividend Summary</vt:lpstr>
      <vt:lpstr>Sources of Capital</vt:lpstr>
      <vt:lpstr>Comprehensive Income</vt:lpstr>
      <vt:lpstr>ESG - Overview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2019-03-04T18:54:12Z</dcterms:modified>
</cp:coreProperties>
</file>