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rees\OneDrive\Desktop\CF project\"/>
    </mc:Choice>
  </mc:AlternateContent>
  <xr:revisionPtr revIDLastSave="0" documentId="8_{91935DE6-A7D0-4A45-BFEE-4740B9B35C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</sheets>
  <definedNames>
    <definedName name="_xlchart.v1.0" hidden="1">(WACC!$C$8,WACC!$C$15)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C21" i="4" l="1"/>
  <c r="C20" i="4"/>
  <c r="E7" i="4"/>
  <c r="D7" i="4"/>
  <c r="C7" i="4"/>
  <c r="C13" i="5"/>
  <c r="C13" i="6"/>
  <c r="C15" i="6"/>
  <c r="C17" i="5"/>
  <c r="C16" i="5"/>
  <c r="C9" i="6"/>
  <c r="C8" i="6"/>
  <c r="G4" i="5"/>
  <c r="H4" i="5"/>
  <c r="I4" i="5"/>
  <c r="J4" i="5"/>
  <c r="K4" i="5"/>
  <c r="E15" i="2"/>
  <c r="G11" i="4"/>
  <c r="H20" i="2"/>
  <c r="G20" i="2"/>
  <c r="F20" i="2"/>
  <c r="F19" i="2"/>
  <c r="G19" i="2"/>
  <c r="H19" i="2"/>
  <c r="I19" i="2"/>
  <c r="J19" i="2"/>
  <c r="C24" i="4"/>
  <c r="C23" i="4"/>
  <c r="C19" i="4"/>
  <c r="C28" i="2"/>
  <c r="C17" i="2"/>
  <c r="C12" i="3"/>
  <c r="E5" i="3"/>
  <c r="E7" i="3"/>
  <c r="C30" i="2"/>
  <c r="C29" i="2"/>
  <c r="C16" i="6" l="1"/>
  <c r="C18" i="6" s="1"/>
  <c r="C12" i="5" s="1"/>
  <c r="I7" i="5" l="1"/>
  <c r="K7" i="5"/>
  <c r="J7" i="5"/>
  <c r="F15" i="5"/>
  <c r="F14" i="5" s="1"/>
  <c r="F13" i="5" s="1"/>
  <c r="H7" i="5"/>
  <c r="G7" i="5"/>
  <c r="C14" i="5"/>
  <c r="F16" i="5" l="1"/>
  <c r="F17" i="5" s="1"/>
  <c r="C10" i="5"/>
  <c r="C15" i="5" s="1"/>
  <c r="C19" i="5" l="1"/>
  <c r="C21" i="5" s="1"/>
  <c r="F12" i="5" s="1"/>
  <c r="D11" i="2"/>
  <c r="E11" i="2"/>
  <c r="C11" i="2"/>
  <c r="G27" i="2"/>
  <c r="H27" i="2"/>
  <c r="I27" i="2"/>
  <c r="J27" i="2"/>
  <c r="F27" i="2"/>
  <c r="C27" i="2"/>
  <c r="D27" i="2"/>
  <c r="C6" i="2" l="1"/>
  <c r="C12" i="2" s="1"/>
  <c r="C14" i="2" s="1"/>
  <c r="C15" i="2" s="1"/>
  <c r="F4" i="3" l="1"/>
  <c r="F6" i="3" s="1"/>
  <c r="F18" i="2" s="1"/>
  <c r="D28" i="2"/>
  <c r="E28" i="2"/>
  <c r="F28" i="2" l="1"/>
  <c r="G28" i="2" l="1"/>
  <c r="H28" i="2" l="1"/>
  <c r="I28" i="2" l="1"/>
  <c r="F4" i="2"/>
  <c r="E27" i="2"/>
  <c r="F9" i="2" l="1"/>
  <c r="F8" i="2"/>
  <c r="G4" i="2"/>
  <c r="G8" i="2" s="1"/>
  <c r="G16" i="4"/>
  <c r="J28" i="2"/>
  <c r="G9" i="2" l="1"/>
  <c r="H4" i="2"/>
  <c r="E17" i="4"/>
  <c r="D17" i="4"/>
  <c r="H16" i="4"/>
  <c r="F16" i="4"/>
  <c r="E16" i="4"/>
  <c r="E24" i="4" s="1"/>
  <c r="C12" i="4"/>
  <c r="F12" i="4"/>
  <c r="E22" i="2" s="1"/>
  <c r="E12" i="4"/>
  <c r="D22" i="2" s="1"/>
  <c r="D12" i="4"/>
  <c r="C22" i="2" s="1"/>
  <c r="F7" i="4"/>
  <c r="E21" i="2" s="1"/>
  <c r="D21" i="2"/>
  <c r="C21" i="2"/>
  <c r="G12" i="3"/>
  <c r="H12" i="3" s="1"/>
  <c r="I12" i="3" s="1"/>
  <c r="J12" i="3" s="1"/>
  <c r="D30" i="2"/>
  <c r="J26" i="2"/>
  <c r="I26" i="2"/>
  <c r="H26" i="2"/>
  <c r="G26" i="2"/>
  <c r="F26" i="2"/>
  <c r="E26" i="2"/>
  <c r="D26" i="2"/>
  <c r="C26" i="2"/>
  <c r="B26" i="2"/>
  <c r="E11" i="3"/>
  <c r="F17" i="4"/>
  <c r="D29" i="2"/>
  <c r="E6" i="2"/>
  <c r="E12" i="2" s="1"/>
  <c r="E20" i="2" l="1"/>
  <c r="F23" i="4"/>
  <c r="F24" i="4"/>
  <c r="H9" i="2"/>
  <c r="H8" i="2"/>
  <c r="E17" i="2"/>
  <c r="E14" i="2"/>
  <c r="C20" i="2"/>
  <c r="C19" i="2" s="1"/>
  <c r="F20" i="4"/>
  <c r="F21" i="4"/>
  <c r="E20" i="4"/>
  <c r="E21" i="4"/>
  <c r="D21" i="4"/>
  <c r="D20" i="4"/>
  <c r="F19" i="4"/>
  <c r="E19" i="4"/>
  <c r="E23" i="4"/>
  <c r="I4" i="2"/>
  <c r="I16" i="4"/>
  <c r="D12" i="3"/>
  <c r="E12" i="3"/>
  <c r="D20" i="2"/>
  <c r="D6" i="2"/>
  <c r="D12" i="2" s="1"/>
  <c r="D14" i="2" s="1"/>
  <c r="D15" i="2" s="1"/>
  <c r="E29" i="2"/>
  <c r="F29" i="2" s="1"/>
  <c r="F5" i="2" s="1"/>
  <c r="F6" i="2" s="1"/>
  <c r="D16" i="4"/>
  <c r="D24" i="4" s="1"/>
  <c r="G24" i="4" s="1"/>
  <c r="E30" i="2"/>
  <c r="F30" i="2" s="1"/>
  <c r="F10" i="2" s="1"/>
  <c r="I9" i="2" l="1"/>
  <c r="I8" i="2"/>
  <c r="H24" i="4"/>
  <c r="E19" i="2"/>
  <c r="D19" i="2"/>
  <c r="E16" i="2"/>
  <c r="D17" i="2"/>
  <c r="D5" i="3"/>
  <c r="G20" i="4"/>
  <c r="G21" i="4"/>
  <c r="D23" i="4"/>
  <c r="G23" i="4" s="1"/>
  <c r="G6" i="4" s="1"/>
  <c r="D19" i="4"/>
  <c r="G19" i="4" s="1"/>
  <c r="G4" i="4" s="1"/>
  <c r="G30" i="2"/>
  <c r="F11" i="2"/>
  <c r="F12" i="2" s="1"/>
  <c r="G29" i="2"/>
  <c r="G5" i="2" s="1"/>
  <c r="J4" i="2"/>
  <c r="J16" i="4"/>
  <c r="H20" i="4" l="1"/>
  <c r="I20" i="4" s="1"/>
  <c r="J20" i="4" s="1"/>
  <c r="K20" i="4" s="1"/>
  <c r="I24" i="4"/>
  <c r="H11" i="4"/>
  <c r="J9" i="2"/>
  <c r="J8" i="2"/>
  <c r="H23" i="4"/>
  <c r="H21" i="4"/>
  <c r="I21" i="4" s="1"/>
  <c r="J21" i="4" s="1"/>
  <c r="K21" i="4" s="1"/>
  <c r="D11" i="3"/>
  <c r="D7" i="3"/>
  <c r="H19" i="4"/>
  <c r="H30" i="2"/>
  <c r="G10" i="2"/>
  <c r="G11" i="2" s="1"/>
  <c r="D16" i="2"/>
  <c r="D23" i="2" s="1"/>
  <c r="E4" i="5" s="1"/>
  <c r="G17" i="4"/>
  <c r="G9" i="4" s="1"/>
  <c r="H29" i="2"/>
  <c r="K16" i="4"/>
  <c r="E23" i="2"/>
  <c r="F4" i="5" s="1"/>
  <c r="J24" i="4" l="1"/>
  <c r="I11" i="4"/>
  <c r="G5" i="4"/>
  <c r="G7" i="4" s="1"/>
  <c r="F21" i="2" s="1"/>
  <c r="G12" i="2"/>
  <c r="I23" i="4"/>
  <c r="H6" i="4"/>
  <c r="G12" i="4"/>
  <c r="F22" i="2" s="1"/>
  <c r="H4" i="4"/>
  <c r="I19" i="4"/>
  <c r="I30" i="2"/>
  <c r="H10" i="2"/>
  <c r="H11" i="2" s="1"/>
  <c r="G6" i="2"/>
  <c r="H17" i="4"/>
  <c r="I29" i="2"/>
  <c r="H5" i="2"/>
  <c r="K24" i="4" l="1"/>
  <c r="K11" i="4" s="1"/>
  <c r="J11" i="4"/>
  <c r="J23" i="4"/>
  <c r="I6" i="4"/>
  <c r="I4" i="4"/>
  <c r="J19" i="4"/>
  <c r="H5" i="4"/>
  <c r="H7" i="4" s="1"/>
  <c r="G21" i="2" s="1"/>
  <c r="H9" i="4"/>
  <c r="H12" i="4" s="1"/>
  <c r="G22" i="2" s="1"/>
  <c r="J30" i="2"/>
  <c r="J10" i="2" s="1"/>
  <c r="J11" i="2" s="1"/>
  <c r="I10" i="2"/>
  <c r="I11" i="2" s="1"/>
  <c r="J29" i="2"/>
  <c r="J5" i="2" s="1"/>
  <c r="I5" i="2"/>
  <c r="I17" i="4"/>
  <c r="H6" i="2"/>
  <c r="H12" i="2" s="1"/>
  <c r="K23" i="4" l="1"/>
  <c r="K6" i="4" s="1"/>
  <c r="J6" i="4"/>
  <c r="J4" i="4"/>
  <c r="K19" i="4"/>
  <c r="K4" i="4" s="1"/>
  <c r="I5" i="4"/>
  <c r="I7" i="4" s="1"/>
  <c r="H21" i="2" s="1"/>
  <c r="I9" i="4"/>
  <c r="I12" i="4" s="1"/>
  <c r="H22" i="2" s="1"/>
  <c r="K17" i="4"/>
  <c r="J6" i="2"/>
  <c r="J12" i="2" s="1"/>
  <c r="J17" i="4"/>
  <c r="I6" i="2"/>
  <c r="I12" i="2" s="1"/>
  <c r="K5" i="4" l="1"/>
  <c r="K7" i="4" s="1"/>
  <c r="J21" i="2" s="1"/>
  <c r="K9" i="4"/>
  <c r="K12" i="4" s="1"/>
  <c r="J22" i="2" s="1"/>
  <c r="J5" i="4"/>
  <c r="J7" i="4" s="1"/>
  <c r="I21" i="2" s="1"/>
  <c r="J9" i="4"/>
  <c r="J12" i="4" s="1"/>
  <c r="I22" i="2" s="1"/>
  <c r="I20" i="2" l="1"/>
  <c r="J20" i="2"/>
  <c r="C16" i="2" l="1"/>
  <c r="C5" i="3"/>
  <c r="C7" i="3" l="1"/>
  <c r="C11" i="3"/>
  <c r="F11" i="3" s="1"/>
  <c r="C23" i="2"/>
  <c r="D4" i="5" s="1"/>
  <c r="F5" i="3" l="1"/>
  <c r="G11" i="3"/>
  <c r="H11" i="3"/>
  <c r="F13" i="2"/>
  <c r="F14" i="2" s="1"/>
  <c r="F15" i="2" s="1"/>
  <c r="F7" i="3"/>
  <c r="G4" i="3" s="1"/>
  <c r="G6" i="3" l="1"/>
  <c r="G18" i="2" s="1"/>
  <c r="F17" i="2"/>
  <c r="I11" i="3"/>
  <c r="G5" i="3"/>
  <c r="G13" i="2" s="1"/>
  <c r="G14" i="2" s="1"/>
  <c r="G15" i="2" s="1"/>
  <c r="G7" i="3" l="1"/>
  <c r="H4" i="3" s="1"/>
  <c r="H5" i="3" s="1"/>
  <c r="H13" i="2" s="1"/>
  <c r="J11" i="3"/>
  <c r="F16" i="2"/>
  <c r="F23" i="2" s="1"/>
  <c r="G17" i="2"/>
  <c r="H17" i="2" l="1"/>
  <c r="H14" i="2"/>
  <c r="H15" i="2" s="1"/>
  <c r="H6" i="3"/>
  <c r="H18" i="2" s="1"/>
  <c r="G16" i="2"/>
  <c r="G23" i="2" s="1"/>
  <c r="H16" i="2" l="1"/>
  <c r="H23" i="2" s="1"/>
  <c r="H7" i="3"/>
  <c r="I4" i="3" s="1"/>
  <c r="I6" i="3" s="1"/>
  <c r="I18" i="2" s="1"/>
  <c r="I5" i="3" l="1"/>
  <c r="I13" i="2" s="1"/>
  <c r="I14" i="2" s="1"/>
  <c r="I15" i="2" s="1"/>
  <c r="I7" i="3" l="1"/>
  <c r="J4" i="3" s="1"/>
  <c r="J5" i="3" s="1"/>
  <c r="J13" i="2" s="1"/>
  <c r="J14" i="2" s="1"/>
  <c r="J15" i="2" s="1"/>
  <c r="I17" i="2"/>
  <c r="I16" i="2"/>
  <c r="J6" i="3" l="1"/>
  <c r="J18" i="2" s="1"/>
  <c r="I23" i="2"/>
  <c r="J17" i="2"/>
  <c r="J7" i="3" l="1"/>
  <c r="J16" i="2"/>
  <c r="J23" i="2" s="1"/>
</calcChain>
</file>

<file path=xl/sharedStrings.xml><?xml version="1.0" encoding="utf-8"?>
<sst xmlns="http://schemas.openxmlformats.org/spreadsheetml/2006/main" count="92" uniqueCount="76">
  <si>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</si>
  <si>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</si>
  <si>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</si>
  <si>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</si>
  <si>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</si>
  <si>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</si>
  <si>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</si>
  <si>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</si>
  <si>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</si>
  <si>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</si>
  <si>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</si>
  <si>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</si>
  <si>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</si>
  <si>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</si>
  <si>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</si>
  <si>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</si>
  <si>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</si>
  <si>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</si>
  <si>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</si>
  <si>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</si>
  <si>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</si>
  <si>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</si>
  <si>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</si>
  <si>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</si>
  <si>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</si>
  <si>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</si>
  <si>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</si>
  <si>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</si>
  <si>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</si>
  <si>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</si>
  <si>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</si>
  <si>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</si>
  <si>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</si>
  <si>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</si>
  <si>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</si>
  <si>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</si>
  <si>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</si>
  <si>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</si>
  <si>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</si>
  <si>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</si>
  <si>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</si>
  <si>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</si>
  <si>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</si>
  <si>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</si>
  <si>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</si>
  <si>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</si>
  <si>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</si>
  <si>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</si>
  <si>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</si>
  <si>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</si>
  <si>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</si>
  <si>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</si>
  <si>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</si>
  <si>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</si>
  <si>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</si>
  <si>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</si>
  <si>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</si>
  <si>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</si>
  <si>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</si>
  <si>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</si>
  <si>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</si>
  <si>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</si>
  <si>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</si>
  <si>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</si>
  <si>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</si>
  <si>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</si>
  <si>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</si>
  <si>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</si>
  <si>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</si>
  <si>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</si>
  <si>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</si>
  <si>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</si>
  <si>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Research and Developnment</t>
  </si>
  <si>
    <t>Other Operating Expenses</t>
  </si>
  <si>
    <t>We Have taken 21% because it is the US corporate Tax rate and it is close to average</t>
  </si>
  <si>
    <t>Other Current Liablity as a %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</si>
</sst>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70" formatCode="_(&quot;$ &quot;#,##0_);_(&quot;$ &quot;\(#,##0\)"/>
    <numFmt numFmtId="171" formatCode="_(&quot;$ &quot;#,##0.00_);_(&quot;$ &quot;\(#,##0.00\)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9B3"/>
      <name val="Arial"/>
      <family val="2"/>
    </font>
    <font>
      <sz val="10"/>
      <color rgb="FF0069B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0" xfId="0" applyFont="1"/>
    <xf numFmtId="0" fontId="6" fillId="3" borderId="1" xfId="0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/>
    <xf numFmtId="165" fontId="4" fillId="2" borderId="2" xfId="0" applyNumberFormat="1" applyFont="1" applyFill="1" applyBorder="1"/>
    <xf numFmtId="0" fontId="7" fillId="0" borderId="0" xfId="0" applyFont="1"/>
    <xf numFmtId="166" fontId="4" fillId="0" borderId="0" xfId="0" applyNumberFormat="1" applyFont="1"/>
    <xf numFmtId="0" fontId="4" fillId="0" borderId="3" xfId="0" applyFont="1" applyBorder="1"/>
    <xf numFmtId="166" fontId="4" fillId="0" borderId="3" xfId="0" applyNumberFormat="1" applyFont="1" applyBorder="1"/>
    <xf numFmtId="0" fontId="5" fillId="0" borderId="0" xfId="0" applyFont="1"/>
    <xf numFmtId="166" fontId="5" fillId="0" borderId="0" xfId="0" applyNumberFormat="1" applyFont="1"/>
    <xf numFmtId="0" fontId="4" fillId="0" borderId="0" xfId="0" applyFont="1" applyAlignment="1">
      <alignment horizontal="left"/>
    </xf>
    <xf numFmtId="0" fontId="5" fillId="4" borderId="4" xfId="0" applyFont="1" applyFill="1" applyBorder="1"/>
    <xf numFmtId="166" fontId="5" fillId="4" borderId="4" xfId="0" applyNumberFormat="1" applyFont="1" applyFill="1" applyBorder="1"/>
    <xf numFmtId="0" fontId="4" fillId="5" borderId="1" xfId="0" applyFont="1" applyFill="1" applyBorder="1"/>
    <xf numFmtId="167" fontId="4" fillId="5" borderId="1" xfId="0" applyNumberFormat="1" applyFont="1" applyFill="1" applyBorder="1"/>
    <xf numFmtId="3" fontId="4" fillId="0" borderId="0" xfId="0" applyNumberFormat="1" applyFont="1"/>
    <xf numFmtId="0" fontId="5" fillId="0" borderId="5" xfId="0" applyFont="1" applyBorder="1"/>
    <xf numFmtId="3" fontId="5" fillId="0" borderId="5" xfId="0" applyNumberFormat="1" applyFont="1" applyBorder="1"/>
    <xf numFmtId="167" fontId="4" fillId="0" borderId="0" xfId="0" applyNumberFormat="1" applyFont="1"/>
    <xf numFmtId="3" fontId="4" fillId="5" borderId="1" xfId="0" applyNumberFormat="1" applyFont="1" applyFill="1" applyBorder="1"/>
    <xf numFmtId="168" fontId="4" fillId="5" borderId="1" xfId="0" applyNumberFormat="1" applyFont="1" applyFill="1" applyBorder="1"/>
    <xf numFmtId="4" fontId="4" fillId="0" borderId="0" xfId="0" applyNumberFormat="1" applyFont="1"/>
    <xf numFmtId="10" fontId="4" fillId="2" borderId="1" xfId="0" applyNumberFormat="1" applyFont="1" applyFill="1" applyBorder="1"/>
    <xf numFmtId="4" fontId="4" fillId="2" borderId="1" xfId="0" applyNumberFormat="1" applyFont="1" applyFill="1" applyBorder="1"/>
    <xf numFmtId="4" fontId="6" fillId="3" borderId="1" xfId="0" applyNumberFormat="1" applyFont="1" applyFill="1" applyBorder="1"/>
    <xf numFmtId="0" fontId="4" fillId="0" borderId="5" xfId="0" applyFont="1" applyBorder="1"/>
    <xf numFmtId="3" fontId="4" fillId="0" borderId="5" xfId="0" applyNumberFormat="1" applyFont="1" applyBorder="1"/>
    <xf numFmtId="2" fontId="9" fillId="0" borderId="0" xfId="0" applyNumberFormat="1" applyFont="1"/>
    <xf numFmtId="4" fontId="5" fillId="4" borderId="4" xfId="0" applyNumberFormat="1" applyFont="1" applyFill="1" applyBorder="1"/>
    <xf numFmtId="167" fontId="5" fillId="0" borderId="5" xfId="0" applyNumberFormat="1" applyFont="1" applyBorder="1"/>
    <xf numFmtId="167" fontId="5" fillId="0" borderId="0" xfId="0" applyNumberFormat="1" applyFont="1"/>
    <xf numFmtId="167" fontId="5" fillId="4" borderId="4" xfId="0" applyNumberFormat="1" applyFont="1" applyFill="1" applyBorder="1"/>
    <xf numFmtId="37" fontId="8" fillId="0" borderId="0" xfId="0" applyNumberFormat="1" applyFont="1" applyAlignment="1">
      <alignment horizontal="right" vertical="top"/>
    </xf>
    <xf numFmtId="170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171" fontId="8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3" fillId="0" borderId="0" xfId="0" applyFont="1"/>
    <xf numFmtId="10" fontId="4" fillId="5" borderId="1" xfId="0" applyNumberFormat="1" applyFont="1" applyFill="1" applyBorder="1"/>
    <xf numFmtId="3" fontId="3" fillId="0" borderId="0" xfId="0" applyNumberFormat="1" applyFont="1"/>
    <xf numFmtId="0" fontId="2" fillId="0" borderId="0" xfId="0" applyFont="1"/>
    <xf numFmtId="0" fontId="11" fillId="0" borderId="0" xfId="0" applyFont="1"/>
    <xf numFmtId="3" fontId="12" fillId="0" borderId="0" xfId="0" applyNumberFormat="1" applyFont="1"/>
    <xf numFmtId="166" fontId="0" fillId="0" borderId="0" xfId="0" applyNumberFormat="1"/>
    <xf numFmtId="0" fontId="10" fillId="0" borderId="0" xfId="0" applyFont="1" applyAlignment="1">
      <alignment horizontal="center" vertical="center" wrapText="1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6" fillId="3" borderId="6" xfId="0" applyFont="1" applyFill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6" fillId="3" borderId="9" xfId="0" applyFont="1" applyFill="1" applyBorder="1" applyAlignment="1">
      <alignment horizontal="center" vertical="center" textRotation="90"/>
    </xf>
    <xf numFmtId="0" fontId="8" fillId="0" borderId="10" xfId="0" applyFont="1" applyBorder="1"/>
    <xf numFmtId="0" fontId="8" fillId="0" borderId="11" xfId="0" applyFont="1" applyBorder="1"/>
    <xf numFmtId="0" fontId="1" fillId="0" borderId="0" xfId="0" applyFont="1"/>
    <xf numFmtId="166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7" fontId="4" fillId="5" borderId="1" xfId="0" applyNumberFormat="1" applyFont="1" applyFill="1" applyBorder="1" applyAlignment="1">
      <alignment horizontal="right" vertical="center"/>
    </xf>
    <xf numFmtId="1" fontId="4" fillId="0" borderId="3" xfId="0" applyNumberFormat="1" applyFont="1" applyBorder="1" applyAlignment="1">
      <alignment horizontal="left" indent="11"/>
    </xf>
    <xf numFmtId="0" fontId="4" fillId="5" borderId="11" xfId="0" applyFont="1" applyFill="1" applyBorder="1"/>
    <xf numFmtId="167" fontId="4" fillId="5" borderId="11" xfId="0" applyNumberFormat="1" applyFont="1" applyFill="1" applyBorder="1" applyAlignment="1">
      <alignment horizontal="right" vertical="center"/>
    </xf>
    <xf numFmtId="167" fontId="4" fillId="5" borderId="11" xfId="0" applyNumberFormat="1" applyFont="1" applyFill="1" applyBorder="1"/>
    <xf numFmtId="166" fontId="4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left" indent="3"/>
    </xf>
    <xf numFmtId="3" fontId="4" fillId="0" borderId="0" xfId="0" applyNumberFormat="1" applyFont="1" applyAlignment="1">
      <alignment horizontal="left" indent="3"/>
    </xf>
    <xf numFmtId="0" fontId="13" fillId="0" borderId="0" xfId="0" applyFont="1"/>
    <xf numFmtId="10" fontId="15" fillId="0" borderId="0" xfId="0" applyNumberFormat="1" applyFont="1"/>
    <xf numFmtId="10" fontId="14" fillId="0" borderId="0" xfId="0" applyNumberFormat="1" applyFont="1"/>
    <xf numFmtId="3" fontId="1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 to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1C5-46C6-BE62-F5317AF7BA93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1C5-46C6-BE62-F5317AF7BA93}"/>
              </c:ext>
            </c:extLst>
          </c:dPt>
          <c:dLbls>
            <c:dLbl>
              <c:idx val="0"/>
              <c:layout>
                <c:manualLayout>
                  <c:x val="-0.10601109250483962"/>
                  <c:y val="0.1628277766397817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Debt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
</a:t>
                    </a:r>
                    <a:fld id="{91F23031-4B52-4994-82C9-479ADB0BD225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698764464396713E-2"/>
                      <c:h val="0.1646332268781573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1C5-46C6-BE62-F5317AF7BA93}"/>
                </c:ext>
              </c:extLst>
            </c:dLbl>
            <c:dLbl>
              <c:idx val="1"/>
              <c:layout>
                <c:manualLayout>
                  <c:x val="0.11213469357054349"/>
                  <c:y val="-0.1440055322821852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Equity</a:t>
                    </a:r>
                  </a:p>
                  <a:p>
                    <a:r>
                      <a:rPr lang="en-US" baseline="0"/>
                      <a:t>
</a:t>
                    </a:r>
                    <a:fld id="{53490017-001E-457A-925E-6673EAABD22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1C5-46C6-BE62-F5317AF7BA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(WACC!$C$8,WACC!$C$15)</c:f>
              <c:numCache>
                <c:formatCode>0.0%</c:formatCode>
                <c:ptCount val="2"/>
                <c:pt idx="0">
                  <c:v>0.29922593130140301</c:v>
                </c:pt>
                <c:pt idx="1">
                  <c:v>0.70077406869859704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5-46C6-BE62-F5317AF7BA9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14</xdr:col>
      <xdr:colOff>285750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2189E5-C787-FD22-0BF4-314106C0B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3"/>
  <sheetViews>
    <sheetView showGridLines="0" tabSelected="1" workbookViewId="0">
      <selection activeCell="C48" sqref="C48"/>
    </sheetView>
  </sheetViews>
  <sheetFormatPr defaultColWidth="14.42578125" defaultRowHeight="15" customHeight="1" x14ac:dyDescent="0.25"/>
  <cols>
    <col min="1" max="1" width="8.85546875" customWidth="1"/>
    <col min="2" max="2" width="45.42578125" customWidth="1"/>
    <col min="3" max="3" width="17.85546875" customWidth="1"/>
    <col min="4" max="4" width="12.28515625" customWidth="1"/>
    <col min="5" max="5" width="11" customWidth="1"/>
    <col min="6" max="10" width="10.42578125" customWidth="1"/>
    <col min="11" max="26" width="8.85546875" customWidth="1"/>
  </cols>
  <sheetData>
    <row r="1" spans="2:13" ht="14.25" customHeight="1" x14ac:dyDescent="0.25"/>
    <row r="2" spans="2:13" ht="14.2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3" ht="14.25" customHeight="1" x14ac:dyDescent="0.25">
      <c r="B3" s="3" t="s">
        <v>1</v>
      </c>
      <c r="C3" s="4">
        <v>44196</v>
      </c>
      <c r="D3" s="4">
        <v>44561</v>
      </c>
      <c r="E3" s="4">
        <v>44926</v>
      </c>
      <c r="F3" s="5">
        <v>45291</v>
      </c>
      <c r="G3" s="5">
        <v>45657</v>
      </c>
      <c r="H3" s="5">
        <v>46022</v>
      </c>
      <c r="I3" s="5">
        <v>46387</v>
      </c>
      <c r="J3" s="5">
        <v>46752</v>
      </c>
    </row>
    <row r="4" spans="2:13" ht="14.25" customHeight="1" x14ac:dyDescent="0.25">
      <c r="B4" s="6" t="s">
        <v>2</v>
      </c>
      <c r="C4" s="7">
        <v>1863</v>
      </c>
      <c r="D4" s="7">
        <v>2408</v>
      </c>
      <c r="E4" s="7">
        <v>2606</v>
      </c>
      <c r="F4" s="7">
        <f>E4*(1+F27)</f>
        <v>2710.2400000000002</v>
      </c>
      <c r="G4" s="7">
        <f>F4*(1+G27)</f>
        <v>2818.6496000000002</v>
      </c>
      <c r="H4" s="7">
        <f>G4*(1+H27)</f>
        <v>2931.3955840000003</v>
      </c>
      <c r="I4" s="7">
        <f>H4*(1+I27)</f>
        <v>3048.6514073600006</v>
      </c>
      <c r="J4" s="7">
        <f>I4*(1+J27)</f>
        <v>3170.5974636544006</v>
      </c>
    </row>
    <row r="5" spans="2:13" ht="19.5" customHeight="1" x14ac:dyDescent="0.25">
      <c r="B5" s="8" t="s">
        <v>3</v>
      </c>
      <c r="C5" s="9">
        <v>1199</v>
      </c>
      <c r="D5" s="9">
        <v>1553</v>
      </c>
      <c r="E5" s="9">
        <v>1690</v>
      </c>
      <c r="F5" s="9">
        <f>(F4*F29)</f>
        <v>1749.9320645739231</v>
      </c>
      <c r="G5" s="9">
        <f>(G4*G29)</f>
        <v>1819.9293471568801</v>
      </c>
      <c r="H5" s="9">
        <f>(H4*H29)</f>
        <v>1892.7265210431553</v>
      </c>
      <c r="I5" s="9">
        <f>(I4*I29)</f>
        <v>1968.4355818848817</v>
      </c>
      <c r="J5" s="9">
        <f>(J4*J29)</f>
        <v>2047.1730051602769</v>
      </c>
    </row>
    <row r="6" spans="2:13" ht="20.25" customHeight="1" x14ac:dyDescent="0.25">
      <c r="B6" s="10" t="s">
        <v>4</v>
      </c>
      <c r="C6" s="11">
        <f>C4-C5</f>
        <v>664</v>
      </c>
      <c r="D6" s="11">
        <f t="shared" ref="D6:E6" si="0">D4-D5</f>
        <v>855</v>
      </c>
      <c r="E6" s="11">
        <f t="shared" si="0"/>
        <v>916</v>
      </c>
      <c r="F6" s="11">
        <f>F4-F5</f>
        <v>960.30793542607717</v>
      </c>
      <c r="G6" s="11">
        <f t="shared" ref="G6:J6" si="1">G4-G5</f>
        <v>998.72025284312008</v>
      </c>
      <c r="H6" s="11">
        <f t="shared" si="1"/>
        <v>1038.669062956845</v>
      </c>
      <c r="I6" s="11">
        <f t="shared" si="1"/>
        <v>1080.2158254751189</v>
      </c>
      <c r="J6" s="11">
        <f t="shared" si="1"/>
        <v>1123.4244584941237</v>
      </c>
    </row>
    <row r="7" spans="2:13" ht="14.25" customHeight="1" x14ac:dyDescent="0.25">
      <c r="B7" s="45" t="s">
        <v>5</v>
      </c>
      <c r="C7" s="7"/>
      <c r="D7" s="7"/>
      <c r="E7" s="7"/>
      <c r="F7" s="7"/>
      <c r="G7" s="7"/>
      <c r="H7" s="7"/>
      <c r="I7" s="7"/>
      <c r="J7" s="7"/>
    </row>
    <row r="8" spans="2:13" ht="14.25" customHeight="1" x14ac:dyDescent="0.25">
      <c r="B8" s="57" t="s">
        <v>73</v>
      </c>
      <c r="C8" s="59"/>
      <c r="D8" s="58"/>
      <c r="E8" s="59"/>
      <c r="F8" s="65">
        <f>F4*F32</f>
        <v>0</v>
      </c>
      <c r="G8" s="65">
        <f t="shared" ref="G8:J8" si="2">G4*G32</f>
        <v>0</v>
      </c>
      <c r="H8" s="65">
        <f t="shared" si="2"/>
        <v>0</v>
      </c>
      <c r="I8" s="65">
        <f t="shared" si="2"/>
        <v>0</v>
      </c>
      <c r="J8" s="65">
        <f t="shared" si="2"/>
        <v>0</v>
      </c>
    </row>
    <row r="9" spans="2:13" ht="14.25" customHeight="1" x14ac:dyDescent="0.25">
      <c r="B9" s="41" t="s">
        <v>72</v>
      </c>
      <c r="C9" s="7">
        <v>107</v>
      </c>
      <c r="D9" s="7">
        <v>124</v>
      </c>
      <c r="E9" s="7">
        <v>104.35</v>
      </c>
      <c r="F9" s="7">
        <f>F4*F28</f>
        <v>134.582814755372</v>
      </c>
      <c r="G9" s="7">
        <f>G4*G28</f>
        <v>139.96612734558687</v>
      </c>
      <c r="H9" s="7">
        <f>H4*H28</f>
        <v>145.56477243941035</v>
      </c>
      <c r="I9" s="7">
        <f>I4*I28</f>
        <v>151.38736333698677</v>
      </c>
      <c r="J9" s="7">
        <f>J4*J28</f>
        <v>157.44285787046624</v>
      </c>
    </row>
    <row r="10" spans="2:13" ht="14.25" customHeight="1" x14ac:dyDescent="0.25">
      <c r="B10" s="6" t="s">
        <v>6</v>
      </c>
      <c r="C10" s="7">
        <v>362</v>
      </c>
      <c r="D10" s="7">
        <v>423</v>
      </c>
      <c r="E10" s="7">
        <v>448.63600000000002</v>
      </c>
      <c r="F10" s="7">
        <f>(F4*F30)</f>
        <v>489.76722735434885</v>
      </c>
      <c r="G10" s="7">
        <f>(G4*G30)</f>
        <v>509.35791644852281</v>
      </c>
      <c r="H10" s="7">
        <f>(H4*H30)</f>
        <v>529.7322331064637</v>
      </c>
      <c r="I10" s="7">
        <f>(I4*I30)</f>
        <v>550.92152243072235</v>
      </c>
      <c r="J10" s="7">
        <f>(J4*J30)</f>
        <v>572.9583833279512</v>
      </c>
    </row>
    <row r="11" spans="2:13" ht="14.25" customHeight="1" x14ac:dyDescent="0.25">
      <c r="B11" s="8" t="s">
        <v>7</v>
      </c>
      <c r="C11" s="9">
        <f>SUM(C10,C9,C8)</f>
        <v>469</v>
      </c>
      <c r="D11" s="9">
        <f t="shared" ref="D11:E11" si="3">SUM(D10,D9,D8)</f>
        <v>547</v>
      </c>
      <c r="E11" s="9">
        <f t="shared" si="3"/>
        <v>552.98599999999999</v>
      </c>
      <c r="F11" s="9">
        <f>SUM(F10,F9,F8)</f>
        <v>624.35004210972079</v>
      </c>
      <c r="G11" s="9">
        <f t="shared" ref="G11:J11" si="4">SUM(G10,G9,G8)</f>
        <v>649.32404379410968</v>
      </c>
      <c r="H11" s="9">
        <f t="shared" si="4"/>
        <v>675.29700554587407</v>
      </c>
      <c r="I11" s="9">
        <f t="shared" si="4"/>
        <v>702.30888576770917</v>
      </c>
      <c r="J11" s="9">
        <f t="shared" si="4"/>
        <v>730.40124119841744</v>
      </c>
    </row>
    <row r="12" spans="2:13" ht="14.25" customHeight="1" x14ac:dyDescent="0.25">
      <c r="B12" s="10" t="s">
        <v>8</v>
      </c>
      <c r="C12" s="11">
        <f>C6-C11</f>
        <v>195</v>
      </c>
      <c r="D12" s="11">
        <f t="shared" ref="D12:E12" si="5">D6-D11</f>
        <v>308</v>
      </c>
      <c r="E12" s="11">
        <f t="shared" si="5"/>
        <v>363.01400000000001</v>
      </c>
      <c r="F12" s="11">
        <f t="shared" ref="F12" si="6">F6-F11</f>
        <v>335.95789331635638</v>
      </c>
      <c r="G12" s="11">
        <f t="shared" ref="G12" si="7">G6-G11</f>
        <v>349.39620904901039</v>
      </c>
      <c r="H12" s="11">
        <f t="shared" ref="H12" si="8">H6-H11</f>
        <v>363.37205741097091</v>
      </c>
      <c r="I12" s="11">
        <f t="shared" ref="I12" si="9">I6-I11</f>
        <v>377.90693970740972</v>
      </c>
      <c r="J12" s="11">
        <f t="shared" ref="J12" si="10">J6-J11</f>
        <v>393.02321729570622</v>
      </c>
    </row>
    <row r="13" spans="2:13" ht="14.25" customHeight="1" x14ac:dyDescent="0.25">
      <c r="B13" s="8" t="s">
        <v>9</v>
      </c>
      <c r="C13" s="9">
        <v>109</v>
      </c>
      <c r="D13" s="9">
        <v>88</v>
      </c>
      <c r="E13" s="9">
        <v>55</v>
      </c>
      <c r="F13" s="9">
        <f>'Fixed Assets'!F5</f>
        <v>98.25457442478718</v>
      </c>
      <c r="G13" s="9">
        <f>'Fixed Assets'!G5</f>
        <v>100.75382555983236</v>
      </c>
      <c r="H13" s="9">
        <f>'Fixed Assets'!H5</f>
        <v>103.31664886210325</v>
      </c>
      <c r="I13" s="9">
        <f>'Fixed Assets'!I5</f>
        <v>105.94466138415977</v>
      </c>
      <c r="J13" s="9">
        <f>'Fixed Assets'!J5</f>
        <v>108.63952131069711</v>
      </c>
    </row>
    <row r="14" spans="2:13" ht="14.25" customHeight="1" x14ac:dyDescent="0.25">
      <c r="B14" s="10" t="s">
        <v>10</v>
      </c>
      <c r="C14" s="11">
        <f>C12-C13</f>
        <v>86</v>
      </c>
      <c r="D14" s="11">
        <f t="shared" ref="D14:E14" si="11">D12-D13</f>
        <v>220</v>
      </c>
      <c r="E14" s="11">
        <f t="shared" si="11"/>
        <v>308.01400000000001</v>
      </c>
      <c r="F14" s="11">
        <f>F12-F13</f>
        <v>237.70331889156921</v>
      </c>
      <c r="G14" s="11">
        <f t="shared" ref="G14:J14" si="12">G12-G13</f>
        <v>248.64238348917803</v>
      </c>
      <c r="H14" s="11">
        <f t="shared" si="12"/>
        <v>260.05540854886766</v>
      </c>
      <c r="I14" s="11">
        <f t="shared" si="12"/>
        <v>271.96227832324996</v>
      </c>
      <c r="J14" s="11">
        <f t="shared" si="12"/>
        <v>284.38369598500913</v>
      </c>
      <c r="M14" s="46"/>
    </row>
    <row r="15" spans="2:13" ht="14.25" customHeight="1" x14ac:dyDescent="0.25">
      <c r="B15" s="8" t="s">
        <v>11</v>
      </c>
      <c r="C15" s="61">
        <f>C31*C14</f>
        <v>15.222</v>
      </c>
      <c r="D15" s="9">
        <f>D14*D31</f>
        <v>63.359999999999992</v>
      </c>
      <c r="E15" s="9">
        <f>E14*E31</f>
        <v>48.050184000000002</v>
      </c>
      <c r="F15" s="9">
        <f>F14*F31</f>
        <v>49.917696967229531</v>
      </c>
      <c r="G15" s="9">
        <f>G14*G31</f>
        <v>52.214900532727384</v>
      </c>
      <c r="H15" s="9">
        <f>H14*H31</f>
        <v>54.61163579526221</v>
      </c>
      <c r="I15" s="9">
        <f>I14*I31</f>
        <v>57.112078447882489</v>
      </c>
      <c r="J15" s="9">
        <f>J14*J31</f>
        <v>59.720576156851912</v>
      </c>
    </row>
    <row r="16" spans="2:13" ht="14.25" customHeight="1" x14ac:dyDescent="0.25">
      <c r="B16" s="10" t="s">
        <v>12</v>
      </c>
      <c r="C16" s="11">
        <f xml:space="preserve"> C14-C15</f>
        <v>70.778000000000006</v>
      </c>
      <c r="D16" s="11">
        <f>D14-D15</f>
        <v>156.64000000000001</v>
      </c>
      <c r="E16" s="11">
        <f>E14-E15</f>
        <v>259.96381600000001</v>
      </c>
      <c r="F16" s="11">
        <f t="shared" ref="F16:J16" si="13">F14-F15</f>
        <v>187.78562192433969</v>
      </c>
      <c r="G16" s="11">
        <f t="shared" si="13"/>
        <v>196.42748295645066</v>
      </c>
      <c r="H16" s="11">
        <f t="shared" si="13"/>
        <v>205.44377275360546</v>
      </c>
      <c r="I16" s="11">
        <f t="shared" si="13"/>
        <v>214.85019987536748</v>
      </c>
      <c r="J16" s="11">
        <f t="shared" si="13"/>
        <v>224.66311982815722</v>
      </c>
    </row>
    <row r="17" spans="2:15" ht="14.25" customHeight="1" x14ac:dyDescent="0.25">
      <c r="B17" s="6" t="s">
        <v>13</v>
      </c>
      <c r="C17" s="7">
        <f>C13</f>
        <v>109</v>
      </c>
      <c r="D17" s="7">
        <f>D13</f>
        <v>88</v>
      </c>
      <c r="E17" s="7">
        <f>E13</f>
        <v>55</v>
      </c>
      <c r="F17" s="7">
        <f>F13</f>
        <v>98.25457442478718</v>
      </c>
      <c r="G17" s="7">
        <f t="shared" ref="G17:J17" si="14">G13</f>
        <v>100.75382555983236</v>
      </c>
      <c r="H17" s="7">
        <f t="shared" si="14"/>
        <v>103.31664886210325</v>
      </c>
      <c r="I17" s="7">
        <f t="shared" si="14"/>
        <v>105.94466138415977</v>
      </c>
      <c r="J17" s="7">
        <f t="shared" si="14"/>
        <v>108.63952131069711</v>
      </c>
    </row>
    <row r="18" spans="2:15" ht="14.25" customHeight="1" x14ac:dyDescent="0.25">
      <c r="B18" s="6" t="s">
        <v>14</v>
      </c>
      <c r="C18" s="7">
        <v>115</v>
      </c>
      <c r="D18" s="7">
        <v>115</v>
      </c>
      <c r="E18" s="7">
        <v>105.09399999999999</v>
      </c>
      <c r="F18" s="7">
        <f>'Fixed Assets'!F6</f>
        <v>111.1</v>
      </c>
      <c r="G18" s="7">
        <f>'Fixed Assets'!G6</f>
        <v>113.92599362654683</v>
      </c>
      <c r="H18" s="7">
        <f>'Fixed Assets'!H6</f>
        <v>116.823870601224</v>
      </c>
      <c r="I18" s="7">
        <f>'Fixed Assets'!I6</f>
        <v>119.79545938383056</v>
      </c>
      <c r="J18" s="7">
        <f>'Fixed Assets'!J6</f>
        <v>122.84263494375814</v>
      </c>
    </row>
    <row r="19" spans="2:15" ht="14.25" customHeight="1" x14ac:dyDescent="0.25">
      <c r="B19" s="6" t="s">
        <v>15</v>
      </c>
      <c r="C19" s="7">
        <f>C20-('Net Working Capital'!C7-'Net Working Capital'!C12)</f>
        <v>203.61099999999999</v>
      </c>
      <c r="D19" s="7">
        <f t="shared" ref="D19" si="15">D20-C20</f>
        <v>39.76400000000001</v>
      </c>
      <c r="E19" s="7">
        <f>E20-D20</f>
        <v>67.424999999999955</v>
      </c>
      <c r="F19" s="7">
        <f t="shared" ref="F19:J19" si="16">F20-E20</f>
        <v>-101.02603230587943</v>
      </c>
      <c r="G19" s="7">
        <f t="shared" si="16"/>
        <v>6.0178787077647939</v>
      </c>
      <c r="H19" s="7">
        <f t="shared" si="16"/>
        <v>6.2585938560754357</v>
      </c>
      <c r="I19" s="7">
        <f t="shared" si="16"/>
        <v>6.5089376103184122</v>
      </c>
      <c r="J19" s="7">
        <f t="shared" si="16"/>
        <v>6.7692951147312215</v>
      </c>
      <c r="K19" s="7"/>
      <c r="L19" s="7"/>
      <c r="M19" s="7"/>
      <c r="N19" s="7"/>
      <c r="O19" s="7"/>
    </row>
    <row r="20" spans="2:15" ht="14.25" customHeight="1" x14ac:dyDescent="0.25">
      <c r="B20" s="12" t="s">
        <v>16</v>
      </c>
      <c r="C20" s="7">
        <f t="shared" ref="C20:D20" si="17">C21-C22</f>
        <v>144.28399999999999</v>
      </c>
      <c r="D20" s="7">
        <f t="shared" si="17"/>
        <v>184.048</v>
      </c>
      <c r="E20" s="7">
        <f>E21-E22</f>
        <v>251.47299999999996</v>
      </c>
      <c r="F20" s="7">
        <f>F21-F22</f>
        <v>150.44696769412053</v>
      </c>
      <c r="G20" s="7">
        <f>G21-G22</f>
        <v>156.46484640188532</v>
      </c>
      <c r="H20" s="7">
        <f>H21-H22</f>
        <v>162.72344025796076</v>
      </c>
      <c r="I20" s="7">
        <f t="shared" ref="G20:J20" si="18">I21-I22</f>
        <v>169.23237786827917</v>
      </c>
      <c r="J20" s="7">
        <f t="shared" si="18"/>
        <v>176.00167298301039</v>
      </c>
    </row>
    <row r="21" spans="2:15" ht="14.25" customHeight="1" x14ac:dyDescent="0.25">
      <c r="B21" s="12" t="s">
        <v>17</v>
      </c>
      <c r="C21" s="7">
        <f>'Net Working Capital'!D7</f>
        <v>596.404</v>
      </c>
      <c r="D21" s="7">
        <f>'Net Working Capital'!E7</f>
        <v>823.27099999999996</v>
      </c>
      <c r="E21" s="7">
        <f>'Net Working Capital'!F7</f>
        <v>848.53099999999995</v>
      </c>
      <c r="F21" s="7">
        <f>'Net Working Capital'!G7</f>
        <v>860.50277741970444</v>
      </c>
      <c r="G21" s="7">
        <f>'Net Working Capital'!H7</f>
        <v>894.92288851649255</v>
      </c>
      <c r="H21" s="7">
        <f>'Net Working Capital'!I7</f>
        <v>930.71980405715237</v>
      </c>
      <c r="I21" s="7">
        <f>'Net Working Capital'!J7</f>
        <v>967.94859621943851</v>
      </c>
      <c r="J21" s="7">
        <f>'Net Working Capital'!K7</f>
        <v>1006.6665400682161</v>
      </c>
    </row>
    <row r="22" spans="2:15" ht="14.25" customHeight="1" x14ac:dyDescent="0.25">
      <c r="B22" s="12" t="s">
        <v>18</v>
      </c>
      <c r="C22" s="7">
        <f>'Net Working Capital'!D12</f>
        <v>452.12</v>
      </c>
      <c r="D22" s="7">
        <f>'Net Working Capital'!E12</f>
        <v>639.22299999999996</v>
      </c>
      <c r="E22" s="7">
        <f>'Net Working Capital'!F12</f>
        <v>597.05799999999999</v>
      </c>
      <c r="F22" s="7">
        <f>'Net Working Capital'!G12</f>
        <v>710.05580972558391</v>
      </c>
      <c r="G22" s="7">
        <f>'Net Working Capital'!H12</f>
        <v>738.45804211460722</v>
      </c>
      <c r="H22" s="7">
        <f>'Net Working Capital'!I12</f>
        <v>767.99636379919161</v>
      </c>
      <c r="I22" s="7">
        <f>'Net Working Capital'!J12</f>
        <v>798.71621835115934</v>
      </c>
      <c r="J22" s="7">
        <f>'Net Working Capital'!K12</f>
        <v>830.66486708520574</v>
      </c>
    </row>
    <row r="23" spans="2:15" ht="14.25" customHeight="1" x14ac:dyDescent="0.25">
      <c r="B23" s="13" t="s">
        <v>19</v>
      </c>
      <c r="C23" s="14">
        <f>C16+C17-C18-C19</f>
        <v>-138.83299999999997</v>
      </c>
      <c r="D23" s="14">
        <f t="shared" ref="D23:E23" si="19">D16+D17-D18-D19</f>
        <v>89.876000000000005</v>
      </c>
      <c r="E23" s="14">
        <f t="shared" si="19"/>
        <v>142.44481600000006</v>
      </c>
      <c r="F23" s="14">
        <f>F16+F17-F18-K19</f>
        <v>174.94019634912686</v>
      </c>
      <c r="G23" s="14">
        <f>G16+G17-G18-L19</f>
        <v>183.25531488973621</v>
      </c>
      <c r="H23" s="14">
        <f>H16+H17-H18-M19</f>
        <v>191.93655101448471</v>
      </c>
      <c r="I23" s="14">
        <f>I16+I17-I18-N19</f>
        <v>200.99940187569666</v>
      </c>
      <c r="J23" s="14">
        <f>J16+J17-J18-O19</f>
        <v>210.46000619509618</v>
      </c>
    </row>
    <row r="24" spans="2:15" ht="14.25" customHeight="1" x14ac:dyDescent="0.25"/>
    <row r="25" spans="2:15" ht="14.25" customHeight="1" x14ac:dyDescent="0.25">
      <c r="B25" s="2" t="s">
        <v>20</v>
      </c>
      <c r="C25" s="2"/>
      <c r="D25" s="2"/>
      <c r="E25" s="2"/>
      <c r="F25" s="2"/>
      <c r="G25" s="2"/>
      <c r="H25" s="2"/>
      <c r="I25" s="2"/>
      <c r="J25" s="2"/>
    </row>
    <row r="26" spans="2:15" ht="14.25" customHeight="1" x14ac:dyDescent="0.25">
      <c r="B26" s="3" t="str">
        <f t="shared" ref="B26:J26" si="20">B3</f>
        <v>Fiscal Year</v>
      </c>
      <c r="C26" s="4">
        <f t="shared" si="20"/>
        <v>44196</v>
      </c>
      <c r="D26" s="4">
        <f t="shared" si="20"/>
        <v>44561</v>
      </c>
      <c r="E26" s="4">
        <f t="shared" si="20"/>
        <v>44926</v>
      </c>
      <c r="F26" s="5">
        <f t="shared" si="20"/>
        <v>45291</v>
      </c>
      <c r="G26" s="5">
        <f t="shared" si="20"/>
        <v>45657</v>
      </c>
      <c r="H26" s="5">
        <f t="shared" si="20"/>
        <v>46022</v>
      </c>
      <c r="I26" s="5">
        <f t="shared" si="20"/>
        <v>46387</v>
      </c>
      <c r="J26" s="5">
        <f t="shared" si="20"/>
        <v>46752</v>
      </c>
    </row>
    <row r="27" spans="2:15" ht="14.25" customHeight="1" x14ac:dyDescent="0.25">
      <c r="B27" s="15" t="s">
        <v>21</v>
      </c>
      <c r="C27" s="42">
        <f>1863/2131-1</f>
        <v>-0.12576255279211634</v>
      </c>
      <c r="D27" s="16">
        <f>D4/C4-1</f>
        <v>0.29253891572732149</v>
      </c>
      <c r="E27" s="16">
        <f>E4/D4-1</f>
        <v>8.2225913621262414E-2</v>
      </c>
      <c r="F27" s="16">
        <f>4%</f>
        <v>0.04</v>
      </c>
      <c r="G27" s="16">
        <f>4%</f>
        <v>0.04</v>
      </c>
      <c r="H27" s="16">
        <f>4%</f>
        <v>0.04</v>
      </c>
      <c r="I27" s="16">
        <f>4%</f>
        <v>0.04</v>
      </c>
      <c r="J27" s="16">
        <f>4%</f>
        <v>0.04</v>
      </c>
    </row>
    <row r="28" spans="2:15" ht="14.25" customHeight="1" x14ac:dyDescent="0.25">
      <c r="B28" s="15" t="s">
        <v>72</v>
      </c>
      <c r="C28" s="42">
        <f>C9/C4</f>
        <v>5.743424584004294E-2</v>
      </c>
      <c r="D28" s="42">
        <f>D9/D4</f>
        <v>5.1495016611295678E-2</v>
      </c>
      <c r="E28" s="42">
        <f>E9/E4</f>
        <v>4.0042210283960093E-2</v>
      </c>
      <c r="F28" s="42">
        <f>AVERAGE(E28,D28,C28)</f>
        <v>4.9657157578432899E-2</v>
      </c>
      <c r="G28" s="42">
        <f>F28</f>
        <v>4.9657157578432899E-2</v>
      </c>
      <c r="H28" s="42">
        <f t="shared" ref="H28:J28" si="21">G28</f>
        <v>4.9657157578432899E-2</v>
      </c>
      <c r="I28" s="42">
        <f t="shared" si="21"/>
        <v>4.9657157578432899E-2</v>
      </c>
      <c r="J28" s="42">
        <f t="shared" si="21"/>
        <v>4.9657157578432899E-2</v>
      </c>
    </row>
    <row r="29" spans="2:15" ht="14.25" customHeight="1" x14ac:dyDescent="0.25">
      <c r="B29" s="15" t="s">
        <v>22</v>
      </c>
      <c r="C29" s="16">
        <f>C5/C4</f>
        <v>0.64358561460010733</v>
      </c>
      <c r="D29" s="16">
        <f>D5/D4</f>
        <v>0.64493355481727577</v>
      </c>
      <c r="E29" s="16">
        <f>E5/E4</f>
        <v>0.64850345356868766</v>
      </c>
      <c r="F29" s="16">
        <f t="shared" ref="F29:F30" si="22">AVERAGE(C29:E29)</f>
        <v>0.64567420766202366</v>
      </c>
      <c r="G29" s="16">
        <f t="shared" ref="G29:J29" si="23">F29</f>
        <v>0.64567420766202366</v>
      </c>
      <c r="H29" s="16">
        <f t="shared" si="23"/>
        <v>0.64567420766202366</v>
      </c>
      <c r="I29" s="16">
        <f t="shared" si="23"/>
        <v>0.64567420766202366</v>
      </c>
      <c r="J29" s="16">
        <f t="shared" si="23"/>
        <v>0.64567420766202366</v>
      </c>
    </row>
    <row r="30" spans="2:15" ht="14.25" customHeight="1" x14ac:dyDescent="0.25">
      <c r="B30" s="15" t="s">
        <v>23</v>
      </c>
      <c r="C30" s="16">
        <f>C10/C4</f>
        <v>0.19431025228126678</v>
      </c>
      <c r="D30" s="16">
        <f>D10/D4</f>
        <v>0.17566445182724252</v>
      </c>
      <c r="E30" s="16">
        <f>E10/E4</f>
        <v>0.1721550268610898</v>
      </c>
      <c r="F30" s="16">
        <f t="shared" si="22"/>
        <v>0.18070991032319972</v>
      </c>
      <c r="G30" s="16">
        <f t="shared" ref="G30:J30" si="24">F30</f>
        <v>0.18070991032319972</v>
      </c>
      <c r="H30" s="16">
        <f t="shared" si="24"/>
        <v>0.18070991032319972</v>
      </c>
      <c r="I30" s="16">
        <f t="shared" si="24"/>
        <v>0.18070991032319972</v>
      </c>
      <c r="J30" s="16">
        <f t="shared" si="24"/>
        <v>0.18070991032319972</v>
      </c>
    </row>
    <row r="31" spans="2:15" ht="14.25" customHeight="1" x14ac:dyDescent="0.25">
      <c r="B31" s="15" t="s">
        <v>24</v>
      </c>
      <c r="C31" s="60">
        <v>0.17699999999999999</v>
      </c>
      <c r="D31" s="16">
        <v>0.28799999999999998</v>
      </c>
      <c r="E31" s="16">
        <v>0.156</v>
      </c>
      <c r="F31" s="16">
        <v>0.21</v>
      </c>
      <c r="G31" s="16">
        <v>0.21</v>
      </c>
      <c r="H31" s="16">
        <v>0.21</v>
      </c>
      <c r="I31" s="16">
        <v>0.21</v>
      </c>
      <c r="J31" s="16">
        <v>0.21</v>
      </c>
      <c r="K31" s="45" t="s">
        <v>74</v>
      </c>
    </row>
    <row r="32" spans="2:15" ht="14.25" customHeight="1" x14ac:dyDescent="0.25">
      <c r="B32" s="62"/>
      <c r="C32" s="63"/>
      <c r="D32" s="63"/>
      <c r="E32" s="63"/>
      <c r="F32" s="64"/>
      <c r="G32" s="64"/>
      <c r="H32" s="64"/>
      <c r="I32" s="64"/>
      <c r="J32" s="64"/>
    </row>
    <row r="33" spans="4:16" ht="14.25" customHeight="1" x14ac:dyDescent="0.25"/>
    <row r="34" spans="4:16" ht="14.25" customHeight="1" x14ac:dyDescent="0.25"/>
    <row r="35" spans="4:16" ht="14.25" customHeight="1" x14ac:dyDescent="0.25"/>
    <row r="36" spans="4:16" ht="14.25" customHeight="1" x14ac:dyDescent="0.25">
      <c r="P36" s="35"/>
    </row>
    <row r="37" spans="4:16" ht="14.25" customHeight="1" x14ac:dyDescent="0.25">
      <c r="E37" s="47"/>
    </row>
    <row r="38" spans="4:16" ht="14.25" customHeight="1" x14ac:dyDescent="0.25"/>
    <row r="39" spans="4:16" ht="14.25" customHeight="1" x14ac:dyDescent="0.25"/>
    <row r="40" spans="4:16" ht="14.25" customHeight="1" x14ac:dyDescent="0.25">
      <c r="D40" s="47"/>
      <c r="K40" s="48"/>
      <c r="L40" s="50"/>
      <c r="M40" s="49"/>
      <c r="N40" s="49"/>
    </row>
    <row r="41" spans="4:16" ht="14.25" customHeight="1" x14ac:dyDescent="0.25">
      <c r="K41" s="49"/>
      <c r="N41" s="36"/>
      <c r="O41" s="36"/>
      <c r="P41" s="36"/>
    </row>
    <row r="42" spans="4:16" ht="14.25" customHeight="1" x14ac:dyDescent="0.25">
      <c r="K42" s="37"/>
      <c r="N42" s="38"/>
      <c r="O42" s="38"/>
      <c r="P42" s="38"/>
    </row>
    <row r="43" spans="4:16" ht="14.25" customHeight="1" x14ac:dyDescent="0.25">
      <c r="K43" s="38"/>
      <c r="N43" s="35"/>
      <c r="O43" s="35"/>
      <c r="P43" s="35"/>
    </row>
    <row r="44" spans="4:16" ht="14.25" customHeight="1" x14ac:dyDescent="0.25">
      <c r="K44" s="38"/>
      <c r="N44" s="34"/>
      <c r="O44" s="34"/>
      <c r="P44" s="34"/>
    </row>
    <row r="45" spans="4:16" ht="14.25" customHeight="1" x14ac:dyDescent="0.25">
      <c r="K45" s="38"/>
      <c r="N45" s="34"/>
      <c r="O45" s="34"/>
      <c r="P45" s="34"/>
    </row>
    <row r="46" spans="4:16" ht="14.25" customHeight="1" x14ac:dyDescent="0.25">
      <c r="K46" s="38"/>
      <c r="N46" s="34"/>
      <c r="O46" s="34"/>
      <c r="P46" s="34"/>
    </row>
    <row r="47" spans="4:16" ht="14.25" customHeight="1" x14ac:dyDescent="0.25">
      <c r="K47" s="38"/>
      <c r="N47" s="34"/>
      <c r="O47" s="34"/>
      <c r="P47" s="34"/>
    </row>
    <row r="48" spans="4:16" ht="14.25" customHeight="1" x14ac:dyDescent="0.25">
      <c r="K48" s="38"/>
      <c r="N48" s="34"/>
      <c r="O48" s="34"/>
      <c r="P48" s="34"/>
    </row>
    <row r="49" spans="11:16" ht="14.25" customHeight="1" x14ac:dyDescent="0.25">
      <c r="K49" s="38"/>
      <c r="N49" s="34"/>
      <c r="O49" s="34"/>
      <c r="P49" s="34"/>
    </row>
    <row r="50" spans="11:16" ht="14.25" customHeight="1" x14ac:dyDescent="0.25">
      <c r="K50" s="38"/>
      <c r="N50" s="34"/>
      <c r="O50" s="41"/>
      <c r="P50" s="34"/>
    </row>
    <row r="51" spans="11:16" ht="14.25" customHeight="1" x14ac:dyDescent="0.25">
      <c r="K51" s="38"/>
      <c r="N51" s="34"/>
      <c r="O51" s="34"/>
      <c r="P51" s="34"/>
    </row>
    <row r="52" spans="11:16" ht="14.25" customHeight="1" x14ac:dyDescent="0.25">
      <c r="K52" s="38"/>
      <c r="N52" s="34"/>
      <c r="O52" s="34"/>
      <c r="P52" s="34"/>
    </row>
    <row r="53" spans="11:16" ht="14.25" customHeight="1" x14ac:dyDescent="0.25">
      <c r="K53" s="38"/>
      <c r="N53" s="34"/>
      <c r="O53" s="34"/>
      <c r="P53" s="34"/>
    </row>
    <row r="54" spans="11:16" ht="14.25" customHeight="1" x14ac:dyDescent="0.25">
      <c r="K54" s="38"/>
      <c r="N54" s="34"/>
      <c r="O54" s="34"/>
      <c r="P54" s="34"/>
    </row>
    <row r="55" spans="11:16" ht="14.25" customHeight="1" x14ac:dyDescent="0.25">
      <c r="K55" s="38"/>
      <c r="N55" s="34"/>
      <c r="O55" s="34"/>
      <c r="P55" s="34"/>
    </row>
    <row r="56" spans="11:16" ht="14.25" customHeight="1" x14ac:dyDescent="0.25">
      <c r="K56" s="38"/>
      <c r="N56" s="34"/>
      <c r="O56" s="34"/>
      <c r="P56" s="34"/>
    </row>
    <row r="57" spans="11:16" ht="14.25" customHeight="1" x14ac:dyDescent="0.25">
      <c r="K57" s="38"/>
      <c r="N57" s="34"/>
      <c r="O57" s="34"/>
      <c r="P57" s="34"/>
    </row>
    <row r="58" spans="11:16" ht="14.25" customHeight="1" x14ac:dyDescent="0.25">
      <c r="K58" s="38"/>
      <c r="N58" s="34"/>
      <c r="O58" s="34"/>
      <c r="P58" s="34"/>
    </row>
    <row r="59" spans="11:16" ht="14.25" customHeight="1" x14ac:dyDescent="0.25">
      <c r="K59" s="38"/>
      <c r="N59" s="34"/>
      <c r="O59" s="34"/>
      <c r="P59" s="34"/>
    </row>
    <row r="60" spans="11:16" ht="14.25" customHeight="1" x14ac:dyDescent="0.25">
      <c r="K60" s="38"/>
      <c r="N60" s="34"/>
      <c r="O60" s="34"/>
      <c r="P60" s="34"/>
    </row>
    <row r="61" spans="11:16" ht="14.25" customHeight="1" x14ac:dyDescent="0.25">
      <c r="K61" s="38"/>
      <c r="N61" s="34"/>
      <c r="O61" s="34"/>
      <c r="P61" s="34"/>
    </row>
    <row r="62" spans="11:16" ht="14.25" customHeight="1" x14ac:dyDescent="0.25">
      <c r="K62" s="38"/>
      <c r="N62" s="34"/>
      <c r="O62" s="34"/>
      <c r="P62" s="34"/>
    </row>
    <row r="63" spans="11:16" ht="14.25" customHeight="1" x14ac:dyDescent="0.25">
      <c r="K63" s="38"/>
      <c r="N63" s="35"/>
      <c r="O63" s="35"/>
      <c r="P63" s="35"/>
    </row>
    <row r="64" spans="11:16" ht="14.25" customHeight="1" x14ac:dyDescent="0.25">
      <c r="K64" s="37"/>
      <c r="N64" s="38"/>
      <c r="O64" s="38"/>
      <c r="P64" s="38"/>
    </row>
    <row r="65" spans="11:16" ht="14.25" customHeight="1" x14ac:dyDescent="0.25">
      <c r="K65" s="38"/>
      <c r="N65" s="34"/>
      <c r="O65" s="34"/>
      <c r="P65" s="34"/>
    </row>
    <row r="66" spans="11:16" ht="14.25" customHeight="1" x14ac:dyDescent="0.25">
      <c r="K66" s="38"/>
      <c r="N66" s="34"/>
      <c r="O66" s="34"/>
      <c r="P66" s="34"/>
    </row>
    <row r="67" spans="11:16" ht="14.25" customHeight="1" x14ac:dyDescent="0.25">
      <c r="K67" s="37"/>
      <c r="N67" s="38"/>
      <c r="O67" s="38"/>
      <c r="P67" s="38"/>
    </row>
    <row r="68" spans="11:16" ht="14.25" customHeight="1" x14ac:dyDescent="0.25">
      <c r="K68" s="38"/>
      <c r="N68" s="39"/>
      <c r="O68" s="39"/>
      <c r="P68" s="39"/>
    </row>
    <row r="69" spans="11:16" ht="14.25" customHeight="1" x14ac:dyDescent="0.25">
      <c r="K69" s="38"/>
      <c r="N69" s="40"/>
      <c r="O69" s="40"/>
      <c r="P69" s="40"/>
    </row>
    <row r="70" spans="11:16" ht="14.25" customHeight="1" x14ac:dyDescent="0.25">
      <c r="K70" s="38"/>
      <c r="N70" s="40"/>
      <c r="O70" s="40"/>
      <c r="P70" s="40"/>
    </row>
    <row r="71" spans="11:16" ht="14.25" customHeight="1" x14ac:dyDescent="0.25">
      <c r="K71" s="38"/>
      <c r="N71" s="40"/>
      <c r="O71" s="40"/>
      <c r="P71" s="40"/>
    </row>
    <row r="72" spans="11:16" ht="14.25" customHeight="1" x14ac:dyDescent="0.25">
      <c r="K72" s="37"/>
      <c r="N72" s="38"/>
      <c r="O72" s="38"/>
      <c r="P72" s="38"/>
    </row>
    <row r="73" spans="11:16" ht="14.25" customHeight="1" x14ac:dyDescent="0.25">
      <c r="K73" s="38"/>
      <c r="N73" s="40"/>
      <c r="O73" s="40"/>
      <c r="P73" s="40"/>
    </row>
    <row r="74" spans="11:16" ht="14.25" customHeight="1" x14ac:dyDescent="0.25">
      <c r="K74" s="38"/>
      <c r="N74" s="40"/>
      <c r="O74" s="40"/>
      <c r="P74" s="40"/>
    </row>
    <row r="75" spans="11:16" ht="14.25" customHeight="1" x14ac:dyDescent="0.25">
      <c r="K75" s="38"/>
      <c r="N75" s="40"/>
      <c r="O75" s="40"/>
      <c r="P75" s="40"/>
    </row>
    <row r="76" spans="11:16" ht="14.25" customHeight="1" x14ac:dyDescent="0.25">
      <c r="K76" s="38"/>
      <c r="N76" s="39"/>
      <c r="O76" s="39"/>
      <c r="P76" s="39"/>
    </row>
    <row r="77" spans="11:16" ht="14.25" customHeight="1" x14ac:dyDescent="0.25"/>
    <row r="78" spans="11:16" ht="14.25" customHeight="1" x14ac:dyDescent="0.25"/>
    <row r="79" spans="11:16" ht="14.25" customHeight="1" x14ac:dyDescent="0.25"/>
    <row r="80" spans="11:16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K40:K41"/>
    <mergeCell ref="L40:N40"/>
  </mergeCells>
  <pageMargins left="0.7" right="0.7" top="0.75" bottom="0.75" header="0" footer="0"/>
  <pageSetup orientation="portrait"/>
  <ignoredErrors>
    <ignoredError sqref="I15:J15 F15:H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F18" sqref="F18"/>
    </sheetView>
  </sheetViews>
  <sheetFormatPr defaultColWidth="14.42578125" defaultRowHeight="15" customHeight="1" x14ac:dyDescent="0.25"/>
  <cols>
    <col min="1" max="1" width="8.85546875" customWidth="1"/>
    <col min="2" max="2" width="27.85546875" customWidth="1"/>
    <col min="3" max="10" width="8.42578125" customWidth="1"/>
    <col min="11" max="26" width="8.85546875" customWidth="1"/>
  </cols>
  <sheetData>
    <row r="1" spans="2:10" ht="14.25" customHeight="1" x14ac:dyDescent="0.25"/>
    <row r="2" spans="2:10" ht="14.25" customHeight="1" x14ac:dyDescent="0.25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25">
      <c r="B3" s="3" t="s">
        <v>1</v>
      </c>
      <c r="C3" s="4">
        <v>44196</v>
      </c>
      <c r="D3" s="4">
        <v>44561</v>
      </c>
      <c r="E3" s="4">
        <v>44926</v>
      </c>
      <c r="F3" s="5">
        <v>45291</v>
      </c>
      <c r="G3" s="5">
        <v>45657</v>
      </c>
      <c r="H3" s="5">
        <v>46022</v>
      </c>
      <c r="I3" s="5">
        <v>46387</v>
      </c>
      <c r="J3" s="5">
        <v>46752</v>
      </c>
    </row>
    <row r="4" spans="2:10" ht="14.25" customHeight="1" x14ac:dyDescent="0.25">
      <c r="B4" s="6" t="s">
        <v>26</v>
      </c>
      <c r="C4" s="43">
        <v>423</v>
      </c>
      <c r="D4" s="43">
        <v>429</v>
      </c>
      <c r="E4" s="34">
        <v>455</v>
      </c>
      <c r="F4" s="17">
        <f>E7</f>
        <v>505</v>
      </c>
      <c r="G4" s="17">
        <f>F7</f>
        <v>517.84542557521286</v>
      </c>
      <c r="H4" s="17">
        <f t="shared" ref="H4:J4" si="0">G7</f>
        <v>531.01759364192731</v>
      </c>
      <c r="I4" s="17">
        <f t="shared" si="0"/>
        <v>544.52481538104803</v>
      </c>
      <c r="J4" s="17">
        <f t="shared" si="0"/>
        <v>558.37561338071885</v>
      </c>
    </row>
    <row r="5" spans="2:10" ht="14.25" customHeight="1" x14ac:dyDescent="0.25">
      <c r="B5" s="6" t="s">
        <v>27</v>
      </c>
      <c r="C5" s="68">
        <f>'Free Cash Flow'!C13</f>
        <v>109</v>
      </c>
      <c r="D5" s="17">
        <f>'Free Cash Flow'!D13</f>
        <v>88</v>
      </c>
      <c r="E5" s="17">
        <f>'Free Cash Flow'!E13</f>
        <v>55</v>
      </c>
      <c r="F5" s="17">
        <f>F11*F4</f>
        <v>98.25457442478718</v>
      </c>
      <c r="G5" s="17">
        <f t="shared" ref="G5:J5" si="1">G11*G4</f>
        <v>100.75382555983236</v>
      </c>
      <c r="H5" s="17">
        <f t="shared" si="1"/>
        <v>103.31664886210325</v>
      </c>
      <c r="I5" s="17">
        <f t="shared" si="1"/>
        <v>105.94466138415977</v>
      </c>
      <c r="J5" s="17">
        <f t="shared" si="1"/>
        <v>108.63952131069711</v>
      </c>
    </row>
    <row r="6" spans="2:10" ht="14.25" customHeight="1" x14ac:dyDescent="0.25">
      <c r="B6" s="6" t="s">
        <v>28</v>
      </c>
      <c r="C6" s="66">
        <v>115</v>
      </c>
      <c r="D6" s="65">
        <v>115</v>
      </c>
      <c r="E6" s="67">
        <v>105</v>
      </c>
      <c r="F6" s="17">
        <f>F12*F4</f>
        <v>111.1</v>
      </c>
      <c r="G6" s="17">
        <f t="shared" ref="G6:J6" si="2">G12*G4</f>
        <v>113.92599362654683</v>
      </c>
      <c r="H6" s="17">
        <f t="shared" si="2"/>
        <v>116.823870601224</v>
      </c>
      <c r="I6" s="17">
        <f t="shared" si="2"/>
        <v>119.79545938383056</v>
      </c>
      <c r="J6" s="17">
        <f t="shared" si="2"/>
        <v>122.84263494375814</v>
      </c>
    </row>
    <row r="7" spans="2:10" ht="14.25" customHeight="1" x14ac:dyDescent="0.25">
      <c r="B7" s="18" t="s">
        <v>29</v>
      </c>
      <c r="C7" s="19">
        <f>C4-C5+C6</f>
        <v>429</v>
      </c>
      <c r="D7" s="19">
        <f>D4-D5+D6</f>
        <v>456</v>
      </c>
      <c r="E7" s="19">
        <f>E4-E5+E6</f>
        <v>505</v>
      </c>
      <c r="F7" s="19">
        <f>F4-F5+F6</f>
        <v>517.84542557521286</v>
      </c>
      <c r="G7" s="19">
        <f t="shared" ref="G7:J7" si="3">G4-G5+G6</f>
        <v>531.01759364192731</v>
      </c>
      <c r="H7" s="19">
        <f t="shared" si="3"/>
        <v>544.52481538104803</v>
      </c>
      <c r="I7" s="19">
        <f t="shared" si="3"/>
        <v>558.37561338071885</v>
      </c>
      <c r="J7" s="19">
        <f t="shared" si="3"/>
        <v>572.57872701377994</v>
      </c>
    </row>
    <row r="8" spans="2:10" ht="14.25" customHeight="1" x14ac:dyDescent="0.25">
      <c r="E8" s="17"/>
    </row>
    <row r="9" spans="2:10" ht="14.25" customHeight="1" x14ac:dyDescent="0.25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 x14ac:dyDescent="0.25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 x14ac:dyDescent="0.25">
      <c r="B11" s="15" t="s">
        <v>30</v>
      </c>
      <c r="C11" s="16">
        <f>C5/C4</f>
        <v>0.25768321513002362</v>
      </c>
      <c r="D11" s="16">
        <f t="shared" ref="D11:E11" si="4">D5/D4</f>
        <v>0.20512820512820512</v>
      </c>
      <c r="E11" s="16">
        <f t="shared" si="4"/>
        <v>0.12087912087912088</v>
      </c>
      <c r="F11" s="16">
        <f>AVERAGE(C11:E11)</f>
        <v>0.19456351371244987</v>
      </c>
      <c r="G11" s="16">
        <f t="shared" ref="G11:J11" si="5">F11</f>
        <v>0.19456351371244987</v>
      </c>
      <c r="H11" s="16">
        <f t="shared" si="5"/>
        <v>0.19456351371244987</v>
      </c>
      <c r="I11" s="16">
        <f t="shared" si="5"/>
        <v>0.19456351371244987</v>
      </c>
      <c r="J11" s="16">
        <f t="shared" si="5"/>
        <v>0.19456351371244987</v>
      </c>
    </row>
    <row r="12" spans="2:10" ht="14.25" customHeight="1" x14ac:dyDescent="0.25">
      <c r="B12" s="15" t="s">
        <v>31</v>
      </c>
      <c r="C12" s="16">
        <f>C6/C4</f>
        <v>0.27186761229314421</v>
      </c>
      <c r="D12" s="16">
        <f t="shared" ref="D12:E12" si="6">D6/D4</f>
        <v>0.26806526806526809</v>
      </c>
      <c r="E12" s="16">
        <f t="shared" si="6"/>
        <v>0.23076923076923078</v>
      </c>
      <c r="F12" s="16">
        <v>0.22</v>
      </c>
      <c r="G12" s="16">
        <f t="shared" ref="G12:J12" si="7">F12</f>
        <v>0.22</v>
      </c>
      <c r="H12" s="16">
        <f t="shared" si="7"/>
        <v>0.22</v>
      </c>
      <c r="I12" s="16">
        <f t="shared" si="7"/>
        <v>0.22</v>
      </c>
      <c r="J12" s="16">
        <f t="shared" si="7"/>
        <v>0.22</v>
      </c>
    </row>
    <row r="13" spans="2:10" ht="14.25" customHeight="1" x14ac:dyDescent="0.25">
      <c r="C13" s="20"/>
      <c r="D13" s="20"/>
      <c r="E13" s="20"/>
      <c r="F13" s="20"/>
      <c r="G13" s="20"/>
      <c r="H13" s="20"/>
      <c r="I13" s="20"/>
      <c r="J13" s="20"/>
    </row>
    <row r="14" spans="2:10" ht="14.25" customHeight="1" x14ac:dyDescent="0.25">
      <c r="C14" s="20"/>
      <c r="D14" s="20"/>
      <c r="E14" s="20"/>
      <c r="F14" s="20"/>
      <c r="G14" s="20"/>
      <c r="H14" s="20"/>
      <c r="I14" s="20"/>
      <c r="J14" s="20"/>
    </row>
    <row r="15" spans="2:10" ht="14.25" customHeight="1" x14ac:dyDescent="0.25">
      <c r="C15" s="20"/>
      <c r="D15" s="20"/>
      <c r="E15" s="20"/>
      <c r="F15" s="20"/>
      <c r="G15" s="20"/>
      <c r="H15" s="20"/>
      <c r="I15" s="20"/>
      <c r="J15" s="20"/>
    </row>
    <row r="16" spans="2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996"/>
  <sheetViews>
    <sheetView showGridLines="0" workbookViewId="0">
      <selection activeCell="E30" sqref="E30"/>
    </sheetView>
  </sheetViews>
  <sheetFormatPr defaultColWidth="14.42578125" defaultRowHeight="15" customHeight="1" x14ac:dyDescent="0.25"/>
  <cols>
    <col min="1" max="1" width="8.85546875" customWidth="1"/>
    <col min="2" max="2" width="40.5703125" customWidth="1"/>
    <col min="3" max="3" width="19" customWidth="1"/>
    <col min="4" max="4" width="17.5703125" customWidth="1"/>
    <col min="5" max="5" width="16.140625" customWidth="1"/>
    <col min="6" max="6" width="15.7109375" customWidth="1"/>
    <col min="7" max="7" width="16.7109375" customWidth="1"/>
    <col min="8" max="8" width="15.7109375" customWidth="1"/>
    <col min="9" max="9" width="13.28515625" customWidth="1"/>
    <col min="10" max="10" width="13" customWidth="1"/>
    <col min="11" max="11" width="12.7109375" customWidth="1"/>
    <col min="12" max="26" width="8.85546875" customWidth="1"/>
  </cols>
  <sheetData>
    <row r="1" spans="2:11" ht="14.25" customHeight="1" x14ac:dyDescent="0.25"/>
    <row r="2" spans="2:11" ht="14.25" customHeight="1" x14ac:dyDescent="0.25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25">
      <c r="B3" s="3" t="s">
        <v>1</v>
      </c>
      <c r="C3" s="4">
        <v>43830</v>
      </c>
      <c r="D3" s="4">
        <v>44196</v>
      </c>
      <c r="E3" s="4">
        <v>44561</v>
      </c>
      <c r="F3" s="4">
        <v>44926</v>
      </c>
      <c r="G3" s="5">
        <v>45291</v>
      </c>
      <c r="H3" s="5">
        <v>45657</v>
      </c>
      <c r="I3" s="5">
        <v>46022</v>
      </c>
      <c r="J3" s="5">
        <v>46387</v>
      </c>
      <c r="K3" s="5">
        <v>46752</v>
      </c>
    </row>
    <row r="4" spans="2:11" ht="14.25" customHeight="1" x14ac:dyDescent="0.25">
      <c r="B4" s="6" t="s">
        <v>33</v>
      </c>
      <c r="C4" s="17">
        <v>334.63400000000001</v>
      </c>
      <c r="D4" s="17">
        <v>296.81700000000001</v>
      </c>
      <c r="E4" s="17">
        <v>412.21699999999998</v>
      </c>
      <c r="F4" s="17">
        <v>440.10199999999998</v>
      </c>
      <c r="G4" s="17">
        <f>G19*G16/360</f>
        <v>444.75021936358723</v>
      </c>
      <c r="H4" s="17">
        <f t="shared" ref="H4:K4" si="0">H19*H16/360</f>
        <v>462.5402281381306</v>
      </c>
      <c r="I4" s="17">
        <f t="shared" si="0"/>
        <v>481.04183726365591</v>
      </c>
      <c r="J4" s="17">
        <f t="shared" si="0"/>
        <v>500.28351075420215</v>
      </c>
      <c r="K4" s="17">
        <f t="shared" si="0"/>
        <v>520.29485118437026</v>
      </c>
    </row>
    <row r="5" spans="2:11" ht="14.25" customHeight="1" x14ac:dyDescent="0.25">
      <c r="B5" s="6" t="s">
        <v>34</v>
      </c>
      <c r="C5" s="17">
        <v>231.333</v>
      </c>
      <c r="D5" s="17">
        <v>247.298</v>
      </c>
      <c r="E5" s="17">
        <v>345.35399999999998</v>
      </c>
      <c r="F5" s="17">
        <v>341.56299999999999</v>
      </c>
      <c r="G5" s="17">
        <f>G20*G17/360</f>
        <v>351.58952879492517</v>
      </c>
      <c r="H5" s="17">
        <f t="shared" ref="H5:K5" si="1">H20*H17/360</f>
        <v>365.65310994672222</v>
      </c>
      <c r="I5" s="17">
        <f t="shared" si="1"/>
        <v>380.27923434459115</v>
      </c>
      <c r="J5" s="17">
        <f t="shared" si="1"/>
        <v>395.49040371837481</v>
      </c>
      <c r="K5" s="17">
        <f t="shared" si="1"/>
        <v>411.31001986710982</v>
      </c>
    </row>
    <row r="6" spans="2:11" ht="14.25" customHeight="1" x14ac:dyDescent="0.25">
      <c r="B6" s="6" t="s">
        <v>35</v>
      </c>
      <c r="C6" s="17">
        <v>29.172000000000001</v>
      </c>
      <c r="D6" s="17">
        <v>52.289000000000001</v>
      </c>
      <c r="E6" s="17">
        <v>65.7</v>
      </c>
      <c r="F6" s="17">
        <v>66.866</v>
      </c>
      <c r="G6" s="17">
        <f>G23*G16</f>
        <v>64.163029261192079</v>
      </c>
      <c r="H6" s="17">
        <f>H23*H16</f>
        <v>66.729550431639751</v>
      </c>
      <c r="I6" s="17">
        <f t="shared" ref="I6:K6" si="2">I23*I16</f>
        <v>69.398732448905349</v>
      </c>
      <c r="J6" s="17">
        <f t="shared" si="2"/>
        <v>72.174681746861566</v>
      </c>
      <c r="K6" s="17">
        <f t="shared" si="2"/>
        <v>75.061669016736033</v>
      </c>
    </row>
    <row r="7" spans="2:11" ht="14.25" customHeight="1" x14ac:dyDescent="0.25">
      <c r="B7" s="18" t="s">
        <v>17</v>
      </c>
      <c r="C7" s="19">
        <f>SUM(C4:C6)</f>
        <v>595.13900000000001</v>
      </c>
      <c r="D7" s="19">
        <f>SUM(D4:D6)</f>
        <v>596.404</v>
      </c>
      <c r="E7" s="19">
        <f>SUM(E4:E6)</f>
        <v>823.27099999999996</v>
      </c>
      <c r="F7" s="19">
        <f t="shared" ref="C7:K7" si="3">SUM(F4:F6)</f>
        <v>848.53099999999995</v>
      </c>
      <c r="G7" s="19">
        <f t="shared" si="3"/>
        <v>860.50277741970444</v>
      </c>
      <c r="H7" s="19">
        <f t="shared" si="3"/>
        <v>894.92288851649255</v>
      </c>
      <c r="I7" s="19">
        <f t="shared" si="3"/>
        <v>930.71980405715237</v>
      </c>
      <c r="J7" s="19">
        <f t="shared" si="3"/>
        <v>967.94859621943851</v>
      </c>
      <c r="K7" s="19">
        <f t="shared" si="3"/>
        <v>1006.6665400682161</v>
      </c>
    </row>
    <row r="8" spans="2:11" ht="14.25" customHeight="1" x14ac:dyDescent="0.25"/>
    <row r="9" spans="2:11" ht="14.25" customHeight="1" x14ac:dyDescent="0.25">
      <c r="B9" s="6" t="s">
        <v>36</v>
      </c>
      <c r="C9" s="17">
        <v>268.46600000000001</v>
      </c>
      <c r="D9" s="17">
        <v>244.12</v>
      </c>
      <c r="E9" s="17">
        <v>384.22300000000001</v>
      </c>
      <c r="F9" s="17">
        <v>350.05799999999999</v>
      </c>
      <c r="G9" s="17">
        <f>G21*G17/360</f>
        <v>375.72185423911856</v>
      </c>
      <c r="H9" s="17">
        <f t="shared" ref="H9:K9" si="4">H21*H17/360</f>
        <v>390.75072840868324</v>
      </c>
      <c r="I9" s="17">
        <f t="shared" si="4"/>
        <v>406.38075754503063</v>
      </c>
      <c r="J9" s="17">
        <f t="shared" si="4"/>
        <v>422.63598784683182</v>
      </c>
      <c r="K9" s="17">
        <f t="shared" si="4"/>
        <v>439.54142736070514</v>
      </c>
    </row>
    <row r="10" spans="2:11" ht="14.25" customHeight="1" x14ac:dyDescent="0.25">
      <c r="B10" s="44"/>
      <c r="C10" s="17"/>
      <c r="D10" s="17"/>
      <c r="E10" s="17"/>
      <c r="F10" s="17"/>
      <c r="G10" s="17"/>
      <c r="H10" s="17"/>
      <c r="I10" s="17"/>
      <c r="J10" s="17"/>
      <c r="K10" s="17"/>
    </row>
    <row r="11" spans="2:11" ht="14.25" customHeight="1" x14ac:dyDescent="0.25">
      <c r="B11" s="6" t="s">
        <v>37</v>
      </c>
      <c r="C11" s="17">
        <v>386</v>
      </c>
      <c r="D11" s="17">
        <v>208</v>
      </c>
      <c r="E11" s="17">
        <v>255</v>
      </c>
      <c r="F11" s="17">
        <v>247</v>
      </c>
      <c r="G11" s="17">
        <f>G24*G16</f>
        <v>334.33395548646541</v>
      </c>
      <c r="H11" s="17">
        <f t="shared" ref="H11:K11" si="5">H24*H16</f>
        <v>347.70731370592404</v>
      </c>
      <c r="I11" s="17">
        <f t="shared" si="5"/>
        <v>361.61560625416104</v>
      </c>
      <c r="J11" s="17">
        <f t="shared" si="5"/>
        <v>376.08023050432752</v>
      </c>
      <c r="K11" s="17">
        <f t="shared" si="5"/>
        <v>391.1234397245006</v>
      </c>
    </row>
    <row r="12" spans="2:11" ht="14.25" customHeight="1" x14ac:dyDescent="0.25">
      <c r="B12" s="18" t="s">
        <v>38</v>
      </c>
      <c r="C12" s="19">
        <f>SUM(C9:C11)</f>
        <v>654.46600000000001</v>
      </c>
      <c r="D12" s="19">
        <f>SUM(D9:D11)</f>
        <v>452.12</v>
      </c>
      <c r="E12" s="19">
        <f>SUM(E9:E11)</f>
        <v>639.22299999999996</v>
      </c>
      <c r="F12" s="19">
        <f>SUM(F9:F11)</f>
        <v>597.05799999999999</v>
      </c>
      <c r="G12" s="19">
        <f>SUM(G9:G11)</f>
        <v>710.05580972558391</v>
      </c>
      <c r="H12" s="19">
        <f>SUM(H9:H11)</f>
        <v>738.45804211460722</v>
      </c>
      <c r="I12" s="19">
        <f>SUM(I9:I11)</f>
        <v>767.99636379919161</v>
      </c>
      <c r="J12" s="19">
        <f>SUM(J9:J11)</f>
        <v>798.71621835115934</v>
      </c>
      <c r="K12" s="19">
        <f>SUM(K9:K11)</f>
        <v>830.66486708520574</v>
      </c>
    </row>
    <row r="13" spans="2:11" ht="14.25" customHeight="1" x14ac:dyDescent="0.25"/>
    <row r="14" spans="2:11" ht="14.25" customHeight="1" x14ac:dyDescent="0.25"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ht="14.25" customHeight="1" x14ac:dyDescent="0.25">
      <c r="B15" s="3" t="s">
        <v>1</v>
      </c>
      <c r="C15" s="4">
        <v>43830</v>
      </c>
      <c r="D15" s="4">
        <v>44196</v>
      </c>
      <c r="E15" s="4">
        <v>44561</v>
      </c>
      <c r="F15" s="4">
        <v>44926</v>
      </c>
      <c r="G15" s="5">
        <v>45291</v>
      </c>
      <c r="H15" s="5">
        <v>45657</v>
      </c>
      <c r="I15" s="5">
        <v>46022</v>
      </c>
      <c r="J15" s="5">
        <v>46387</v>
      </c>
      <c r="K15" s="5">
        <v>46752</v>
      </c>
    </row>
    <row r="16" spans="2:11" ht="14.25" customHeight="1" x14ac:dyDescent="0.25">
      <c r="B16" s="15" t="s">
        <v>2</v>
      </c>
      <c r="C16" s="21">
        <v>2131.2779999999998</v>
      </c>
      <c r="D16" s="21">
        <f>'Free Cash Flow'!C4</f>
        <v>1863</v>
      </c>
      <c r="E16" s="21">
        <f>'Free Cash Flow'!D4</f>
        <v>2408</v>
      </c>
      <c r="F16" s="21">
        <f>'Free Cash Flow'!E4</f>
        <v>2606</v>
      </c>
      <c r="G16" s="21">
        <f>'Free Cash Flow'!F4</f>
        <v>2710.2400000000002</v>
      </c>
      <c r="H16" s="21">
        <f>'Free Cash Flow'!G4</f>
        <v>2818.6496000000002</v>
      </c>
      <c r="I16" s="21">
        <f>'Free Cash Flow'!H4</f>
        <v>2931.3955840000003</v>
      </c>
      <c r="J16" s="21">
        <f>'Free Cash Flow'!I4</f>
        <v>3048.6514073600006</v>
      </c>
      <c r="K16" s="21">
        <f>'Free Cash Flow'!J4</f>
        <v>3170.5974636544006</v>
      </c>
    </row>
    <row r="17" spans="2:11" ht="14.25" customHeight="1" x14ac:dyDescent="0.25">
      <c r="B17" s="15" t="s">
        <v>3</v>
      </c>
      <c r="C17" s="21">
        <v>1337.7729999999999</v>
      </c>
      <c r="D17" s="21">
        <f>'Free Cash Flow'!C5</f>
        <v>1199</v>
      </c>
      <c r="E17" s="21">
        <f>'Free Cash Flow'!D5</f>
        <v>1553</v>
      </c>
      <c r="F17" s="21">
        <f>'Free Cash Flow'!E5</f>
        <v>1690</v>
      </c>
      <c r="G17" s="21">
        <f>'Free Cash Flow'!F5</f>
        <v>1749.9320645739231</v>
      </c>
      <c r="H17" s="21">
        <f>'Free Cash Flow'!G5</f>
        <v>1819.9293471568801</v>
      </c>
      <c r="I17" s="21">
        <f>'Free Cash Flow'!H5</f>
        <v>1892.7265210431553</v>
      </c>
      <c r="J17" s="21">
        <f>'Free Cash Flow'!I5</f>
        <v>1968.4355818848817</v>
      </c>
      <c r="K17" s="21">
        <f>'Free Cash Flow'!J5</f>
        <v>2047.1730051602769</v>
      </c>
    </row>
    <row r="18" spans="2:11" ht="14.25" customHeight="1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2:11" ht="14.25" customHeight="1" x14ac:dyDescent="0.25">
      <c r="B19" s="15" t="s">
        <v>39</v>
      </c>
      <c r="C19" s="22">
        <f>C4/C16*360</f>
        <v>56.523944788056752</v>
      </c>
      <c r="D19" s="22">
        <f>D4/D16*360</f>
        <v>57.35594202898551</v>
      </c>
      <c r="E19" s="22">
        <f>E4/E16*360</f>
        <v>61.627126245847172</v>
      </c>
      <c r="F19" s="22">
        <f>F4/F16*360</f>
        <v>60.796899462778207</v>
      </c>
      <c r="G19" s="22">
        <f>AVERAGE(C19:F19)</f>
        <v>59.07597813141691</v>
      </c>
      <c r="H19" s="22">
        <f>G19</f>
        <v>59.07597813141691</v>
      </c>
      <c r="I19" s="22">
        <f t="shared" ref="I19:K19" si="6">H19</f>
        <v>59.07597813141691</v>
      </c>
      <c r="J19" s="22">
        <f t="shared" si="6"/>
        <v>59.07597813141691</v>
      </c>
      <c r="K19" s="22">
        <f t="shared" si="6"/>
        <v>59.07597813141691</v>
      </c>
    </row>
    <row r="20" spans="2:11" ht="14.25" customHeight="1" x14ac:dyDescent="0.25">
      <c r="B20" s="15" t="s">
        <v>40</v>
      </c>
      <c r="C20" s="22">
        <f>C5/C17*360</f>
        <v>62.252624324156642</v>
      </c>
      <c r="D20" s="22">
        <f>D5/D17*360</f>
        <v>74.251276063386157</v>
      </c>
      <c r="E20" s="22">
        <f>E5/E17*360</f>
        <v>80.056303927881515</v>
      </c>
      <c r="F20" s="22">
        <f>F5/F17*360</f>
        <v>72.758982248520709</v>
      </c>
      <c r="G20" s="22">
        <f>AVERAGE(C20:F20)</f>
        <v>72.329796640986245</v>
      </c>
      <c r="H20" s="22">
        <f>G20</f>
        <v>72.329796640986245</v>
      </c>
      <c r="I20" s="22">
        <f t="shared" ref="I20:K20" si="7">H20</f>
        <v>72.329796640986245</v>
      </c>
      <c r="J20" s="22">
        <f t="shared" si="7"/>
        <v>72.329796640986245</v>
      </c>
      <c r="K20" s="22">
        <f t="shared" si="7"/>
        <v>72.329796640986245</v>
      </c>
    </row>
    <row r="21" spans="2:11" ht="14.25" customHeight="1" x14ac:dyDescent="0.25">
      <c r="B21" s="15" t="s">
        <v>41</v>
      </c>
      <c r="C21" s="22">
        <f>C9/C17*360</f>
        <v>72.245261341049655</v>
      </c>
      <c r="D21" s="22">
        <f>D9/D17*360</f>
        <v>73.297080900750629</v>
      </c>
      <c r="E21" s="22">
        <f>E9/E17*360</f>
        <v>89.066503541532512</v>
      </c>
      <c r="F21" s="22">
        <f>F9/F17*360</f>
        <v>74.56856804733728</v>
      </c>
      <c r="G21" s="22">
        <f>AVERAGE(C21:F21)</f>
        <v>77.294353457667512</v>
      </c>
      <c r="H21" s="22">
        <f>G21</f>
        <v>77.294353457667512</v>
      </c>
      <c r="I21" s="22">
        <f t="shared" ref="I21:K21" si="8">H21</f>
        <v>77.294353457667512</v>
      </c>
      <c r="J21" s="22">
        <f t="shared" si="8"/>
        <v>77.294353457667512</v>
      </c>
      <c r="K21" s="22">
        <f t="shared" si="8"/>
        <v>77.294353457667512</v>
      </c>
    </row>
    <row r="22" spans="2:11" ht="14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1" ht="14.25" customHeight="1" x14ac:dyDescent="0.25">
      <c r="B23" s="15" t="s">
        <v>42</v>
      </c>
      <c r="C23" s="16">
        <f>C6/C$16</f>
        <v>1.3687562110620954E-2</v>
      </c>
      <c r="D23" s="16">
        <f>D6/D$16</f>
        <v>2.8067096081588836E-2</v>
      </c>
      <c r="E23" s="16">
        <f>E6/E$16</f>
        <v>2.7284053156146182E-2</v>
      </c>
      <c r="F23" s="16">
        <f>F6/F$16</f>
        <v>2.5658480429777437E-2</v>
      </c>
      <c r="G23" s="16">
        <f>AVERAGE(C23:F23)</f>
        <v>2.3674297944533351E-2</v>
      </c>
      <c r="H23" s="16">
        <f>G23</f>
        <v>2.3674297944533351E-2</v>
      </c>
      <c r="I23" s="16">
        <f t="shared" ref="I23:K24" si="9">H23</f>
        <v>2.3674297944533351E-2</v>
      </c>
      <c r="J23" s="16">
        <f t="shared" si="9"/>
        <v>2.3674297944533351E-2</v>
      </c>
      <c r="K23" s="16">
        <f t="shared" si="9"/>
        <v>2.3674297944533351E-2</v>
      </c>
    </row>
    <row r="24" spans="2:11" ht="14.25" customHeight="1" x14ac:dyDescent="0.25">
      <c r="B24" s="15" t="s">
        <v>75</v>
      </c>
      <c r="C24" s="16">
        <f>C11/C16</f>
        <v>0.18111199008294557</v>
      </c>
      <c r="D24" s="16">
        <f>D11/D16</f>
        <v>0.11164787976382179</v>
      </c>
      <c r="E24" s="16">
        <f>E11/E16</f>
        <v>0.10589700996677741</v>
      </c>
      <c r="F24" s="16">
        <f>F11/F16</f>
        <v>9.478127398311588E-2</v>
      </c>
      <c r="G24" s="16">
        <f>AVERAGE(C24:F24)</f>
        <v>0.12335953844916517</v>
      </c>
      <c r="H24" s="16">
        <f>G24</f>
        <v>0.12335953844916517</v>
      </c>
      <c r="I24" s="16">
        <f t="shared" si="9"/>
        <v>0.12335953844916517</v>
      </c>
      <c r="J24" s="16">
        <f t="shared" si="9"/>
        <v>0.12335953844916517</v>
      </c>
      <c r="K24" s="16">
        <f t="shared" si="9"/>
        <v>0.12335953844916517</v>
      </c>
    </row>
    <row r="25" spans="2:11" ht="14.25" customHeight="1" x14ac:dyDescent="0.25">
      <c r="B25" s="15"/>
      <c r="C25" s="16"/>
      <c r="D25" s="16"/>
      <c r="E25" s="16"/>
      <c r="F25" s="16"/>
      <c r="G25" s="16"/>
      <c r="H25" s="16"/>
      <c r="I25" s="16"/>
      <c r="J25" s="16"/>
      <c r="K25" s="16"/>
    </row>
    <row r="26" spans="2:11" ht="14.25" customHeight="1" x14ac:dyDescent="0.25"/>
    <row r="27" spans="2:11" ht="14.25" customHeight="1" x14ac:dyDescent="0.25"/>
    <row r="28" spans="2:11" ht="14.25" customHeight="1" x14ac:dyDescent="0.25"/>
    <row r="29" spans="2:11" ht="14.25" customHeight="1" x14ac:dyDescent="0.25"/>
    <row r="30" spans="2:11" ht="14.25" customHeight="1" x14ac:dyDescent="0.25"/>
    <row r="31" spans="2:11" ht="14.25" customHeight="1" x14ac:dyDescent="0.25"/>
    <row r="32" spans="2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orientation="landscape"/>
  <ignoredErrors>
    <ignoredError sqref="C7:E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workbookViewId="0">
      <selection activeCell="O25" sqref="O25"/>
    </sheetView>
  </sheetViews>
  <sheetFormatPr defaultColWidth="14.42578125" defaultRowHeight="15" customHeight="1" x14ac:dyDescent="0.25"/>
  <cols>
    <col min="1" max="1" width="8.85546875" customWidth="1"/>
    <col min="2" max="2" width="28.5703125" customWidth="1"/>
    <col min="3" max="3" width="12.85546875" customWidth="1"/>
    <col min="4" max="10" width="9.42578125" customWidth="1"/>
    <col min="11" max="11" width="8.140625" customWidth="1"/>
    <col min="12" max="26" width="8.85546875" customWidth="1"/>
  </cols>
  <sheetData>
    <row r="1" spans="2:11" ht="14.25" customHeight="1" x14ac:dyDescent="0.25"/>
    <row r="2" spans="2:11" ht="14.2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25">
      <c r="B3" s="3" t="s">
        <v>1</v>
      </c>
      <c r="C3" s="4"/>
      <c r="D3" s="4">
        <v>44196</v>
      </c>
      <c r="E3" s="4">
        <v>44561</v>
      </c>
      <c r="F3" s="4">
        <v>44926</v>
      </c>
      <c r="G3" s="5">
        <v>45291</v>
      </c>
      <c r="H3" s="5">
        <v>45657</v>
      </c>
      <c r="I3" s="5">
        <v>46022</v>
      </c>
      <c r="J3" s="5">
        <v>46387</v>
      </c>
      <c r="K3" s="5">
        <v>46752</v>
      </c>
    </row>
    <row r="4" spans="2:11" ht="14.25" customHeight="1" x14ac:dyDescent="0.25">
      <c r="B4" s="6" t="s">
        <v>19</v>
      </c>
      <c r="C4" s="17"/>
      <c r="D4" s="17">
        <f>'Free Cash Flow'!C23</f>
        <v>-138.83299999999997</v>
      </c>
      <c r="E4" s="17">
        <f>'Free Cash Flow'!D23</f>
        <v>89.876000000000005</v>
      </c>
      <c r="F4" s="17">
        <f>'Free Cash Flow'!E23</f>
        <v>142.44481600000006</v>
      </c>
      <c r="G4" s="17">
        <f>'Free Cash Flow'!F23</f>
        <v>174.94019634912686</v>
      </c>
      <c r="H4" s="17">
        <f>'Free Cash Flow'!G23</f>
        <v>183.25531488973621</v>
      </c>
      <c r="I4" s="17">
        <f>'Free Cash Flow'!H23</f>
        <v>191.93655101448471</v>
      </c>
      <c r="J4" s="17">
        <f>'Free Cash Flow'!I23</f>
        <v>200.99940187569666</v>
      </c>
      <c r="K4" s="17">
        <f>'Free Cash Flow'!J23</f>
        <v>210.46000619509618</v>
      </c>
    </row>
    <row r="5" spans="2:11" ht="14.25" customHeight="1" x14ac:dyDescent="0.25"/>
    <row r="6" spans="2:11" ht="14.25" customHeight="1" x14ac:dyDescent="0.25">
      <c r="B6" s="6" t="s">
        <v>43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 x14ac:dyDescent="0.25">
      <c r="B7" s="18" t="s">
        <v>44</v>
      </c>
      <c r="C7" s="18"/>
      <c r="D7" s="18"/>
      <c r="E7" s="18"/>
      <c r="F7" s="18"/>
      <c r="G7" s="19">
        <f>G4/(1+$C$12)^G6</f>
        <v>161.19510280083338</v>
      </c>
      <c r="H7" s="19">
        <f t="shared" ref="H7:K7" si="0">H4/(1+$C$12)^H6</f>
        <v>155.58977294702291</v>
      </c>
      <c r="I7" s="19">
        <f t="shared" si="0"/>
        <v>150.15658696901494</v>
      </c>
      <c r="J7" s="19">
        <f t="shared" si="0"/>
        <v>144.89176431454976</v>
      </c>
      <c r="K7" s="19">
        <f t="shared" si="0"/>
        <v>139.79149467470882</v>
      </c>
    </row>
    <row r="8" spans="2:11" ht="14.25" customHeight="1" x14ac:dyDescent="0.25"/>
    <row r="9" spans="2:11" ht="14.25" customHeight="1" x14ac:dyDescent="0.25">
      <c r="B9" s="51" t="s">
        <v>45</v>
      </c>
      <c r="C9" s="52"/>
      <c r="E9" s="51" t="s">
        <v>46</v>
      </c>
      <c r="F9" s="53"/>
      <c r="G9" s="53"/>
      <c r="H9" s="53"/>
      <c r="I9" s="53"/>
      <c r="J9" s="53"/>
      <c r="K9" s="52"/>
    </row>
    <row r="10" spans="2:11" ht="14.25" customHeight="1" x14ac:dyDescent="0.25">
      <c r="B10" s="1" t="s">
        <v>47</v>
      </c>
      <c r="C10" s="17">
        <f>SUM(G7:K7)</f>
        <v>751.62472170612978</v>
      </c>
    </row>
    <row r="11" spans="2:11" ht="14.25" customHeight="1" x14ac:dyDescent="0.25">
      <c r="B11" s="1" t="s">
        <v>48</v>
      </c>
      <c r="C11" s="70">
        <v>0.04</v>
      </c>
      <c r="E11" s="1"/>
      <c r="F11" s="1"/>
      <c r="G11" s="51" t="s">
        <v>48</v>
      </c>
      <c r="H11" s="53"/>
      <c r="I11" s="53"/>
      <c r="J11" s="53"/>
      <c r="K11" s="52"/>
    </row>
    <row r="12" spans="2:11" ht="15" customHeight="1" x14ac:dyDescent="0.25">
      <c r="B12" s="1" t="s">
        <v>49</v>
      </c>
      <c r="C12" s="20">
        <f>WACC!C18</f>
        <v>8.5269920174165459E-2</v>
      </c>
      <c r="E12" s="1"/>
      <c r="F12" s="23">
        <f>C21</f>
        <v>81.888156013744549</v>
      </c>
      <c r="G12" s="24">
        <v>3.5000000000000003E-2</v>
      </c>
      <c r="H12" s="24">
        <v>3.7499999999999999E-2</v>
      </c>
      <c r="I12" s="24">
        <v>0.04</v>
      </c>
      <c r="J12" s="24">
        <v>4.2500000000000003E-2</v>
      </c>
      <c r="K12" s="24">
        <v>4.4999999999999998E-2</v>
      </c>
    </row>
    <row r="13" spans="2:11" ht="14.25" customHeight="1" x14ac:dyDescent="0.25">
      <c r="B13" s="1" t="s">
        <v>50</v>
      </c>
      <c r="C13" s="17">
        <f>K4*(1+C11)/(C12-C11)</f>
        <v>4834.9633840929346</v>
      </c>
      <c r="E13" s="54" t="s">
        <v>49</v>
      </c>
      <c r="F13" s="24">
        <f>F14-0.5%</f>
        <v>7.7769920174165452E-2</v>
      </c>
      <c r="G13" s="23">
        <f t="dataTable" ref="G13:K17" dt2D="1" dtr="1" r1="C11" r2="C12" ca="1"/>
        <v>89.234297827653577</v>
      </c>
      <c r="H13" s="23">
        <v>94.666281233583732</v>
      </c>
      <c r="I13" s="23">
        <v>100.81735318681318</v>
      </c>
      <c r="J13" s="23">
        <v>107.84042483877386</v>
      </c>
      <c r="K13" s="23">
        <v>115.93506938664557</v>
      </c>
    </row>
    <row r="14" spans="2:11" ht="14.25" customHeight="1" x14ac:dyDescent="0.25">
      <c r="B14" s="1" t="s">
        <v>51</v>
      </c>
      <c r="C14" s="17">
        <f>C13/(1+C12)^K6</f>
        <v>3211.4736209467433</v>
      </c>
      <c r="D14" s="17"/>
      <c r="E14" s="55"/>
      <c r="F14" s="24">
        <f>F15-0.25%</f>
        <v>8.2769920174165457E-2</v>
      </c>
      <c r="G14" s="23">
        <v>95.619296430707635</v>
      </c>
      <c r="H14" s="25">
        <v>101.82777310575159</v>
      </c>
      <c r="I14" s="25">
        <v>108.91638739443144</v>
      </c>
      <c r="J14" s="25">
        <v>117.08657500568965</v>
      </c>
      <c r="K14" s="23">
        <v>126.60631814339939</v>
      </c>
    </row>
    <row r="15" spans="2:11" ht="14.25" customHeight="1" x14ac:dyDescent="0.25">
      <c r="B15" s="1" t="s">
        <v>52</v>
      </c>
      <c r="C15" s="17">
        <f>C14+C10</f>
        <v>3963.0983426528728</v>
      </c>
      <c r="E15" s="55"/>
      <c r="F15" s="24">
        <f>C12</f>
        <v>8.5269920174165459E-2</v>
      </c>
      <c r="G15" s="23">
        <v>95.619296430707635</v>
      </c>
      <c r="H15" s="25">
        <v>101.82777310575159</v>
      </c>
      <c r="I15" s="26">
        <v>108.91638739443144</v>
      </c>
      <c r="J15" s="25">
        <v>117.08657500568965</v>
      </c>
      <c r="K15" s="23">
        <v>126.60631814339939</v>
      </c>
    </row>
    <row r="16" spans="2:11" ht="14.25" customHeight="1" x14ac:dyDescent="0.25">
      <c r="B16" s="12" t="s">
        <v>53</v>
      </c>
      <c r="C16" s="17">
        <f>688</f>
        <v>688</v>
      </c>
      <c r="E16" s="55"/>
      <c r="F16" s="24">
        <f>F15+0.25%</f>
        <v>8.7769920174165461E-2</v>
      </c>
      <c r="G16" s="23">
        <v>89.234297827653577</v>
      </c>
      <c r="H16" s="25">
        <v>94.666281233583732</v>
      </c>
      <c r="I16" s="25">
        <v>100.81735318681318</v>
      </c>
      <c r="J16" s="25">
        <v>107.84042483877386</v>
      </c>
      <c r="K16" s="23">
        <v>115.93506938664557</v>
      </c>
    </row>
    <row r="17" spans="2:11" ht="14.25" customHeight="1" x14ac:dyDescent="0.25">
      <c r="B17" s="12" t="s">
        <v>54</v>
      </c>
      <c r="C17" s="17">
        <f>WACC!C4</f>
        <v>1237</v>
      </c>
      <c r="E17" s="56"/>
      <c r="F17" s="24">
        <f>F16+0.5%</f>
        <v>9.2769920174165466E-2</v>
      </c>
      <c r="G17" s="23">
        <v>73.890865286636668</v>
      </c>
      <c r="H17" s="23">
        <v>77.68024479057776</v>
      </c>
      <c r="I17" s="23">
        <v>81.888156013744549</v>
      </c>
      <c r="J17" s="23">
        <v>86.5879913749541</v>
      </c>
      <c r="K17" s="23">
        <v>91.871368414528433</v>
      </c>
    </row>
    <row r="18" spans="2:11" ht="14.25" customHeight="1" x14ac:dyDescent="0.25">
      <c r="B18" s="12" t="s">
        <v>55</v>
      </c>
      <c r="C18" s="69">
        <v>1</v>
      </c>
    </row>
    <row r="19" spans="2:11" ht="14.25" customHeight="1" x14ac:dyDescent="0.25">
      <c r="B19" s="27" t="s">
        <v>56</v>
      </c>
      <c r="C19" s="28">
        <f>C15+C16-C17-C18</f>
        <v>3413.0983426528728</v>
      </c>
    </row>
    <row r="20" spans="2:11" ht="14.25" customHeight="1" x14ac:dyDescent="0.25">
      <c r="B20" s="1" t="s">
        <v>57</v>
      </c>
      <c r="C20" s="29">
        <v>41.68</v>
      </c>
    </row>
    <row r="21" spans="2:11" ht="14.25" customHeight="1" x14ac:dyDescent="0.25">
      <c r="B21" s="13" t="s">
        <v>58</v>
      </c>
      <c r="C21" s="30">
        <f>C19/C20</f>
        <v>81.888156013744549</v>
      </c>
    </row>
    <row r="22" spans="2:11" ht="14.25" customHeight="1" x14ac:dyDescent="0.25"/>
    <row r="23" spans="2:11" ht="14.25" customHeight="1" x14ac:dyDescent="0.25"/>
    <row r="24" spans="2:11" ht="14.25" customHeight="1" x14ac:dyDescent="0.25"/>
    <row r="25" spans="2:11" ht="14.25" customHeight="1" x14ac:dyDescent="0.25"/>
    <row r="26" spans="2:11" ht="14.25" customHeight="1" x14ac:dyDescent="0.25"/>
    <row r="27" spans="2:11" ht="14.25" customHeight="1" x14ac:dyDescent="0.25"/>
    <row r="28" spans="2:11" ht="14.25" customHeight="1" x14ac:dyDescent="0.25"/>
    <row r="29" spans="2:11" ht="14.25" customHeight="1" x14ac:dyDescent="0.25"/>
    <row r="30" spans="2:11" ht="14.25" customHeight="1" x14ac:dyDescent="0.25"/>
    <row r="31" spans="2:11" ht="14.25" customHeight="1" x14ac:dyDescent="0.25"/>
    <row r="32" spans="2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>
      <selection activeCell="Q31" sqref="Q31"/>
    </sheetView>
  </sheetViews>
  <sheetFormatPr defaultColWidth="14.42578125" defaultRowHeight="15" customHeight="1" x14ac:dyDescent="0.25"/>
  <cols>
    <col min="1" max="1" width="8.85546875" customWidth="1"/>
    <col min="2" max="2" width="37.140625" customWidth="1"/>
    <col min="3" max="3" width="11.7109375" customWidth="1"/>
    <col min="4" max="26" width="8.85546875" customWidth="1"/>
  </cols>
  <sheetData>
    <row r="1" spans="2:4" ht="14.25" customHeight="1" x14ac:dyDescent="0.25"/>
    <row r="2" spans="2:4" ht="14.25" customHeight="1" x14ac:dyDescent="0.25">
      <c r="B2" s="51" t="s">
        <v>59</v>
      </c>
      <c r="C2" s="52"/>
    </row>
    <row r="3" spans="2:4" ht="14.25" customHeight="1" x14ac:dyDescent="0.25">
      <c r="B3" s="1" t="s">
        <v>60</v>
      </c>
      <c r="C3" s="72">
        <v>2897</v>
      </c>
    </row>
    <row r="4" spans="2:4" ht="14.25" customHeight="1" x14ac:dyDescent="0.25">
      <c r="B4" s="1" t="s">
        <v>61</v>
      </c>
      <c r="C4" s="17">
        <v>1237</v>
      </c>
    </row>
    <row r="5" spans="2:4" ht="14.25" customHeight="1" x14ac:dyDescent="0.25">
      <c r="B5" s="1"/>
      <c r="C5" s="1"/>
    </row>
    <row r="6" spans="2:4" ht="14.25" customHeight="1" x14ac:dyDescent="0.25">
      <c r="B6" s="1" t="s">
        <v>62</v>
      </c>
      <c r="C6" s="71">
        <v>4.4999999999999998E-2</v>
      </c>
    </row>
    <row r="7" spans="2:4" ht="14.25" customHeight="1" x14ac:dyDescent="0.25">
      <c r="B7" s="1" t="s">
        <v>63</v>
      </c>
      <c r="C7" s="20">
        <v>0.21</v>
      </c>
    </row>
    <row r="8" spans="2:4" ht="14.25" customHeight="1" x14ac:dyDescent="0.25">
      <c r="B8" s="1" t="s">
        <v>64</v>
      </c>
      <c r="C8" s="20">
        <f>C4/SUM(C3,C4)</f>
        <v>0.29922593130140301</v>
      </c>
    </row>
    <row r="9" spans="2:4" ht="14.25" customHeight="1" x14ac:dyDescent="0.25">
      <c r="B9" s="18" t="s">
        <v>65</v>
      </c>
      <c r="C9" s="31">
        <f>C6*(1-C7)</f>
        <v>3.5549999999999998E-2</v>
      </c>
    </row>
    <row r="10" spans="2:4" ht="14.25" customHeight="1" x14ac:dyDescent="0.25">
      <c r="B10" s="10"/>
      <c r="C10" s="32"/>
    </row>
    <row r="11" spans="2:4" ht="14.25" customHeight="1" x14ac:dyDescent="0.25">
      <c r="B11" s="1" t="s">
        <v>66</v>
      </c>
      <c r="C11" s="20">
        <v>4.5999999999999999E-2</v>
      </c>
      <c r="D11" s="57"/>
    </row>
    <row r="12" spans="2:4" ht="14.25" customHeight="1" x14ac:dyDescent="0.25">
      <c r="B12" s="1" t="s">
        <v>67</v>
      </c>
      <c r="C12" s="20">
        <v>7.8E-2</v>
      </c>
      <c r="D12" s="57"/>
    </row>
    <row r="13" spans="2:4" ht="14.25" customHeight="1" x14ac:dyDescent="0.25">
      <c r="B13" s="1" t="s">
        <v>68</v>
      </c>
      <c r="C13" s="20">
        <f>5%</f>
        <v>0.05</v>
      </c>
      <c r="D13" s="57"/>
    </row>
    <row r="14" spans="2:4" ht="14.25" customHeight="1" x14ac:dyDescent="0.25">
      <c r="B14" s="1" t="s">
        <v>69</v>
      </c>
      <c r="C14" s="1">
        <v>1.21</v>
      </c>
      <c r="D14" s="57"/>
    </row>
    <row r="15" spans="2:4" ht="14.25" customHeight="1" x14ac:dyDescent="0.25">
      <c r="B15" s="1" t="s">
        <v>70</v>
      </c>
      <c r="C15" s="20">
        <f>C3/SUM(C3,C4)</f>
        <v>0.70077406869859704</v>
      </c>
    </row>
    <row r="16" spans="2:4" ht="14.25" customHeight="1" x14ac:dyDescent="0.25">
      <c r="B16" s="18" t="s">
        <v>71</v>
      </c>
      <c r="C16" s="31">
        <f>C11+C14*(C13)</f>
        <v>0.1065</v>
      </c>
    </row>
    <row r="17" spans="2:3" ht="14.25" customHeight="1" x14ac:dyDescent="0.25">
      <c r="B17" s="1"/>
      <c r="C17" s="1"/>
    </row>
    <row r="18" spans="2:3" ht="14.25" customHeight="1" x14ac:dyDescent="0.25">
      <c r="B18" s="13" t="s">
        <v>49</v>
      </c>
      <c r="C18" s="33">
        <f>C9*C8+C16*C15</f>
        <v>8.5269920174165459E-2</v>
      </c>
    </row>
    <row r="19" spans="2:3" ht="14.25" customHeight="1" x14ac:dyDescent="0.25"/>
    <row r="20" spans="2:3" ht="14.25" customHeight="1" x14ac:dyDescent="0.25"/>
    <row r="21" spans="2:3" ht="14.25" customHeight="1" x14ac:dyDescent="0.25"/>
    <row r="22" spans="2:3" ht="14.25" customHeight="1" x14ac:dyDescent="0.25"/>
    <row r="23" spans="2:3" ht="14.25" customHeight="1" x14ac:dyDescent="0.25"/>
    <row r="24" spans="2:3" ht="14.25" customHeight="1" x14ac:dyDescent="0.25"/>
    <row r="25" spans="2:3" ht="14.25" customHeight="1" x14ac:dyDescent="0.25"/>
    <row r="26" spans="2:3" ht="14.25" customHeight="1" x14ac:dyDescent="0.25"/>
    <row r="27" spans="2:3" ht="14.25" customHeight="1" x14ac:dyDescent="0.25"/>
    <row r="28" spans="2:3" ht="14.25" customHeight="1" x14ac:dyDescent="0.25"/>
    <row r="29" spans="2:3" ht="14.25" customHeight="1" x14ac:dyDescent="0.25"/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B2:C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Free Cash Flow</vt:lpstr>
      <vt:lpstr>Fixed Assets</vt:lpstr>
      <vt:lpstr>Net Working Capital</vt:lpstr>
      <vt:lpstr>DCF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Aniket Rajesh Vasaikar</cp:lastModifiedBy>
  <dcterms:created xsi:type="dcterms:W3CDTF">2022-06-25T16:24:49Z</dcterms:created>
  <dcterms:modified xsi:type="dcterms:W3CDTF">2023-12-17T07:04:28Z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2023-12-15T21:36:05Z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351c72ba-6d0c-4e48-b53a-0d360fdd9aaa</vt:lpwstr>
  </property>
  <property fmtid="{D5CDD505-2E9C-101B-9397-08002B2CF9AE}" pid="8" name="MSIP_Label_a73fd474-4f3c-44ed-88fb-5cc4bd2471bf_ContentBits">
    <vt:lpwstr>0</vt:lpwstr>
  </property>
</Properties>
</file>