
<file path=[Content_Types].xml><?xml version="1.0" encoding="utf-8"?>
<Types xmlns="http://schemas.openxmlformats.org/package/2006/content-types"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ees\OneDrive\Desktop\"/>
    </mc:Choice>
  </mc:AlternateContent>
  <xr:revisionPtr revIDLastSave="0" documentId="8_{E1473983-F4CB-44AD-AB05-07BE91C7DAE1}" xr6:coauthVersionLast="47" xr6:coauthVersionMax="47" xr10:uidLastSave="{00000000-0000-0000-0000-000000000000}"/>
  <bookViews>
    <workbookView xWindow="-120" yWindow="-120" windowWidth="38640" windowHeight="21120" xr2:uid="{D00406CC-BFF0-43AA-A214-3AACDC858FAF}"/>
  </bookViews>
  <sheets>
    <sheet name="DCF" sheetId="5" r:id="rId1"/>
    <sheet name="7.81" sheetId="6" r:id="rId2"/>
    <sheet name="Sheet1" sheetId="7" r:id="rId3"/>
  </sheets>
  <definedNames>
    <definedName name="tgr">DCF!$E$19</definedName>
    <definedName name="wacc">DCF!$E$18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5" i="5" l="1"/>
  <c r="E56" i="5"/>
  <c r="H5" i="5"/>
  <c r="I73" i="5"/>
  <c r="I61" i="5"/>
  <c r="H36" i="5"/>
  <c r="H32" i="5"/>
  <c r="G32" i="5"/>
  <c r="F32" i="5"/>
  <c r="E32" i="5"/>
  <c r="I22" i="5"/>
  <c r="N19" i="7"/>
  <c r="M19" i="7"/>
  <c r="H19" i="7"/>
  <c r="G19" i="7"/>
  <c r="Q18" i="7"/>
  <c r="P18" i="7"/>
  <c r="O19" i="7" s="1"/>
  <c r="O18" i="7"/>
  <c r="N18" i="7"/>
  <c r="M18" i="7"/>
  <c r="L18" i="7"/>
  <c r="L19" i="7" s="1"/>
  <c r="K18" i="7"/>
  <c r="K19" i="7" s="1"/>
  <c r="J18" i="7"/>
  <c r="J19" i="7" s="1"/>
  <c r="I18" i="7"/>
  <c r="H18" i="7"/>
  <c r="G18" i="7"/>
  <c r="F18" i="7"/>
  <c r="F22" i="7" s="1"/>
  <c r="E18" i="7"/>
  <c r="E19" i="7" s="1"/>
  <c r="D18" i="7"/>
  <c r="C19" i="7" s="1"/>
  <c r="C18" i="7"/>
  <c r="B18" i="7"/>
  <c r="B22" i="7" s="1"/>
  <c r="B24" i="7" s="1"/>
  <c r="E40" i="5"/>
  <c r="E39" i="5"/>
  <c r="J22" i="7" l="1"/>
  <c r="J24" i="7" s="1"/>
  <c r="I19" i="7"/>
  <c r="D19" i="7"/>
  <c r="P19" i="7"/>
  <c r="F19" i="7"/>
  <c r="N22" i="7"/>
  <c r="L45" i="5"/>
  <c r="M45" i="5"/>
  <c r="L47" i="5"/>
  <c r="M47" i="5"/>
  <c r="F20" i="6"/>
  <c r="F10" i="6"/>
  <c r="F24" i="7" l="1"/>
  <c r="H63" i="5"/>
  <c r="F66" i="5"/>
  <c r="F67" i="5" s="1"/>
  <c r="H66" i="5"/>
  <c r="F9" i="6"/>
  <c r="M80" i="5"/>
  <c r="H40" i="5"/>
  <c r="H39" i="5"/>
  <c r="E36" i="5"/>
  <c r="I23" i="5"/>
  <c r="I46" i="5" s="1"/>
  <c r="J23" i="5"/>
  <c r="J46" i="5" s="1"/>
  <c r="L46" i="5"/>
  <c r="I72" i="5"/>
  <c r="M46" i="5"/>
  <c r="F40" i="5"/>
  <c r="K23" i="5"/>
  <c r="K46" i="5" s="1"/>
  <c r="F39" i="5"/>
  <c r="G36" i="5"/>
  <c r="G63" i="5"/>
  <c r="F36" i="5"/>
  <c r="E33" i="5"/>
  <c r="E26" i="5"/>
  <c r="E29" i="5"/>
  <c r="F29" i="5"/>
  <c r="F56" i="5" s="1"/>
  <c r="G29" i="5"/>
  <c r="G56" i="5" s="1"/>
  <c r="H26" i="5"/>
  <c r="F60" i="5"/>
  <c r="G49" i="5"/>
  <c r="F43" i="5"/>
  <c r="E43" i="5"/>
  <c r="J41" i="5"/>
  <c r="K41" i="5" s="1"/>
  <c r="L41" i="5" s="1"/>
  <c r="M41" i="5" s="1"/>
  <c r="F42" i="5"/>
  <c r="G42" i="5" s="1"/>
  <c r="H42" i="5" s="1"/>
  <c r="I42" i="5" s="1"/>
  <c r="J42" i="5" s="1"/>
  <c r="K42" i="5" s="1"/>
  <c r="L42" i="5" s="1"/>
  <c r="M42" i="5" s="1"/>
  <c r="F33" i="5"/>
  <c r="H60" i="5"/>
  <c r="G60" i="5"/>
  <c r="F31" i="5"/>
  <c r="G31" i="5" s="1"/>
  <c r="H31" i="5" s="1"/>
  <c r="I31" i="5" s="1"/>
  <c r="J31" i="5" s="1"/>
  <c r="K31" i="5" s="1"/>
  <c r="L31" i="5" s="1"/>
  <c r="H55" i="5"/>
  <c r="G55" i="5"/>
  <c r="F55" i="5"/>
  <c r="F26" i="5"/>
  <c r="H23" i="5"/>
  <c r="F21" i="5"/>
  <c r="G21" i="5" s="1"/>
  <c r="H21" i="5" s="1"/>
  <c r="I21" i="5" s="1"/>
  <c r="J21" i="5" s="1"/>
  <c r="K21" i="5" s="1"/>
  <c r="L21" i="5" s="1"/>
  <c r="M21" i="5" s="1"/>
  <c r="Q11" i="5"/>
  <c r="L11" i="5"/>
  <c r="G11" i="5"/>
  <c r="K45" i="5" l="1"/>
  <c r="K47" i="5"/>
  <c r="J47" i="5"/>
  <c r="J45" i="5"/>
  <c r="I47" i="5"/>
  <c r="I45" i="5"/>
  <c r="F16" i="6"/>
  <c r="F44" i="5"/>
  <c r="J72" i="5"/>
  <c r="K72" i="5" s="1"/>
  <c r="L72" i="5" s="1"/>
  <c r="M72" i="5" s="1"/>
  <c r="M44" i="5"/>
  <c r="H49" i="5"/>
  <c r="H29" i="5"/>
  <c r="I29" i="5" s="1"/>
  <c r="E60" i="5"/>
  <c r="E61" i="5" s="1"/>
  <c r="F61" i="5"/>
  <c r="H33" i="5"/>
  <c r="G39" i="5"/>
  <c r="E49" i="5"/>
  <c r="E50" i="5" s="1"/>
  <c r="G66" i="5"/>
  <c r="G43" i="5"/>
  <c r="G64" i="5" s="1"/>
  <c r="E63" i="5"/>
  <c r="E64" i="5" s="1"/>
  <c r="H43" i="5"/>
  <c r="H67" i="5" s="1"/>
  <c r="F63" i="5"/>
  <c r="F64" i="5" s="1"/>
  <c r="G26" i="5"/>
  <c r="E66" i="5"/>
  <c r="E67" i="5" s="1"/>
  <c r="G23" i="5"/>
  <c r="F49" i="5"/>
  <c r="F50" i="5" s="1"/>
  <c r="G33" i="5"/>
  <c r="F23" i="5"/>
  <c r="G40" i="5"/>
  <c r="H64" i="5" l="1"/>
  <c r="I64" i="5"/>
  <c r="G67" i="5"/>
  <c r="I67" i="5" s="1"/>
  <c r="I26" i="5"/>
  <c r="J26" i="5" s="1"/>
  <c r="J29" i="5"/>
  <c r="K29" i="5" s="1"/>
  <c r="H56" i="5"/>
  <c r="H50" i="5"/>
  <c r="H44" i="5"/>
  <c r="H61" i="5"/>
  <c r="G44" i="5"/>
  <c r="G61" i="5"/>
  <c r="I44" i="5"/>
  <c r="G50" i="5"/>
  <c r="I25" i="5" l="1"/>
  <c r="I28" i="5" s="1"/>
  <c r="J64" i="5"/>
  <c r="K64" i="5" s="1"/>
  <c r="L64" i="5"/>
  <c r="M64" i="5" s="1"/>
  <c r="J67" i="5"/>
  <c r="K67" i="5" s="1"/>
  <c r="L67" i="5" s="1"/>
  <c r="M67" i="5" s="1"/>
  <c r="L29" i="5"/>
  <c r="M29" i="5" s="1"/>
  <c r="F18" i="6"/>
  <c r="J44" i="5"/>
  <c r="K44" i="5"/>
  <c r="J52" i="5"/>
  <c r="I56" i="5"/>
  <c r="K26" i="5"/>
  <c r="J25" i="5"/>
  <c r="I52" i="5"/>
  <c r="I43" i="5"/>
  <c r="Q64" i="5" s="1"/>
  <c r="J61" i="5"/>
  <c r="K61" i="5" s="1"/>
  <c r="L44" i="5"/>
  <c r="F22" i="6" l="1"/>
  <c r="O18" i="5" s="1"/>
  <c r="I66" i="5"/>
  <c r="I63" i="5"/>
  <c r="J28" i="5"/>
  <c r="K56" i="5"/>
  <c r="K25" i="5"/>
  <c r="K52" i="5"/>
  <c r="I60" i="5"/>
  <c r="J56" i="5"/>
  <c r="L26" i="5"/>
  <c r="M26" i="5" s="1"/>
  <c r="I53" i="5"/>
  <c r="I51" i="5"/>
  <c r="J43" i="5"/>
  <c r="J66" i="5" s="1"/>
  <c r="L61" i="5"/>
  <c r="M61" i="5" s="1"/>
  <c r="J18" i="5" l="1"/>
  <c r="T18" i="5"/>
  <c r="K28" i="5"/>
  <c r="L56" i="5"/>
  <c r="M56" i="5" s="1"/>
  <c r="L25" i="5"/>
  <c r="L52" i="5"/>
  <c r="M52" i="5"/>
  <c r="M25" i="5"/>
  <c r="I50" i="5"/>
  <c r="I49" i="5" s="1"/>
  <c r="E18" i="5"/>
  <c r="J63" i="5"/>
  <c r="J60" i="5"/>
  <c r="K43" i="5"/>
  <c r="L43" i="5" l="1"/>
  <c r="M43" i="5" s="1"/>
  <c r="M63" i="5" s="1"/>
  <c r="K66" i="5"/>
  <c r="I55" i="5"/>
  <c r="I58" i="5" s="1"/>
  <c r="I69" i="5" s="1"/>
  <c r="L28" i="5"/>
  <c r="M28" i="5"/>
  <c r="M51" i="5"/>
  <c r="J51" i="5" s="1"/>
  <c r="K51" i="5" s="1"/>
  <c r="L51" i="5" s="1"/>
  <c r="M53" i="5"/>
  <c r="J53" i="5" s="1"/>
  <c r="K63" i="5"/>
  <c r="K60" i="5"/>
  <c r="I70" i="5" l="1"/>
  <c r="M66" i="5"/>
  <c r="L66" i="5"/>
  <c r="L63" i="5"/>
  <c r="M60" i="5"/>
  <c r="L60" i="5"/>
  <c r="M50" i="5"/>
  <c r="M49" i="5" s="1"/>
  <c r="M55" i="5" s="1"/>
  <c r="M58" i="5" s="1"/>
  <c r="M69" i="5" l="1"/>
  <c r="M75" i="5" s="1"/>
  <c r="K53" i="5"/>
  <c r="J50" i="5"/>
  <c r="J49" i="5" s="1"/>
  <c r="J55" i="5" s="1"/>
  <c r="J58" i="5" s="1"/>
  <c r="J69" i="5" s="1"/>
  <c r="J70" i="5" s="1"/>
  <c r="M76" i="5" l="1"/>
  <c r="M70" i="5"/>
  <c r="L53" i="5"/>
  <c r="L50" i="5" s="1"/>
  <c r="L49" i="5" s="1"/>
  <c r="L55" i="5" s="1"/>
  <c r="L58" i="5" s="1"/>
  <c r="L69" i="5" s="1"/>
  <c r="L70" i="5" s="1"/>
  <c r="K50" i="5"/>
  <c r="K49" i="5" s="1"/>
  <c r="K55" i="5" s="1"/>
  <c r="K58" i="5" s="1"/>
  <c r="K69" i="5" s="1"/>
  <c r="K70" i="5" s="1"/>
  <c r="M78" i="5" l="1"/>
  <c r="M81" i="5" s="1"/>
  <c r="M84" i="5" s="1"/>
  <c r="H4" i="5" l="1"/>
  <c r="H6" i="5" s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<sst xmlns="http://schemas.openxmlformats.org/spreadsheetml/2006/main" count="123" uniqueCount="73">
  <si>
    <t>x</t>
  </si>
  <si>
    <t>EBIT</t>
  </si>
  <si>
    <t>Ticker</t>
  </si>
  <si>
    <t>Date</t>
  </si>
  <si>
    <t>Assumptions</t>
  </si>
  <si>
    <t>Switches</t>
  </si>
  <si>
    <t>Conservative</t>
  </si>
  <si>
    <t>Base</t>
  </si>
  <si>
    <t>Optimistic</t>
  </si>
  <si>
    <t>Year</t>
  </si>
  <si>
    <t>Metric</t>
  </si>
  <si>
    <t>Revenue</t>
  </si>
  <si>
    <t>WACC</t>
  </si>
  <si>
    <t>TGR</t>
  </si>
  <si>
    <t>Valuation</t>
  </si>
  <si>
    <t>Income Statement</t>
  </si>
  <si>
    <t>% growth</t>
  </si>
  <si>
    <t>% of sales</t>
  </si>
  <si>
    <t>Taxes</t>
  </si>
  <si>
    <t>Tax rate</t>
  </si>
  <si>
    <t>Cash Flow Items</t>
  </si>
  <si>
    <t>D&amp;A</t>
  </si>
  <si>
    <t>CapEx</t>
  </si>
  <si>
    <t>Change in NWC</t>
  </si>
  <si>
    <t>% of change in sales</t>
  </si>
  <si>
    <t>DCF</t>
  </si>
  <si>
    <t>Conservative Case</t>
  </si>
  <si>
    <t>Base Case</t>
  </si>
  <si>
    <t>Optimistic Case</t>
  </si>
  <si>
    <t>EBIAT</t>
  </si>
  <si>
    <t>Unlevered FCF</t>
  </si>
  <si>
    <t>PV of UFCF</t>
  </si>
  <si>
    <t>WACC = % of equity x cost of equity + % of debt x cost of debt x (1 - Tax Rate)</t>
  </si>
  <si>
    <t>Cost of equity = Risk free rate + Beta x Market Risk Premium</t>
  </si>
  <si>
    <t>Market Cap</t>
  </si>
  <si>
    <t>% of Equity</t>
  </si>
  <si>
    <t>Cost of Equity</t>
  </si>
  <si>
    <t>Risk Free Rate</t>
  </si>
  <si>
    <t>Beta</t>
  </si>
  <si>
    <t>Market Risk Premium</t>
  </si>
  <si>
    <t>Debt</t>
  </si>
  <si>
    <t>% of Debt</t>
  </si>
  <si>
    <t>Cost of Debt</t>
  </si>
  <si>
    <t>Tax Rate</t>
  </si>
  <si>
    <t>Total</t>
  </si>
  <si>
    <t>EOY</t>
  </si>
  <si>
    <t>Discount Period</t>
  </si>
  <si>
    <t>Period</t>
  </si>
  <si>
    <t>Terminal Value</t>
  </si>
  <si>
    <t>PV of Terminal Value</t>
  </si>
  <si>
    <t>Enterprise Value</t>
  </si>
  <si>
    <t>(+) Cash</t>
  </si>
  <si>
    <t>(-) Debt</t>
  </si>
  <si>
    <t>Equity Value</t>
  </si>
  <si>
    <t>Shares Outstanding</t>
  </si>
  <si>
    <t>Implied Share Price</t>
  </si>
  <si>
    <t>Current Share Price</t>
  </si>
  <si>
    <t>Implied Upside / (Downside)</t>
  </si>
  <si>
    <t>Tax rate (% of EBIT)</t>
  </si>
  <si>
    <t>QUARTERLY RESULTS</t>
  </si>
  <si>
    <t>Dec '23</t>
  </si>
  <si>
    <t>Sep '23</t>
  </si>
  <si>
    <t>Jun '23</t>
  </si>
  <si>
    <t>Mar '23</t>
  </si>
  <si>
    <t>Dec '22</t>
  </si>
  <si>
    <t>Interest Earned</t>
  </si>
  <si>
    <t>(a) Int. /Disc. on Adv/Bills</t>
  </si>
  <si>
    <t>(b) Income on Investment</t>
  </si>
  <si>
    <t>(c) Int. on balances With RBI</t>
  </si>
  <si>
    <t>(d) Others</t>
  </si>
  <si>
    <t>Other Income</t>
  </si>
  <si>
    <t>HDFCBANK</t>
  </si>
  <si>
    <t>March 23 (not out)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</si>
</sst>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1" formatCode="_(* #,##0_);_(* \(#,##0\);_(* &quot;-&quot;_);_(@_)"/>
    <numFmt numFmtId="164" formatCode="0.0%;\(0.0%\)"/>
    <numFmt numFmtId="165" formatCode="0.0%"/>
    <numFmt numFmtId="166" formatCode="0\A"/>
    <numFmt numFmtId="167" formatCode="0\E"/>
    <numFmt numFmtId="168" formatCode="0%;\(0%\)"/>
    <numFmt numFmtId="169" formatCode="&quot;$&quot;#,##0.00"/>
    <numFmt numFmtId="170" formatCode="0.0000000000000000000000000000000000E+00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i/>
      <sz val="11"/>
      <color theme="9" tint="-0.249977111117893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name val="Calibri"/>
      <family val="2"/>
      <scheme val="minor"/>
    </font>
    <font>
      <i/>
      <sz val="11"/>
      <color rgb="FF7030A0"/>
      <name val="Calibri"/>
      <family val="2"/>
      <scheme val="minor"/>
    </font>
    <font>
      <i/>
      <sz val="11"/>
      <color rgb="FFC00000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color rgb="FF000000"/>
      <name val="Arial"/>
      <family val="2"/>
    </font>
    <font>
      <sz val="11"/>
      <color theme="9"/>
      <name val="Calibri"/>
      <family val="2"/>
      <scheme val="minor"/>
    </font>
    <font>
      <sz val="11"/>
      <color rgb="FFC00000"/>
      <name val="Calibri"/>
      <family val="2"/>
      <scheme val="minor"/>
    </font>
    <font>
      <sz val="28"/>
      <color theme="1"/>
      <name val="Calibri"/>
      <family val="2"/>
      <scheme val="minor"/>
    </font>
    <font>
      <sz val="11"/>
      <color rgb="FF333333"/>
      <name val="Arial"/>
      <family val="2"/>
    </font>
    <font>
      <b/>
      <sz val="9"/>
      <color theme="1"/>
      <name val="Arial"/>
      <family val="2"/>
    </font>
    <font>
      <sz val="11"/>
      <color theme="1"/>
      <name val="Arial"/>
      <family val="2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333333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D8D8D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rgb="FFE0E0E0"/>
      </bottom>
      <diagonal/>
    </border>
    <border>
      <left/>
      <right/>
      <top/>
      <bottom style="medium">
        <color rgb="FFE0E0E0"/>
      </bottom>
      <diagonal/>
    </border>
    <border>
      <left/>
      <right style="thin">
        <color indexed="64"/>
      </right>
      <top style="medium">
        <color rgb="FFE0E0E0"/>
      </top>
      <bottom style="medium">
        <color rgb="FFE0E0E0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rgb="FFE0E0E0"/>
      </top>
      <bottom/>
      <diagonal/>
    </border>
    <border>
      <left style="medium">
        <color rgb="FFEEEEEE"/>
      </left>
      <right style="medium">
        <color rgb="FFEEEEEE"/>
      </right>
      <top/>
      <bottom/>
      <diagonal/>
    </border>
    <border>
      <left style="medium">
        <color rgb="FFEEEEEE"/>
      </left>
      <right style="thin">
        <color indexed="64"/>
      </right>
      <top/>
      <bottom/>
      <diagonal/>
    </border>
    <border>
      <left/>
      <right style="medium">
        <color rgb="FFEEEEEE"/>
      </right>
      <top/>
      <bottom/>
      <diagonal/>
    </border>
    <border>
      <left/>
      <right/>
      <top/>
      <bottom style="medium">
        <color rgb="FFEEEEEE"/>
      </bottom>
      <diagonal/>
    </border>
    <border>
      <left style="medium">
        <color rgb="FFEEEEEE"/>
      </left>
      <right/>
      <top style="medium">
        <color rgb="FFEEEEEE"/>
      </top>
      <bottom/>
      <diagonal/>
    </border>
    <border>
      <left/>
      <right/>
      <top style="medium">
        <color rgb="FFEEEEEE"/>
      </top>
      <bottom/>
      <diagonal/>
    </border>
    <border>
      <left/>
      <right style="medium">
        <color rgb="FFEEEEEE"/>
      </right>
      <top style="medium">
        <color rgb="FFEEEEEE"/>
      </top>
      <bottom/>
      <diagonal/>
    </border>
    <border>
      <left style="medium">
        <color rgb="FFEEEEEE"/>
      </left>
      <right style="thin">
        <color indexed="64"/>
      </right>
      <top style="medium">
        <color rgb="FFEEEEEE"/>
      </top>
      <bottom/>
      <diagonal/>
    </border>
    <border>
      <left style="thin">
        <color indexed="64"/>
      </left>
      <right/>
      <top style="medium">
        <color rgb="FFEEEEEE"/>
      </top>
      <bottom style="medium">
        <color rgb="FFD1D1D1"/>
      </bottom>
      <diagonal/>
    </border>
    <border>
      <left/>
      <right/>
      <top style="medium">
        <color rgb="FFD1D1D1"/>
      </top>
      <bottom style="medium">
        <color rgb="FFE0E0E0"/>
      </bottom>
      <diagonal/>
    </border>
    <border>
      <left/>
      <right style="thin">
        <color indexed="64"/>
      </right>
      <top style="medium">
        <color rgb="FFD1D1D1"/>
      </top>
      <bottom style="medium">
        <color rgb="FFE0E0E0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" fillId="0" borderId="0"/>
  </cellStyleXfs>
  <cellXfs count="120">
    <xf numFmtId="0" fontId="0" fillId="0" borderId="0" xfId="0"/>
    <xf numFmtId="0" fontId="5" fillId="0" borderId="1" xfId="0" applyFont="1" applyBorder="1"/>
    <xf numFmtId="0" fontId="6" fillId="0" borderId="0" xfId="0" applyFont="1"/>
    <xf numFmtId="0" fontId="0" fillId="0" borderId="1" xfId="0" applyBorder="1"/>
    <xf numFmtId="0" fontId="0" fillId="0" borderId="0" xfId="0" applyAlignment="1">
      <alignment horizontal="center"/>
    </xf>
    <xf numFmtId="0" fontId="7" fillId="0" borderId="0" xfId="0" applyFont="1"/>
    <xf numFmtId="0" fontId="6" fillId="0" borderId="0" xfId="0" applyFont="1" applyAlignment="1">
      <alignment horizontal="center"/>
    </xf>
    <xf numFmtId="0" fontId="8" fillId="0" borderId="0" xfId="0" applyFont="1"/>
    <xf numFmtId="3" fontId="0" fillId="0" borderId="0" xfId="0" applyNumberFormat="1"/>
    <xf numFmtId="9" fontId="8" fillId="0" borderId="0" xfId="1" applyFont="1"/>
    <xf numFmtId="37" fontId="0" fillId="0" borderId="0" xfId="0" applyNumberFormat="1"/>
    <xf numFmtId="168" fontId="0" fillId="0" borderId="0" xfId="0" quotePrefix="1" applyNumberFormat="1" applyAlignment="1">
      <alignment horizontal="right"/>
    </xf>
    <xf numFmtId="168" fontId="8" fillId="0" borderId="0" xfId="1" applyNumberFormat="1" applyFont="1"/>
    <xf numFmtId="168" fontId="8" fillId="0" borderId="0" xfId="0" quotePrefix="1" applyNumberFormat="1" applyFont="1" applyAlignment="1">
      <alignment horizontal="right"/>
    </xf>
    <xf numFmtId="37" fontId="9" fillId="0" borderId="0" xfId="0" applyNumberFormat="1" applyFont="1"/>
    <xf numFmtId="168" fontId="10" fillId="0" borderId="0" xfId="0" quotePrefix="1" applyNumberFormat="1" applyFont="1" applyAlignment="1">
      <alignment horizontal="right"/>
    </xf>
    <xf numFmtId="37" fontId="11" fillId="0" borderId="0" xfId="0" applyNumberFormat="1" applyFont="1"/>
    <xf numFmtId="37" fontId="12" fillId="0" borderId="0" xfId="0" applyNumberFormat="1" applyFont="1"/>
    <xf numFmtId="168" fontId="13" fillId="0" borderId="0" xfId="0" quotePrefix="1" applyNumberFormat="1" applyFont="1" applyAlignment="1">
      <alignment horizontal="right"/>
    </xf>
    <xf numFmtId="168" fontId="14" fillId="0" borderId="0" xfId="0" quotePrefix="1" applyNumberFormat="1" applyFont="1" applyAlignment="1">
      <alignment horizontal="right"/>
    </xf>
    <xf numFmtId="0" fontId="0" fillId="0" borderId="3" xfId="0" applyBorder="1"/>
    <xf numFmtId="0" fontId="0" fillId="0" borderId="4" xfId="0" applyBorder="1"/>
    <xf numFmtId="37" fontId="0" fillId="0" borderId="4" xfId="0" applyNumberFormat="1" applyBorder="1"/>
    <xf numFmtId="37" fontId="0" fillId="0" borderId="5" xfId="0" applyNumberFormat="1" applyBorder="1"/>
    <xf numFmtId="168" fontId="15" fillId="0" borderId="0" xfId="0" quotePrefix="1" applyNumberFormat="1" applyFont="1" applyAlignment="1">
      <alignment horizontal="right"/>
    </xf>
    <xf numFmtId="0" fontId="2" fillId="3" borderId="0" xfId="0" applyFont="1" applyFill="1"/>
    <xf numFmtId="0" fontId="0" fillId="3" borderId="0" xfId="0" applyFill="1"/>
    <xf numFmtId="10" fontId="0" fillId="0" borderId="0" xfId="0" applyNumberFormat="1" applyAlignment="1">
      <alignment horizontal="right"/>
    </xf>
    <xf numFmtId="10" fontId="0" fillId="2" borderId="2" xfId="0" applyNumberFormat="1" applyFill="1" applyBorder="1" applyAlignment="1">
      <alignment horizontal="right"/>
    </xf>
    <xf numFmtId="0" fontId="0" fillId="2" borderId="2" xfId="0" applyFill="1" applyBorder="1" applyAlignment="1">
      <alignment horizontal="right"/>
    </xf>
    <xf numFmtId="3" fontId="0" fillId="2" borderId="2" xfId="0" applyNumberFormat="1" applyFill="1" applyBorder="1" applyAlignment="1">
      <alignment horizontal="right"/>
    </xf>
    <xf numFmtId="2" fontId="0" fillId="0" borderId="0" xfId="0" applyNumberFormat="1"/>
    <xf numFmtId="0" fontId="0" fillId="0" borderId="6" xfId="0" applyBorder="1"/>
    <xf numFmtId="0" fontId="0" fillId="0" borderId="7" xfId="0" applyBorder="1"/>
    <xf numFmtId="37" fontId="0" fillId="0" borderId="7" xfId="0" applyNumberFormat="1" applyBorder="1"/>
    <xf numFmtId="37" fontId="0" fillId="0" borderId="8" xfId="0" applyNumberFormat="1" applyBorder="1"/>
    <xf numFmtId="0" fontId="0" fillId="0" borderId="9" xfId="0" applyBorder="1"/>
    <xf numFmtId="37" fontId="0" fillId="0" borderId="1" xfId="0" applyNumberFormat="1" applyBorder="1"/>
    <xf numFmtId="37" fontId="0" fillId="0" borderId="10" xfId="0" applyNumberFormat="1" applyBorder="1"/>
    <xf numFmtId="169" fontId="0" fillId="0" borderId="0" xfId="0" applyNumberFormat="1"/>
    <xf numFmtId="37" fontId="0" fillId="0" borderId="0" xfId="0" applyNumberFormat="1" applyAlignment="1">
      <alignment horizontal="center"/>
    </xf>
    <xf numFmtId="0" fontId="12" fillId="0" borderId="0" xfId="0" applyFont="1"/>
    <xf numFmtId="1" fontId="0" fillId="0" borderId="0" xfId="1" applyNumberFormat="1" applyFont="1"/>
    <xf numFmtId="168" fontId="10" fillId="0" borderId="0" xfId="1" applyNumberFormat="1" applyFont="1"/>
    <xf numFmtId="1" fontId="12" fillId="0" borderId="0" xfId="0" applyNumberFormat="1" applyFont="1"/>
    <xf numFmtId="3" fontId="12" fillId="0" borderId="0" xfId="0" applyNumberFormat="1" applyFont="1"/>
    <xf numFmtId="168" fontId="15" fillId="0" borderId="0" xfId="1" applyNumberFormat="1" applyFont="1"/>
    <xf numFmtId="165" fontId="12" fillId="0" borderId="0" xfId="1" applyNumberFormat="1" applyFont="1"/>
    <xf numFmtId="9" fontId="12" fillId="0" borderId="0" xfId="1" applyFont="1"/>
    <xf numFmtId="41" fontId="12" fillId="0" borderId="0" xfId="0" applyNumberFormat="1" applyFont="1"/>
    <xf numFmtId="170" fontId="0" fillId="0" borderId="0" xfId="0" applyNumberFormat="1"/>
    <xf numFmtId="3" fontId="17" fillId="0" borderId="0" xfId="0" applyNumberFormat="1" applyFont="1"/>
    <xf numFmtId="168" fontId="8" fillId="4" borderId="11" xfId="0" applyNumberFormat="1" applyFont="1" applyFill="1" applyBorder="1" applyAlignment="1">
      <alignment horizontal="right"/>
    </xf>
    <xf numFmtId="3" fontId="0" fillId="0" borderId="0" xfId="0" applyNumberFormat="1" applyAlignment="1">
      <alignment horizontal="left" indent="2"/>
    </xf>
    <xf numFmtId="0" fontId="0" fillId="4" borderId="11" xfId="0" applyFill="1" applyBorder="1" applyAlignment="1">
      <alignment horizontal="center"/>
    </xf>
    <xf numFmtId="165" fontId="0" fillId="4" borderId="11" xfId="1" applyNumberFormat="1" applyFont="1" applyFill="1" applyBorder="1" applyAlignment="1">
      <alignment horizontal="center"/>
    </xf>
    <xf numFmtId="164" fontId="0" fillId="4" borderId="1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37" fontId="19" fillId="0" borderId="0" xfId="0" applyNumberFormat="1" applyFont="1"/>
    <xf numFmtId="0" fontId="20" fillId="0" borderId="0" xfId="0" applyFont="1"/>
    <xf numFmtId="0" fontId="21" fillId="5" borderId="13" xfId="0" applyFont="1" applyFill="1" applyBorder="1" applyAlignment="1">
      <alignment horizontal="left" vertical="top" wrapText="1"/>
    </xf>
    <xf numFmtId="0" fontId="21" fillId="5" borderId="14" xfId="0" applyFont="1" applyFill="1" applyBorder="1" applyAlignment="1">
      <alignment horizontal="right" vertical="top" wrapText="1"/>
    </xf>
    <xf numFmtId="0" fontId="21" fillId="5" borderId="15" xfId="0" applyFont="1" applyFill="1" applyBorder="1" applyAlignment="1">
      <alignment horizontal="left" vertical="top" wrapText="1"/>
    </xf>
    <xf numFmtId="4" fontId="21" fillId="5" borderId="14" xfId="0" applyNumberFormat="1" applyFont="1" applyFill="1" applyBorder="1" applyAlignment="1">
      <alignment horizontal="right" vertical="top" wrapText="1"/>
    </xf>
    <xf numFmtId="0" fontId="0" fillId="5" borderId="0" xfId="0" applyFill="1"/>
    <xf numFmtId="0" fontId="0" fillId="0" borderId="16" xfId="0" applyBorder="1"/>
    <xf numFmtId="0" fontId="0" fillId="0" borderId="17" xfId="0" applyBorder="1"/>
    <xf numFmtId="0" fontId="22" fillId="0" borderId="18" xfId="0" applyFont="1" applyBorder="1" applyAlignment="1">
      <alignment horizontal="right" vertical="center" wrapText="1"/>
    </xf>
    <xf numFmtId="0" fontId="22" fillId="0" borderId="19" xfId="0" applyFont="1" applyBorder="1" applyAlignment="1">
      <alignment horizontal="right" vertical="center" wrapText="1"/>
    </xf>
    <xf numFmtId="0" fontId="22" fillId="0" borderId="20" xfId="0" applyFont="1" applyBorder="1" applyAlignment="1">
      <alignment horizontal="right" vertical="center" wrapText="1"/>
    </xf>
    <xf numFmtId="16" fontId="22" fillId="0" borderId="18" xfId="0" applyNumberFormat="1" applyFont="1" applyBorder="1" applyAlignment="1">
      <alignment horizontal="right" vertical="center" wrapText="1"/>
    </xf>
    <xf numFmtId="16" fontId="22" fillId="0" borderId="19" xfId="0" applyNumberFormat="1" applyFont="1" applyBorder="1" applyAlignment="1">
      <alignment horizontal="right" vertical="center" wrapText="1"/>
    </xf>
    <xf numFmtId="16" fontId="0" fillId="0" borderId="0" xfId="0" applyNumberFormat="1"/>
    <xf numFmtId="16" fontId="0" fillId="0" borderId="16" xfId="0" applyNumberFormat="1" applyBorder="1"/>
    <xf numFmtId="0" fontId="24" fillId="0" borderId="18" xfId="0" applyFont="1" applyBorder="1" applyAlignment="1">
      <alignment horizontal="right" vertical="center" wrapText="1"/>
    </xf>
    <xf numFmtId="0" fontId="24" fillId="0" borderId="25" xfId="0" applyFont="1" applyBorder="1" applyAlignment="1">
      <alignment horizontal="right" vertical="center" wrapText="1"/>
    </xf>
    <xf numFmtId="0" fontId="24" fillId="0" borderId="20" xfId="0" applyFont="1" applyBorder="1" applyAlignment="1">
      <alignment horizontal="right" vertical="center" wrapText="1"/>
    </xf>
    <xf numFmtId="0" fontId="25" fillId="0" borderId="0" xfId="0" applyFont="1"/>
    <xf numFmtId="0" fontId="25" fillId="0" borderId="26" xfId="0" applyFont="1" applyBorder="1"/>
    <xf numFmtId="0" fontId="25" fillId="0" borderId="18" xfId="0" applyFont="1" applyBorder="1" applyAlignment="1">
      <alignment vertical="center" wrapText="1"/>
    </xf>
    <xf numFmtId="4" fontId="25" fillId="0" borderId="18" xfId="0" applyNumberFormat="1" applyFont="1" applyBorder="1" applyAlignment="1">
      <alignment horizontal="right" vertical="center" wrapText="1"/>
    </xf>
    <xf numFmtId="4" fontId="25" fillId="0" borderId="19" xfId="0" applyNumberFormat="1" applyFont="1" applyBorder="1" applyAlignment="1">
      <alignment horizontal="right" vertical="center" wrapText="1"/>
    </xf>
    <xf numFmtId="4" fontId="25" fillId="0" borderId="20" xfId="0" applyNumberFormat="1" applyFont="1" applyBorder="1" applyAlignment="1">
      <alignment horizontal="right" vertical="center" wrapText="1"/>
    </xf>
    <xf numFmtId="4" fontId="26" fillId="0" borderId="27" xfId="0" applyNumberFormat="1" applyFont="1" applyBorder="1" applyAlignment="1">
      <alignment horizontal="right" vertical="center" wrapText="1"/>
    </xf>
    <xf numFmtId="4" fontId="26" fillId="0" borderId="28" xfId="0" applyNumberFormat="1" applyFont="1" applyBorder="1" applyAlignment="1">
      <alignment horizontal="right" vertical="center" wrapText="1"/>
    </xf>
    <xf numFmtId="4" fontId="26" fillId="5" borderId="13" xfId="0" applyNumberFormat="1" applyFont="1" applyFill="1" applyBorder="1" applyAlignment="1">
      <alignment horizontal="right" vertical="center" wrapText="1"/>
    </xf>
    <xf numFmtId="4" fontId="26" fillId="5" borderId="14" xfId="0" applyNumberFormat="1" applyFont="1" applyFill="1" applyBorder="1" applyAlignment="1">
      <alignment horizontal="right" vertical="center" wrapText="1"/>
    </xf>
    <xf numFmtId="4" fontId="26" fillId="0" borderId="14" xfId="0" applyNumberFormat="1" applyFont="1" applyBorder="1" applyAlignment="1">
      <alignment horizontal="right" vertical="center" wrapText="1"/>
    </xf>
    <xf numFmtId="4" fontId="26" fillId="0" borderId="15" xfId="0" applyNumberFormat="1" applyFont="1" applyBorder="1" applyAlignment="1">
      <alignment horizontal="right" vertical="center" wrapText="1"/>
    </xf>
    <xf numFmtId="0" fontId="25" fillId="0" borderId="18" xfId="0" applyFont="1" applyBorder="1" applyAlignment="1">
      <alignment horizontal="right" vertical="center" wrapText="1"/>
    </xf>
    <xf numFmtId="0" fontId="25" fillId="0" borderId="19" xfId="0" applyFont="1" applyBorder="1" applyAlignment="1">
      <alignment horizontal="right" vertical="center" wrapText="1"/>
    </xf>
    <xf numFmtId="0" fontId="25" fillId="0" borderId="20" xfId="0" applyFont="1" applyBorder="1" applyAlignment="1">
      <alignment horizontal="right" vertical="center" wrapText="1"/>
    </xf>
    <xf numFmtId="0" fontId="26" fillId="0" borderId="14" xfId="0" applyFont="1" applyBorder="1" applyAlignment="1">
      <alignment horizontal="right" vertical="center" wrapText="1"/>
    </xf>
    <xf numFmtId="0" fontId="26" fillId="0" borderId="13" xfId="0" applyFont="1" applyBorder="1" applyAlignment="1">
      <alignment horizontal="right" vertical="center" wrapText="1"/>
    </xf>
    <xf numFmtId="0" fontId="26" fillId="5" borderId="13" xfId="0" applyFont="1" applyFill="1" applyBorder="1" applyAlignment="1">
      <alignment horizontal="right" vertical="center" wrapText="1"/>
    </xf>
    <xf numFmtId="0" fontId="26" fillId="5" borderId="14" xfId="0" applyFont="1" applyFill="1" applyBorder="1" applyAlignment="1">
      <alignment horizontal="right" vertical="center" wrapText="1"/>
    </xf>
    <xf numFmtId="4" fontId="26" fillId="0" borderId="13" xfId="0" applyNumberFormat="1" applyFont="1" applyBorder="1" applyAlignment="1">
      <alignment horizontal="right" vertical="center" wrapText="1"/>
    </xf>
    <xf numFmtId="1" fontId="0" fillId="0" borderId="0" xfId="0" applyNumberFormat="1"/>
    <xf numFmtId="4" fontId="0" fillId="0" borderId="0" xfId="0" applyNumberFormat="1"/>
    <xf numFmtId="4" fontId="0" fillId="0" borderId="16" xfId="0" applyNumberFormat="1" applyBorder="1"/>
    <xf numFmtId="9" fontId="0" fillId="0" borderId="0" xfId="0" applyNumberFormat="1"/>
    <xf numFmtId="9" fontId="0" fillId="0" borderId="0" xfId="1" applyFont="1" applyFill="1"/>
    <xf numFmtId="9" fontId="0" fillId="6" borderId="0" xfId="1" applyFont="1" applyFill="1"/>
    <xf numFmtId="37" fontId="18" fillId="0" borderId="0" xfId="0" applyNumberFormat="1" applyFont="1"/>
    <xf numFmtId="1" fontId="19" fillId="0" borderId="0" xfId="0" applyNumberFormat="1" applyFont="1"/>
    <xf numFmtId="3" fontId="9" fillId="0" borderId="0" xfId="0" applyNumberFormat="1" applyFont="1"/>
    <xf numFmtId="0" fontId="12" fillId="7" borderId="11" xfId="0" applyFont="1" applyFill="1" applyBorder="1" applyAlignment="1">
      <alignment horizontal="center"/>
    </xf>
    <xf numFmtId="14" fontId="12" fillId="7" borderId="11" xfId="0" applyNumberFormat="1" applyFont="1" applyFill="1" applyBorder="1" applyAlignment="1">
      <alignment horizontal="center"/>
    </xf>
    <xf numFmtId="14" fontId="12" fillId="7" borderId="12" xfId="0" applyNumberFormat="1" applyFont="1" applyFill="1" applyBorder="1" applyAlignment="1">
      <alignment horizontal="center"/>
    </xf>
    <xf numFmtId="0" fontId="16" fillId="7" borderId="0" xfId="0" applyFont="1" applyFill="1"/>
    <xf numFmtId="0" fontId="3" fillId="7" borderId="0" xfId="0" applyFont="1" applyFill="1"/>
    <xf numFmtId="0" fontId="12" fillId="7" borderId="0" xfId="0" applyFont="1" applyFill="1"/>
    <xf numFmtId="166" fontId="16" fillId="7" borderId="0" xfId="0" applyNumberFormat="1" applyFont="1" applyFill="1"/>
    <xf numFmtId="167" fontId="16" fillId="7" borderId="0" xfId="0" applyNumberFormat="1" applyFont="1" applyFill="1"/>
    <xf numFmtId="0" fontId="12" fillId="7" borderId="0" xfId="0" applyFont="1" applyFill="1" applyAlignment="1">
      <alignment horizontal="center"/>
    </xf>
    <xf numFmtId="0" fontId="23" fillId="0" borderId="21" xfId="0" applyFont="1" applyBorder="1" applyAlignment="1">
      <alignment vertical="center" wrapText="1"/>
    </xf>
    <xf numFmtId="0" fontId="24" fillId="0" borderId="22" xfId="0" applyFont="1" applyBorder="1" applyAlignment="1">
      <alignment vertical="center" wrapText="1"/>
    </xf>
    <xf numFmtId="0" fontId="24" fillId="0" borderId="23" xfId="0" applyFont="1" applyBorder="1" applyAlignment="1">
      <alignment vertical="center" wrapText="1"/>
    </xf>
    <xf numFmtId="0" fontId="24" fillId="0" borderId="24" xfId="0" applyFont="1" applyBorder="1" applyAlignment="1">
      <alignment vertical="center" wrapText="1"/>
    </xf>
  </cellXfs>
  <cellStyles count="3">
    <cellStyle name="Normal" xfId="0" builtinId="0"/>
    <cellStyle name="Normal 2" xfId="2" xr:uid="{C3909DD8-760C-4986-8D07-474882338B2A}"/>
    <cellStyle name="Percent" xfId="1" builtinId="5"/>
  </cellStyles>
  <dxfs count="0"/>
  <tableStyles count="0" defaultTableStyle="TableStyleMedium2" defaultPivotStyle="PivotStyleLight16"/>
  <colors>
    <mruColors>
      <color rgb="FFDD8D8D"/>
      <color rgb="FF86A12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22/10/relationships/richValueRel" Target="richData/richValueRel.xml"/><Relationship Id="rId3" Type="http://schemas.openxmlformats.org/officeDocument/2006/relationships/worksheet" Target="worksheets/sheet3.xml"/><Relationship Id="rId7" Type="http://schemas.openxmlformats.org/officeDocument/2006/relationships/sheetMetadata" Target="metadata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microsoft.com/office/2017/06/relationships/rdRichValueTypes" Target="richData/rdRichValueTypes.xml"/><Relationship Id="rId5" Type="http://schemas.openxmlformats.org/officeDocument/2006/relationships/styles" Target="styles.xml"/><Relationship Id="rId10" Type="http://schemas.microsoft.com/office/2017/06/relationships/rdRichValueStructure" Target="richData/rdrichvaluestructure.xml"/><Relationship Id="rId4" Type="http://schemas.openxmlformats.org/officeDocument/2006/relationships/theme" Target="theme/theme1.xml"/><Relationship Id="rId9" Type="http://schemas.microsoft.com/office/2017/06/relationships/rdRichValue" Target="richData/rdrichvalue.xml"/></Relationships>
</file>

<file path=xl/richData/_rels/richValueRel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0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</richValueRel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FBA40-9FDC-4427-8EAB-D63BD5204D73}">
  <dimension ref="A2:U84"/>
  <sheetViews>
    <sheetView showGridLines="0" tabSelected="1" zoomScaleNormal="100" workbookViewId="0">
      <selection activeCell="M78" sqref="M78"/>
    </sheetView>
  </sheetViews>
  <sheetFormatPr defaultColWidth="8.7109375" defaultRowHeight="15" x14ac:dyDescent="0.25"/>
  <cols>
    <col min="1" max="1" width="3.7109375" customWidth="1"/>
    <col min="3" max="3" width="13.42578125" customWidth="1"/>
    <col min="5" max="5" width="9.140625" customWidth="1"/>
    <col min="7" max="7" width="9.5703125" customWidth="1"/>
    <col min="8" max="8" width="9.85546875" bestFit="1" customWidth="1"/>
    <col min="9" max="9" width="10.85546875" customWidth="1"/>
    <col min="10" max="12" width="10" customWidth="1"/>
    <col min="13" max="13" width="10.85546875" bestFit="1" customWidth="1"/>
  </cols>
  <sheetData>
    <row r="2" spans="1:21" s="3" customFormat="1" ht="21" x14ac:dyDescent="0.35">
      <c r="B2" s="1" t="s">
        <v>71</v>
      </c>
    </row>
    <row r="4" spans="1:21" x14ac:dyDescent="0.25">
      <c r="B4" t="s">
        <v>2</v>
      </c>
      <c r="C4" s="107" t="s">
        <v>71</v>
      </c>
      <c r="E4" t="s">
        <v>55</v>
      </c>
      <c r="H4" s="39">
        <f ca="1">M84</f>
        <v>3073.7361925229375</v>
      </c>
    </row>
    <row r="5" spans="1:21" x14ac:dyDescent="0.25">
      <c r="B5" t="s">
        <v>3</v>
      </c>
      <c r="C5" s="108">
        <v>45367</v>
      </c>
      <c r="E5" t="s">
        <v>56</v>
      </c>
      <c r="H5" s="39">
        <f>1445</f>
        <v>1445</v>
      </c>
    </row>
    <row r="6" spans="1:21" x14ac:dyDescent="0.25">
      <c r="B6" t="s">
        <v>45</v>
      </c>
      <c r="C6" s="109">
        <v>45657</v>
      </c>
      <c r="E6" t="s">
        <v>57</v>
      </c>
      <c r="H6" s="12">
        <f ca="1">H4/H5-1</f>
        <v>1.1271530744103373</v>
      </c>
    </row>
    <row r="8" spans="1:21" x14ac:dyDescent="0.25">
      <c r="A8" s="4" t="s">
        <v>0</v>
      </c>
      <c r="B8" s="110" t="s">
        <v>4</v>
      </c>
      <c r="C8" s="111"/>
      <c r="D8" s="111"/>
      <c r="E8" s="111"/>
      <c r="F8" s="111"/>
      <c r="G8" s="111"/>
      <c r="H8" s="111"/>
      <c r="I8" s="111"/>
      <c r="J8" s="111"/>
      <c r="K8" s="111"/>
      <c r="L8" s="111"/>
      <c r="M8" s="111"/>
      <c r="N8" s="111"/>
      <c r="O8" s="111"/>
      <c r="P8" s="111"/>
      <c r="Q8" s="111"/>
      <c r="R8" s="111"/>
      <c r="S8" s="111"/>
      <c r="T8" s="111"/>
    </row>
    <row r="9" spans="1:21" ht="5.0999999999999996" customHeight="1" x14ac:dyDescent="0.25">
      <c r="A9" s="4"/>
    </row>
    <row r="10" spans="1:21" ht="12.95" customHeight="1" x14ac:dyDescent="0.25">
      <c r="A10" s="4"/>
      <c r="B10" s="111" t="s">
        <v>5</v>
      </c>
      <c r="C10" s="112"/>
      <c r="D10" s="112"/>
      <c r="E10" s="112"/>
      <c r="F10" s="41"/>
      <c r="G10" s="110" t="s">
        <v>6</v>
      </c>
      <c r="H10" s="112"/>
      <c r="I10" s="112"/>
      <c r="J10" s="112"/>
      <c r="K10" s="41"/>
      <c r="L10" s="110" t="s">
        <v>7</v>
      </c>
      <c r="M10" s="112"/>
      <c r="N10" s="112"/>
      <c r="O10" s="112"/>
      <c r="P10" s="41"/>
      <c r="Q10" s="110" t="s">
        <v>8</v>
      </c>
      <c r="R10" s="112"/>
      <c r="S10" s="112"/>
      <c r="T10" s="112"/>
    </row>
    <row r="11" spans="1:21" ht="12.95" customHeight="1" x14ac:dyDescent="0.25">
      <c r="A11" s="4"/>
      <c r="B11" s="2" t="s">
        <v>4</v>
      </c>
      <c r="G11" s="2" t="str">
        <f>$B11</f>
        <v>Assumptions</v>
      </c>
      <c r="H11" s="5"/>
      <c r="I11" s="6" t="s">
        <v>9</v>
      </c>
      <c r="J11" s="6" t="s">
        <v>10</v>
      </c>
      <c r="L11" s="2" t="str">
        <f>$B11</f>
        <v>Assumptions</v>
      </c>
      <c r="M11" s="5"/>
      <c r="N11" s="6" t="s">
        <v>9</v>
      </c>
      <c r="O11" s="6" t="s">
        <v>10</v>
      </c>
      <c r="Q11" s="2" t="str">
        <f>$B11</f>
        <v>Assumptions</v>
      </c>
      <c r="R11" s="5"/>
      <c r="S11" s="6" t="s">
        <v>9</v>
      </c>
      <c r="T11" s="6" t="s">
        <v>10</v>
      </c>
    </row>
    <row r="12" spans="1:21" ht="12.95" customHeight="1" x14ac:dyDescent="0.25">
      <c r="A12" s="4"/>
      <c r="B12" t="s">
        <v>11</v>
      </c>
      <c r="E12" s="54">
        <v>2</v>
      </c>
      <c r="F12" s="4"/>
      <c r="G12" t="s">
        <v>11</v>
      </c>
      <c r="I12" s="4">
        <v>2024</v>
      </c>
      <c r="J12" s="56">
        <v>0.9</v>
      </c>
      <c r="O12" s="57"/>
      <c r="Q12" t="s">
        <v>11</v>
      </c>
      <c r="S12" s="4">
        <v>2024</v>
      </c>
      <c r="T12" s="56">
        <v>1.1000000000000001</v>
      </c>
    </row>
    <row r="13" spans="1:21" ht="12.95" customHeight="1" x14ac:dyDescent="0.25">
      <c r="A13" s="4"/>
      <c r="B13" t="s">
        <v>1</v>
      </c>
      <c r="E13" s="54">
        <v>2</v>
      </c>
      <c r="F13" s="4"/>
      <c r="G13" t="s">
        <v>11</v>
      </c>
      <c r="I13" s="4">
        <v>2028</v>
      </c>
      <c r="J13" s="56">
        <v>0.8</v>
      </c>
      <c r="L13" t="s">
        <v>11</v>
      </c>
      <c r="N13" s="4">
        <v>2028</v>
      </c>
      <c r="O13" s="56">
        <v>0.06</v>
      </c>
      <c r="Q13" t="s">
        <v>11</v>
      </c>
      <c r="S13" s="4">
        <v>2028</v>
      </c>
      <c r="T13" s="56">
        <v>1.2</v>
      </c>
    </row>
    <row r="14" spans="1:21" ht="12.95" customHeight="1" x14ac:dyDescent="0.25">
      <c r="A14" s="4"/>
      <c r="B14" t="s">
        <v>12</v>
      </c>
      <c r="E14" s="54">
        <v>2</v>
      </c>
      <c r="F14" s="4"/>
      <c r="G14" t="s">
        <v>1</v>
      </c>
      <c r="I14" s="4">
        <v>2024</v>
      </c>
      <c r="J14" s="56">
        <v>0.95</v>
      </c>
      <c r="O14" s="33"/>
      <c r="Q14" t="s">
        <v>1</v>
      </c>
      <c r="S14" s="4">
        <v>2024</v>
      </c>
      <c r="T14" s="56">
        <v>1.05</v>
      </c>
    </row>
    <row r="15" spans="1:21" ht="12.95" customHeight="1" x14ac:dyDescent="0.25">
      <c r="A15" s="4"/>
      <c r="B15" t="s">
        <v>13</v>
      </c>
      <c r="E15" s="54">
        <v>2</v>
      </c>
      <c r="F15" s="4"/>
      <c r="G15" t="s">
        <v>1</v>
      </c>
      <c r="I15" s="4">
        <v>2028</v>
      </c>
      <c r="J15" s="56">
        <v>0.9</v>
      </c>
      <c r="N15" s="4"/>
      <c r="O15" s="58"/>
      <c r="Q15" t="s">
        <v>1</v>
      </c>
      <c r="S15" s="4">
        <v>2028</v>
      </c>
      <c r="T15" s="56">
        <v>1.1000000000000001</v>
      </c>
    </row>
    <row r="16" spans="1:21" ht="12.95" customHeight="1" x14ac:dyDescent="0.25">
      <c r="A16" s="4"/>
      <c r="F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</row>
    <row r="17" spans="1:21" ht="12.95" customHeight="1" x14ac:dyDescent="0.25">
      <c r="A17" s="4"/>
      <c r="B17" s="2" t="s">
        <v>14</v>
      </c>
      <c r="F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</row>
    <row r="18" spans="1:21" ht="12.95" customHeight="1" x14ac:dyDescent="0.25">
      <c r="A18" s="4"/>
      <c r="B18" t="s">
        <v>12</v>
      </c>
      <c r="E18" s="55">
        <f>CHOOSE(E14,J18,O18,T18)</f>
        <v>0.11309004599351195</v>
      </c>
      <c r="F18" s="4"/>
      <c r="G18" t="s">
        <v>12</v>
      </c>
      <c r="J18" s="55">
        <f>O18+0.5%</f>
        <v>0.11809004599351196</v>
      </c>
      <c r="K18" s="4"/>
      <c r="L18" t="s">
        <v>12</v>
      </c>
      <c r="O18" s="55">
        <f>'7.81'!F22</f>
        <v>0.11309004599351195</v>
      </c>
      <c r="P18" s="4"/>
      <c r="Q18" t="s">
        <v>12</v>
      </c>
      <c r="T18" s="55">
        <f>O18-0.5%</f>
        <v>0.10809004599351195</v>
      </c>
      <c r="U18" s="4"/>
    </row>
    <row r="19" spans="1:21" ht="12.95" customHeight="1" x14ac:dyDescent="0.25">
      <c r="A19" s="4"/>
      <c r="B19" t="s">
        <v>13</v>
      </c>
      <c r="E19" s="55">
        <v>2.5000000000000001E-2</v>
      </c>
      <c r="G19" t="s">
        <v>13</v>
      </c>
      <c r="J19" s="55">
        <v>0.02</v>
      </c>
      <c r="K19" s="4"/>
      <c r="L19" t="s">
        <v>13</v>
      </c>
      <c r="O19" s="55">
        <v>2.5000000000000001E-2</v>
      </c>
      <c r="P19" s="4"/>
      <c r="Q19" t="s">
        <v>13</v>
      </c>
      <c r="T19" s="55">
        <v>0.03</v>
      </c>
    </row>
    <row r="20" spans="1:21" ht="12.95" customHeight="1" x14ac:dyDescent="0.25">
      <c r="A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</row>
    <row r="21" spans="1:21" x14ac:dyDescent="0.25">
      <c r="A21" s="4" t="s">
        <v>0</v>
      </c>
      <c r="B21" s="110" t="s">
        <v>15</v>
      </c>
      <c r="C21" s="110"/>
      <c r="D21" s="113">
        <v>2019</v>
      </c>
      <c r="E21" s="113">
        <v>2020</v>
      </c>
      <c r="F21" s="113">
        <f t="shared" ref="F21:M21" si="0">E21+1</f>
        <v>2021</v>
      </c>
      <c r="G21" s="113">
        <f t="shared" si="0"/>
        <v>2022</v>
      </c>
      <c r="H21" s="113">
        <f t="shared" si="0"/>
        <v>2023</v>
      </c>
      <c r="I21" s="114">
        <f t="shared" si="0"/>
        <v>2024</v>
      </c>
      <c r="J21" s="114">
        <f t="shared" si="0"/>
        <v>2025</v>
      </c>
      <c r="K21" s="114">
        <f t="shared" si="0"/>
        <v>2026</v>
      </c>
      <c r="L21" s="114">
        <f t="shared" si="0"/>
        <v>2027</v>
      </c>
      <c r="M21" s="114">
        <f t="shared" si="0"/>
        <v>2028</v>
      </c>
      <c r="N21" s="4"/>
      <c r="O21" s="4"/>
    </row>
    <row r="22" spans="1:21" x14ac:dyDescent="0.25">
      <c r="B22" t="s">
        <v>11</v>
      </c>
      <c r="D22" s="51"/>
      <c r="E22" s="106">
        <v>147073.47</v>
      </c>
      <c r="F22" s="106">
        <v>156063.12</v>
      </c>
      <c r="G22" s="106">
        <v>167263.01999999999</v>
      </c>
      <c r="H22" s="106">
        <v>192800.36</v>
      </c>
      <c r="I22" s="59">
        <f>Sheet1!B22</f>
        <v>307834.15499999997</v>
      </c>
      <c r="J22" s="59">
        <v>382000</v>
      </c>
      <c r="K22" s="59">
        <v>428000</v>
      </c>
      <c r="L22" s="59">
        <v>450000</v>
      </c>
      <c r="M22" s="59">
        <v>484000</v>
      </c>
      <c r="N22" s="4"/>
    </row>
    <row r="23" spans="1:21" x14ac:dyDescent="0.25">
      <c r="B23" s="7" t="s">
        <v>16</v>
      </c>
      <c r="D23" s="41"/>
      <c r="E23" s="46"/>
      <c r="F23" s="46">
        <f>F22/E22-1</f>
        <v>6.1123532340672915E-2</v>
      </c>
      <c r="G23" s="46">
        <f t="shared" ref="G23:H23" si="1">G22/F22-1</f>
        <v>7.17651934678738E-2</v>
      </c>
      <c r="H23" s="46">
        <f t="shared" si="1"/>
        <v>0.15267774072236651</v>
      </c>
      <c r="I23" s="12">
        <f>I22/H22-1</f>
        <v>0.59664720024381701</v>
      </c>
      <c r="J23" s="12">
        <f>J22/I22-1</f>
        <v>0.24092792757190984</v>
      </c>
      <c r="K23" s="12">
        <f>K22/J22-1</f>
        <v>0.12041884816753923</v>
      </c>
      <c r="L23" s="12">
        <v>0.08</v>
      </c>
      <c r="M23" s="12">
        <v>0.08</v>
      </c>
    </row>
    <row r="25" spans="1:21" x14ac:dyDescent="0.25">
      <c r="B25" t="s">
        <v>1</v>
      </c>
      <c r="D25" s="44"/>
      <c r="E25" s="14">
        <v>48749.55</v>
      </c>
      <c r="F25" s="106">
        <v>57361.84</v>
      </c>
      <c r="G25" s="106">
        <v>64077.279999999999</v>
      </c>
      <c r="H25" s="14">
        <v>70404.98</v>
      </c>
      <c r="I25" s="14">
        <f>I22*I26</f>
        <v>111380.75523112998</v>
      </c>
      <c r="J25" s="14">
        <f>J22*J26</f>
        <v>141350.69060042378</v>
      </c>
      <c r="K25" s="14">
        <f>K22*K26</f>
        <v>156508.04627208124</v>
      </c>
      <c r="L25" s="14">
        <f t="shared" ref="L25:M25" si="2">L22*L26</f>
        <v>164628.24674947764</v>
      </c>
      <c r="M25" s="14">
        <f t="shared" si="2"/>
        <v>177715.3683735955</v>
      </c>
      <c r="Q25" s="4"/>
    </row>
    <row r="26" spans="1:21" x14ac:dyDescent="0.25">
      <c r="B26" s="7" t="s">
        <v>17</v>
      </c>
      <c r="D26" s="13"/>
      <c r="E26" s="13">
        <f>E25/E22</f>
        <v>0.33146392751867487</v>
      </c>
      <c r="F26" s="12">
        <f t="shared" ref="F26:G26" si="3">F25/F22</f>
        <v>0.36755538400103754</v>
      </c>
      <c r="G26" s="12">
        <f t="shared" si="3"/>
        <v>0.3830929275341316</v>
      </c>
      <c r="H26" s="12">
        <f>H25/H22</f>
        <v>0.36517037623788667</v>
      </c>
      <c r="I26" s="43">
        <f>AVERAGE(E26:H26)</f>
        <v>0.36182065382293266</v>
      </c>
      <c r="J26" s="43">
        <f t="shared" ref="J26:L26" si="4">AVERAGE(G26:I26)</f>
        <v>0.3700279858649837</v>
      </c>
      <c r="K26" s="43">
        <f t="shared" si="4"/>
        <v>0.36567300530860103</v>
      </c>
      <c r="L26" s="43">
        <f t="shared" si="4"/>
        <v>0.3658405483321725</v>
      </c>
      <c r="M26" s="43">
        <f>AVERAGE(J26:L26)</f>
        <v>0.36718051316858574</v>
      </c>
    </row>
    <row r="28" spans="1:21" x14ac:dyDescent="0.25">
      <c r="B28" t="s">
        <v>18</v>
      </c>
      <c r="D28" s="17"/>
      <c r="E28" s="106">
        <v>10349.84</v>
      </c>
      <c r="F28" s="106">
        <v>10542.46</v>
      </c>
      <c r="G28" s="106">
        <v>12054.12</v>
      </c>
      <c r="H28" s="106">
        <v>14376.6</v>
      </c>
      <c r="I28" s="14">
        <f>I25*I29</f>
        <v>21953.486573283284</v>
      </c>
      <c r="J28" s="14">
        <f t="shared" ref="J28:M28" si="5">J25*J29</f>
        <v>27323.40230072707</v>
      </c>
      <c r="K28" s="14">
        <f t="shared" si="5"/>
        <v>30625.587049958453</v>
      </c>
      <c r="L28" s="14">
        <f t="shared" si="5"/>
        <v>32525.78729747633</v>
      </c>
      <c r="M28" s="14">
        <f t="shared" si="5"/>
        <v>34816.972341204142</v>
      </c>
    </row>
    <row r="29" spans="1:21" x14ac:dyDescent="0.25">
      <c r="B29" s="7" t="s">
        <v>58</v>
      </c>
      <c r="D29" s="47"/>
      <c r="E29" s="47">
        <f t="shared" ref="E29:H29" si="6">E28/E25</f>
        <v>0.21230637000751801</v>
      </c>
      <c r="F29" s="48">
        <f t="shared" si="6"/>
        <v>0.18378873481045935</v>
      </c>
      <c r="G29" s="48">
        <f t="shared" si="6"/>
        <v>0.18811847194512626</v>
      </c>
      <c r="H29" s="48">
        <f t="shared" si="6"/>
        <v>0.20419862344964804</v>
      </c>
      <c r="I29" s="15">
        <f>AVERAGE(E29:H29)</f>
        <v>0.1971030500531879</v>
      </c>
      <c r="J29" s="15">
        <f t="shared" ref="J29:M29" si="7">AVERAGE(F29:I29)</f>
        <v>0.1933022200646054</v>
      </c>
      <c r="K29" s="15">
        <f t="shared" si="7"/>
        <v>0.19568059137814189</v>
      </c>
      <c r="L29" s="15">
        <f t="shared" si="7"/>
        <v>0.19757112123639581</v>
      </c>
      <c r="M29" s="15">
        <f t="shared" si="7"/>
        <v>0.19591424568308274</v>
      </c>
    </row>
    <row r="31" spans="1:21" x14ac:dyDescent="0.25">
      <c r="A31" s="4" t="s">
        <v>0</v>
      </c>
      <c r="B31" s="110" t="s">
        <v>20</v>
      </c>
      <c r="C31" s="110"/>
      <c r="D31" s="110">
        <v>2019</v>
      </c>
      <c r="E31" s="113">
        <v>2020</v>
      </c>
      <c r="F31" s="113">
        <f t="shared" ref="F31" si="8">E31+1</f>
        <v>2021</v>
      </c>
      <c r="G31" s="113">
        <f t="shared" ref="G31" si="9">F31+1</f>
        <v>2022</v>
      </c>
      <c r="H31" s="113">
        <f t="shared" ref="H31" si="10">G31+1</f>
        <v>2023</v>
      </c>
      <c r="I31" s="114">
        <f t="shared" ref="I31" si="11">H31+1</f>
        <v>2024</v>
      </c>
      <c r="J31" s="114">
        <f t="shared" ref="J31" si="12">I31+1</f>
        <v>2025</v>
      </c>
      <c r="K31" s="114">
        <f t="shared" ref="K31" si="13">J31+1</f>
        <v>2026</v>
      </c>
      <c r="L31" s="114">
        <f t="shared" ref="L31" si="14">K31+1</f>
        <v>2027</v>
      </c>
      <c r="M31" s="115"/>
      <c r="N31" s="4"/>
      <c r="O31" s="4"/>
    </row>
    <row r="32" spans="1:21" x14ac:dyDescent="0.25">
      <c r="B32" t="s">
        <v>21</v>
      </c>
      <c r="D32" s="45"/>
      <c r="E32" s="59">
        <f>1195.8533+501.4137</f>
        <v>1697.2670000000001</v>
      </c>
      <c r="F32" s="59">
        <f>1302.4133+ 765.4693</f>
        <v>2067.8825999999999</v>
      </c>
      <c r="G32" s="59">
        <f>1599.8+821.3244</f>
        <v>2421.1243999999997</v>
      </c>
      <c r="H32" s="105">
        <f>2242.4793+851.1961</f>
        <v>3093.6754000000001</v>
      </c>
      <c r="I32" s="14"/>
      <c r="J32" s="14"/>
      <c r="K32" s="14"/>
      <c r="L32" s="14"/>
      <c r="M32" s="4"/>
      <c r="N32" s="4"/>
      <c r="O32" s="4"/>
    </row>
    <row r="33" spans="1:15" x14ac:dyDescent="0.25">
      <c r="B33" s="7" t="s">
        <v>17</v>
      </c>
      <c r="D33" s="11"/>
      <c r="E33" s="11">
        <f>E32/E$22</f>
        <v>1.1540266235643994E-2</v>
      </c>
      <c r="F33" s="11">
        <f t="shared" ref="F33:H33" si="15">F32/F$22</f>
        <v>1.3250296418526042E-2</v>
      </c>
      <c r="G33" s="11">
        <f t="shared" si="15"/>
        <v>1.4474953280169161E-2</v>
      </c>
      <c r="H33" s="11">
        <f t="shared" si="15"/>
        <v>1.6046004270946383E-2</v>
      </c>
      <c r="I33" s="12"/>
      <c r="J33" s="12"/>
      <c r="K33" s="12"/>
      <c r="L33" s="12"/>
    </row>
    <row r="35" spans="1:15" x14ac:dyDescent="0.25">
      <c r="B35" t="s">
        <v>22</v>
      </c>
      <c r="D35" s="104">
        <v>154.68752000000001</v>
      </c>
      <c r="E35" s="104">
        <v>165.387</v>
      </c>
      <c r="F35" s="104">
        <v>169.61500000000001</v>
      </c>
      <c r="G35" s="104">
        <v>223.624</v>
      </c>
      <c r="H35" s="104">
        <v>346.65699999999998</v>
      </c>
      <c r="I35" s="10"/>
      <c r="J35" s="10"/>
      <c r="K35" s="10"/>
      <c r="L35" s="10"/>
    </row>
    <row r="36" spans="1:15" x14ac:dyDescent="0.25">
      <c r="B36" s="7" t="s">
        <v>17</v>
      </c>
      <c r="E36" s="11">
        <f>E35/E$22</f>
        <v>1.1245196023456849E-3</v>
      </c>
      <c r="F36" s="11">
        <f t="shared" ref="F36" si="16">F35/F$22</f>
        <v>1.0868358905037911E-3</v>
      </c>
      <c r="G36" s="11">
        <f>G35/G$22</f>
        <v>1.3369601959835474E-3</v>
      </c>
      <c r="H36" s="11">
        <f>H35/H$22</f>
        <v>1.7980101281968562E-3</v>
      </c>
      <c r="I36" s="12"/>
      <c r="J36" s="12"/>
      <c r="K36" s="12"/>
      <c r="L36" s="12"/>
    </row>
    <row r="38" spans="1:15" x14ac:dyDescent="0.25">
      <c r="B38" t="s">
        <v>23</v>
      </c>
      <c r="D38" s="49"/>
      <c r="E38" s="104">
        <v>-7163.3239999999996</v>
      </c>
      <c r="F38" s="104">
        <v>-2314.23</v>
      </c>
      <c r="G38" s="104">
        <v>-8274.0120000000006</v>
      </c>
      <c r="H38" s="104">
        <v>-5890.8680000000004</v>
      </c>
      <c r="I38" s="17"/>
      <c r="J38" s="10"/>
      <c r="K38" s="10"/>
      <c r="L38" s="10"/>
    </row>
    <row r="39" spans="1:15" x14ac:dyDescent="0.25">
      <c r="B39" s="7" t="s">
        <v>17</v>
      </c>
      <c r="D39" s="11"/>
      <c r="E39" s="11">
        <f>E38/E$22</f>
        <v>-4.8705752301893737E-2</v>
      </c>
      <c r="F39" s="11">
        <f t="shared" ref="F39" si="17">F38/F$22</f>
        <v>-1.4828807728565211E-2</v>
      </c>
      <c r="G39" s="11">
        <f t="shared" ref="G39:H39" si="18">G38/G$22</f>
        <v>-4.9467072877196649E-2</v>
      </c>
      <c r="H39" s="11">
        <f t="shared" si="18"/>
        <v>-3.0554237554328224E-2</v>
      </c>
      <c r="I39" s="13"/>
      <c r="J39" s="13"/>
      <c r="K39" s="13"/>
      <c r="L39" s="13"/>
    </row>
    <row r="40" spans="1:15" x14ac:dyDescent="0.25">
      <c r="B40" s="7" t="s">
        <v>24</v>
      </c>
      <c r="E40" s="11">
        <f>E38/(E22-D22)</f>
        <v>-4.8705752301893737E-2</v>
      </c>
      <c r="F40" s="11">
        <f>F38/(F22-E22)</f>
        <v>-0.25743271428809816</v>
      </c>
      <c r="G40" s="11">
        <f>G38/(G22-F22)</f>
        <v>-0.73875766747917437</v>
      </c>
      <c r="H40" s="11">
        <f>H38/(H22-G22)</f>
        <v>-0.23067664839016128</v>
      </c>
    </row>
    <row r="41" spans="1:15" x14ac:dyDescent="0.25">
      <c r="I41">
        <v>1</v>
      </c>
      <c r="J41">
        <f>I41+1</f>
        <v>2</v>
      </c>
      <c r="K41">
        <f t="shared" ref="K41:M41" si="19">J41+1</f>
        <v>3</v>
      </c>
      <c r="L41">
        <f t="shared" si="19"/>
        <v>4</v>
      </c>
      <c r="M41">
        <f t="shared" si="19"/>
        <v>5</v>
      </c>
    </row>
    <row r="42" spans="1:15" x14ac:dyDescent="0.25">
      <c r="A42" s="4" t="s">
        <v>0</v>
      </c>
      <c r="B42" s="110" t="s">
        <v>25</v>
      </c>
      <c r="C42" s="110"/>
      <c r="D42" s="110"/>
      <c r="E42" s="113">
        <v>2020</v>
      </c>
      <c r="F42" s="113">
        <f t="shared" ref="F42" si="20">E42+1</f>
        <v>2021</v>
      </c>
      <c r="G42" s="113">
        <f t="shared" ref="G42" si="21">F42+1</f>
        <v>2022</v>
      </c>
      <c r="H42" s="113">
        <f t="shared" ref="H42" si="22">G42+1</f>
        <v>2023</v>
      </c>
      <c r="I42" s="114">
        <f t="shared" ref="I42" si="23">H42+1</f>
        <v>2024</v>
      </c>
      <c r="J42" s="114">
        <f t="shared" ref="J42" si="24">I42+1</f>
        <v>2025</v>
      </c>
      <c r="K42" s="114">
        <f t="shared" ref="K42" si="25">J42+1</f>
        <v>2026</v>
      </c>
      <c r="L42" s="114">
        <f t="shared" ref="L42:M42" si="26">K42+1</f>
        <v>2027</v>
      </c>
      <c r="M42" s="114">
        <f t="shared" si="26"/>
        <v>2028</v>
      </c>
      <c r="N42" s="4"/>
      <c r="O42" s="4"/>
    </row>
    <row r="43" spans="1:15" x14ac:dyDescent="0.25">
      <c r="B43" t="s">
        <v>11</v>
      </c>
      <c r="D43" s="16"/>
      <c r="E43" s="16">
        <f>E22</f>
        <v>147073.47</v>
      </c>
      <c r="F43" s="16">
        <f>F22</f>
        <v>156063.12</v>
      </c>
      <c r="G43" s="16">
        <f>G22</f>
        <v>167263.01999999999</v>
      </c>
      <c r="H43" s="16">
        <f>H22</f>
        <v>192800.36</v>
      </c>
      <c r="I43" s="17">
        <f ca="1">H43*(1+I44)</f>
        <v>307834.15499999997</v>
      </c>
      <c r="J43" s="17">
        <f t="shared" ref="J43:L43" ca="1" si="27">I43*(1+J44)</f>
        <v>382000.00000000006</v>
      </c>
      <c r="K43" s="17">
        <f t="shared" ca="1" si="27"/>
        <v>428000.00000000006</v>
      </c>
      <c r="L43" s="17">
        <f t="shared" ca="1" si="27"/>
        <v>462240.00000000012</v>
      </c>
      <c r="M43" s="17">
        <f ca="1">L43*(1+M44)</f>
        <v>489974.40000000014</v>
      </c>
    </row>
    <row r="44" spans="1:15" x14ac:dyDescent="0.25">
      <c r="B44" s="7" t="s">
        <v>16</v>
      </c>
      <c r="E44" s="9"/>
      <c r="F44" s="9">
        <f>F43/E43-1</f>
        <v>6.1123532340672915E-2</v>
      </c>
      <c r="G44" s="9">
        <f t="shared" ref="G44:H44" si="28">G43/F43-1</f>
        <v>7.17651934678738E-2</v>
      </c>
      <c r="H44" s="9">
        <f t="shared" si="28"/>
        <v>0.15267774072236651</v>
      </c>
      <c r="I44" s="9">
        <f ca="1">OFFSET(I44,$E$12,0)</f>
        <v>0.59664720024381701</v>
      </c>
      <c r="J44" s="9">
        <f t="shared" ref="J44:M44" ca="1" si="29">OFFSET(J44,$E$12,0)</f>
        <v>0.24092792757190984</v>
      </c>
      <c r="K44" s="9">
        <f ca="1">OFFSET(K44,$E$12,0)</f>
        <v>0.12041884816753923</v>
      </c>
      <c r="L44" s="9">
        <f t="shared" ca="1" si="29"/>
        <v>0.08</v>
      </c>
      <c r="M44" s="9">
        <f t="shared" ca="1" si="29"/>
        <v>0.06</v>
      </c>
    </row>
    <row r="45" spans="1:15" x14ac:dyDescent="0.25">
      <c r="B45" s="7" t="s">
        <v>26</v>
      </c>
      <c r="I45" s="52">
        <f>I46*$J$12</f>
        <v>0.53698248021943529</v>
      </c>
      <c r="J45" s="52">
        <f t="shared" ref="J45:M45" si="30">J46*$J$12</f>
        <v>0.21683513481471886</v>
      </c>
      <c r="K45" s="52">
        <f t="shared" si="30"/>
        <v>0.10837696335078531</v>
      </c>
      <c r="L45" s="52">
        <f t="shared" si="30"/>
        <v>7.2000000000000008E-2</v>
      </c>
      <c r="M45" s="52">
        <f t="shared" si="30"/>
        <v>5.3999999999999999E-2</v>
      </c>
    </row>
    <row r="46" spans="1:15" x14ac:dyDescent="0.25">
      <c r="B46" s="7" t="s">
        <v>27</v>
      </c>
      <c r="I46" s="52">
        <f>I23</f>
        <v>0.59664720024381701</v>
      </c>
      <c r="J46" s="52">
        <f>J23</f>
        <v>0.24092792757190984</v>
      </c>
      <c r="K46" s="52">
        <f>K23</f>
        <v>0.12041884816753923</v>
      </c>
      <c r="L46" s="52">
        <f>L23</f>
        <v>0.08</v>
      </c>
      <c r="M46" s="52">
        <f>O13</f>
        <v>0.06</v>
      </c>
    </row>
    <row r="47" spans="1:15" x14ac:dyDescent="0.25">
      <c r="B47" s="7" t="s">
        <v>28</v>
      </c>
      <c r="I47" s="52">
        <f>I46*$T$12</f>
        <v>0.65631192026819873</v>
      </c>
      <c r="J47" s="52">
        <f t="shared" ref="J47:M47" si="31">J46*$T$12</f>
        <v>0.26502072032910085</v>
      </c>
      <c r="K47" s="52">
        <f t="shared" si="31"/>
        <v>0.13246073298429317</v>
      </c>
      <c r="L47" s="52">
        <f t="shared" si="31"/>
        <v>8.8000000000000009E-2</v>
      </c>
      <c r="M47" s="52">
        <f t="shared" si="31"/>
        <v>6.6000000000000003E-2</v>
      </c>
    </row>
    <row r="49" spans="2:17" x14ac:dyDescent="0.25">
      <c r="B49" t="s">
        <v>1</v>
      </c>
      <c r="E49" s="16">
        <f>E25</f>
        <v>48749.55</v>
      </c>
      <c r="F49" s="16">
        <f>F25</f>
        <v>57361.84</v>
      </c>
      <c r="G49" s="16">
        <f>G25</f>
        <v>64077.279999999999</v>
      </c>
      <c r="H49" s="16">
        <f>H25</f>
        <v>70404.98</v>
      </c>
      <c r="I49" s="17">
        <f ca="1">I50*I43</f>
        <v>111380.75523112998</v>
      </c>
      <c r="J49" s="17">
        <f t="shared" ref="J49:M49" ca="1" si="32">J50*J43</f>
        <v>141350.69060042378</v>
      </c>
      <c r="K49" s="17">
        <f t="shared" ca="1" si="32"/>
        <v>156508.04627208126</v>
      </c>
      <c r="L49" s="17">
        <f t="shared" ca="1" si="32"/>
        <v>169106.13506106345</v>
      </c>
      <c r="M49" s="17">
        <f t="shared" ca="1" si="32"/>
        <v>179909.05163146995</v>
      </c>
    </row>
    <row r="50" spans="2:17" x14ac:dyDescent="0.25">
      <c r="B50" s="7" t="s">
        <v>17</v>
      </c>
      <c r="E50" s="13">
        <f>E49/E43</f>
        <v>0.33146392751867487</v>
      </c>
      <c r="F50" s="12">
        <f t="shared" ref="F50:G50" si="33">F49/F43</f>
        <v>0.36755538400103754</v>
      </c>
      <c r="G50" s="12">
        <f t="shared" si="33"/>
        <v>0.3830929275341316</v>
      </c>
      <c r="H50" s="12">
        <f>H49/H43</f>
        <v>0.36517037623788667</v>
      </c>
      <c r="I50" s="12">
        <f ca="1">OFFSET(I50,$E$13,0)</f>
        <v>0.36182065382293266</v>
      </c>
      <c r="J50" s="12">
        <f t="shared" ref="J50:M50" ca="1" si="34">OFFSET(J50,$E$13,0)</f>
        <v>0.3700279858649837</v>
      </c>
      <c r="K50" s="12">
        <f t="shared" ca="1" si="34"/>
        <v>0.36567300530860103</v>
      </c>
      <c r="L50" s="12">
        <f t="shared" ca="1" si="34"/>
        <v>0.3658405483321725</v>
      </c>
      <c r="M50" s="12">
        <f t="shared" ca="1" si="34"/>
        <v>0.36718051316858574</v>
      </c>
    </row>
    <row r="51" spans="2:17" x14ac:dyDescent="0.25">
      <c r="B51" s="7" t="s">
        <v>26</v>
      </c>
      <c r="I51" s="52">
        <f>I52*J14</f>
        <v>0.34372962113178601</v>
      </c>
      <c r="J51" s="52">
        <f>I51+($M51-$I51)/($M$42-$I$42)</f>
        <v>0.3404128313117713</v>
      </c>
      <c r="K51" s="52">
        <f t="shared" ref="K51:L53" si="35">J51+($M51-$I51)/($M$42-$I$42)</f>
        <v>0.33709604149175659</v>
      </c>
      <c r="L51" s="52">
        <f t="shared" si="35"/>
        <v>0.33377925167174188</v>
      </c>
      <c r="M51" s="52">
        <f>M52*J15</f>
        <v>0.33046246185172717</v>
      </c>
    </row>
    <row r="52" spans="2:17" x14ac:dyDescent="0.25">
      <c r="B52" s="7" t="s">
        <v>27</v>
      </c>
      <c r="I52" s="52">
        <f>I26</f>
        <v>0.36182065382293266</v>
      </c>
      <c r="J52" s="52">
        <f t="shared" ref="J52:M52" si="36">J26</f>
        <v>0.3700279858649837</v>
      </c>
      <c r="K52" s="52">
        <f t="shared" si="36"/>
        <v>0.36567300530860103</v>
      </c>
      <c r="L52" s="52">
        <f t="shared" si="36"/>
        <v>0.3658405483321725</v>
      </c>
      <c r="M52" s="52">
        <f t="shared" si="36"/>
        <v>0.36718051316858574</v>
      </c>
    </row>
    <row r="53" spans="2:17" x14ac:dyDescent="0.25">
      <c r="B53" s="7" t="s">
        <v>28</v>
      </c>
      <c r="I53" s="52">
        <f>I52*T14</f>
        <v>0.37991168651407931</v>
      </c>
      <c r="J53" s="52">
        <f>I53+($M53-$I53)/($M$42-$I$42)</f>
        <v>0.38590840600692056</v>
      </c>
      <c r="K53" s="52">
        <f t="shared" si="35"/>
        <v>0.39190512549976181</v>
      </c>
      <c r="L53" s="52">
        <f t="shared" si="35"/>
        <v>0.39790184499260306</v>
      </c>
      <c r="M53" s="52">
        <f>M52*T15</f>
        <v>0.40389856448544437</v>
      </c>
    </row>
    <row r="54" spans="2:17" x14ac:dyDescent="0.25">
      <c r="B54" s="7"/>
    </row>
    <row r="55" spans="2:17" x14ac:dyDescent="0.25">
      <c r="B55" t="s">
        <v>18</v>
      </c>
      <c r="E55" s="16">
        <f>E28</f>
        <v>10349.84</v>
      </c>
      <c r="F55" s="16">
        <f t="shared" ref="F55:H56" si="37">F28</f>
        <v>10542.46</v>
      </c>
      <c r="G55" s="16">
        <f t="shared" si="37"/>
        <v>12054.12</v>
      </c>
      <c r="H55" s="16">
        <f t="shared" si="37"/>
        <v>14376.6</v>
      </c>
      <c r="I55" s="17">
        <f ca="1">I56*I49</f>
        <v>21953.486573283284</v>
      </c>
      <c r="J55" s="17">
        <f t="shared" ref="J55:M55" ca="1" si="38">J56*J49</f>
        <v>27323.40230072707</v>
      </c>
      <c r="K55" s="17">
        <f t="shared" ca="1" si="38"/>
        <v>30625.587049958456</v>
      </c>
      <c r="L55" s="17">
        <f t="shared" ca="1" si="38"/>
        <v>33410.488711967693</v>
      </c>
      <c r="M55" s="17">
        <f t="shared" ca="1" si="38"/>
        <v>35544.833051406145</v>
      </c>
    </row>
    <row r="56" spans="2:17" x14ac:dyDescent="0.25">
      <c r="B56" s="7" t="s">
        <v>19</v>
      </c>
      <c r="E56" s="18">
        <f>E29</f>
        <v>0.21230637000751801</v>
      </c>
      <c r="F56" s="18">
        <f t="shared" si="37"/>
        <v>0.18378873481045935</v>
      </c>
      <c r="G56" s="18">
        <f t="shared" si="37"/>
        <v>0.18811847194512626</v>
      </c>
      <c r="H56" s="18">
        <f t="shared" si="37"/>
        <v>0.20419862344964804</v>
      </c>
      <c r="I56" s="18">
        <f>I29</f>
        <v>0.1971030500531879</v>
      </c>
      <c r="J56" s="18">
        <f>J29</f>
        <v>0.1933022200646054</v>
      </c>
      <c r="K56" s="18">
        <f>K29</f>
        <v>0.19568059137814189</v>
      </c>
      <c r="L56" s="18">
        <f>L29</f>
        <v>0.19757112123639581</v>
      </c>
      <c r="M56" s="19">
        <f>L56</f>
        <v>0.19757112123639581</v>
      </c>
    </row>
    <row r="58" spans="2:17" x14ac:dyDescent="0.25">
      <c r="B58" s="20" t="s">
        <v>29</v>
      </c>
      <c r="C58" s="21"/>
      <c r="D58" s="21"/>
      <c r="E58" s="21"/>
      <c r="F58" s="21"/>
      <c r="G58" s="21"/>
      <c r="H58" s="21"/>
      <c r="I58" s="22">
        <f ca="1">I49-I55</f>
        <v>89427.268657846696</v>
      </c>
      <c r="J58" s="22">
        <f t="shared" ref="J58:M58" ca="1" si="39">J49-J55</f>
        <v>114027.28829969671</v>
      </c>
      <c r="K58" s="22">
        <f t="shared" ca="1" si="39"/>
        <v>125882.45922212281</v>
      </c>
      <c r="L58" s="22">
        <f t="shared" ca="1" si="39"/>
        <v>135695.64634909577</v>
      </c>
      <c r="M58" s="23">
        <f t="shared" ca="1" si="39"/>
        <v>144364.21858006381</v>
      </c>
    </row>
    <row r="60" spans="2:17" x14ac:dyDescent="0.25">
      <c r="B60" t="s">
        <v>21</v>
      </c>
      <c r="E60" s="16">
        <f>E32</f>
        <v>1697.2670000000001</v>
      </c>
      <c r="F60" s="16">
        <f t="shared" ref="F60:H60" si="40">F32</f>
        <v>2067.8825999999999</v>
      </c>
      <c r="G60" s="16">
        <f t="shared" si="40"/>
        <v>2421.1243999999997</v>
      </c>
      <c r="H60" s="16">
        <f t="shared" si="40"/>
        <v>3093.6754000000001</v>
      </c>
      <c r="I60" s="17">
        <f ca="1">I61*I$43</f>
        <v>4697.6965887692604</v>
      </c>
      <c r="J60" s="17">
        <f t="shared" ref="J60:M60" ca="1" si="41">J61*J$43</f>
        <v>5979.538261882295</v>
      </c>
      <c r="K60" s="17">
        <f t="shared" ca="1" si="41"/>
        <v>6615.536143945309</v>
      </c>
      <c r="L60" s="17">
        <f t="shared" ca="1" si="41"/>
        <v>7190.1666985844886</v>
      </c>
      <c r="M60" s="17">
        <f t="shared" ca="1" si="41"/>
        <v>7597.5212390440747</v>
      </c>
    </row>
    <row r="61" spans="2:17" x14ac:dyDescent="0.25">
      <c r="B61" s="7" t="s">
        <v>17</v>
      </c>
      <c r="E61" s="24">
        <f>E60/E$43</f>
        <v>1.1540266235643994E-2</v>
      </c>
      <c r="F61" s="24">
        <f t="shared" ref="F61:H61" si="42">F60/F$43</f>
        <v>1.3250296418526042E-2</v>
      </c>
      <c r="G61" s="24">
        <f t="shared" si="42"/>
        <v>1.4474953280169161E-2</v>
      </c>
      <c r="H61" s="24">
        <f t="shared" si="42"/>
        <v>1.6046004270946383E-2</v>
      </c>
      <c r="I61" s="19">
        <f>AVERAGE(G61:H61)</f>
        <v>1.5260478775557772E-2</v>
      </c>
      <c r="J61" s="18">
        <f t="shared" ref="J61:M61" si="43">AVERAGE(H61:I61)</f>
        <v>1.5653241523252079E-2</v>
      </c>
      <c r="K61" s="18">
        <f t="shared" si="43"/>
        <v>1.5456860149404925E-2</v>
      </c>
      <c r="L61" s="18">
        <f t="shared" si="43"/>
        <v>1.5555050836328502E-2</v>
      </c>
      <c r="M61" s="18">
        <f t="shared" si="43"/>
        <v>1.5505955492866715E-2</v>
      </c>
    </row>
    <row r="63" spans="2:17" x14ac:dyDescent="0.25">
      <c r="B63" t="s">
        <v>22</v>
      </c>
      <c r="E63" s="16">
        <f>E35</f>
        <v>165.387</v>
      </c>
      <c r="F63" s="16">
        <f t="shared" ref="F63:G63" si="44">F35</f>
        <v>169.61500000000001</v>
      </c>
      <c r="G63" s="16">
        <f t="shared" si="44"/>
        <v>223.624</v>
      </c>
      <c r="H63" s="16">
        <f>H35</f>
        <v>346.65699999999998</v>
      </c>
      <c r="I63" s="17">
        <f ca="1">I64*I$43</f>
        <v>-1721.6337021096472</v>
      </c>
      <c r="J63" s="17">
        <f t="shared" ref="J63" ca="1" si="45">J64*J$43</f>
        <v>-2222.9548927199889</v>
      </c>
      <c r="K63" s="17">
        <f t="shared" ref="K63" ca="1" si="46">K64*K$43</f>
        <v>-2655.5937351999537</v>
      </c>
      <c r="L63" s="17">
        <f t="shared" ref="L63" ca="1" si="47">L64*L$43</f>
        <v>-2778.9665196400274</v>
      </c>
      <c r="M63" s="17">
        <f t="shared" ref="M63" ca="1" si="48">M64*M$43</f>
        <v>-2992.9141094376682</v>
      </c>
    </row>
    <row r="64" spans="2:17" x14ac:dyDescent="0.25">
      <c r="B64" s="7" t="s">
        <v>17</v>
      </c>
      <c r="E64" s="24">
        <f>E63/E$43</f>
        <v>1.1245196023456849E-3</v>
      </c>
      <c r="F64" s="24">
        <f t="shared" ref="F64" si="49">F63/F$43</f>
        <v>1.0868358905037911E-3</v>
      </c>
      <c r="G64" s="24">
        <f t="shared" ref="G64" si="50">G63/G$43</f>
        <v>1.3369601959835474E-3</v>
      </c>
      <c r="H64" s="24">
        <f>H63/H$43</f>
        <v>1.7980101281968562E-3</v>
      </c>
      <c r="I64" s="19">
        <f>AVERAGE(F64:H64)-0.007</f>
        <v>-5.5927312617719349E-3</v>
      </c>
      <c r="J64" s="19">
        <f>AVERAGE(G64:I64)-0.005</f>
        <v>-5.8192536458638441E-3</v>
      </c>
      <c r="K64" s="19">
        <f>AVERAGE(H64:J64)-0.003</f>
        <v>-6.204658259812975E-3</v>
      </c>
      <c r="L64" s="18">
        <f t="shared" ref="L64" si="51">AVERAGE(J64:K64)</f>
        <v>-6.01195595283841E-3</v>
      </c>
      <c r="M64" s="18">
        <f t="shared" ref="M64" si="52">AVERAGE(K64:L64)</f>
        <v>-6.1083071063256925E-3</v>
      </c>
      <c r="Q64">
        <f ca="1">+I64*I43</f>
        <v>-1721.6337021096472</v>
      </c>
    </row>
    <row r="66" spans="1:18" x14ac:dyDescent="0.25">
      <c r="B66" t="s">
        <v>23</v>
      </c>
      <c r="E66" s="16">
        <f>E38</f>
        <v>-7163.3239999999996</v>
      </c>
      <c r="F66" s="16">
        <f>F38</f>
        <v>-2314.23</v>
      </c>
      <c r="G66" s="16">
        <f t="shared" ref="G66:H66" si="53">G38</f>
        <v>-8274.0120000000006</v>
      </c>
      <c r="H66" s="16">
        <f t="shared" si="53"/>
        <v>-5890.8680000000004</v>
      </c>
      <c r="I66" s="17">
        <f ca="1">I67*I$43</f>
        <v>-11047.85001973856</v>
      </c>
      <c r="J66" s="17">
        <f ca="1">J67*J$43</f>
        <v>-13709.585629119456</v>
      </c>
      <c r="K66" s="17">
        <f ca="1">K67*K$43</f>
        <v>-16242.519285889299</v>
      </c>
      <c r="L66" s="17">
        <f t="shared" ref="L66" ca="1" si="54">L67*L$43</f>
        <v>-15760.678704709033</v>
      </c>
      <c r="M66" s="17">
        <f t="shared" ref="M66" ca="1" si="55">M67*M$43</f>
        <v>-16706.319426991577</v>
      </c>
    </row>
    <row r="67" spans="1:18" x14ac:dyDescent="0.25">
      <c r="B67" s="7" t="s">
        <v>17</v>
      </c>
      <c r="E67" s="24">
        <f>E66/E$43</f>
        <v>-4.8705752301893737E-2</v>
      </c>
      <c r="F67" s="24">
        <f>F66/F$43</f>
        <v>-1.4828807728565211E-2</v>
      </c>
      <c r="G67" s="24">
        <f>G66/G$43</f>
        <v>-4.9467072877196649E-2</v>
      </c>
      <c r="H67" s="24">
        <f>H66/H43</f>
        <v>-3.0554237554328224E-2</v>
      </c>
      <c r="I67" s="19">
        <f>AVERAGE(E67:H67)</f>
        <v>-3.5888967615495954E-2</v>
      </c>
      <c r="J67" s="18">
        <f>AVERAGE(E67:I67)</f>
        <v>-3.5888967615495954E-2</v>
      </c>
      <c r="K67" s="18">
        <f>AVERAGE(G67:J67)</f>
        <v>-3.7949811415629198E-2</v>
      </c>
      <c r="L67" s="18">
        <f>AVERAGE(F67:K67)</f>
        <v>-3.409631080111853E-2</v>
      </c>
      <c r="M67" s="18">
        <f>AVERAGE(F67:L67)</f>
        <v>-3.409631080111853E-2</v>
      </c>
    </row>
    <row r="68" spans="1:18" x14ac:dyDescent="0.25">
      <c r="B68" s="7"/>
    </row>
    <row r="69" spans="1:18" x14ac:dyDescent="0.25">
      <c r="B69" s="32" t="s">
        <v>30</v>
      </c>
      <c r="C69" s="33"/>
      <c r="D69" s="33"/>
      <c r="E69" s="33"/>
      <c r="F69" s="33"/>
      <c r="G69" s="33"/>
      <c r="H69" s="33"/>
      <c r="I69" s="34">
        <f ca="1">I58+I60-I63-I66</f>
        <v>106894.44896846416</v>
      </c>
      <c r="J69" s="34">
        <f t="shared" ref="J69:M69" ca="1" si="56">J58+J60-J63-J66</f>
        <v>135939.36708341844</v>
      </c>
      <c r="K69" s="34">
        <f t="shared" ca="1" si="56"/>
        <v>151396.10838715738</v>
      </c>
      <c r="L69" s="34">
        <f t="shared" ca="1" si="56"/>
        <v>161425.4582720293</v>
      </c>
      <c r="M69" s="35">
        <f t="shared" ca="1" si="56"/>
        <v>171660.97335553713</v>
      </c>
    </row>
    <row r="70" spans="1:18" x14ac:dyDescent="0.25">
      <c r="B70" s="36" t="s">
        <v>31</v>
      </c>
      <c r="C70" s="3"/>
      <c r="D70" s="3"/>
      <c r="E70" s="3"/>
      <c r="F70" s="3"/>
      <c r="G70" s="3"/>
      <c r="H70" s="3"/>
      <c r="I70" s="37">
        <f ca="1">I69/(1+wacc)^I72</f>
        <v>102455.88510914524</v>
      </c>
      <c r="J70" s="37">
        <f ca="1">J69/(1+wacc)^J72</f>
        <v>118370.5341404697</v>
      </c>
      <c r="K70" s="37">
        <f ca="1">K69/(1+wacc)^K72</f>
        <v>118435.73964136129</v>
      </c>
      <c r="L70" s="37">
        <f ca="1">L69/(1+wacc)^L72</f>
        <v>113451.38282859371</v>
      </c>
      <c r="M70" s="38">
        <f ca="1">M69/(1+wacc)^M72</f>
        <v>108387.45963141673</v>
      </c>
    </row>
    <row r="72" spans="1:18" x14ac:dyDescent="0.25">
      <c r="A72" t="s">
        <v>0</v>
      </c>
      <c r="B72" t="s">
        <v>46</v>
      </c>
      <c r="I72" s="31">
        <f>I73/2</f>
        <v>0.39583333333333331</v>
      </c>
      <c r="J72" s="31">
        <f>I73+0.5</f>
        <v>1.2916666666666665</v>
      </c>
      <c r="K72" s="31">
        <f>J72+1</f>
        <v>2.2916666666666665</v>
      </c>
      <c r="L72" s="31">
        <f t="shared" ref="L72:M72" si="57">K72+1</f>
        <v>3.2916666666666665</v>
      </c>
      <c r="M72" s="31">
        <f t="shared" si="57"/>
        <v>4.2916666666666661</v>
      </c>
    </row>
    <row r="73" spans="1:18" x14ac:dyDescent="0.25">
      <c r="B73" t="s">
        <v>47</v>
      </c>
      <c r="I73" s="31">
        <f>YEARFRAC(C5,C6)</f>
        <v>0.79166666666666663</v>
      </c>
    </row>
    <row r="75" spans="1:18" x14ac:dyDescent="0.25">
      <c r="B75" t="s">
        <v>48</v>
      </c>
      <c r="M75" s="17">
        <f ca="1">(M69*(1+tgr))/(wacc-tgr)</f>
        <v>1997416.3448885574</v>
      </c>
      <c r="P75" s="4"/>
      <c r="Q75" s="4"/>
      <c r="R75" s="4"/>
    </row>
    <row r="76" spans="1:18" x14ac:dyDescent="0.25">
      <c r="B76" t="s">
        <v>49</v>
      </c>
      <c r="M76" s="17">
        <f ca="1">M75/(1+wacc)^M72</f>
        <v>1261177.0702263536</v>
      </c>
      <c r="P76" s="40"/>
      <c r="Q76" s="4"/>
      <c r="R76" s="40"/>
    </row>
    <row r="78" spans="1:18" x14ac:dyDescent="0.25">
      <c r="B78" t="s">
        <v>50</v>
      </c>
      <c r="M78" s="10">
        <f ca="1">SUM(I70:M70,M76)</f>
        <v>1822278.0715773404</v>
      </c>
    </row>
    <row r="79" spans="1:18" x14ac:dyDescent="0.25">
      <c r="B79" t="s">
        <v>51</v>
      </c>
      <c r="M79" s="10">
        <v>87940</v>
      </c>
    </row>
    <row r="80" spans="1:18" x14ac:dyDescent="0.25">
      <c r="B80" t="s">
        <v>52</v>
      </c>
      <c r="M80" s="53">
        <f>'7.81'!F15</f>
        <v>256548</v>
      </c>
    </row>
    <row r="81" spans="2:13" x14ac:dyDescent="0.25">
      <c r="B81" t="s">
        <v>53</v>
      </c>
      <c r="M81" s="10">
        <f ca="1">M78+M79-M80</f>
        <v>1653670.0715773404</v>
      </c>
    </row>
    <row r="83" spans="2:13" x14ac:dyDescent="0.25">
      <c r="B83" t="s">
        <v>54</v>
      </c>
      <c r="M83">
        <v>538</v>
      </c>
    </row>
    <row r="84" spans="2:13" x14ac:dyDescent="0.25">
      <c r="B84" t="s">
        <v>55</v>
      </c>
      <c r="M84" s="42">
        <f ca="1">M81/M83</f>
        <v>3073.7361925229375</v>
      </c>
    </row>
  </sheetData>
  <pageMargins left="0.7" right="0.7" top="0.75" bottom="0.75" header="0.3" footer="0.3"/>
  <ignoredErrors>
    <ignoredError sqref="J67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BC16A-BBF7-4899-B8C1-25636C3B73AC}">
  <dimension ref="B2:M22"/>
  <sheetViews>
    <sheetView showGridLines="0" topLeftCell="A3" zoomScale="155" zoomScaleNormal="155" workbookViewId="0">
      <selection activeCell="F18" sqref="F18"/>
    </sheetView>
  </sheetViews>
  <sheetFormatPr defaultColWidth="8.85546875" defaultRowHeight="15" x14ac:dyDescent="0.25"/>
  <cols>
    <col min="1" max="1" width="3.7109375" customWidth="1"/>
    <col min="6" max="6" width="12.7109375" customWidth="1"/>
    <col min="13" max="13" width="54" bestFit="1" customWidth="1"/>
  </cols>
  <sheetData>
    <row r="2" spans="2:13" s="3" customFormat="1" ht="21" x14ac:dyDescent="0.35">
      <c r="B2" s="1" t="s">
        <v>12</v>
      </c>
    </row>
    <row r="4" spans="2:13" x14ac:dyDescent="0.25">
      <c r="B4" t="s">
        <v>32</v>
      </c>
    </row>
    <row r="5" spans="2:13" x14ac:dyDescent="0.25">
      <c r="B5" t="s">
        <v>33</v>
      </c>
    </row>
    <row r="7" spans="2:13" x14ac:dyDescent="0.25">
      <c r="B7" s="25" t="s">
        <v>12</v>
      </c>
      <c r="C7" s="26"/>
      <c r="D7" s="26"/>
      <c r="E7" s="26"/>
      <c r="F7" s="26"/>
    </row>
    <row r="8" spans="2:13" x14ac:dyDescent="0.25">
      <c r="B8" t="s">
        <v>34</v>
      </c>
      <c r="F8" s="8">
        <v>1097788.19</v>
      </c>
    </row>
    <row r="9" spans="2:13" x14ac:dyDescent="0.25">
      <c r="B9" t="s">
        <v>35</v>
      </c>
      <c r="F9" s="27">
        <f>F8/F20</f>
        <v>0.81057288294127328</v>
      </c>
    </row>
    <row r="10" spans="2:13" x14ac:dyDescent="0.25">
      <c r="B10" t="s">
        <v>36</v>
      </c>
      <c r="F10" s="27">
        <f>F11+F12*F13</f>
        <v>0.130137</v>
      </c>
    </row>
    <row r="11" spans="2:13" x14ac:dyDescent="0.25">
      <c r="B11" t="s">
        <v>37</v>
      </c>
      <c r="F11" s="28">
        <v>7.0000000000000007E-2</v>
      </c>
    </row>
    <row r="12" spans="2:13" x14ac:dyDescent="0.25">
      <c r="B12" t="s">
        <v>38</v>
      </c>
      <c r="F12" s="29">
        <v>0.77</v>
      </c>
    </row>
    <row r="13" spans="2:13" x14ac:dyDescent="0.25">
      <c r="B13" t="s">
        <v>39</v>
      </c>
      <c r="F13" s="28">
        <v>7.8100000000000003E-2</v>
      </c>
    </row>
    <row r="14" spans="2:13" x14ac:dyDescent="0.25">
      <c r="M14" s="8"/>
    </row>
    <row r="15" spans="2:13" x14ac:dyDescent="0.25">
      <c r="B15" t="s">
        <v>40</v>
      </c>
      <c r="F15" s="30">
        <v>256548</v>
      </c>
    </row>
    <row r="16" spans="2:13" x14ac:dyDescent="0.25">
      <c r="B16" t="s">
        <v>41</v>
      </c>
      <c r="F16" s="27">
        <f>F15/F20</f>
        <v>0.18942711705872675</v>
      </c>
      <c r="M16" s="50"/>
    </row>
    <row r="17" spans="2:6" x14ac:dyDescent="0.25">
      <c r="B17" t="s">
        <v>42</v>
      </c>
      <c r="F17" s="28">
        <v>0.05</v>
      </c>
    </row>
    <row r="18" spans="2:6" x14ac:dyDescent="0.25">
      <c r="B18" t="s">
        <v>43</v>
      </c>
      <c r="F18" s="28">
        <f>DCF!I29</f>
        <v>0.1971030500531879</v>
      </c>
    </row>
    <row r="20" spans="2:6" x14ac:dyDescent="0.25">
      <c r="B20" t="s">
        <v>44</v>
      </c>
      <c r="F20" s="8">
        <f>F8+F15</f>
        <v>1354336.19</v>
      </c>
    </row>
    <row r="22" spans="2:6" x14ac:dyDescent="0.25">
      <c r="B22" t="s">
        <v>12</v>
      </c>
      <c r="F22" s="27">
        <f>(F9*F10)+(F16*F17*(1-F18))</f>
        <v>0.11309004599351195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CFCE6-0625-4742-A0B9-0ED172FE7F92}">
  <dimension ref="A1:Q24"/>
  <sheetViews>
    <sheetView zoomScale="45" zoomScaleNormal="115" workbookViewId="0">
      <selection activeCell="E25" sqref="E25"/>
    </sheetView>
  </sheetViews>
  <sheetFormatPr defaultRowHeight="15" x14ac:dyDescent="0.25"/>
  <cols>
    <col min="2" max="2" width="14.85546875" customWidth="1"/>
    <col min="3" max="3" width="16.28515625" customWidth="1"/>
    <col min="4" max="4" width="15.28515625" customWidth="1"/>
    <col min="5" max="5" width="24.85546875" customWidth="1"/>
    <col min="6" max="6" width="15.7109375" customWidth="1"/>
    <col min="7" max="7" width="21" customWidth="1"/>
    <col min="8" max="8" width="15" customWidth="1"/>
    <col min="9" max="9" width="17.85546875" customWidth="1"/>
    <col min="10" max="10" width="15.42578125" customWidth="1"/>
    <col min="11" max="11" width="17.28515625" customWidth="1"/>
    <col min="12" max="12" width="13" customWidth="1"/>
    <col min="13" max="13" width="14.7109375" customWidth="1"/>
    <col min="14" max="14" width="13.42578125" customWidth="1"/>
    <col min="15" max="15" width="12.28515625" customWidth="1"/>
    <col min="16" max="16" width="13.140625" customWidth="1"/>
    <col min="17" max="17" width="14.42578125" customWidth="1"/>
  </cols>
  <sheetData>
    <row r="1" spans="1:17" ht="36.75" thickBot="1" x14ac:dyDescent="0.6">
      <c r="A1" s="60" t="s">
        <v>59</v>
      </c>
      <c r="E1" s="61"/>
      <c r="G1" s="62"/>
      <c r="H1" s="62"/>
      <c r="I1" s="62"/>
      <c r="J1" s="62"/>
      <c r="K1" s="62"/>
      <c r="M1" s="63"/>
    </row>
    <row r="2" spans="1:17" ht="15.75" thickBot="1" x14ac:dyDescent="0.3">
      <c r="E2" s="61"/>
      <c r="G2" s="64"/>
      <c r="H2" s="64"/>
      <c r="I2" s="64"/>
      <c r="J2" s="64"/>
      <c r="K2" s="65"/>
      <c r="M2" s="61"/>
    </row>
    <row r="3" spans="1:17" x14ac:dyDescent="0.25">
      <c r="E3" s="66"/>
      <c r="I3" s="67"/>
      <c r="M3" s="66"/>
    </row>
    <row r="4" spans="1:17" x14ac:dyDescent="0.25">
      <c r="E4" s="66"/>
      <c r="I4" s="66"/>
      <c r="M4" s="66"/>
    </row>
    <row r="5" spans="1:17" x14ac:dyDescent="0.25">
      <c r="E5" s="66"/>
      <c r="I5" s="66"/>
      <c r="M5" s="66"/>
    </row>
    <row r="6" spans="1:17" x14ac:dyDescent="0.25">
      <c r="E6" s="66"/>
      <c r="I6" s="66"/>
      <c r="M6" s="66"/>
    </row>
    <row r="7" spans="1:17" x14ac:dyDescent="0.25">
      <c r="E7" s="66"/>
      <c r="I7" s="66"/>
      <c r="M7" s="66"/>
    </row>
    <row r="8" spans="1:17" x14ac:dyDescent="0.25">
      <c r="E8" s="66"/>
      <c r="I8" s="66"/>
      <c r="M8" s="66"/>
    </row>
    <row r="9" spans="1:17" x14ac:dyDescent="0.25">
      <c r="E9" s="66"/>
      <c r="I9" s="66"/>
      <c r="M9" s="66"/>
    </row>
    <row r="10" spans="1:17" x14ac:dyDescent="0.25">
      <c r="B10" t="s">
        <v>72</v>
      </c>
      <c r="C10" s="68" t="s">
        <v>60</v>
      </c>
      <c r="D10" s="68" t="s">
        <v>61</v>
      </c>
      <c r="E10" s="69" t="s">
        <v>62</v>
      </c>
      <c r="F10" s="70" t="s">
        <v>63</v>
      </c>
      <c r="G10" s="68" t="s">
        <v>64</v>
      </c>
      <c r="H10" s="71">
        <v>45557</v>
      </c>
      <c r="I10" s="72">
        <v>45465</v>
      </c>
      <c r="J10" s="73">
        <v>45373</v>
      </c>
      <c r="K10" s="73">
        <v>45647</v>
      </c>
      <c r="L10" s="73">
        <v>45556</v>
      </c>
      <c r="M10" s="74">
        <v>45464</v>
      </c>
    </row>
    <row r="11" spans="1:17" ht="15.75" thickBot="1" x14ac:dyDescent="0.3">
      <c r="A11" s="116" t="e" vm="1">
        <v>#VALUE!</v>
      </c>
      <c r="B11" s="116"/>
      <c r="C11" s="116"/>
      <c r="D11" s="116"/>
      <c r="E11" s="116"/>
      <c r="F11" s="116"/>
      <c r="G11" s="116"/>
      <c r="H11" s="116"/>
      <c r="I11" s="116"/>
      <c r="J11" s="116"/>
      <c r="K11" s="116"/>
      <c r="L11" s="116"/>
      <c r="M11" s="66"/>
    </row>
    <row r="12" spans="1:17" ht="15.75" thickBot="1" x14ac:dyDescent="0.3">
      <c r="A12" s="117" t="s">
        <v>65</v>
      </c>
      <c r="B12" s="118"/>
      <c r="C12" s="119"/>
      <c r="D12" s="75"/>
      <c r="E12" s="76"/>
      <c r="F12" s="77"/>
      <c r="G12" s="75"/>
      <c r="H12" s="78"/>
      <c r="I12" s="78"/>
      <c r="J12" s="79"/>
      <c r="K12" s="78"/>
      <c r="L12" s="78"/>
      <c r="M12" s="66"/>
    </row>
    <row r="13" spans="1:17" ht="36.75" thickBot="1" x14ac:dyDescent="0.3">
      <c r="A13" s="80" t="s">
        <v>66</v>
      </c>
      <c r="B13" s="80"/>
      <c r="C13" s="81">
        <v>56772.58</v>
      </c>
      <c r="D13" s="81">
        <v>54294.5</v>
      </c>
      <c r="E13" s="82">
        <v>38007.949999999997</v>
      </c>
      <c r="F13" s="83">
        <v>35642.78</v>
      </c>
      <c r="G13" s="81">
        <v>33641.410000000003</v>
      </c>
      <c r="H13" s="84">
        <v>30409.39</v>
      </c>
      <c r="I13" s="85">
        <v>27402.28</v>
      </c>
      <c r="J13" s="84">
        <v>25908.86</v>
      </c>
      <c r="K13" s="84">
        <v>24895.49</v>
      </c>
      <c r="L13" s="84">
        <v>24114.94</v>
      </c>
      <c r="M13" s="86">
        <v>23592.73</v>
      </c>
      <c r="N13" s="87">
        <v>23811.63</v>
      </c>
      <c r="O13" s="87">
        <v>23580.69</v>
      </c>
      <c r="P13" s="87">
        <v>23404.85</v>
      </c>
      <c r="Q13" s="87">
        <v>24037.37</v>
      </c>
    </row>
    <row r="14" spans="1:17" ht="60.75" thickBot="1" x14ac:dyDescent="0.3">
      <c r="A14" s="80" t="s">
        <v>67</v>
      </c>
      <c r="B14" s="80"/>
      <c r="C14" s="81">
        <v>12215.78</v>
      </c>
      <c r="D14" s="81">
        <v>11639.51</v>
      </c>
      <c r="E14" s="82">
        <v>8911.24</v>
      </c>
      <c r="F14" s="83">
        <v>8376.44</v>
      </c>
      <c r="G14" s="81">
        <v>8039.22</v>
      </c>
      <c r="H14" s="88">
        <v>7701.93</v>
      </c>
      <c r="I14" s="89">
        <v>7193.57</v>
      </c>
      <c r="J14" s="88">
        <v>6576.53</v>
      </c>
      <c r="K14" s="88">
        <v>6525.82</v>
      </c>
      <c r="L14" s="88">
        <v>6450.64</v>
      </c>
      <c r="M14" s="86">
        <v>6493.14</v>
      </c>
      <c r="N14" s="87">
        <v>6166.33</v>
      </c>
      <c r="O14" s="87">
        <v>5831.91</v>
      </c>
      <c r="P14" s="87">
        <v>5618.39</v>
      </c>
      <c r="Q14" s="87">
        <v>5597.64</v>
      </c>
    </row>
    <row r="15" spans="1:17" ht="36.75" thickBot="1" x14ac:dyDescent="0.3">
      <c r="A15" s="80" t="s">
        <v>68</v>
      </c>
      <c r="B15" s="80"/>
      <c r="C15" s="90">
        <v>376.07</v>
      </c>
      <c r="D15" s="90">
        <v>412.91</v>
      </c>
      <c r="E15" s="91">
        <v>791.85</v>
      </c>
      <c r="F15" s="92">
        <v>308.64999999999998</v>
      </c>
      <c r="G15" s="90">
        <v>231.66</v>
      </c>
      <c r="H15" s="93">
        <v>160.24</v>
      </c>
      <c r="I15" s="94">
        <v>296.24</v>
      </c>
      <c r="J15" s="93">
        <v>695.45</v>
      </c>
      <c r="K15" s="93">
        <v>863.19</v>
      </c>
      <c r="L15" s="93">
        <v>690.9</v>
      </c>
      <c r="M15" s="95">
        <v>302.83</v>
      </c>
      <c r="N15" s="96">
        <v>314.87</v>
      </c>
      <c r="O15" s="96">
        <v>558.34</v>
      </c>
      <c r="P15" s="96">
        <v>841.56</v>
      </c>
      <c r="Q15" s="96">
        <v>626.48</v>
      </c>
    </row>
    <row r="16" spans="1:17" ht="15.75" thickBot="1" x14ac:dyDescent="0.3">
      <c r="A16" s="80" t="s">
        <v>69</v>
      </c>
      <c r="B16" s="80"/>
      <c r="C16" s="81">
        <v>1218.18</v>
      </c>
      <c r="D16" s="81">
        <v>1351.47</v>
      </c>
      <c r="E16" s="91">
        <v>875.77</v>
      </c>
      <c r="F16" s="92">
        <v>791.49</v>
      </c>
      <c r="G16" s="90">
        <v>795.48</v>
      </c>
      <c r="H16" s="93">
        <v>314.82</v>
      </c>
      <c r="I16" s="94">
        <v>279.95</v>
      </c>
      <c r="J16" s="93">
        <v>267.88</v>
      </c>
      <c r="K16" s="93">
        <v>183.55</v>
      </c>
      <c r="L16" s="93">
        <v>96.89</v>
      </c>
      <c r="M16" s="95">
        <v>94.27</v>
      </c>
      <c r="N16" s="96">
        <v>130.76</v>
      </c>
      <c r="O16" s="96">
        <v>108.76</v>
      </c>
      <c r="P16" s="96">
        <v>112.17</v>
      </c>
      <c r="Q16" s="96">
        <v>116.48</v>
      </c>
    </row>
    <row r="17" spans="1:17" ht="24.75" thickBot="1" x14ac:dyDescent="0.3">
      <c r="A17" s="80" t="s">
        <v>70</v>
      </c>
      <c r="B17" s="80"/>
      <c r="C17" s="81">
        <v>11137.04</v>
      </c>
      <c r="D17" s="81">
        <v>10707.84</v>
      </c>
      <c r="E17" s="82">
        <v>9229.85</v>
      </c>
      <c r="F17" s="83">
        <v>8731.18</v>
      </c>
      <c r="G17" s="81">
        <v>8499.84</v>
      </c>
      <c r="H17" s="88">
        <v>7595.58</v>
      </c>
      <c r="I17" s="97">
        <v>6388.23</v>
      </c>
      <c r="J17" s="88">
        <v>7637.06</v>
      </c>
      <c r="K17" s="88">
        <v>8183.55</v>
      </c>
      <c r="L17" s="88">
        <v>7400.79</v>
      </c>
      <c r="M17" s="86">
        <v>6288.5</v>
      </c>
      <c r="N17" s="87">
        <v>7593.91</v>
      </c>
      <c r="O17" s="87">
        <v>7443.22</v>
      </c>
      <c r="P17" s="87">
        <v>6092.45</v>
      </c>
      <c r="Q17" s="87">
        <v>4075.31</v>
      </c>
    </row>
    <row r="18" spans="1:17" x14ac:dyDescent="0.25">
      <c r="B18" s="98">
        <f>C18*(1+B19)</f>
        <v>89891.615000000005</v>
      </c>
      <c r="C18" s="99">
        <f>SUM(C13:C17)</f>
        <v>81719.649999999994</v>
      </c>
      <c r="D18" s="99">
        <f>SUM(D13:D17)</f>
        <v>78406.23</v>
      </c>
      <c r="E18" s="100">
        <f t="shared" ref="E18:Q18" si="0">SUM(E13:E17)</f>
        <v>57816.659999999989</v>
      </c>
      <c r="F18" s="99">
        <f t="shared" si="0"/>
        <v>53850.54</v>
      </c>
      <c r="G18" s="99">
        <f t="shared" si="0"/>
        <v>51207.610000000015</v>
      </c>
      <c r="H18" s="99">
        <f t="shared" si="0"/>
        <v>46181.96</v>
      </c>
      <c r="I18" s="100">
        <f t="shared" si="0"/>
        <v>41560.26999999999</v>
      </c>
      <c r="J18" s="99">
        <f t="shared" si="0"/>
        <v>41085.779999999992</v>
      </c>
      <c r="K18" s="99">
        <f t="shared" si="0"/>
        <v>40651.599999999999</v>
      </c>
      <c r="L18" s="99">
        <f t="shared" si="0"/>
        <v>38754.159999999996</v>
      </c>
      <c r="M18" s="100">
        <f t="shared" si="0"/>
        <v>36771.47</v>
      </c>
      <c r="N18" s="99">
        <f t="shared" si="0"/>
        <v>38017.5</v>
      </c>
      <c r="O18" s="99">
        <f t="shared" si="0"/>
        <v>37522.92</v>
      </c>
      <c r="P18" s="99">
        <f t="shared" si="0"/>
        <v>36069.42</v>
      </c>
      <c r="Q18" s="99">
        <f t="shared" si="0"/>
        <v>34453.279999999999</v>
      </c>
    </row>
    <row r="19" spans="1:17" x14ac:dyDescent="0.25">
      <c r="B19" s="101">
        <v>0.1</v>
      </c>
      <c r="C19" s="102">
        <f>C18/D18-1</f>
        <v>4.225965207101523E-2</v>
      </c>
      <c r="D19" s="102">
        <f>D18/E18-1</f>
        <v>0.35611828839645887</v>
      </c>
      <c r="E19" s="103">
        <f t="shared" ref="E19:G19" si="1">E18/F18-1</f>
        <v>7.3650514925198252E-2</v>
      </c>
      <c r="F19" s="102">
        <f t="shared" si="1"/>
        <v>5.1612055317558969E-2</v>
      </c>
      <c r="G19" s="102">
        <f t="shared" si="1"/>
        <v>0.10882279574102127</v>
      </c>
      <c r="H19" s="102">
        <f>H18/I18-1</f>
        <v>0.11120452297350347</v>
      </c>
      <c r="I19" s="103">
        <f t="shared" ref="I19:P19" si="2">I18/J18-1</f>
        <v>1.1548764560390445E-2</v>
      </c>
      <c r="J19" s="102">
        <f t="shared" si="2"/>
        <v>1.0680514420096543E-2</v>
      </c>
      <c r="K19" s="102">
        <f t="shared" si="2"/>
        <v>4.8960937354854295E-2</v>
      </c>
      <c r="L19" s="102">
        <f t="shared" si="2"/>
        <v>5.3919247721127217E-2</v>
      </c>
      <c r="M19" s="103">
        <f t="shared" si="2"/>
        <v>-3.2775169329913867E-2</v>
      </c>
      <c r="N19" s="102">
        <f t="shared" si="2"/>
        <v>1.3180743929310346E-2</v>
      </c>
      <c r="O19" s="102">
        <f t="shared" si="2"/>
        <v>4.0297293385920918E-2</v>
      </c>
      <c r="P19" s="102">
        <f t="shared" si="2"/>
        <v>4.690816084854621E-2</v>
      </c>
      <c r="Q19" s="102"/>
    </row>
    <row r="20" spans="1:17" x14ac:dyDescent="0.25">
      <c r="E20" s="66"/>
      <c r="I20" s="66"/>
      <c r="M20" s="66"/>
    </row>
    <row r="21" spans="1:17" x14ac:dyDescent="0.25">
      <c r="E21" s="66"/>
      <c r="I21" s="66"/>
      <c r="M21" s="66"/>
    </row>
    <row r="22" spans="1:17" x14ac:dyDescent="0.25">
      <c r="B22" s="99">
        <f>SUM(B18:E18)</f>
        <v>307834.15499999997</v>
      </c>
      <c r="E22" s="66"/>
      <c r="F22" s="99">
        <f>SUM(F18:I18)</f>
        <v>192800.38</v>
      </c>
      <c r="G22" s="99"/>
      <c r="I22" s="66"/>
      <c r="J22" s="99">
        <f>SUM(J18:M18)</f>
        <v>157263.00999999998</v>
      </c>
      <c r="N22" s="99">
        <f>SUM(N18:Q18)</f>
        <v>146063.12</v>
      </c>
    </row>
    <row r="23" spans="1:17" x14ac:dyDescent="0.25">
      <c r="E23" s="66"/>
      <c r="I23" s="66"/>
    </row>
    <row r="24" spans="1:17" x14ac:dyDescent="0.25">
      <c r="A24" s="3"/>
      <c r="B24" s="102">
        <f t="shared" ref="B24" si="3">B22/F22-1</f>
        <v>0.59664703461684021</v>
      </c>
      <c r="C24" s="102"/>
      <c r="D24" s="102"/>
      <c r="E24" s="102"/>
      <c r="F24" s="102">
        <f>F22/J22-1</f>
        <v>0.22597411813496393</v>
      </c>
      <c r="G24" s="102"/>
      <c r="H24" s="102"/>
      <c r="I24" s="102"/>
      <c r="J24" s="102">
        <f>J22/N22-1</f>
        <v>7.6678425053497312E-2</v>
      </c>
    </row>
  </sheetData>
  <mergeCells count="2">
    <mergeCell ref="A11:L11"/>
    <mergeCell ref="A12:C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DCF</vt:lpstr>
      <vt:lpstr>7.81</vt:lpstr>
      <vt:lpstr>Sheet1</vt:lpstr>
      <vt:lpstr>tgr</vt:lpstr>
      <vt:lpstr>wacc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Chon</dc:creator>
  <cp:lastModifiedBy>Aniket Vasaikar</cp:lastModifiedBy>
  <dcterms:created xsi:type="dcterms:W3CDTF">2024-03-01T18:13:57Z</dcterms:created>
  <dcterms:modified xsi:type="dcterms:W3CDTF">2024-10-14T00:30:50Z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73fd474-4f3c-44ed-88fb-5cc4bd2471bf_Enabled">
    <vt:lpwstr>true</vt:lpwstr>
  </property>
  <property fmtid="{D5CDD505-2E9C-101B-9397-08002B2CF9AE}" pid="3" name="MSIP_Label_a73fd474-4f3c-44ed-88fb-5cc4bd2471bf_SetDate">
    <vt:lpwstr>2024-03-16T07:21:17Z</vt:lpwstr>
  </property>
  <property fmtid="{D5CDD505-2E9C-101B-9397-08002B2CF9AE}" pid="4" name="MSIP_Label_a73fd474-4f3c-44ed-88fb-5cc4bd2471bf_Method">
    <vt:lpwstr>Standard</vt:lpwstr>
  </property>
  <property fmtid="{D5CDD505-2E9C-101B-9397-08002B2CF9AE}" pid="5" name="MSIP_Label_a73fd474-4f3c-44ed-88fb-5cc4bd2471bf_Name">
    <vt:lpwstr>defa4170-0d19-0005-0004-bc88714345d2</vt:lpwstr>
  </property>
  <property fmtid="{D5CDD505-2E9C-101B-9397-08002B2CF9AE}" pid="6" name="MSIP_Label_a73fd474-4f3c-44ed-88fb-5cc4bd2471bf_SiteId">
    <vt:lpwstr>8d1a69ec-03b5-4345-ae21-dad112f5fb4f</vt:lpwstr>
  </property>
  <property fmtid="{D5CDD505-2E9C-101B-9397-08002B2CF9AE}" pid="7" name="MSIP_Label_a73fd474-4f3c-44ed-88fb-5cc4bd2471bf_ActionId">
    <vt:lpwstr>046be270-8238-4a3b-9d98-b0f68249c7d1</vt:lpwstr>
  </property>
  <property fmtid="{D5CDD505-2E9C-101B-9397-08002B2CF9AE}" pid="8" name="MSIP_Label_a73fd474-4f3c-44ed-88fb-5cc4bd2471bf_ContentBits">
    <vt:lpwstr>0</vt:lpwstr>
  </property>
</Properties>
</file>