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rees\OneDrive\Desktop\"/>
    </mc:Choice>
  </mc:AlternateContent>
  <xr:revisionPtr revIDLastSave="0" documentId="8_{00635A3C-97AD-403B-B05C-F365E7F16B04}" xr6:coauthVersionLast="47" xr6:coauthVersionMax="47" xr10:uidLastSave="{00000000-0000-0000-0000-000000000000}"/>
  <bookViews>
    <workbookView xWindow="-120" yWindow="-120" windowWidth="38640" windowHeight="21120" xr2:uid="{9BD5AC8B-180E-4975-873A-F728A8BEB3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A28" i="1" l="1"/>
  <c r="AE28" i="1"/>
  <c r="AH33" i="1"/>
  <c r="O10" i="1"/>
  <c r="L31" i="1"/>
  <c r="K10" i="1"/>
  <c r="T5" i="1"/>
  <c r="T10" i="1" s="1"/>
  <c r="K37" i="1"/>
  <c r="L37" i="1" s="1"/>
  <c r="J37" i="1"/>
  <c r="I37" i="1"/>
  <c r="G37" i="1"/>
  <c r="F37" i="1"/>
  <c r="E37" i="1"/>
  <c r="D37" i="1"/>
  <c r="D32" i="1"/>
  <c r="K32" i="1"/>
  <c r="J32" i="1"/>
  <c r="I32" i="1"/>
  <c r="H32" i="1"/>
  <c r="G32" i="1"/>
  <c r="J10" i="1"/>
  <c r="U30" i="1"/>
  <c r="AH37" i="1"/>
  <c r="AH40" i="1"/>
  <c r="R17" i="1"/>
  <c r="AH47" i="1"/>
  <c r="AH42" i="1"/>
  <c r="L10" i="1" l="1"/>
  <c r="U5" i="1"/>
  <c r="V5" i="1"/>
  <c r="W5" i="1" s="1"/>
  <c r="X5" i="1" s="1"/>
  <c r="AH52" i="1"/>
  <c r="AH48" i="1" s="1"/>
  <c r="M10" i="1" l="1"/>
  <c r="AH41" i="1"/>
  <c r="AH54" i="1" s="1"/>
  <c r="T6" i="1"/>
  <c r="U6" i="1" s="1"/>
  <c r="V37" i="1"/>
  <c r="W37" i="1"/>
  <c r="X37" i="1"/>
  <c r="Y37" i="1"/>
  <c r="Z37" i="1"/>
  <c r="AA37" i="1"/>
  <c r="AB37" i="1"/>
  <c r="AC37" i="1"/>
  <c r="AD37" i="1"/>
  <c r="U37" i="1"/>
  <c r="R35" i="1"/>
  <c r="R34" i="1"/>
  <c r="R31" i="1"/>
  <c r="R10" i="1"/>
  <c r="R18" i="1" s="1"/>
  <c r="T7" i="1"/>
  <c r="J26" i="1"/>
  <c r="T26" i="1" s="1"/>
  <c r="J19" i="1"/>
  <c r="T19" i="1" s="1"/>
  <c r="J16" i="1"/>
  <c r="T16" i="1" s="1"/>
  <c r="J15" i="1"/>
  <c r="T15" i="1" s="1"/>
  <c r="E34" i="1"/>
  <c r="F34" i="1"/>
  <c r="G34" i="1"/>
  <c r="H34" i="1"/>
  <c r="I34" i="1"/>
  <c r="D34" i="1"/>
  <c r="I17" i="1"/>
  <c r="T8" i="1"/>
  <c r="U8" i="1" s="1"/>
  <c r="E33" i="1"/>
  <c r="F33" i="1"/>
  <c r="G33" i="1"/>
  <c r="H33" i="1"/>
  <c r="I33" i="1"/>
  <c r="D33" i="1"/>
  <c r="E32" i="1"/>
  <c r="F32" i="1"/>
  <c r="S12" i="1"/>
  <c r="S5" i="1"/>
  <c r="S6" i="1"/>
  <c r="S7" i="1"/>
  <c r="S8" i="1"/>
  <c r="S9" i="1"/>
  <c r="S15" i="1"/>
  <c r="S16" i="1"/>
  <c r="S19" i="1"/>
  <c r="S22" i="1"/>
  <c r="S26" i="1"/>
  <c r="I10" i="1"/>
  <c r="H10" i="1"/>
  <c r="G10" i="1"/>
  <c r="F17" i="1"/>
  <c r="G17" i="1"/>
  <c r="H17" i="1"/>
  <c r="F10" i="1"/>
  <c r="J31" i="1" s="1"/>
  <c r="E17" i="1"/>
  <c r="E10" i="1"/>
  <c r="D17" i="1"/>
  <c r="C17" i="1"/>
  <c r="D10" i="1"/>
  <c r="C10" i="1"/>
  <c r="N10" i="1" l="1"/>
  <c r="N31" i="1" s="1"/>
  <c r="M31" i="1"/>
  <c r="S17" i="1"/>
  <c r="G31" i="1"/>
  <c r="K31" i="1"/>
  <c r="I31" i="1"/>
  <c r="S35" i="1"/>
  <c r="S34" i="1"/>
  <c r="S31" i="1"/>
  <c r="U7" i="1"/>
  <c r="V7" i="1" s="1"/>
  <c r="F18" i="1"/>
  <c r="F21" i="1" s="1"/>
  <c r="F23" i="1" s="1"/>
  <c r="F25" i="1" s="1"/>
  <c r="F28" i="1" s="1"/>
  <c r="S10" i="1"/>
  <c r="S30" i="1" s="1"/>
  <c r="J34" i="1"/>
  <c r="I18" i="1"/>
  <c r="I21" i="1" s="1"/>
  <c r="V8" i="1"/>
  <c r="V6" i="1"/>
  <c r="T9" i="1"/>
  <c r="U9" i="1" s="1"/>
  <c r="E18" i="1"/>
  <c r="E21" i="1" s="1"/>
  <c r="H31" i="1"/>
  <c r="D18" i="1"/>
  <c r="D21" i="1" s="1"/>
  <c r="J33" i="1"/>
  <c r="H18" i="1"/>
  <c r="H21" i="1" s="1"/>
  <c r="G18" i="1"/>
  <c r="G21" i="1" s="1"/>
  <c r="C18" i="1"/>
  <c r="F35" i="1" l="1"/>
  <c r="W7" i="1"/>
  <c r="X7" i="1" s="1"/>
  <c r="Y7" i="1" s="1"/>
  <c r="Z7" i="1" s="1"/>
  <c r="AA7" i="1" s="1"/>
  <c r="AB7" i="1" s="1"/>
  <c r="AC7" i="1" s="1"/>
  <c r="AD7" i="1" s="1"/>
  <c r="V9" i="1"/>
  <c r="W8" i="1"/>
  <c r="X8" i="1" s="1"/>
  <c r="Y8" i="1" s="1"/>
  <c r="Z8" i="1" s="1"/>
  <c r="AA8" i="1" s="1"/>
  <c r="AB8" i="1" s="1"/>
  <c r="AC8" i="1" s="1"/>
  <c r="AD8" i="1" s="1"/>
  <c r="U10" i="1"/>
  <c r="W9" i="1"/>
  <c r="S18" i="1"/>
  <c r="T35" i="1"/>
  <c r="W6" i="1"/>
  <c r="X6" i="1" s="1"/>
  <c r="Y6" i="1" s="1"/>
  <c r="Z6" i="1" s="1"/>
  <c r="AA6" i="1" s="1"/>
  <c r="AB6" i="1" s="1"/>
  <c r="AC6" i="1" s="1"/>
  <c r="AD6" i="1" s="1"/>
  <c r="T34" i="1"/>
  <c r="U15" i="1" s="1"/>
  <c r="J12" i="1"/>
  <c r="T12" i="1" s="1"/>
  <c r="R21" i="1"/>
  <c r="R36" i="1"/>
  <c r="R32" i="1"/>
  <c r="E23" i="1"/>
  <c r="E25" i="1" s="1"/>
  <c r="E28" i="1" s="1"/>
  <c r="E35" i="1"/>
  <c r="D23" i="1"/>
  <c r="D25" i="1" s="1"/>
  <c r="D28" i="1" s="1"/>
  <c r="D35" i="1"/>
  <c r="G23" i="1"/>
  <c r="G25" i="1" s="1"/>
  <c r="G35" i="1"/>
  <c r="H23" i="1"/>
  <c r="H25" i="1" s="1"/>
  <c r="H28" i="1" s="1"/>
  <c r="H35" i="1"/>
  <c r="I23" i="1"/>
  <c r="I25" i="1" s="1"/>
  <c r="I28" i="1" s="1"/>
  <c r="I35" i="1"/>
  <c r="C21" i="1"/>
  <c r="S21" i="1" l="1"/>
  <c r="S32" i="1"/>
  <c r="S36" i="1"/>
  <c r="X9" i="1"/>
  <c r="U35" i="1"/>
  <c r="T30" i="1"/>
  <c r="J17" i="1"/>
  <c r="J18" i="1" s="1"/>
  <c r="J21" i="1" s="1"/>
  <c r="T17" i="1"/>
  <c r="T18" i="1" s="1"/>
  <c r="T31" i="1"/>
  <c r="R23" i="1"/>
  <c r="R37" i="1"/>
  <c r="J35" i="1"/>
  <c r="G28" i="1"/>
  <c r="C23" i="1"/>
  <c r="J22" i="1" l="1"/>
  <c r="T36" i="1"/>
  <c r="T32" i="1"/>
  <c r="Y9" i="1"/>
  <c r="Z9" i="1"/>
  <c r="S23" i="1"/>
  <c r="S33" i="1" s="1"/>
  <c r="S37" i="1"/>
  <c r="V10" i="1"/>
  <c r="V35" i="1"/>
  <c r="V16" i="1" s="1"/>
  <c r="U16" i="1"/>
  <c r="W35" i="1"/>
  <c r="T21" i="1"/>
  <c r="U31" i="1"/>
  <c r="R25" i="1"/>
  <c r="R28" i="1" s="1"/>
  <c r="R33" i="1"/>
  <c r="J23" i="1"/>
  <c r="J25" i="1" s="1"/>
  <c r="T25" i="1" s="1"/>
  <c r="T22" i="1"/>
  <c r="C25" i="1"/>
  <c r="AA9" i="1" l="1"/>
  <c r="AB9" i="1" s="1"/>
  <c r="AC9" i="1" s="1"/>
  <c r="AD9" i="1" s="1"/>
  <c r="W10" i="1"/>
  <c r="V30" i="1"/>
  <c r="X35" i="1"/>
  <c r="W16" i="1"/>
  <c r="T37" i="1"/>
  <c r="U12" i="1"/>
  <c r="T23" i="1"/>
  <c r="T33" i="1" s="1"/>
  <c r="V31" i="1"/>
  <c r="W31" i="1" s="1"/>
  <c r="J28" i="1"/>
  <c r="T28" i="1" s="1"/>
  <c r="C28" i="1"/>
  <c r="S28" i="1" s="1"/>
  <c r="S25" i="1"/>
  <c r="X10" i="1" l="1"/>
  <c r="W30" i="1"/>
  <c r="Y35" i="1"/>
  <c r="X16" i="1"/>
  <c r="Y16" i="1"/>
  <c r="V12" i="1"/>
  <c r="V15" i="1"/>
  <c r="U17" i="1"/>
  <c r="U18" i="1" s="1"/>
  <c r="U32" i="1" s="1"/>
  <c r="X31" i="1"/>
  <c r="W12" i="1"/>
  <c r="W15" i="1"/>
  <c r="Y10" i="1" l="1"/>
  <c r="X30" i="1"/>
  <c r="Z35" i="1"/>
  <c r="AA35" i="1" s="1"/>
  <c r="V17" i="1"/>
  <c r="V18" i="1" s="1"/>
  <c r="U19" i="1"/>
  <c r="U21" i="1" s="1"/>
  <c r="U22" i="1" s="1"/>
  <c r="U23" i="1" s="1"/>
  <c r="U25" i="1" s="1"/>
  <c r="U28" i="1" s="1"/>
  <c r="X15" i="1"/>
  <c r="Y5" i="1"/>
  <c r="Y15" i="1" s="1"/>
  <c r="X12" i="1"/>
  <c r="W17" i="1"/>
  <c r="W18" i="1" s="1"/>
  <c r="W32" i="1" s="1"/>
  <c r="Y31" i="1"/>
  <c r="Z31" i="1" s="1"/>
  <c r="V19" i="1" l="1"/>
  <c r="V21" i="1" s="1"/>
  <c r="V22" i="1" s="1"/>
  <c r="V23" i="1" s="1"/>
  <c r="V25" i="1" s="1"/>
  <c r="V28" i="1" s="1"/>
  <c r="V32" i="1"/>
  <c r="Z10" i="1"/>
  <c r="Y30" i="1"/>
  <c r="AB35" i="1"/>
  <c r="Z16" i="1"/>
  <c r="AA31" i="1"/>
  <c r="AB31" i="1" s="1"/>
  <c r="W19" i="1"/>
  <c r="W21" i="1" s="1"/>
  <c r="W22" i="1" s="1"/>
  <c r="W23" i="1" s="1"/>
  <c r="W25" i="1" s="1"/>
  <c r="W28" i="1" s="1"/>
  <c r="X17" i="1"/>
  <c r="X18" i="1" s="1"/>
  <c r="Z5" i="1"/>
  <c r="Y12" i="1"/>
  <c r="X19" i="1" l="1"/>
  <c r="X21" i="1" s="1"/>
  <c r="X22" i="1" s="1"/>
  <c r="X23" i="1" s="1"/>
  <c r="X25" i="1" s="1"/>
  <c r="X28" i="1" s="1"/>
  <c r="X32" i="1"/>
  <c r="AA10" i="1"/>
  <c r="Z30" i="1"/>
  <c r="AC35" i="1"/>
  <c r="AD35" i="1" s="1"/>
  <c r="AD16" i="1" s="1"/>
  <c r="AA16" i="1"/>
  <c r="Y17" i="1"/>
  <c r="Y18" i="1" s="1"/>
  <c r="Z15" i="1"/>
  <c r="AA5" i="1"/>
  <c r="Z12" i="1"/>
  <c r="AC31" i="1"/>
  <c r="AD31" i="1" s="1"/>
  <c r="Y19" i="1" l="1"/>
  <c r="Y21" i="1" s="1"/>
  <c r="Y22" i="1" s="1"/>
  <c r="Y23" i="1" s="1"/>
  <c r="Y25" i="1" s="1"/>
  <c r="Y28" i="1" s="1"/>
  <c r="Y32" i="1"/>
  <c r="AB10" i="1"/>
  <c r="AA30" i="1"/>
  <c r="AB16" i="1"/>
  <c r="Z17" i="1"/>
  <c r="Z18" i="1" s="1"/>
  <c r="AB5" i="1"/>
  <c r="AA12" i="1"/>
  <c r="AA15" i="1"/>
  <c r="Z19" i="1" l="1"/>
  <c r="Z21" i="1" s="1"/>
  <c r="Z22" i="1" s="1"/>
  <c r="Z23" i="1" s="1"/>
  <c r="Z25" i="1" s="1"/>
  <c r="Z28" i="1" s="1"/>
  <c r="Z32" i="1"/>
  <c r="AC10" i="1"/>
  <c r="AB30" i="1"/>
  <c r="AC30" i="1"/>
  <c r="AD10" i="1"/>
  <c r="AC16" i="1"/>
  <c r="AA17" i="1"/>
  <c r="AA18" i="1" s="1"/>
  <c r="AC5" i="1"/>
  <c r="AB12" i="1"/>
  <c r="AB15" i="1"/>
  <c r="AA19" i="1" l="1"/>
  <c r="AA21" i="1" s="1"/>
  <c r="AA22" i="1" s="1"/>
  <c r="AA23" i="1" s="1"/>
  <c r="AA25" i="1" s="1"/>
  <c r="AA32" i="1"/>
  <c r="AD30" i="1"/>
  <c r="AB17" i="1"/>
  <c r="AB18" i="1" s="1"/>
  <c r="AD5" i="1"/>
  <c r="AC15" i="1"/>
  <c r="AC12" i="1"/>
  <c r="AC17" i="1" s="1"/>
  <c r="AC18" i="1" s="1"/>
  <c r="AC19" i="1" l="1"/>
  <c r="AC21" i="1" s="1"/>
  <c r="AC22" i="1" s="1"/>
  <c r="AC23" i="1" s="1"/>
  <c r="AC25" i="1" s="1"/>
  <c r="AC28" i="1" s="1"/>
  <c r="AC32" i="1"/>
  <c r="AB19" i="1"/>
  <c r="AB21" i="1" s="1"/>
  <c r="AB22" i="1" s="1"/>
  <c r="AB32" i="1"/>
  <c r="AD15" i="1"/>
  <c r="AD12" i="1"/>
  <c r="AB23" i="1"/>
  <c r="AB25" i="1" s="1"/>
  <c r="AB28" i="1" s="1"/>
  <c r="AD17" i="1" l="1"/>
  <c r="AD18" i="1" s="1"/>
  <c r="AD19" i="1" l="1"/>
  <c r="AD21" i="1" s="1"/>
  <c r="AD22" i="1" s="1"/>
  <c r="AD23" i="1" s="1"/>
  <c r="AD25" i="1" s="1"/>
  <c r="AD28" i="1" s="1"/>
  <c r="AF28" i="1" s="1"/>
  <c r="AG28" i="1" s="1"/>
  <c r="AH28" i="1" s="1"/>
  <c r="AI28" i="1" s="1"/>
  <c r="AJ28" i="1" s="1"/>
  <c r="AK28" i="1" s="1"/>
  <c r="AL28" i="1" s="1"/>
  <c r="AM28" i="1" s="1"/>
  <c r="AN28" i="1" s="1"/>
  <c r="AO28" i="1" s="1"/>
  <c r="AP28" i="1" s="1"/>
  <c r="AQ28" i="1" s="1"/>
  <c r="AR28" i="1" s="1"/>
  <c r="AS28" i="1" s="1"/>
  <c r="AT28" i="1" s="1"/>
  <c r="AU28" i="1" s="1"/>
  <c r="AV28" i="1" s="1"/>
  <c r="AW28" i="1" s="1"/>
  <c r="AX28" i="1" s="1"/>
  <c r="AY28" i="1" s="1"/>
  <c r="AZ28" i="1" s="1"/>
  <c r="BA28" i="1" s="1"/>
  <c r="BB28" i="1" s="1"/>
  <c r="BC28" i="1" s="1"/>
  <c r="BD28" i="1" s="1"/>
  <c r="BE28" i="1" s="1"/>
  <c r="BF28" i="1" s="1"/>
  <c r="BG28" i="1" s="1"/>
  <c r="BH28" i="1" s="1"/>
  <c r="BI28" i="1" s="1"/>
  <c r="BJ28" i="1" s="1"/>
  <c r="BK28" i="1" s="1"/>
  <c r="BL28" i="1" s="1"/>
  <c r="BM28" i="1" s="1"/>
  <c r="BN28" i="1" s="1"/>
  <c r="BO28" i="1" s="1"/>
  <c r="BP28" i="1" s="1"/>
  <c r="BQ28" i="1" s="1"/>
  <c r="BR28" i="1" s="1"/>
  <c r="BS28" i="1" s="1"/>
  <c r="BT28" i="1" s="1"/>
  <c r="BU28" i="1" s="1"/>
  <c r="BV28" i="1" s="1"/>
  <c r="BW28" i="1" s="1"/>
  <c r="BX28" i="1" s="1"/>
  <c r="BY28" i="1" s="1"/>
  <c r="BZ28" i="1" s="1"/>
  <c r="CA28" i="1" s="1"/>
  <c r="CB28" i="1" s="1"/>
  <c r="CC28" i="1" s="1"/>
  <c r="CD28" i="1" s="1"/>
  <c r="CE28" i="1" s="1"/>
  <c r="CF28" i="1" s="1"/>
  <c r="CG28" i="1" s="1"/>
  <c r="CH28" i="1" s="1"/>
  <c r="CI28" i="1" s="1"/>
  <c r="CJ28" i="1" s="1"/>
  <c r="CK28" i="1" s="1"/>
  <c r="CL28" i="1" s="1"/>
  <c r="CM28" i="1" s="1"/>
  <c r="CN28" i="1" s="1"/>
  <c r="CO28" i="1" s="1"/>
  <c r="CP28" i="1" s="1"/>
  <c r="CQ28" i="1" s="1"/>
  <c r="CR28" i="1" s="1"/>
  <c r="CS28" i="1" s="1"/>
  <c r="CT28" i="1" s="1"/>
  <c r="CU28" i="1" s="1"/>
  <c r="CV28" i="1" s="1"/>
  <c r="CW28" i="1" s="1"/>
  <c r="CX28" i="1" s="1"/>
  <c r="CY28" i="1" s="1"/>
  <c r="CZ28" i="1" s="1"/>
  <c r="DA28" i="1" s="1"/>
  <c r="DB28" i="1" s="1"/>
  <c r="DC28" i="1" s="1"/>
  <c r="DD28" i="1" s="1"/>
  <c r="DE28" i="1" s="1"/>
  <c r="DF28" i="1" s="1"/>
  <c r="DG28" i="1" s="1"/>
  <c r="DH28" i="1" s="1"/>
  <c r="DI28" i="1" s="1"/>
  <c r="DJ28" i="1" s="1"/>
  <c r="DK28" i="1" s="1"/>
  <c r="DL28" i="1" s="1"/>
  <c r="DM28" i="1" s="1"/>
  <c r="DN28" i="1" s="1"/>
  <c r="DO28" i="1" s="1"/>
  <c r="DP28" i="1" s="1"/>
  <c r="DQ28" i="1" s="1"/>
  <c r="DR28" i="1" s="1"/>
  <c r="DS28" i="1" s="1"/>
  <c r="DT28" i="1" s="1"/>
  <c r="DU28" i="1" s="1"/>
  <c r="DV28" i="1" s="1"/>
  <c r="DW28" i="1" s="1"/>
  <c r="DX28" i="1" s="1"/>
  <c r="DY28" i="1" s="1"/>
  <c r="DZ28" i="1" s="1"/>
  <c r="EA28" i="1" s="1"/>
  <c r="EB28" i="1" s="1"/>
  <c r="EC28" i="1" s="1"/>
  <c r="ED28" i="1" s="1"/>
  <c r="EE28" i="1" s="1"/>
  <c r="EF28" i="1" s="1"/>
  <c r="EG28" i="1" s="1"/>
  <c r="EH28" i="1" s="1"/>
  <c r="AH36" i="1" s="1"/>
  <c r="AH38" i="1" s="1"/>
  <c r="AD32" i="1"/>
</calcChain>
</file>

<file path=xl/sharedStrings.xml><?xml version="1.0" encoding="utf-8"?>
<sst xmlns="http://schemas.openxmlformats.org/spreadsheetml/2006/main" count="106" uniqueCount="72">
  <si>
    <t>Revenue</t>
  </si>
  <si>
    <t>Q1</t>
  </si>
  <si>
    <t>Q2</t>
  </si>
  <si>
    <t>Q3</t>
  </si>
  <si>
    <t>Q4</t>
  </si>
  <si>
    <t>Total interest expenses</t>
  </si>
  <si>
    <t>to 2024</t>
  </si>
  <si>
    <t>to 2023</t>
  </si>
  <si>
    <t>Interest income / Revenue</t>
  </si>
  <si>
    <t>23-24</t>
  </si>
  <si>
    <t>22-23</t>
  </si>
  <si>
    <t>INT/DICOUINT BILLS/</t>
  </si>
  <si>
    <t>Income on investments</t>
  </si>
  <si>
    <t xml:space="preserve">RBI </t>
  </si>
  <si>
    <t>Other</t>
  </si>
  <si>
    <t>Other income</t>
  </si>
  <si>
    <t>Total Revenue</t>
  </si>
  <si>
    <t>Operating Expense</t>
  </si>
  <si>
    <t>Emplyoees Cost</t>
  </si>
  <si>
    <t>Other Operating expenses</t>
  </si>
  <si>
    <t>Total Exp</t>
  </si>
  <si>
    <t>Operating Profit</t>
  </si>
  <si>
    <t>Provisions</t>
  </si>
  <si>
    <t>Exceptional items</t>
  </si>
  <si>
    <t>Profit</t>
  </si>
  <si>
    <t>Tax expenses</t>
  </si>
  <si>
    <t>Net profit</t>
  </si>
  <si>
    <t>Minority interest</t>
  </si>
  <si>
    <t>Net Profit</t>
  </si>
  <si>
    <t>Extraordinary items</t>
  </si>
  <si>
    <t>Share of interest</t>
  </si>
  <si>
    <t xml:space="preserve">Net PROFIT </t>
  </si>
  <si>
    <t>Y/Y growth</t>
  </si>
  <si>
    <t>INT GROWTH RATE</t>
  </si>
  <si>
    <t>Investment</t>
  </si>
  <si>
    <t>TOTAL EXP AS A % of INT BILLS</t>
  </si>
  <si>
    <t>TAX %</t>
  </si>
  <si>
    <t>21-22</t>
  </si>
  <si>
    <t>REVENUE GROWTH</t>
  </si>
  <si>
    <t>TOTAL INTEREST EXP AS % of INT REV</t>
  </si>
  <si>
    <t>OPERATING PROFIT AS %</t>
  </si>
  <si>
    <t>Net profit as %</t>
  </si>
  <si>
    <t>24-25</t>
  </si>
  <si>
    <t>25-26</t>
  </si>
  <si>
    <t>26-27</t>
  </si>
  <si>
    <t>27-28</t>
  </si>
  <si>
    <t>28-29</t>
  </si>
  <si>
    <t>29-30</t>
  </si>
  <si>
    <t>30-31</t>
  </si>
  <si>
    <t>31-32</t>
  </si>
  <si>
    <t>33-34</t>
  </si>
  <si>
    <t>32-33</t>
  </si>
  <si>
    <t>Employee cost</t>
  </si>
  <si>
    <t>OTHER OPERATING EXP</t>
  </si>
  <si>
    <t>Maturity</t>
  </si>
  <si>
    <t>NPV</t>
  </si>
  <si>
    <t>Cash</t>
  </si>
  <si>
    <t>Debt</t>
  </si>
  <si>
    <t>EV</t>
  </si>
  <si>
    <t>Discount rate</t>
  </si>
  <si>
    <t>WACC</t>
  </si>
  <si>
    <t>Market Cap</t>
  </si>
  <si>
    <t>% of Equity</t>
  </si>
  <si>
    <t>Cost of Equity</t>
  </si>
  <si>
    <t>Risk Free Rate</t>
  </si>
  <si>
    <t>Beta</t>
  </si>
  <si>
    <t>Market Risk Premium</t>
  </si>
  <si>
    <t>% of Debt</t>
  </si>
  <si>
    <t>Cost of Debt</t>
  </si>
  <si>
    <t>Tax Rate</t>
  </si>
  <si>
    <t>Total</t>
  </si>
  <si>
    <t>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</si>
</sst>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%"/>
    <numFmt numFmtId="166" formatCode="0.0"/>
  </numFmts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0" fillId="0" borderId="0" xfId="0" applyAlignment="1">
      <alignment horizontal="left" indent="1"/>
    </xf>
    <xf numFmtId="0" fontId="2" fillId="0" borderId="0" xfId="0" applyFont="1" applyAlignment="1">
      <alignment horizontal="left" indent="1"/>
    </xf>
    <xf numFmtId="164" fontId="0" fillId="0" borderId="1" xfId="0" applyNumberFormat="1" applyBorder="1"/>
    <xf numFmtId="164" fontId="1" fillId="0" borderId="2" xfId="0" applyNumberFormat="1" applyFont="1" applyBorder="1"/>
    <xf numFmtId="9" fontId="0" fillId="0" borderId="0" xfId="0" applyNumberFormat="1"/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3" fontId="1" fillId="0" borderId="0" xfId="0" applyNumberFormat="1" applyFont="1" applyAlignment="1">
      <alignment horizontal="right"/>
    </xf>
    <xf numFmtId="164" fontId="0" fillId="0" borderId="3" xfId="0" applyNumberFormat="1" applyBorder="1"/>
    <xf numFmtId="0" fontId="0" fillId="0" borderId="3" xfId="0" applyBorder="1"/>
    <xf numFmtId="9" fontId="0" fillId="0" borderId="3" xfId="0" applyNumberFormat="1" applyBorder="1"/>
    <xf numFmtId="9" fontId="0" fillId="0" borderId="4" xfId="0" applyNumberFormat="1" applyBorder="1"/>
    <xf numFmtId="9" fontId="0" fillId="0" borderId="5" xfId="0" applyNumberForma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1" xfId="0" applyNumberFormat="1" applyBorder="1"/>
    <xf numFmtId="1" fontId="0" fillId="0" borderId="0" xfId="0" applyNumberFormat="1"/>
    <xf numFmtId="37" fontId="0" fillId="0" borderId="0" xfId="0" applyNumberFormat="1"/>
    <xf numFmtId="37" fontId="1" fillId="0" borderId="0" xfId="0" applyNumberFormat="1" applyFont="1"/>
    <xf numFmtId="166" fontId="1" fillId="0" borderId="0" xfId="0" applyNumberFormat="1" applyFont="1"/>
    <xf numFmtId="1" fontId="1" fillId="0" borderId="0" xfId="0" applyNumberFormat="1" applyFont="1"/>
    <xf numFmtId="0" fontId="0" fillId="0" borderId="9" xfId="0" applyBorder="1"/>
    <xf numFmtId="3" fontId="0" fillId="0" borderId="4" xfId="0" applyNumberFormat="1" applyBorder="1"/>
    <xf numFmtId="0" fontId="0" fillId="0" borderId="10" xfId="0" applyBorder="1"/>
    <xf numFmtId="10" fontId="0" fillId="0" borderId="5" xfId="0" applyNumberFormat="1" applyBorder="1" applyAlignment="1">
      <alignment horizontal="right"/>
    </xf>
    <xf numFmtId="10" fontId="0" fillId="3" borderId="11" xfId="0" applyNumberFormat="1" applyFill="1" applyBorder="1" applyAlignment="1">
      <alignment horizontal="right"/>
    </xf>
    <xf numFmtId="0" fontId="0" fillId="3" borderId="11" xfId="0" applyFill="1" applyBorder="1" applyAlignment="1">
      <alignment horizontal="right"/>
    </xf>
    <xf numFmtId="0" fontId="0" fillId="0" borderId="5" xfId="0" applyBorder="1"/>
    <xf numFmtId="3" fontId="0" fillId="3" borderId="11" xfId="0" applyNumberFormat="1" applyFill="1" applyBorder="1" applyAlignment="1">
      <alignment horizontal="right"/>
    </xf>
    <xf numFmtId="3" fontId="0" fillId="0" borderId="5" xfId="0" applyNumberFormat="1" applyBorder="1"/>
    <xf numFmtId="0" fontId="0" fillId="0" borderId="12" xfId="0" applyBorder="1"/>
    <xf numFmtId="10" fontId="0" fillId="0" borderId="13" xfId="0" applyNumberFormat="1" applyBorder="1" applyAlignment="1">
      <alignment horizontal="right"/>
    </xf>
    <xf numFmtId="164" fontId="0" fillId="2" borderId="2" xfId="0" applyNumberFormat="1" applyFill="1" applyBorder="1"/>
    <xf numFmtId="164" fontId="0" fillId="2" borderId="14" xfId="0" applyNumberFormat="1" applyFill="1" applyBorder="1"/>
    <xf numFmtId="3" fontId="1" fillId="0" borderId="2" xfId="0" applyNumberFormat="1" applyFont="1" applyBorder="1"/>
    <xf numFmtId="3" fontId="1" fillId="0" borderId="1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604631</xdr:colOff>
      <xdr:row>0</xdr:row>
      <xdr:rowOff>165652</xdr:rowOff>
    </xdr:from>
    <xdr:to>
      <xdr:col>20</xdr:col>
      <xdr:colOff>49696</xdr:colOff>
      <xdr:row>53</xdr:row>
      <xdr:rowOff>140804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DF257EF-4D78-0AA9-31EE-FD694859EAA0}"/>
            </a:ext>
          </a:extLst>
        </xdr:cNvPr>
        <xdr:cNvCxnSpPr/>
      </xdr:nvCxnSpPr>
      <xdr:spPr>
        <a:xfrm>
          <a:off x="14801022" y="165652"/>
          <a:ext cx="57978" cy="10071652"/>
        </a:xfrm>
        <a:prstGeom prst="straightConnector1">
          <a:avLst/>
        </a:prstGeom>
        <a:ln>
          <a:tailEnd type="triangle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25092-8AC2-4AA6-B3E0-7CE800749691}">
  <dimension ref="B1:EH55"/>
  <sheetViews>
    <sheetView tabSelected="1" topLeftCell="G1" zoomScale="115" zoomScaleNormal="115" workbookViewId="0">
      <selection activeCell="Z42" sqref="Z42"/>
    </sheetView>
  </sheetViews>
  <sheetFormatPr defaultRowHeight="15" x14ac:dyDescent="0.25"/>
  <cols>
    <col min="1" max="1" width="4" customWidth="1"/>
    <col min="2" max="2" width="30.5703125" bestFit="1" customWidth="1"/>
    <col min="3" max="3" width="10.85546875" bestFit="1" customWidth="1"/>
    <col min="10" max="10" width="8.28515625" customWidth="1"/>
    <col min="11" max="11" width="8.140625" customWidth="1"/>
    <col min="17" max="17" width="31.7109375" bestFit="1" customWidth="1"/>
    <col min="18" max="18" width="9.85546875" customWidth="1"/>
    <col min="19" max="19" width="8.42578125" customWidth="1"/>
    <col min="33" max="33" width="19.85546875" bestFit="1" customWidth="1"/>
    <col min="34" max="34" width="11" bestFit="1" customWidth="1"/>
    <col min="37" max="37" width="11.140625" customWidth="1"/>
  </cols>
  <sheetData>
    <row r="1" spans="2:30" x14ac:dyDescent="0.25">
      <c r="C1" s="1">
        <v>2022</v>
      </c>
      <c r="D1" s="1" t="s">
        <v>7</v>
      </c>
      <c r="G1" s="1">
        <v>2023</v>
      </c>
      <c r="H1" s="1" t="s">
        <v>6</v>
      </c>
      <c r="R1" s="1" t="s">
        <v>37</v>
      </c>
      <c r="S1" s="1" t="s">
        <v>10</v>
      </c>
      <c r="T1" s="1" t="s">
        <v>9</v>
      </c>
      <c r="U1" s="1" t="s">
        <v>42</v>
      </c>
      <c r="V1" s="1" t="s">
        <v>43</v>
      </c>
      <c r="W1" s="1" t="s">
        <v>44</v>
      </c>
      <c r="X1" s="1" t="s">
        <v>45</v>
      </c>
      <c r="Y1" s="1" t="s">
        <v>46</v>
      </c>
      <c r="Z1" s="1" t="s">
        <v>47</v>
      </c>
      <c r="AA1" s="1" t="s">
        <v>48</v>
      </c>
      <c r="AB1" s="1" t="s">
        <v>49</v>
      </c>
      <c r="AC1" s="1" t="s">
        <v>51</v>
      </c>
      <c r="AD1" s="1" t="s">
        <v>50</v>
      </c>
    </row>
    <row r="2" spans="2:30" x14ac:dyDescent="0.25">
      <c r="C2" s="13" t="s">
        <v>1</v>
      </c>
      <c r="D2" s="13" t="s">
        <v>2</v>
      </c>
      <c r="E2" s="13" t="s">
        <v>3</v>
      </c>
      <c r="F2" s="13" t="s">
        <v>4</v>
      </c>
      <c r="G2" s="13" t="s">
        <v>1</v>
      </c>
      <c r="H2" s="13" t="s">
        <v>2</v>
      </c>
      <c r="I2" s="13" t="s">
        <v>3</v>
      </c>
      <c r="J2" s="4" t="s">
        <v>4</v>
      </c>
      <c r="K2" s="4" t="s">
        <v>1</v>
      </c>
      <c r="L2" s="4" t="s">
        <v>2</v>
      </c>
      <c r="M2" s="4" t="s">
        <v>3</v>
      </c>
      <c r="N2" s="4" t="s">
        <v>4</v>
      </c>
    </row>
    <row r="3" spans="2:30" x14ac:dyDescent="0.25">
      <c r="B3" t="s">
        <v>0</v>
      </c>
      <c r="C3" s="2"/>
      <c r="D3" s="2"/>
      <c r="E3" s="2"/>
      <c r="F3" s="2"/>
      <c r="G3" s="2"/>
      <c r="H3" s="2"/>
      <c r="I3" s="2"/>
      <c r="Q3" t="s">
        <v>0</v>
      </c>
      <c r="S3" s="24"/>
      <c r="T3" s="24"/>
    </row>
    <row r="4" spans="2:30" x14ac:dyDescent="0.25">
      <c r="B4" s="1" t="s">
        <v>8</v>
      </c>
      <c r="C4" s="2"/>
      <c r="D4" s="2"/>
      <c r="E4" s="2"/>
      <c r="F4" s="2"/>
      <c r="G4" s="2"/>
      <c r="H4" s="2"/>
      <c r="I4" s="2"/>
      <c r="Q4" s="1" t="s">
        <v>8</v>
      </c>
      <c r="R4" s="1"/>
      <c r="S4" s="24"/>
      <c r="T4" s="24"/>
    </row>
    <row r="5" spans="2:30" x14ac:dyDescent="0.25">
      <c r="B5" s="6" t="s">
        <v>11</v>
      </c>
      <c r="C5" s="2">
        <v>294.137</v>
      </c>
      <c r="D5" s="2">
        <v>326.2</v>
      </c>
      <c r="E5" s="2">
        <v>358.5</v>
      </c>
      <c r="F5" s="2">
        <v>378.7</v>
      </c>
      <c r="G5" s="2">
        <v>404.5</v>
      </c>
      <c r="H5" s="2">
        <v>568.9</v>
      </c>
      <c r="I5" s="2">
        <v>595.20000000000005</v>
      </c>
      <c r="J5" s="12">
        <v>610.26800000000003</v>
      </c>
      <c r="K5" s="2">
        <v>618</v>
      </c>
      <c r="Q5" s="6" t="s">
        <v>11</v>
      </c>
      <c r="R5" s="24">
        <v>1270.9000000000001</v>
      </c>
      <c r="S5" s="24">
        <f>SUM(C5:F5)</f>
        <v>1357.537</v>
      </c>
      <c r="T5" s="24">
        <f>SUM(G5:J5)</f>
        <v>2178.8679999999999</v>
      </c>
      <c r="U5" s="12">
        <f>T5*(1+25%)</f>
        <v>2723.585</v>
      </c>
      <c r="V5" s="12">
        <f>U5*1.1</f>
        <v>2995.9435000000003</v>
      </c>
      <c r="W5" s="12">
        <f>V5*1.03</f>
        <v>3085.8218050000005</v>
      </c>
      <c r="X5" s="12">
        <f t="shared" ref="X5:X8" si="0">W5*1.03</f>
        <v>3178.3964591500007</v>
      </c>
      <c r="Y5" s="12">
        <f t="shared" ref="V5:AD8" si="1">X5*1.1</f>
        <v>3496.2361050650011</v>
      </c>
      <c r="Z5" s="12">
        <f t="shared" si="1"/>
        <v>3845.8597155715015</v>
      </c>
      <c r="AA5" s="12">
        <f t="shared" si="1"/>
        <v>4230.445687128652</v>
      </c>
      <c r="AB5" s="12">
        <f>AA5*1.05</f>
        <v>4441.9679714850845</v>
      </c>
      <c r="AC5" s="12">
        <f t="shared" ref="AC5:AD5" si="2">AB5*1.05</f>
        <v>4664.0663700593386</v>
      </c>
      <c r="AD5" s="12">
        <f t="shared" si="2"/>
        <v>4897.2696885623054</v>
      </c>
    </row>
    <row r="6" spans="2:30" x14ac:dyDescent="0.25">
      <c r="B6" s="6" t="s">
        <v>12</v>
      </c>
      <c r="C6" s="2">
        <v>71.372200000000007</v>
      </c>
      <c r="D6" s="2">
        <v>76.8</v>
      </c>
      <c r="E6" s="2">
        <v>79.599999999999994</v>
      </c>
      <c r="F6" s="2">
        <v>83.9</v>
      </c>
      <c r="G6" s="2">
        <v>88.77</v>
      </c>
      <c r="H6" s="2">
        <v>160.91800000000001</v>
      </c>
      <c r="I6" s="2">
        <v>165.7</v>
      </c>
      <c r="J6" s="12">
        <v>159.82730000000001</v>
      </c>
      <c r="K6" s="2">
        <v>174.7</v>
      </c>
      <c r="Q6" s="6" t="s">
        <v>12</v>
      </c>
      <c r="R6" s="24">
        <v>313.10000000000002</v>
      </c>
      <c r="S6" s="24">
        <f>SUM(C6:F6)</f>
        <v>311.67219999999998</v>
      </c>
      <c r="T6" s="24">
        <f>SUM(G6:J6)</f>
        <v>575.21529999999996</v>
      </c>
      <c r="U6" s="12">
        <f t="shared" ref="U6:U7" si="3">T6*(1+25%)</f>
        <v>719.01912499999992</v>
      </c>
      <c r="V6" s="12">
        <f>U6*1.1</f>
        <v>790.92103750000001</v>
      </c>
      <c r="W6" s="12">
        <f t="shared" ref="W6:W8" si="4">V6*1.03</f>
        <v>814.64866862500003</v>
      </c>
      <c r="X6" s="12">
        <f t="shared" si="0"/>
        <v>839.08812868375003</v>
      </c>
      <c r="Y6" s="12">
        <f t="shared" ref="Y6:AD6" si="5">X6*1.1</f>
        <v>922.99694155212512</v>
      </c>
      <c r="Z6" s="12">
        <f t="shared" si="5"/>
        <v>1015.2966357073377</v>
      </c>
      <c r="AA6" s="12">
        <f t="shared" si="5"/>
        <v>1116.8262992780715</v>
      </c>
      <c r="AB6" s="12">
        <f t="shared" si="5"/>
        <v>1228.5089292058788</v>
      </c>
      <c r="AC6" s="12">
        <f t="shared" si="5"/>
        <v>1351.3598221264667</v>
      </c>
      <c r="AD6" s="12">
        <f t="shared" si="5"/>
        <v>1486.4958043391134</v>
      </c>
    </row>
    <row r="7" spans="2:30" x14ac:dyDescent="0.25">
      <c r="B7" s="6" t="s">
        <v>13</v>
      </c>
      <c r="C7" s="2">
        <v>3.9649999999999999</v>
      </c>
      <c r="D7" s="2">
        <v>1.9</v>
      </c>
      <c r="E7" s="2">
        <v>2.65</v>
      </c>
      <c r="F7" s="2">
        <v>3.7</v>
      </c>
      <c r="G7" s="2">
        <v>8.484</v>
      </c>
      <c r="H7" s="2">
        <v>4.8</v>
      </c>
      <c r="I7" s="2">
        <v>4.7</v>
      </c>
      <c r="J7" s="2">
        <v>8.1999999999999993</v>
      </c>
      <c r="K7" s="2">
        <v>6.3</v>
      </c>
      <c r="Q7" s="6" t="s">
        <v>13</v>
      </c>
      <c r="R7" s="24">
        <v>9.9</v>
      </c>
      <c r="S7" s="24">
        <f>SUM(C7:F7)</f>
        <v>12.215</v>
      </c>
      <c r="T7" s="24">
        <f>SUM(G7:J7)</f>
        <v>26.183999999999997</v>
      </c>
      <c r="U7" s="12">
        <f t="shared" si="3"/>
        <v>32.729999999999997</v>
      </c>
      <c r="V7" s="12">
        <f t="shared" si="1"/>
        <v>36.003</v>
      </c>
      <c r="W7" s="12">
        <f t="shared" si="4"/>
        <v>37.083089999999999</v>
      </c>
      <c r="X7" s="12">
        <f t="shared" si="0"/>
        <v>38.195582700000003</v>
      </c>
      <c r="Y7" s="12">
        <f t="shared" si="1"/>
        <v>42.015140970000004</v>
      </c>
      <c r="Z7" s="12">
        <f t="shared" si="1"/>
        <v>46.216655067000012</v>
      </c>
      <c r="AA7" s="12">
        <f t="shared" si="1"/>
        <v>50.838320573700017</v>
      </c>
      <c r="AB7" s="12">
        <f t="shared" si="1"/>
        <v>55.92215263107002</v>
      </c>
      <c r="AC7" s="12">
        <f t="shared" si="1"/>
        <v>61.514367894177028</v>
      </c>
      <c r="AD7" s="12">
        <f t="shared" si="1"/>
        <v>67.665804683594729</v>
      </c>
    </row>
    <row r="8" spans="2:30" x14ac:dyDescent="0.25">
      <c r="B8" s="6" t="s">
        <v>14</v>
      </c>
      <c r="C8" s="2">
        <v>4.0317999999999996</v>
      </c>
      <c r="D8" s="2">
        <v>4.2</v>
      </c>
      <c r="E8" s="2">
        <v>9.2151999999999994</v>
      </c>
      <c r="F8" s="2">
        <v>9.1</v>
      </c>
      <c r="G8" s="2">
        <v>9.8000000000000007</v>
      </c>
      <c r="H8" s="2">
        <v>15.6</v>
      </c>
      <c r="I8" s="2">
        <v>14.3591</v>
      </c>
      <c r="J8" s="2">
        <v>15.2623</v>
      </c>
      <c r="K8" s="2">
        <v>15.5</v>
      </c>
      <c r="Q8" s="6" t="s">
        <v>14</v>
      </c>
      <c r="R8" s="24">
        <v>21.81</v>
      </c>
      <c r="S8" s="24">
        <f>SUM(C8:F8)</f>
        <v>26.546999999999997</v>
      </c>
      <c r="T8" s="24">
        <f>SUM(G8:J8)</f>
        <v>55.0214</v>
      </c>
      <c r="U8" s="12">
        <f>T8*(1+25%)</f>
        <v>68.776749999999993</v>
      </c>
      <c r="V8" s="12">
        <f t="shared" si="1"/>
        <v>75.654425000000003</v>
      </c>
      <c r="W8" s="12">
        <f t="shared" si="4"/>
        <v>77.924057750000003</v>
      </c>
      <c r="X8" s="12">
        <f t="shared" si="0"/>
        <v>80.261779482500003</v>
      </c>
      <c r="Y8" s="12">
        <f t="shared" ref="Y8:AC8" si="6">X8*1.05</f>
        <v>84.274868456625001</v>
      </c>
      <c r="Z8" s="12">
        <f t="shared" si="6"/>
        <v>88.488611879456258</v>
      </c>
      <c r="AA8" s="12">
        <f t="shared" si="6"/>
        <v>92.913042473429073</v>
      </c>
      <c r="AB8" s="12">
        <f t="shared" si="6"/>
        <v>97.558694597100526</v>
      </c>
      <c r="AC8" s="12">
        <f t="shared" si="6"/>
        <v>102.43662932695555</v>
      </c>
      <c r="AD8" s="12">
        <f t="shared" ref="AD8" si="7">AC8*1.03</f>
        <v>105.50972820676422</v>
      </c>
    </row>
    <row r="9" spans="2:30" x14ac:dyDescent="0.25">
      <c r="B9" s="6" t="s">
        <v>15</v>
      </c>
      <c r="C9" s="2">
        <v>69.2851</v>
      </c>
      <c r="D9" s="2">
        <v>82.5</v>
      </c>
      <c r="E9" s="2">
        <v>91.207300000000004</v>
      </c>
      <c r="F9" s="2">
        <v>96.1</v>
      </c>
      <c r="G9" s="2">
        <v>98.5</v>
      </c>
      <c r="H9" s="40">
        <v>325.27</v>
      </c>
      <c r="I9" s="39">
        <v>370.00729999999999</v>
      </c>
      <c r="J9" s="40">
        <v>449.5</v>
      </c>
      <c r="K9" s="40">
        <v>354.5</v>
      </c>
      <c r="Q9" s="6" t="s">
        <v>15</v>
      </c>
      <c r="R9" s="24">
        <v>312.14999999999998</v>
      </c>
      <c r="S9" s="24">
        <f>SUM(C9:F9)</f>
        <v>339.0924</v>
      </c>
      <c r="T9" s="24">
        <f>SUM(G9:J9)</f>
        <v>1243.2773</v>
      </c>
      <c r="U9" s="12">
        <f>AVERAGE(R9:T9)</f>
        <v>631.50656666666657</v>
      </c>
      <c r="V9" s="12">
        <f t="shared" ref="V9:AD9" si="8">AVERAGE(S9:U9)</f>
        <v>737.95875555555551</v>
      </c>
      <c r="W9" s="12">
        <f t="shared" si="8"/>
        <v>870.91420740740739</v>
      </c>
      <c r="X9" s="12">
        <f t="shared" si="8"/>
        <v>746.79317654320982</v>
      </c>
      <c r="Y9" s="12">
        <f t="shared" si="8"/>
        <v>785.22204650205765</v>
      </c>
      <c r="Z9" s="12">
        <f t="shared" si="8"/>
        <v>800.97647681755825</v>
      </c>
      <c r="AA9" s="12">
        <f t="shared" si="8"/>
        <v>777.66389995427528</v>
      </c>
      <c r="AB9" s="12">
        <f t="shared" si="8"/>
        <v>787.95414109129706</v>
      </c>
      <c r="AC9" s="12">
        <f t="shared" si="8"/>
        <v>788.8648392877102</v>
      </c>
      <c r="AD9" s="12">
        <f t="shared" si="8"/>
        <v>784.82762677776088</v>
      </c>
    </row>
    <row r="10" spans="2:30" x14ac:dyDescent="0.25">
      <c r="B10" t="s">
        <v>16</v>
      </c>
      <c r="C10" s="8">
        <f t="shared" ref="C10:I10" si="9">SUM(C5:C9)</f>
        <v>442.79109999999997</v>
      </c>
      <c r="D10" s="8">
        <f t="shared" si="9"/>
        <v>491.59999999999997</v>
      </c>
      <c r="E10" s="8">
        <f t="shared" si="9"/>
        <v>541.17250000000001</v>
      </c>
      <c r="F10" s="8">
        <f t="shared" si="9"/>
        <v>571.5</v>
      </c>
      <c r="G10" s="8">
        <f t="shared" si="9"/>
        <v>610.05399999999997</v>
      </c>
      <c r="H10" s="8">
        <f t="shared" si="9"/>
        <v>1075.4879999999998</v>
      </c>
      <c r="I10" s="8">
        <f t="shared" si="9"/>
        <v>1149.9664000000002</v>
      </c>
      <c r="J10" s="8">
        <f>SUM(J5:J9)</f>
        <v>1243.0576000000001</v>
      </c>
      <c r="K10" s="8">
        <f>SUM(K5:K9)</f>
        <v>1169</v>
      </c>
      <c r="L10" s="41">
        <f>K10+K10*L37</f>
        <v>1240.0076768304859</v>
      </c>
      <c r="M10" s="41">
        <f t="shared" ref="M10" si="10">L10+L10*M37</f>
        <v>1289.6079839037054</v>
      </c>
      <c r="N10" s="42">
        <f>M10+M10*N37</f>
        <v>1315.4001435817795</v>
      </c>
      <c r="O10" s="2">
        <f>SUM(K10:N10)</f>
        <v>5014.0158043159718</v>
      </c>
      <c r="Q10" s="1" t="s">
        <v>16</v>
      </c>
      <c r="R10" s="25">
        <f>SUM(R5:R9)</f>
        <v>1927.8600000000001</v>
      </c>
      <c r="S10" s="25">
        <f>SUM(S5:S9)</f>
        <v>2047.0636</v>
      </c>
      <c r="T10" s="25">
        <f>SUM(T5:T9)</f>
        <v>4078.5659999999998</v>
      </c>
      <c r="U10" s="26">
        <f>SUM(U5:U9)</f>
        <v>4175.6174416666663</v>
      </c>
      <c r="V10" s="26">
        <f>SUM(V5:V9)</f>
        <v>4636.4807180555563</v>
      </c>
      <c r="W10" s="26">
        <f>V10*1.03</f>
        <v>4775.5751395972229</v>
      </c>
      <c r="X10" s="26">
        <f>W10*1.03</f>
        <v>4918.8423937851394</v>
      </c>
      <c r="Y10" s="26">
        <f>X10*1.03</f>
        <v>5066.4076655986937</v>
      </c>
      <c r="Z10" s="26">
        <f>Y10*1.01</f>
        <v>5117.0717422546804</v>
      </c>
      <c r="AA10" s="26">
        <f t="shared" ref="AA10:AC10" si="11">Z10*1.01</f>
        <v>5168.2424596772271</v>
      </c>
      <c r="AB10" s="26">
        <f t="shared" si="11"/>
        <v>5219.9248842739999</v>
      </c>
      <c r="AC10" s="26">
        <f t="shared" si="11"/>
        <v>5272.1241331167403</v>
      </c>
      <c r="AD10" s="26">
        <f>AC10*0.97</f>
        <v>5113.9604091232377</v>
      </c>
    </row>
    <row r="11" spans="2:30" x14ac:dyDescent="0.25">
      <c r="C11" s="2"/>
      <c r="D11" s="2"/>
      <c r="E11" s="2"/>
      <c r="F11" s="2"/>
      <c r="G11" s="2"/>
      <c r="H11" s="2"/>
      <c r="I11" s="2"/>
      <c r="J11" s="2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</row>
    <row r="12" spans="2:30" x14ac:dyDescent="0.25">
      <c r="B12" t="s">
        <v>5</v>
      </c>
      <c r="C12" s="2">
        <v>-163.58619999999999</v>
      </c>
      <c r="D12" s="2">
        <v>-183</v>
      </c>
      <c r="E12" s="2">
        <v>-205.05</v>
      </c>
      <c r="F12" s="2">
        <v>-226.06</v>
      </c>
      <c r="G12" s="2">
        <v>-259.55</v>
      </c>
      <c r="H12" s="2">
        <v>-412.49</v>
      </c>
      <c r="I12" s="2">
        <v>-432.42</v>
      </c>
      <c r="J12" s="12">
        <f>J5*J34</f>
        <v>-410.43135995139386</v>
      </c>
      <c r="Q12" t="s">
        <v>5</v>
      </c>
      <c r="R12" s="24">
        <v>-747.4</v>
      </c>
      <c r="S12" s="24">
        <f>SUM(C12:F12)</f>
        <v>-777.69619999999986</v>
      </c>
      <c r="T12" s="24">
        <f>SUM(G12:J12)</f>
        <v>-1514.891359951394</v>
      </c>
      <c r="U12" s="24">
        <f>U5*U31</f>
        <v>-1685.1959166302343</v>
      </c>
      <c r="V12" s="24">
        <f t="shared" ref="V12:AD12" si="12">V5*V31</f>
        <v>-1884.3286872976121</v>
      </c>
      <c r="W12" s="24">
        <f>W5*W31</f>
        <v>-1998.5501366632529</v>
      </c>
      <c r="X12" s="24">
        <f t="shared" si="12"/>
        <v>-2008.0659092885016</v>
      </c>
      <c r="Y12" s="24">
        <f t="shared" si="12"/>
        <v>-2224.0741799487528</v>
      </c>
      <c r="Z12" s="24">
        <f t="shared" si="12"/>
        <v>-2455.6781278353765</v>
      </c>
      <c r="AA12" s="24">
        <f t="shared" si="12"/>
        <v>-2688.3704745399677</v>
      </c>
      <c r="AB12" s="24">
        <f t="shared" si="12"/>
        <v>-2828.2611605139059</v>
      </c>
      <c r="AC12" s="24">
        <f t="shared" si="12"/>
        <v>-2970.5754387507559</v>
      </c>
      <c r="AD12" s="24">
        <f t="shared" si="12"/>
        <v>-3116.4623369147353</v>
      </c>
    </row>
    <row r="13" spans="2:30" x14ac:dyDescent="0.25">
      <c r="C13" s="2"/>
      <c r="D13" s="2"/>
      <c r="E13" s="2"/>
      <c r="F13" s="2"/>
      <c r="G13" s="2"/>
      <c r="H13" s="2"/>
      <c r="I13" s="2"/>
      <c r="R13" s="24"/>
      <c r="S13" s="24"/>
      <c r="T13" s="24"/>
    </row>
    <row r="14" spans="2:30" x14ac:dyDescent="0.25">
      <c r="B14" t="s">
        <v>17</v>
      </c>
      <c r="C14" s="2"/>
      <c r="D14" s="2"/>
      <c r="E14" s="2"/>
      <c r="F14" s="2"/>
      <c r="G14" s="2"/>
      <c r="H14" s="2"/>
      <c r="I14" s="2"/>
      <c r="J14" s="1"/>
      <c r="Q14" t="s">
        <v>17</v>
      </c>
      <c r="R14" s="24"/>
      <c r="S14" s="24"/>
      <c r="T14" s="24"/>
    </row>
    <row r="15" spans="2:30" x14ac:dyDescent="0.25">
      <c r="B15" s="5" t="s">
        <v>18</v>
      </c>
      <c r="C15" s="2">
        <v>-46.08</v>
      </c>
      <c r="D15" s="2">
        <v>-46.3</v>
      </c>
      <c r="E15" s="2">
        <v>-52.7</v>
      </c>
      <c r="F15" s="2">
        <v>-55.07</v>
      </c>
      <c r="G15" s="2">
        <v>-59.5</v>
      </c>
      <c r="H15" s="2">
        <v>-77.8</v>
      </c>
      <c r="I15" s="2">
        <v>-78.599999999999994</v>
      </c>
      <c r="J15" s="12">
        <f>I15*1.09</f>
        <v>-85.674000000000007</v>
      </c>
      <c r="Q15" s="5" t="s">
        <v>18</v>
      </c>
      <c r="R15" s="24">
        <v>-155.1</v>
      </c>
      <c r="S15" s="24">
        <f>SUM(C15:F15)</f>
        <v>-200.14999999999998</v>
      </c>
      <c r="T15" s="24">
        <f>SUM(G15:J15)</f>
        <v>-301.57400000000001</v>
      </c>
      <c r="U15" s="24">
        <f>U5*$T$34</f>
        <v>-376.96750000000009</v>
      </c>
      <c r="V15" s="24">
        <f t="shared" ref="V15:AD15" si="13">V5*$T$34</f>
        <v>-414.6642500000001</v>
      </c>
      <c r="W15" s="24">
        <f t="shared" si="13"/>
        <v>-427.10417750000016</v>
      </c>
      <c r="X15" s="24">
        <f t="shared" si="13"/>
        <v>-439.91730282500015</v>
      </c>
      <c r="Y15" s="24">
        <f>Y5*$T$34</f>
        <v>-483.90903310750025</v>
      </c>
      <c r="Z15" s="24">
        <f t="shared" si="13"/>
        <v>-532.29993641825024</v>
      </c>
      <c r="AA15" s="24">
        <f t="shared" si="13"/>
        <v>-585.52993006007534</v>
      </c>
      <c r="AB15" s="24">
        <f t="shared" si="13"/>
        <v>-614.80642656307907</v>
      </c>
      <c r="AC15" s="24">
        <f t="shared" si="13"/>
        <v>-645.54674789123305</v>
      </c>
      <c r="AD15" s="24">
        <f t="shared" si="13"/>
        <v>-677.82408528579469</v>
      </c>
    </row>
    <row r="16" spans="2:30" x14ac:dyDescent="0.25">
      <c r="B16" s="5" t="s">
        <v>19</v>
      </c>
      <c r="C16" s="7">
        <v>-67.48</v>
      </c>
      <c r="D16" s="7">
        <v>-75.099999999999994</v>
      </c>
      <c r="E16" s="7">
        <v>-81.599999999999994</v>
      </c>
      <c r="F16" s="7">
        <v>-90.9</v>
      </c>
      <c r="G16" s="7">
        <v>-92.22</v>
      </c>
      <c r="H16" s="7">
        <v>-342.48</v>
      </c>
      <c r="I16" s="7">
        <v>-380.6</v>
      </c>
      <c r="J16" s="12">
        <f>J9*-1.03</f>
        <v>-462.98500000000001</v>
      </c>
      <c r="Q16" s="5" t="s">
        <v>19</v>
      </c>
      <c r="R16" s="24">
        <v>-321.3</v>
      </c>
      <c r="S16" s="24">
        <f>SUM(C16:F16)</f>
        <v>-315.08</v>
      </c>
      <c r="T16" s="24">
        <f>SUM(G16:J16)</f>
        <v>-1278.2850000000001</v>
      </c>
      <c r="U16" s="24">
        <f>(U9+U8)*U35</f>
        <v>-655.5583843978925</v>
      </c>
      <c r="V16" s="24">
        <f t="shared" ref="V16:AC16" si="14">(V9+V8)*V35</f>
        <v>-754.61024764632077</v>
      </c>
      <c r="W16" s="24">
        <f t="shared" si="14"/>
        <v>-805.94262900008039</v>
      </c>
      <c r="X16" s="24">
        <f t="shared" si="14"/>
        <v>-665.2314055870761</v>
      </c>
      <c r="Y16" s="24">
        <f>(Y9+Y8)*Y35</f>
        <v>-661.17048150268238</v>
      </c>
      <c r="Z16" s="24">
        <f t="shared" si="14"/>
        <v>-626.81872738825689</v>
      </c>
      <c r="AA16" s="24">
        <f t="shared" si="14"/>
        <v>-571.52147180738916</v>
      </c>
      <c r="AB16" s="24">
        <f t="shared" si="14"/>
        <v>-537.68514091397253</v>
      </c>
      <c r="AC16" s="24">
        <f t="shared" si="14"/>
        <v>-495.68308360506757</v>
      </c>
      <c r="AD16" s="24">
        <f>(AD9+AD8)*AD35</f>
        <v>-451.0514009751156</v>
      </c>
    </row>
    <row r="17" spans="2:138" x14ac:dyDescent="0.25">
      <c r="B17" t="s">
        <v>20</v>
      </c>
      <c r="C17" s="2">
        <f>C12+C15+C16</f>
        <v>-277.14620000000002</v>
      </c>
      <c r="D17" s="2">
        <f>D12+D15+D16</f>
        <v>-304.39999999999998</v>
      </c>
      <c r="E17" s="2">
        <f>SUM(E12:E16)</f>
        <v>-339.35</v>
      </c>
      <c r="F17" s="2">
        <f t="shared" ref="F17:H17" si="15">SUM(F12:F16)</f>
        <v>-372.03</v>
      </c>
      <c r="G17" s="2">
        <f t="shared" si="15"/>
        <v>-411.27</v>
      </c>
      <c r="H17" s="2">
        <f t="shared" si="15"/>
        <v>-832.77</v>
      </c>
      <c r="I17" s="2">
        <f>SUM(I12:I16)</f>
        <v>-891.62</v>
      </c>
      <c r="J17" s="14">
        <f>SUM(J12:J16)</f>
        <v>-959.09035995139391</v>
      </c>
      <c r="Q17" t="s">
        <v>20</v>
      </c>
      <c r="R17" s="24">
        <f>SUM(R12:R16)</f>
        <v>-1223.8</v>
      </c>
      <c r="S17" s="24">
        <f>SUM(S12:S16)</f>
        <v>-1292.9261999999999</v>
      </c>
      <c r="T17" s="24">
        <f>SUM(T12:T16)</f>
        <v>-3094.7503599513939</v>
      </c>
      <c r="U17" s="24">
        <f t="shared" ref="U17:AD17" si="16">SUM(U12:U16)</f>
        <v>-2717.7218010281267</v>
      </c>
      <c r="V17" s="24">
        <f t="shared" si="16"/>
        <v>-3053.6031849439328</v>
      </c>
      <c r="W17" s="24">
        <f t="shared" si="16"/>
        <v>-3231.5969431633339</v>
      </c>
      <c r="X17" s="24">
        <f>SUM(X12:X16)</f>
        <v>-3113.2146177005779</v>
      </c>
      <c r="Y17" s="24">
        <f t="shared" si="16"/>
        <v>-3369.1536945589355</v>
      </c>
      <c r="Z17" s="24">
        <f t="shared" si="16"/>
        <v>-3614.7967916418834</v>
      </c>
      <c r="AA17" s="24">
        <f t="shared" si="16"/>
        <v>-3845.4218764074321</v>
      </c>
      <c r="AB17" s="24">
        <f t="shared" si="16"/>
        <v>-3980.7527279909577</v>
      </c>
      <c r="AC17" s="24">
        <f t="shared" si="16"/>
        <v>-4111.8052702470568</v>
      </c>
      <c r="AD17" s="24">
        <f t="shared" si="16"/>
        <v>-4245.337823175646</v>
      </c>
    </row>
    <row r="18" spans="2:138" x14ac:dyDescent="0.25">
      <c r="B18" t="s">
        <v>21</v>
      </c>
      <c r="C18" s="3">
        <f>C10+C17</f>
        <v>165.64489999999995</v>
      </c>
      <c r="D18" s="3">
        <f>D10+D17</f>
        <v>187.2</v>
      </c>
      <c r="E18" s="3">
        <f>E10+E17</f>
        <v>201.82249999999999</v>
      </c>
      <c r="F18" s="3">
        <f t="shared" ref="F18:H18" si="17">F10+F17</f>
        <v>199.47000000000003</v>
      </c>
      <c r="G18" s="3">
        <f t="shared" si="17"/>
        <v>198.78399999999999</v>
      </c>
      <c r="H18" s="3">
        <f t="shared" si="17"/>
        <v>242.71799999999985</v>
      </c>
      <c r="I18" s="3">
        <f>I10+I17</f>
        <v>258.34640000000024</v>
      </c>
      <c r="J18" s="3">
        <f>J10+J17</f>
        <v>283.96724004860619</v>
      </c>
      <c r="Q18" s="1" t="s">
        <v>21</v>
      </c>
      <c r="R18" s="25">
        <f>R10+R17</f>
        <v>704.06000000000017</v>
      </c>
      <c r="S18" s="25">
        <f>S10+S17</f>
        <v>754.13740000000007</v>
      </c>
      <c r="T18" s="25">
        <f>T10+T17</f>
        <v>983.81564004860593</v>
      </c>
      <c r="U18" s="25">
        <f t="shared" ref="U18:AD18" si="18">U10+U17</f>
        <v>1457.8956406385396</v>
      </c>
      <c r="V18" s="25">
        <f t="shared" si="18"/>
        <v>1582.8775331116235</v>
      </c>
      <c r="W18" s="25">
        <f t="shared" si="18"/>
        <v>1543.978196433889</v>
      </c>
      <c r="X18" s="25">
        <f t="shared" si="18"/>
        <v>1805.6277760845614</v>
      </c>
      <c r="Y18" s="25">
        <f t="shared" si="18"/>
        <v>1697.2539710397582</v>
      </c>
      <c r="Z18" s="25">
        <f t="shared" si="18"/>
        <v>1502.2749506127971</v>
      </c>
      <c r="AA18" s="25">
        <f t="shared" si="18"/>
        <v>1322.820583269795</v>
      </c>
      <c r="AB18" s="25">
        <f t="shared" si="18"/>
        <v>1239.1721562830421</v>
      </c>
      <c r="AC18" s="25">
        <f t="shared" si="18"/>
        <v>1160.3188628696835</v>
      </c>
      <c r="AD18" s="25">
        <f t="shared" si="18"/>
        <v>868.62258594759169</v>
      </c>
    </row>
    <row r="19" spans="2:138" x14ac:dyDescent="0.25">
      <c r="B19" t="s">
        <v>22</v>
      </c>
      <c r="C19" s="2">
        <v>36.658000000000001</v>
      </c>
      <c r="D19" s="2">
        <v>37.6</v>
      </c>
      <c r="E19" s="2">
        <v>32.4</v>
      </c>
      <c r="F19" s="2">
        <v>31.7</v>
      </c>
      <c r="G19" s="2">
        <v>32.9</v>
      </c>
      <c r="H19" s="2">
        <v>33.1</v>
      </c>
      <c r="I19" s="2">
        <v>46</v>
      </c>
      <c r="J19" s="2">
        <f>AVERAGE(C19:I19)+4</f>
        <v>39.765428571428572</v>
      </c>
      <c r="Q19" t="s">
        <v>22</v>
      </c>
      <c r="R19" s="24">
        <v>119.1</v>
      </c>
      <c r="S19" s="24">
        <f>SUM(C19:F19)</f>
        <v>138.358</v>
      </c>
      <c r="T19" s="24">
        <f>SUM(G19:J19)</f>
        <v>151.76542857142857</v>
      </c>
      <c r="U19" s="12">
        <f>U36*U18</f>
        <v>218.68434609578094</v>
      </c>
      <c r="V19" s="12">
        <f t="shared" ref="V19:AD19" si="19">V36*V18</f>
        <v>237.43162996674351</v>
      </c>
      <c r="W19" s="12">
        <f t="shared" si="19"/>
        <v>231.59672946508334</v>
      </c>
      <c r="X19" s="12">
        <f t="shared" si="19"/>
        <v>270.84416641268422</v>
      </c>
      <c r="Y19" s="12">
        <f t="shared" si="19"/>
        <v>254.58809565596371</v>
      </c>
      <c r="Z19" s="12">
        <f t="shared" si="19"/>
        <v>225.34124259191955</v>
      </c>
      <c r="AA19" s="12">
        <f t="shared" si="19"/>
        <v>198.42308749046924</v>
      </c>
      <c r="AB19" s="12">
        <f t="shared" si="19"/>
        <v>185.87582344245632</v>
      </c>
      <c r="AC19" s="12">
        <f t="shared" si="19"/>
        <v>174.04782943045251</v>
      </c>
      <c r="AD19" s="12">
        <f t="shared" si="19"/>
        <v>130.29338789213875</v>
      </c>
    </row>
    <row r="20" spans="2:138" x14ac:dyDescent="0.25">
      <c r="B20" t="s">
        <v>23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Q20" t="s">
        <v>23</v>
      </c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</row>
    <row r="21" spans="2:138" x14ac:dyDescent="0.25">
      <c r="B21" t="s">
        <v>24</v>
      </c>
      <c r="C21" s="2">
        <f>C18-C19</f>
        <v>128.98689999999993</v>
      </c>
      <c r="D21" s="2">
        <f>D18-D19</f>
        <v>149.6</v>
      </c>
      <c r="E21" s="2">
        <f>E18-E19</f>
        <v>169.42249999999999</v>
      </c>
      <c r="F21" s="2">
        <f t="shared" ref="F21:J21" si="20">F18-F19</f>
        <v>167.77000000000004</v>
      </c>
      <c r="G21" s="2">
        <f t="shared" si="20"/>
        <v>165.88399999999999</v>
      </c>
      <c r="H21" s="2">
        <f t="shared" si="20"/>
        <v>209.61799999999985</v>
      </c>
      <c r="I21" s="2">
        <f t="shared" si="20"/>
        <v>212.34640000000024</v>
      </c>
      <c r="J21" s="2">
        <f t="shared" si="20"/>
        <v>244.20181147717761</v>
      </c>
      <c r="Q21" t="s">
        <v>24</v>
      </c>
      <c r="R21" s="24">
        <f>R18-R19</f>
        <v>584.96000000000015</v>
      </c>
      <c r="S21" s="24">
        <f>S18-S19</f>
        <v>615.77940000000012</v>
      </c>
      <c r="T21" s="24">
        <f>T18-T19</f>
        <v>832.0502114771773</v>
      </c>
      <c r="U21" s="24">
        <f t="shared" ref="U21:AD21" si="21">U18-U19</f>
        <v>1239.2112945427587</v>
      </c>
      <c r="V21" s="24">
        <f t="shared" si="21"/>
        <v>1345.44590314488</v>
      </c>
      <c r="W21" s="24">
        <f t="shared" si="21"/>
        <v>1312.3814669688056</v>
      </c>
      <c r="X21" s="24">
        <f t="shared" si="21"/>
        <v>1534.7836096718772</v>
      </c>
      <c r="Y21" s="24">
        <f t="shared" si="21"/>
        <v>1442.6658753837944</v>
      </c>
      <c r="Z21" s="24">
        <f t="shared" si="21"/>
        <v>1276.9337080208775</v>
      </c>
      <c r="AA21" s="24">
        <f t="shared" si="21"/>
        <v>1124.3974957793257</v>
      </c>
      <c r="AB21" s="24">
        <f t="shared" si="21"/>
        <v>1053.2963328405858</v>
      </c>
      <c r="AC21" s="24">
        <f t="shared" si="21"/>
        <v>986.27103343923091</v>
      </c>
      <c r="AD21" s="24">
        <f t="shared" si="21"/>
        <v>738.32919805545293</v>
      </c>
    </row>
    <row r="22" spans="2:138" x14ac:dyDescent="0.25">
      <c r="B22" t="s">
        <v>25</v>
      </c>
      <c r="C22" s="2">
        <v>32.06</v>
      </c>
      <c r="D22" s="2">
        <v>37.9</v>
      </c>
      <c r="E22" s="2">
        <v>42</v>
      </c>
      <c r="F22" s="2">
        <v>41.4</v>
      </c>
      <c r="G22" s="2">
        <v>41.9</v>
      </c>
      <c r="H22" s="2">
        <v>36.5</v>
      </c>
      <c r="I22" s="2">
        <v>35.200000000000003</v>
      </c>
      <c r="J22" s="12">
        <f>J21*J35</f>
        <v>48.228172069409169</v>
      </c>
      <c r="Q22" t="s">
        <v>25</v>
      </c>
      <c r="R22" s="24">
        <v>143.69999999999999</v>
      </c>
      <c r="S22" s="24">
        <f>SUM(C22:F22)</f>
        <v>153.36000000000001</v>
      </c>
      <c r="T22" s="24">
        <f>SUM(G22:J22)</f>
        <v>161.82817206940916</v>
      </c>
      <c r="U22" s="23">
        <f>U21*U37</f>
        <v>247.84225890855174</v>
      </c>
      <c r="V22" s="23">
        <f t="shared" ref="V22:AD22" si="22">V21*V37</f>
        <v>269.08918062897601</v>
      </c>
      <c r="W22" s="23">
        <f t="shared" si="22"/>
        <v>262.47629339376113</v>
      </c>
      <c r="X22" s="23">
        <f t="shared" si="22"/>
        <v>306.95672193437548</v>
      </c>
      <c r="Y22" s="23">
        <f t="shared" si="22"/>
        <v>288.53317507675888</v>
      </c>
      <c r="Z22" s="23">
        <f t="shared" si="22"/>
        <v>255.38674160417551</v>
      </c>
      <c r="AA22" s="23">
        <f t="shared" si="22"/>
        <v>224.87949915586515</v>
      </c>
      <c r="AB22" s="23">
        <f t="shared" si="22"/>
        <v>210.65926656811718</v>
      </c>
      <c r="AC22" s="23">
        <f t="shared" si="22"/>
        <v>197.25420668784619</v>
      </c>
      <c r="AD22" s="23">
        <f t="shared" si="22"/>
        <v>147.6658396110906</v>
      </c>
    </row>
    <row r="23" spans="2:138" x14ac:dyDescent="0.25">
      <c r="B23" t="s">
        <v>26</v>
      </c>
      <c r="C23" s="2">
        <f>C21-C22</f>
        <v>96.926899999999932</v>
      </c>
      <c r="D23" s="2">
        <f>D21-D22</f>
        <v>111.69999999999999</v>
      </c>
      <c r="E23" s="2">
        <f t="shared" ref="E23:J23" si="23">E21-E22</f>
        <v>127.42249999999999</v>
      </c>
      <c r="F23" s="2">
        <f t="shared" si="23"/>
        <v>126.37000000000003</v>
      </c>
      <c r="G23" s="2">
        <f t="shared" si="23"/>
        <v>123.98399999999998</v>
      </c>
      <c r="H23" s="2">
        <f t="shared" si="23"/>
        <v>173.11799999999985</v>
      </c>
      <c r="I23" s="2">
        <f t="shared" si="23"/>
        <v>177.14640000000026</v>
      </c>
      <c r="J23" s="2">
        <f t="shared" si="23"/>
        <v>195.97363940776845</v>
      </c>
      <c r="Q23" t="s">
        <v>26</v>
      </c>
      <c r="R23" s="24">
        <f>R21-R22</f>
        <v>441.26000000000016</v>
      </c>
      <c r="S23" s="24">
        <f>S21-S22</f>
        <v>462.41940000000011</v>
      </c>
      <c r="T23" s="24">
        <f>T21-T22</f>
        <v>670.22203940776808</v>
      </c>
      <c r="U23" s="24">
        <f t="shared" ref="U23:AD23" si="24">U21-U22</f>
        <v>991.36903563420697</v>
      </c>
      <c r="V23" s="24">
        <f t="shared" si="24"/>
        <v>1076.356722515904</v>
      </c>
      <c r="W23" s="24">
        <f t="shared" si="24"/>
        <v>1049.9051735750445</v>
      </c>
      <c r="X23" s="24">
        <f t="shared" si="24"/>
        <v>1227.8268877375017</v>
      </c>
      <c r="Y23" s="24">
        <f t="shared" si="24"/>
        <v>1154.1327003070355</v>
      </c>
      <c r="Z23" s="24">
        <f t="shared" si="24"/>
        <v>1021.5469664167019</v>
      </c>
      <c r="AA23" s="24">
        <f t="shared" si="24"/>
        <v>899.51799662346059</v>
      </c>
      <c r="AB23" s="24">
        <f t="shared" si="24"/>
        <v>842.6370662724687</v>
      </c>
      <c r="AC23" s="24">
        <f t="shared" si="24"/>
        <v>789.01682675138477</v>
      </c>
      <c r="AD23" s="24">
        <f t="shared" si="24"/>
        <v>590.6633584443623</v>
      </c>
    </row>
    <row r="24" spans="2:138" x14ac:dyDescent="0.25">
      <c r="B24" t="s">
        <v>29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Q24" t="s">
        <v>29</v>
      </c>
      <c r="R24" s="24"/>
      <c r="S24" s="24"/>
      <c r="T24" s="24"/>
    </row>
    <row r="25" spans="2:138" x14ac:dyDescent="0.25">
      <c r="B25" t="s">
        <v>28</v>
      </c>
      <c r="C25" s="2">
        <f>C23</f>
        <v>96.926899999999932</v>
      </c>
      <c r="D25" s="2">
        <f>D23</f>
        <v>111.69999999999999</v>
      </c>
      <c r="E25" s="2">
        <f t="shared" ref="E25:J25" si="25">E23</f>
        <v>127.42249999999999</v>
      </c>
      <c r="F25" s="2">
        <f t="shared" si="25"/>
        <v>126.37000000000003</v>
      </c>
      <c r="G25" s="2">
        <f t="shared" si="25"/>
        <v>123.98399999999998</v>
      </c>
      <c r="H25" s="2">
        <f t="shared" si="25"/>
        <v>173.11799999999985</v>
      </c>
      <c r="I25" s="2">
        <f t="shared" si="25"/>
        <v>177.14640000000026</v>
      </c>
      <c r="J25" s="2">
        <f t="shared" si="25"/>
        <v>195.97363940776845</v>
      </c>
      <c r="Q25" t="s">
        <v>28</v>
      </c>
      <c r="R25" s="24">
        <f>R23</f>
        <v>441.26000000000016</v>
      </c>
      <c r="S25" s="24">
        <f>SUM(C25:F25)</f>
        <v>462.41939999999988</v>
      </c>
      <c r="T25" s="24">
        <f>SUM(G25:J25)</f>
        <v>670.22203940776853</v>
      </c>
      <c r="U25" s="24">
        <f>U23</f>
        <v>991.36903563420697</v>
      </c>
      <c r="V25" s="24">
        <f t="shared" ref="V25:AD25" si="26">V23</f>
        <v>1076.356722515904</v>
      </c>
      <c r="W25" s="24">
        <f t="shared" si="26"/>
        <v>1049.9051735750445</v>
      </c>
      <c r="X25" s="24">
        <f t="shared" si="26"/>
        <v>1227.8268877375017</v>
      </c>
      <c r="Y25" s="24">
        <f t="shared" si="26"/>
        <v>1154.1327003070355</v>
      </c>
      <c r="Z25" s="24">
        <f t="shared" si="26"/>
        <v>1021.5469664167019</v>
      </c>
      <c r="AA25" s="24">
        <f t="shared" si="26"/>
        <v>899.51799662346059</v>
      </c>
      <c r="AB25" s="24">
        <f t="shared" si="26"/>
        <v>842.6370662724687</v>
      </c>
      <c r="AC25" s="24">
        <f t="shared" si="26"/>
        <v>789.01682675138477</v>
      </c>
      <c r="AD25" s="24">
        <f t="shared" si="26"/>
        <v>590.6633584443623</v>
      </c>
    </row>
    <row r="26" spans="2:138" x14ac:dyDescent="0.25">
      <c r="B26" t="s">
        <v>27</v>
      </c>
      <c r="C26" s="2">
        <v>0.3</v>
      </c>
      <c r="D26" s="2">
        <v>0.3</v>
      </c>
      <c r="E26" s="2">
        <v>0.39</v>
      </c>
      <c r="F26" s="2">
        <v>0.39</v>
      </c>
      <c r="G26" s="2">
        <v>0.39</v>
      </c>
      <c r="H26" s="2">
        <v>5</v>
      </c>
      <c r="I26" s="2">
        <v>4.5999999999999996</v>
      </c>
      <c r="J26" s="2">
        <f>AVERAGE(H26:I26)</f>
        <v>4.8</v>
      </c>
      <c r="M26" s="9"/>
      <c r="Q26" t="s">
        <v>27</v>
      </c>
      <c r="R26" s="24">
        <v>0</v>
      </c>
      <c r="S26" s="24">
        <f>SUM(C26:F26)</f>
        <v>1.38</v>
      </c>
      <c r="T26" s="24">
        <f>SUM(G26:J26)</f>
        <v>14.79</v>
      </c>
      <c r="U26">
        <v>12</v>
      </c>
      <c r="V26">
        <v>12</v>
      </c>
      <c r="W26">
        <v>12</v>
      </c>
      <c r="X26">
        <v>12</v>
      </c>
      <c r="Y26">
        <v>12</v>
      </c>
      <c r="Z26">
        <v>12</v>
      </c>
      <c r="AA26">
        <v>12</v>
      </c>
      <c r="AB26">
        <v>12</v>
      </c>
      <c r="AC26">
        <v>12</v>
      </c>
      <c r="AD26">
        <v>12</v>
      </c>
    </row>
    <row r="27" spans="2:138" x14ac:dyDescent="0.25">
      <c r="B27" t="s">
        <v>30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Q27" t="s">
        <v>30</v>
      </c>
      <c r="R27" s="24"/>
      <c r="S27" s="24"/>
      <c r="T27" s="24"/>
    </row>
    <row r="28" spans="2:138" x14ac:dyDescent="0.25">
      <c r="B28" s="1" t="s">
        <v>31</v>
      </c>
      <c r="C28" s="2">
        <f>C25-C26</f>
        <v>96.626899999999935</v>
      </c>
      <c r="D28" s="2">
        <f>D25-D26</f>
        <v>111.39999999999999</v>
      </c>
      <c r="E28" s="2">
        <f t="shared" ref="E28:I28" si="27">E25-E26</f>
        <v>127.03249999999998</v>
      </c>
      <c r="F28" s="2">
        <f t="shared" si="27"/>
        <v>125.98000000000003</v>
      </c>
      <c r="G28" s="2">
        <f t="shared" si="27"/>
        <v>123.59399999999998</v>
      </c>
      <c r="H28" s="2">
        <f t="shared" si="27"/>
        <v>168.11799999999985</v>
      </c>
      <c r="I28" s="2">
        <f t="shared" si="27"/>
        <v>172.54640000000026</v>
      </c>
      <c r="J28" s="2">
        <f>J25-J26</f>
        <v>191.17363940776843</v>
      </c>
      <c r="Q28" s="1" t="s">
        <v>31</v>
      </c>
      <c r="R28" s="25">
        <f>R25-R26-R27</f>
        <v>441.26000000000016</v>
      </c>
      <c r="S28" s="25">
        <f>SUM(C28:F28)</f>
        <v>461.03939999999994</v>
      </c>
      <c r="T28" s="25">
        <f>SUM(G28:J28)</f>
        <v>655.43203940776846</v>
      </c>
      <c r="U28" s="25">
        <f>U25-U26-U27</f>
        <v>979.36903563420697</v>
      </c>
      <c r="V28" s="25">
        <f t="shared" ref="V28:AD28" si="28">V25-V26-V27</f>
        <v>1064.356722515904</v>
      </c>
      <c r="W28" s="25">
        <f t="shared" si="28"/>
        <v>1037.9051735750445</v>
      </c>
      <c r="X28" s="25">
        <f t="shared" si="28"/>
        <v>1215.8268877375017</v>
      </c>
      <c r="Y28" s="25">
        <f t="shared" si="28"/>
        <v>1142.1327003070355</v>
      </c>
      <c r="Z28" s="25">
        <f t="shared" si="28"/>
        <v>1009.5469664167019</v>
      </c>
      <c r="AA28" s="25">
        <f>AA25-AA26-AA27</f>
        <v>887.51799662346059</v>
      </c>
      <c r="AB28" s="25">
        <f t="shared" si="28"/>
        <v>830.6370662724687</v>
      </c>
      <c r="AC28" s="25">
        <f t="shared" si="28"/>
        <v>777.01682675138477</v>
      </c>
      <c r="AD28" s="25">
        <f t="shared" si="28"/>
        <v>578.6633584443623</v>
      </c>
      <c r="AE28" s="25">
        <f>AD28*(1+$AH$31)</f>
        <v>555.51682410658782</v>
      </c>
      <c r="AF28" s="25">
        <f t="shared" ref="AF28:CA28" si="29">AE28*(1+$AH$31)</f>
        <v>533.29615114232433</v>
      </c>
      <c r="AG28" s="25">
        <f t="shared" si="29"/>
        <v>511.96430509663134</v>
      </c>
      <c r="AH28" s="25">
        <f t="shared" si="29"/>
        <v>491.48573289276607</v>
      </c>
      <c r="AI28" s="25">
        <f t="shared" si="29"/>
        <v>471.8263035770554</v>
      </c>
      <c r="AJ28" s="25">
        <f t="shared" si="29"/>
        <v>452.95325143397315</v>
      </c>
      <c r="AK28" s="25">
        <f t="shared" si="29"/>
        <v>434.83512137661421</v>
      </c>
      <c r="AL28" s="25">
        <f t="shared" si="29"/>
        <v>417.44171652154961</v>
      </c>
      <c r="AM28" s="25">
        <f t="shared" si="29"/>
        <v>400.7440478606876</v>
      </c>
      <c r="AN28" s="25">
        <f t="shared" si="29"/>
        <v>384.71428594626008</v>
      </c>
      <c r="AO28" s="25">
        <f t="shared" si="29"/>
        <v>369.32571450840965</v>
      </c>
      <c r="AP28" s="25">
        <f t="shared" si="29"/>
        <v>354.55268592807323</v>
      </c>
      <c r="AQ28" s="25">
        <f t="shared" si="29"/>
        <v>340.37057849095027</v>
      </c>
      <c r="AR28" s="25">
        <f t="shared" si="29"/>
        <v>326.75575535131225</v>
      </c>
      <c r="AS28" s="25">
        <f t="shared" si="29"/>
        <v>313.68552513725973</v>
      </c>
      <c r="AT28" s="25">
        <f t="shared" si="29"/>
        <v>301.13810413176935</v>
      </c>
      <c r="AU28" s="25">
        <f t="shared" si="29"/>
        <v>289.09257996649859</v>
      </c>
      <c r="AV28" s="25">
        <f t="shared" si="29"/>
        <v>277.52887676783865</v>
      </c>
      <c r="AW28" s="25">
        <f t="shared" si="29"/>
        <v>266.42772169712509</v>
      </c>
      <c r="AX28" s="25">
        <f t="shared" si="29"/>
        <v>255.77061282924009</v>
      </c>
      <c r="AY28" s="25">
        <f t="shared" si="29"/>
        <v>245.53978831607049</v>
      </c>
      <c r="AZ28" s="25">
        <f t="shared" si="29"/>
        <v>235.71819678342766</v>
      </c>
      <c r="BA28" s="25">
        <f t="shared" si="29"/>
        <v>226.28946891209054</v>
      </c>
      <c r="BB28" s="25">
        <f t="shared" si="29"/>
        <v>217.23789015560692</v>
      </c>
      <c r="BC28" s="25">
        <f t="shared" si="29"/>
        <v>208.54837454938263</v>
      </c>
      <c r="BD28" s="25">
        <f t="shared" si="29"/>
        <v>200.20643956740733</v>
      </c>
      <c r="BE28" s="25">
        <f t="shared" si="29"/>
        <v>192.19818198471103</v>
      </c>
      <c r="BF28" s="25">
        <f t="shared" si="29"/>
        <v>184.51025470532258</v>
      </c>
      <c r="BG28" s="25">
        <f t="shared" si="29"/>
        <v>177.12984451710966</v>
      </c>
      <c r="BH28" s="25">
        <f t="shared" si="29"/>
        <v>170.04465073642527</v>
      </c>
      <c r="BI28" s="25">
        <f t="shared" si="29"/>
        <v>163.24286470696825</v>
      </c>
      <c r="BJ28" s="25">
        <f t="shared" si="29"/>
        <v>156.71315011868953</v>
      </c>
      <c r="BK28" s="25">
        <f t="shared" si="29"/>
        <v>150.44462411394193</v>
      </c>
      <c r="BL28" s="25">
        <f t="shared" si="29"/>
        <v>144.42683914938425</v>
      </c>
      <c r="BM28" s="25">
        <f t="shared" si="29"/>
        <v>138.64976558340888</v>
      </c>
      <c r="BN28" s="25">
        <f t="shared" si="29"/>
        <v>133.10377496007251</v>
      </c>
      <c r="BO28" s="25">
        <f t="shared" si="29"/>
        <v>127.77962396166961</v>
      </c>
      <c r="BP28" s="25">
        <f t="shared" si="29"/>
        <v>122.66843900320282</v>
      </c>
      <c r="BQ28" s="25">
        <f t="shared" si="29"/>
        <v>117.7617014430747</v>
      </c>
      <c r="BR28" s="25">
        <f t="shared" si="29"/>
        <v>113.05123338535171</v>
      </c>
      <c r="BS28" s="25">
        <f t="shared" si="29"/>
        <v>108.52918404993764</v>
      </c>
      <c r="BT28" s="25">
        <f t="shared" si="29"/>
        <v>104.18801668794013</v>
      </c>
      <c r="BU28" s="25">
        <f t="shared" si="29"/>
        <v>100.02049602042253</v>
      </c>
      <c r="BV28" s="25">
        <f t="shared" si="29"/>
        <v>96.019676179605625</v>
      </c>
      <c r="BW28" s="25">
        <f t="shared" si="29"/>
        <v>92.178889132421403</v>
      </c>
      <c r="BX28" s="25">
        <f t="shared" si="29"/>
        <v>88.491733567124541</v>
      </c>
      <c r="BY28" s="25">
        <f t="shared" si="29"/>
        <v>84.952064224439553</v>
      </c>
      <c r="BZ28" s="25">
        <f t="shared" si="29"/>
        <v>81.553981655461968</v>
      </c>
      <c r="CA28" s="25">
        <f t="shared" si="29"/>
        <v>78.291822389243492</v>
      </c>
      <c r="CB28" s="25">
        <f>CA28*(1+$AH$31)</f>
        <v>75.160149493673757</v>
      </c>
      <c r="CC28" s="25">
        <f t="shared" ref="CC28:EH28" si="30">CB28*(1+$AH$31)</f>
        <v>72.153743513926798</v>
      </c>
      <c r="CD28" s="25">
        <f t="shared" si="30"/>
        <v>69.267593773369725</v>
      </c>
      <c r="CE28" s="25">
        <f t="shared" si="30"/>
        <v>66.49689002243494</v>
      </c>
      <c r="CF28" s="25">
        <f t="shared" si="30"/>
        <v>63.837014421537539</v>
      </c>
      <c r="CG28" s="25">
        <f t="shared" si="30"/>
        <v>61.283533844676036</v>
      </c>
      <c r="CH28" s="25">
        <f t="shared" si="30"/>
        <v>58.832192490888993</v>
      </c>
      <c r="CI28" s="25">
        <f t="shared" si="30"/>
        <v>56.478904791253434</v>
      </c>
      <c r="CJ28" s="25">
        <f t="shared" si="30"/>
        <v>54.219748599603292</v>
      </c>
      <c r="CK28" s="25">
        <f t="shared" si="30"/>
        <v>52.050958655619162</v>
      </c>
      <c r="CL28" s="25">
        <f t="shared" si="30"/>
        <v>49.968920309394392</v>
      </c>
      <c r="CM28" s="25">
        <f t="shared" si="30"/>
        <v>47.970163497018618</v>
      </c>
      <c r="CN28" s="25">
        <f t="shared" si="30"/>
        <v>46.05135695713787</v>
      </c>
      <c r="CO28" s="25">
        <f t="shared" si="30"/>
        <v>44.209302678852353</v>
      </c>
      <c r="CP28" s="25">
        <f t="shared" si="30"/>
        <v>42.44093057169826</v>
      </c>
      <c r="CQ28" s="25">
        <f t="shared" si="30"/>
        <v>40.743293348830328</v>
      </c>
      <c r="CR28" s="25">
        <f t="shared" si="30"/>
        <v>39.113561614877113</v>
      </c>
      <c r="CS28" s="25">
        <f t="shared" si="30"/>
        <v>37.549019150282028</v>
      </c>
      <c r="CT28" s="25">
        <f t="shared" si="30"/>
        <v>36.047058384270748</v>
      </c>
      <c r="CU28" s="25">
        <f t="shared" si="30"/>
        <v>34.605176048899921</v>
      </c>
      <c r="CV28" s="25">
        <f t="shared" si="30"/>
        <v>33.220969006943925</v>
      </c>
      <c r="CW28" s="25">
        <f t="shared" si="30"/>
        <v>31.892130246666166</v>
      </c>
      <c r="CX28" s="25">
        <f t="shared" si="30"/>
        <v>30.616445036799519</v>
      </c>
      <c r="CY28" s="25">
        <f t="shared" si="30"/>
        <v>29.391787235327538</v>
      </c>
      <c r="CZ28" s="25">
        <f t="shared" si="30"/>
        <v>28.216115745914436</v>
      </c>
      <c r="DA28" s="25">
        <f t="shared" si="30"/>
        <v>27.087471116077857</v>
      </c>
      <c r="DB28" s="25">
        <f t="shared" si="30"/>
        <v>26.003972271434741</v>
      </c>
      <c r="DC28" s="25">
        <f t="shared" si="30"/>
        <v>24.963813380577349</v>
      </c>
      <c r="DD28" s="25">
        <f t="shared" si="30"/>
        <v>23.965260845354255</v>
      </c>
      <c r="DE28" s="25">
        <f t="shared" si="30"/>
        <v>23.006650411540083</v>
      </c>
      <c r="DF28" s="25">
        <f t="shared" si="30"/>
        <v>22.086384395078479</v>
      </c>
      <c r="DG28" s="25">
        <f t="shared" si="30"/>
        <v>21.202929019275338</v>
      </c>
      <c r="DH28" s="25">
        <f t="shared" si="30"/>
        <v>20.354811858504323</v>
      </c>
      <c r="DI28" s="25">
        <f t="shared" si="30"/>
        <v>19.540619384164149</v>
      </c>
      <c r="DJ28" s="25">
        <f t="shared" si="30"/>
        <v>18.758994608797583</v>
      </c>
      <c r="DK28" s="25">
        <f t="shared" si="30"/>
        <v>18.008634824445679</v>
      </c>
      <c r="DL28" s="25">
        <f t="shared" si="30"/>
        <v>17.288289431467852</v>
      </c>
      <c r="DM28" s="25">
        <f t="shared" si="30"/>
        <v>16.596757854209137</v>
      </c>
      <c r="DN28" s="25">
        <f t="shared" si="30"/>
        <v>15.932887540040772</v>
      </c>
      <c r="DO28" s="25">
        <f t="shared" si="30"/>
        <v>15.29557203843914</v>
      </c>
      <c r="DP28" s="25">
        <f t="shared" si="30"/>
        <v>14.683749156901573</v>
      </c>
      <c r="DQ28" s="25">
        <f t="shared" si="30"/>
        <v>14.09639919062551</v>
      </c>
      <c r="DR28" s="25">
        <f t="shared" si="30"/>
        <v>13.53254322300049</v>
      </c>
      <c r="DS28" s="25">
        <f t="shared" si="30"/>
        <v>12.991241494080469</v>
      </c>
      <c r="DT28" s="25">
        <f t="shared" si="30"/>
        <v>12.47159183431725</v>
      </c>
      <c r="DU28" s="25">
        <f t="shared" si="30"/>
        <v>11.972728160944559</v>
      </c>
      <c r="DV28" s="25">
        <f t="shared" si="30"/>
        <v>11.493819034506776</v>
      </c>
      <c r="DW28" s="25">
        <f t="shared" si="30"/>
        <v>11.034066273126506</v>
      </c>
      <c r="DX28" s="25">
        <f t="shared" si="30"/>
        <v>10.592703622201444</v>
      </c>
      <c r="DY28" s="25">
        <f t="shared" si="30"/>
        <v>10.168995477313386</v>
      </c>
      <c r="DZ28" s="25">
        <f t="shared" si="30"/>
        <v>9.7622356582208507</v>
      </c>
      <c r="EA28" s="25">
        <f t="shared" si="30"/>
        <v>9.3717462318920166</v>
      </c>
      <c r="EB28" s="25">
        <f t="shared" si="30"/>
        <v>8.9968763826163354</v>
      </c>
      <c r="EC28" s="25">
        <f t="shared" si="30"/>
        <v>8.6370013273116815</v>
      </c>
      <c r="ED28" s="25">
        <f t="shared" si="30"/>
        <v>8.2915212742192139</v>
      </c>
      <c r="EE28" s="25">
        <f t="shared" si="30"/>
        <v>7.9598604232504453</v>
      </c>
      <c r="EF28" s="25">
        <f t="shared" si="30"/>
        <v>7.6414660063204272</v>
      </c>
      <c r="EG28" s="25">
        <f t="shared" si="30"/>
        <v>7.33580736606761</v>
      </c>
      <c r="EH28" s="25">
        <f t="shared" si="30"/>
        <v>7.0423750714249049</v>
      </c>
    </row>
    <row r="29" spans="2:138" x14ac:dyDescent="0.25">
      <c r="B29" s="1"/>
      <c r="C29" s="2"/>
      <c r="D29" s="2"/>
      <c r="E29" s="2"/>
      <c r="F29" s="2"/>
      <c r="G29" s="2"/>
      <c r="H29" s="2"/>
      <c r="I29" s="2"/>
      <c r="Q29" s="1"/>
      <c r="R29" s="1"/>
      <c r="S29" s="2"/>
    </row>
    <row r="30" spans="2:138" x14ac:dyDescent="0.25">
      <c r="D30" s="9"/>
      <c r="E30" s="9"/>
      <c r="F30" s="9"/>
      <c r="G30" s="9"/>
      <c r="H30" s="9"/>
      <c r="I30" s="10"/>
      <c r="J30" s="10"/>
      <c r="Q30" s="19" t="s">
        <v>38</v>
      </c>
      <c r="R30" s="15"/>
      <c r="S30" s="16">
        <f>(S10-R10)/R10</f>
        <v>6.1832083242559011E-2</v>
      </c>
      <c r="T30" s="17">
        <f>(T10-S10)/S10</f>
        <v>0.99239828210515779</v>
      </c>
      <c r="U30" s="17">
        <f>50%</f>
        <v>0.5</v>
      </c>
      <c r="V30" s="17">
        <f t="shared" ref="V30:AD30" si="31">(V10-U10)/U10</f>
        <v>0.1103700908493523</v>
      </c>
      <c r="W30" s="17">
        <f t="shared" si="31"/>
        <v>2.9999999999999988E-2</v>
      </c>
      <c r="X30" s="17">
        <f t="shared" si="31"/>
        <v>2.9999999999999957E-2</v>
      </c>
      <c r="Y30" s="17">
        <f t="shared" si="31"/>
        <v>3.0000000000000027E-2</v>
      </c>
      <c r="Z30" s="17">
        <f t="shared" si="31"/>
        <v>9.9999999999999568E-3</v>
      </c>
      <c r="AA30" s="17">
        <f t="shared" si="31"/>
        <v>9.9999999999999707E-3</v>
      </c>
      <c r="AB30" s="17">
        <f t="shared" si="31"/>
        <v>1.0000000000000096E-2</v>
      </c>
      <c r="AC30" s="17">
        <f t="shared" si="31"/>
        <v>1.000000000000008E-2</v>
      </c>
      <c r="AD30" s="17">
        <f t="shared" si="31"/>
        <v>-3.0000000000000068E-2</v>
      </c>
    </row>
    <row r="31" spans="2:138" x14ac:dyDescent="0.25">
      <c r="B31" t="s">
        <v>32</v>
      </c>
      <c r="C31" s="9"/>
      <c r="D31" s="9"/>
      <c r="E31" s="9"/>
      <c r="F31" s="9"/>
      <c r="G31" s="9">
        <f t="shared" ref="G31:L31" si="32">(G10-C10)/C10</f>
        <v>0.37774675236245719</v>
      </c>
      <c r="H31" s="9">
        <f t="shared" si="32"/>
        <v>1.1877298616761593</v>
      </c>
      <c r="I31" s="9">
        <f t="shared" si="32"/>
        <v>1.1249535037349463</v>
      </c>
      <c r="J31" s="9">
        <f t="shared" si="32"/>
        <v>1.1750789151356082</v>
      </c>
      <c r="K31" s="9">
        <f t="shared" si="32"/>
        <v>0.91622380969553519</v>
      </c>
      <c r="L31" s="9">
        <f t="shared" si="32"/>
        <v>0.15297211761589727</v>
      </c>
      <c r="M31" s="9">
        <f t="shared" ref="M31:N31" si="33">(M10-I10)/I10</f>
        <v>0.12143101216149023</v>
      </c>
      <c r="N31" s="9">
        <f t="shared" si="33"/>
        <v>5.8197257779349407E-2</v>
      </c>
      <c r="Q31" s="20" t="s">
        <v>39</v>
      </c>
      <c r="R31" s="9">
        <f>R12/R5</f>
        <v>-0.5880871823117475</v>
      </c>
      <c r="S31" s="9">
        <f t="shared" ref="S31" si="34">S12/S5</f>
        <v>-0.57287293090354063</v>
      </c>
      <c r="T31" s="18">
        <f>T12/T5</f>
        <v>-0.69526532123625384</v>
      </c>
      <c r="U31" s="9">
        <f>AVERAGE(R31:T31)</f>
        <v>-0.61874181148384733</v>
      </c>
      <c r="V31" s="9">
        <f t="shared" ref="V31:AD31" si="35">AVERAGE(S31:U31)</f>
        <v>-0.62896002120788053</v>
      </c>
      <c r="W31" s="9">
        <f t="shared" si="35"/>
        <v>-0.64765571797599397</v>
      </c>
      <c r="X31" s="9">
        <f t="shared" si="35"/>
        <v>-0.63178585022257394</v>
      </c>
      <c r="Y31" s="9">
        <f t="shared" si="35"/>
        <v>-0.63613386313548281</v>
      </c>
      <c r="Z31" s="9">
        <f t="shared" si="35"/>
        <v>-0.63852514377801695</v>
      </c>
      <c r="AA31" s="9">
        <f t="shared" si="35"/>
        <v>-0.63548161904535794</v>
      </c>
      <c r="AB31" s="9">
        <f t="shared" si="35"/>
        <v>-0.63671354198628594</v>
      </c>
      <c r="AC31" s="9">
        <f t="shared" si="35"/>
        <v>-0.6369067682698869</v>
      </c>
      <c r="AD31" s="9">
        <f t="shared" si="35"/>
        <v>-0.63636730976717704</v>
      </c>
      <c r="AG31" t="s">
        <v>54</v>
      </c>
      <c r="AH31" s="11">
        <v>-0.04</v>
      </c>
    </row>
    <row r="32" spans="2:138" x14ac:dyDescent="0.25">
      <c r="B32" t="s">
        <v>33</v>
      </c>
      <c r="D32" s="9">
        <f>(D5-C5)/C5</f>
        <v>0.10900702733760115</v>
      </c>
      <c r="E32" s="9">
        <f t="shared" ref="E32:F32" si="36">(E5-D5)/D5</f>
        <v>9.9019006744328675E-2</v>
      </c>
      <c r="F32" s="9">
        <f t="shared" si="36"/>
        <v>5.6345885634588533E-2</v>
      </c>
      <c r="G32" s="9">
        <f>(G5-F5)/F5</f>
        <v>6.8127805650911047E-2</v>
      </c>
      <c r="H32" s="9">
        <f>(H5-G5)/G5</f>
        <v>0.40642768850432626</v>
      </c>
      <c r="I32" s="9">
        <f>(I5-H5)/H5</f>
        <v>4.6229565828792528E-2</v>
      </c>
      <c r="J32" s="9">
        <f>AVERAGE(D32:G32)</f>
        <v>8.3124931341857347E-2</v>
      </c>
      <c r="K32" s="9">
        <f>(K5-J5)/J5</f>
        <v>1.2669843413057821E-2</v>
      </c>
      <c r="L32" s="9"/>
      <c r="M32" s="9"/>
      <c r="N32" s="9"/>
      <c r="Q32" s="20" t="s">
        <v>40</v>
      </c>
      <c r="R32" s="9">
        <f>R18/R10</f>
        <v>0.36520286742813279</v>
      </c>
      <c r="S32" s="9">
        <f t="shared" ref="S32" si="37">S18/S10</f>
        <v>0.36839959442393488</v>
      </c>
      <c r="T32" s="18">
        <f>T18/T10</f>
        <v>0.24121606467778281</v>
      </c>
      <c r="U32" s="18">
        <f t="shared" ref="U32:AD32" si="38">U18/U10</f>
        <v>0.34914492551229298</v>
      </c>
      <c r="V32" s="18">
        <f t="shared" si="38"/>
        <v>0.34139633686979926</v>
      </c>
      <c r="W32" s="18">
        <f t="shared" si="38"/>
        <v>0.32330727740661408</v>
      </c>
      <c r="X32" s="18">
        <f t="shared" si="38"/>
        <v>0.36708388509579748</v>
      </c>
      <c r="Y32" s="18">
        <f t="shared" si="38"/>
        <v>0.33500146120578611</v>
      </c>
      <c r="Z32" s="18">
        <f t="shared" si="38"/>
        <v>0.29358098269516653</v>
      </c>
      <c r="AA32" s="18">
        <f t="shared" si="38"/>
        <v>0.25595172703109004</v>
      </c>
      <c r="AB32" s="18">
        <f t="shared" si="38"/>
        <v>0.23739271804777881</v>
      </c>
      <c r="AC32" s="18">
        <f t="shared" si="38"/>
        <v>0.22008564927012325</v>
      </c>
      <c r="AD32" s="18">
        <f t="shared" si="38"/>
        <v>0.16985320895288522</v>
      </c>
      <c r="AG32" t="s">
        <v>59</v>
      </c>
      <c r="AH32" s="11">
        <v>7.2999999999999995E-2</v>
      </c>
    </row>
    <row r="33" spans="2:34" x14ac:dyDescent="0.25">
      <c r="B33" t="s">
        <v>34</v>
      </c>
      <c r="D33" s="9">
        <f>(D6-C6)/C6</f>
        <v>7.6049218042879299E-2</v>
      </c>
      <c r="E33" s="9">
        <f t="shared" ref="E33:I33" si="39">(E6-D6)/D6</f>
        <v>3.6458333333333301E-2</v>
      </c>
      <c r="F33" s="9">
        <f t="shared" si="39"/>
        <v>5.4020100502512707E-2</v>
      </c>
      <c r="G33" s="9">
        <f t="shared" si="39"/>
        <v>5.804529201430262E-2</v>
      </c>
      <c r="H33" s="9">
        <f t="shared" si="39"/>
        <v>0.81275205587473265</v>
      </c>
      <c r="I33" s="9">
        <f t="shared" si="39"/>
        <v>2.9716998719844779E-2</v>
      </c>
      <c r="J33" s="9">
        <f>AVERAGE(D33:G33)</f>
        <v>5.6143235973256982E-2</v>
      </c>
      <c r="Q33" s="20" t="s">
        <v>41</v>
      </c>
      <c r="R33" s="9">
        <f>R23/R10</f>
        <v>0.22888591495233063</v>
      </c>
      <c r="S33" s="9">
        <f t="shared" ref="S33:T33" si="40">S23/S10</f>
        <v>0.22589400739674143</v>
      </c>
      <c r="T33" s="18">
        <f t="shared" si="40"/>
        <v>0.16432786410904424</v>
      </c>
      <c r="AG33" t="s">
        <v>55</v>
      </c>
      <c r="AH33" s="27">
        <f>NPV(AH32,R28:EH28)</f>
        <v>8790.9922540152729</v>
      </c>
    </row>
    <row r="34" spans="2:34" x14ac:dyDescent="0.25">
      <c r="B34" t="s">
        <v>35</v>
      </c>
      <c r="D34" s="9">
        <f>D12/D5</f>
        <v>-0.56100551808706323</v>
      </c>
      <c r="E34" s="9">
        <f t="shared" ref="E34:I34" si="41">E12/E5</f>
        <v>-0.57196652719665275</v>
      </c>
      <c r="F34" s="9">
        <f t="shared" si="41"/>
        <v>-0.59693688935833111</v>
      </c>
      <c r="G34" s="9">
        <f t="shared" si="41"/>
        <v>-0.64165636588380714</v>
      </c>
      <c r="H34" s="9">
        <f t="shared" si="41"/>
        <v>-0.72506591668131481</v>
      </c>
      <c r="I34" s="9">
        <f t="shared" si="41"/>
        <v>-0.72651209677419348</v>
      </c>
      <c r="J34" s="9">
        <f>AVERAGE(F34:I34)</f>
        <v>-0.67254281717441167</v>
      </c>
      <c r="Q34" s="20" t="s">
        <v>52</v>
      </c>
      <c r="R34" s="9">
        <f>R15/R5</f>
        <v>-0.12203949956723581</v>
      </c>
      <c r="S34" s="9">
        <f t="shared" ref="S34:T34" si="42">S15/S5</f>
        <v>-0.14743612881269533</v>
      </c>
      <c r="T34" s="9">
        <f t="shared" si="42"/>
        <v>-0.13840856811885807</v>
      </c>
      <c r="AG34" t="s">
        <v>56</v>
      </c>
      <c r="AH34">
        <v>132</v>
      </c>
    </row>
    <row r="35" spans="2:34" x14ac:dyDescent="0.25">
      <c r="B35" t="s">
        <v>36</v>
      </c>
      <c r="D35" s="9">
        <f>D22/D21</f>
        <v>0.25334224598930483</v>
      </c>
      <c r="E35" s="9">
        <f t="shared" ref="E35:H35" si="43">E22/E21</f>
        <v>0.24790095766500911</v>
      </c>
      <c r="F35" s="9">
        <f t="shared" si="43"/>
        <v>0.24676640638970013</v>
      </c>
      <c r="G35" s="9">
        <f t="shared" si="43"/>
        <v>0.2525861445347351</v>
      </c>
      <c r="H35" s="9">
        <f t="shared" si="43"/>
        <v>0.17412626778234705</v>
      </c>
      <c r="I35" s="9">
        <f>I22/I21</f>
        <v>0.16576687902408499</v>
      </c>
      <c r="J35" s="9">
        <f>AVERAGE(G35:I35)</f>
        <v>0.1974930971137224</v>
      </c>
      <c r="Q35" s="20" t="s">
        <v>53</v>
      </c>
      <c r="R35" s="9">
        <f>R16/(R9+R8)</f>
        <v>-0.96209126841537917</v>
      </c>
      <c r="S35" s="9">
        <f>S16/(S9+S8)</f>
        <v>-0.86172332631548998</v>
      </c>
      <c r="T35" s="9">
        <f>T16/(T9+T8)</f>
        <v>-0.98458467223297697</v>
      </c>
      <c r="U35" s="9">
        <f>AVERAGE(R35:T35)</f>
        <v>-0.93613308898794878</v>
      </c>
      <c r="V35" s="9">
        <f t="shared" ref="V35" si="44">AVERAGE(S35:U35)</f>
        <v>-0.92748036251213861</v>
      </c>
      <c r="W35" s="9">
        <f>AVERAGE(T35:V35)+10%</f>
        <v>-0.8493993745776881</v>
      </c>
      <c r="X35" s="9">
        <f t="shared" ref="X35:Z35" si="45">AVERAGE(U35:W35)+10%</f>
        <v>-0.80433760869259185</v>
      </c>
      <c r="Y35" s="9">
        <f t="shared" si="45"/>
        <v>-0.76040578192747277</v>
      </c>
      <c r="Z35" s="9">
        <f t="shared" si="45"/>
        <v>-0.70471425506591756</v>
      </c>
      <c r="AA35" s="9">
        <f t="shared" ref="AA35" si="46">AVERAGE(X35:Z35)+10%</f>
        <v>-0.65648588189532742</v>
      </c>
      <c r="AB35" s="9">
        <f t="shared" ref="AB35" si="47">AVERAGE(Y35:AA35)+10%</f>
        <v>-0.6072019729629059</v>
      </c>
      <c r="AC35" s="9">
        <f t="shared" ref="AC35" si="48">AVERAGE(Z35:AB35)+10%</f>
        <v>-0.55613403664138361</v>
      </c>
      <c r="AD35" s="9">
        <f t="shared" ref="AD35" si="49">AVERAGE(AA35:AC35)+10%</f>
        <v>-0.50660729716653896</v>
      </c>
      <c r="AG35" t="s">
        <v>57</v>
      </c>
      <c r="AH35">
        <v>284</v>
      </c>
    </row>
    <row r="36" spans="2:34" x14ac:dyDescent="0.25">
      <c r="Q36" s="21"/>
      <c r="R36" s="22">
        <f>R19/R18</f>
        <v>0.16916171917166145</v>
      </c>
      <c r="S36" s="22">
        <f t="shared" ref="S36:T36" si="50">S19/S18</f>
        <v>0.18346524121466459</v>
      </c>
      <c r="T36" s="22">
        <f t="shared" si="50"/>
        <v>0.15426206129832468</v>
      </c>
      <c r="U36" s="9">
        <v>0.15</v>
      </c>
      <c r="V36" s="9">
        <v>0.15</v>
      </c>
      <c r="W36" s="9">
        <v>0.15</v>
      </c>
      <c r="X36" s="9">
        <v>0.15</v>
      </c>
      <c r="Y36" s="9">
        <v>0.15</v>
      </c>
      <c r="Z36" s="9">
        <v>0.15</v>
      </c>
      <c r="AA36" s="9">
        <v>0.15</v>
      </c>
      <c r="AB36" s="9">
        <v>0.15</v>
      </c>
      <c r="AC36" s="9">
        <v>0.15</v>
      </c>
      <c r="AD36" s="9">
        <v>0.15</v>
      </c>
      <c r="AG36" t="s">
        <v>58</v>
      </c>
      <c r="AH36" s="27">
        <f>AH33-AH34+AH35</f>
        <v>8942.9922540152729</v>
      </c>
    </row>
    <row r="37" spans="2:34" x14ac:dyDescent="0.25">
      <c r="B37" t="s">
        <v>71</v>
      </c>
      <c r="D37" s="9">
        <f>(D10-C10)/C10</f>
        <v>0.1102300836669933</v>
      </c>
      <c r="E37" s="9">
        <f t="shared" ref="E37:K37" si="51">(E10-D10)/D10</f>
        <v>0.10083909682668847</v>
      </c>
      <c r="F37" s="9">
        <f t="shared" si="51"/>
        <v>5.604035681783532E-2</v>
      </c>
      <c r="G37" s="9">
        <f t="shared" si="51"/>
        <v>6.7461067366579128E-2</v>
      </c>
      <c r="H37" s="9"/>
      <c r="I37" s="9">
        <f t="shared" si="51"/>
        <v>6.9250795917760524E-2</v>
      </c>
      <c r="J37" s="9">
        <f t="shared" si="51"/>
        <v>8.0951234749119472E-2</v>
      </c>
      <c r="K37" s="9">
        <f t="shared" si="51"/>
        <v>-5.95769657013481E-2</v>
      </c>
      <c r="L37" s="9">
        <f>AVERAGE(D37:K37)</f>
        <v>6.0742238520518299E-2</v>
      </c>
      <c r="M37" s="9">
        <v>0.04</v>
      </c>
      <c r="N37" s="9">
        <v>0.02</v>
      </c>
      <c r="Q37" s="20" t="s">
        <v>36</v>
      </c>
      <c r="R37" s="9">
        <f>R22/R21</f>
        <v>0.24565782275711151</v>
      </c>
      <c r="S37" s="9">
        <f t="shared" ref="S37" si="52">S22/S21</f>
        <v>0.24905022805244861</v>
      </c>
      <c r="T37" s="9">
        <f>T22/T21</f>
        <v>0.19449327677245357</v>
      </c>
      <c r="U37" s="9">
        <f>20%</f>
        <v>0.2</v>
      </c>
      <c r="V37" s="9">
        <f>20%</f>
        <v>0.2</v>
      </c>
      <c r="W37" s="9">
        <f>20%</f>
        <v>0.2</v>
      </c>
      <c r="X37" s="9">
        <f>20%</f>
        <v>0.2</v>
      </c>
      <c r="Y37" s="9">
        <f>20%</f>
        <v>0.2</v>
      </c>
      <c r="Z37" s="9">
        <f>20%</f>
        <v>0.2</v>
      </c>
      <c r="AA37" s="9">
        <f>20%</f>
        <v>0.2</v>
      </c>
      <c r="AB37" s="9">
        <f>20%</f>
        <v>0.2</v>
      </c>
      <c r="AC37" s="9">
        <f>20%</f>
        <v>0.2</v>
      </c>
      <c r="AD37" s="9">
        <f>20%</f>
        <v>0.2</v>
      </c>
      <c r="AH37" s="23">
        <f>2.529737614</f>
        <v>2.5297376140000001</v>
      </c>
    </row>
    <row r="38" spans="2:34" x14ac:dyDescent="0.25">
      <c r="AH38" s="12">
        <f>AH36/AH37</f>
        <v>3535.146176632401</v>
      </c>
    </row>
    <row r="40" spans="2:34" x14ac:dyDescent="0.25">
      <c r="AG40" s="28" t="s">
        <v>61</v>
      </c>
      <c r="AH40" s="29">
        <f>44.1*1509</f>
        <v>66546.900000000009</v>
      </c>
    </row>
    <row r="41" spans="2:34" x14ac:dyDescent="0.25">
      <c r="AG41" s="30" t="s">
        <v>62</v>
      </c>
      <c r="AH41" s="31">
        <f>AH40/AH52</f>
        <v>0.99575046872030748</v>
      </c>
    </row>
    <row r="42" spans="2:34" x14ac:dyDescent="0.25">
      <c r="AG42" s="30" t="s">
        <v>63</v>
      </c>
      <c r="AH42" s="31">
        <f>AH43+AH44*AH45</f>
        <v>0.17894700000000002</v>
      </c>
    </row>
    <row r="43" spans="2:34" x14ac:dyDescent="0.25">
      <c r="AG43" s="30" t="s">
        <v>64</v>
      </c>
      <c r="AH43" s="32">
        <v>7.195E-2</v>
      </c>
    </row>
    <row r="44" spans="2:34" x14ac:dyDescent="0.25">
      <c r="AG44" s="30" t="s">
        <v>65</v>
      </c>
      <c r="AH44" s="33">
        <v>1.37</v>
      </c>
    </row>
    <row r="45" spans="2:34" x14ac:dyDescent="0.25">
      <c r="AG45" s="30" t="s">
        <v>66</v>
      </c>
      <c r="AH45" s="32">
        <v>7.8100000000000003E-2</v>
      </c>
    </row>
    <row r="46" spans="2:34" x14ac:dyDescent="0.25">
      <c r="AG46" s="30"/>
      <c r="AH46" s="34"/>
    </row>
    <row r="47" spans="2:34" x14ac:dyDescent="0.25">
      <c r="AG47" s="30" t="s">
        <v>57</v>
      </c>
      <c r="AH47" s="35">
        <f>AH35</f>
        <v>284</v>
      </c>
    </row>
    <row r="48" spans="2:34" x14ac:dyDescent="0.25">
      <c r="AG48" s="30" t="s">
        <v>67</v>
      </c>
      <c r="AH48" s="31">
        <f>AH47/AH52</f>
        <v>4.2495312796924766E-3</v>
      </c>
    </row>
    <row r="49" spans="33:34" x14ac:dyDescent="0.25">
      <c r="AG49" s="30" t="s">
        <v>68</v>
      </c>
      <c r="AH49" s="32">
        <v>0.03</v>
      </c>
    </row>
    <row r="50" spans="33:34" x14ac:dyDescent="0.25">
      <c r="AG50" s="30" t="s">
        <v>69</v>
      </c>
      <c r="AH50" s="32">
        <v>0.2</v>
      </c>
    </row>
    <row r="51" spans="33:34" x14ac:dyDescent="0.25">
      <c r="AG51" s="30"/>
      <c r="AH51" s="34"/>
    </row>
    <row r="52" spans="33:34" x14ac:dyDescent="0.25">
      <c r="AG52" s="30" t="s">
        <v>70</v>
      </c>
      <c r="AH52" s="36">
        <f>AH40+AH47</f>
        <v>66830.900000000009</v>
      </c>
    </row>
    <row r="53" spans="33:34" x14ac:dyDescent="0.25">
      <c r="AG53" s="30"/>
      <c r="AH53" s="34"/>
    </row>
    <row r="54" spans="33:34" x14ac:dyDescent="0.25">
      <c r="AG54" s="37" t="s">
        <v>60</v>
      </c>
      <c r="AH54" s="38">
        <f>(AH41*AH42)+(AH48*AH49*(1-AH50))</f>
        <v>0.17828854787680551</v>
      </c>
    </row>
    <row r="55" spans="33:34" x14ac:dyDescent="0.25">
      <c r="AH55" s="15"/>
    </row>
  </sheetData>
  <phoneticPr fontId="3" type="noConversion"/>
  <pageMargins left="0.7" right="0.7" top="0.75" bottom="0.75" header="0.3" footer="0.3"/>
  <ignoredErrors>
    <ignoredError sqref="S5:S9 S11:S26 T6:T9" formulaRange="1"/>
    <ignoredError sqref="W9:Y9" formula="1"/>
  </ignoredErrors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a39ca4cb-d11d-4438-82c6-60d14c06324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B2C8BA91193641ACA596B843F8AC41" ma:contentTypeVersion="12" ma:contentTypeDescription="Create a new document." ma:contentTypeScope="" ma:versionID="d3e6f49a4cd03b147a500aec12464d1e">
  <xsd:schema xmlns:xsd="http://www.w3.org/2001/XMLSchema" xmlns:xs="http://www.w3.org/2001/XMLSchema" xmlns:p="http://schemas.microsoft.com/office/2006/metadata/properties" xmlns:ns3="a39ca4cb-d11d-4438-82c6-60d14c06324d" xmlns:ns4="006b831d-9a63-4bf1-a113-3c6b7a00a3a6" targetNamespace="http://schemas.microsoft.com/office/2006/metadata/properties" ma:root="true" ma:fieldsID="5dc48f6715d2b99e042117d5bfcf6e02" ns3:_="" ns4:_="">
    <xsd:import namespace="a39ca4cb-d11d-4438-82c6-60d14c06324d"/>
    <xsd:import namespace="006b831d-9a63-4bf1-a113-3c6b7a00a3a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_activity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9ca4cb-d11d-4438-82c6-60d14c06324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2" nillable="true" ma:displayName="_activity" ma:hidden="true" ma:internalName="_activity">
      <xsd:simpleType>
        <xsd:restriction base="dms:Note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b831d-9a63-4bf1-a113-3c6b7a00a3a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9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BF9E88-7012-4029-A5D7-EF8DC8D2AF9A}">
  <ds:schemaRefs>
    <ds:schemaRef ds:uri="http://schemas.microsoft.com/office/infopath/2007/PartnerControls"/>
    <ds:schemaRef ds:uri="http://schemas.microsoft.com/office/2006/documentManagement/types"/>
    <ds:schemaRef ds:uri="a39ca4cb-d11d-4438-82c6-60d14c06324d"/>
    <ds:schemaRef ds:uri="http://purl.org/dc/elements/1.1/"/>
    <ds:schemaRef ds:uri="http://purl.org/dc/terms/"/>
    <ds:schemaRef ds:uri="http://purl.org/dc/dcmitype/"/>
    <ds:schemaRef ds:uri="006b831d-9a63-4bf1-a113-3c6b7a00a3a6"/>
    <ds:schemaRef ds:uri="http://schemas.openxmlformats.org/package/2006/metadata/core-properties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0696E2B6-F661-49F3-8BEB-C4D595EEA53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1F91E62-23A6-4F0C-8F27-439DD3B1DDE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39ca4cb-d11d-4438-82c6-60d14c06324d"/>
    <ds:schemaRef ds:uri="006b831d-9a63-4bf1-a113-3c6b7a00a3a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Aniket Rajesh Vasaikar</dc:creator>
  <cp:lastModifiedBy>Aniket Rajesh Vasaikar</cp:lastModifiedBy>
  <dcterms:created xsi:type="dcterms:W3CDTF">2024-04-16T21:46:22Z</dcterms:created>
  <dcterms:modified xsi:type="dcterms:W3CDTF">2024-10-13T00:09:45Z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a73fd474-4f3c-44ed-88fb-5cc4bd2471bf_Enabled">
    <vt:lpwstr>true</vt:lpwstr>
  </property>
  <property fmtid="{D5CDD505-2E9C-101B-9397-08002B2CF9AE}" pid="3" name="MSIP_Label_a73fd474-4f3c-44ed-88fb-5cc4bd2471bf_SetDate">
    <vt:lpwstr>2024-04-17T00:01:01Z</vt:lpwstr>
  </property>
  <property fmtid="{D5CDD505-2E9C-101B-9397-08002B2CF9AE}" pid="4" name="MSIP_Label_a73fd474-4f3c-44ed-88fb-5cc4bd2471bf_Method">
    <vt:lpwstr>Standard</vt:lpwstr>
  </property>
  <property fmtid="{D5CDD505-2E9C-101B-9397-08002B2CF9AE}" pid="5" name="MSIP_Label_a73fd474-4f3c-44ed-88fb-5cc4bd2471bf_Name">
    <vt:lpwstr>defa4170-0d19-0005-0004-bc88714345d2</vt:lpwstr>
  </property>
  <property fmtid="{D5CDD505-2E9C-101B-9397-08002B2CF9AE}" pid="6" name="MSIP_Label_a73fd474-4f3c-44ed-88fb-5cc4bd2471bf_SiteId">
    <vt:lpwstr>8d1a69ec-03b5-4345-ae21-dad112f5fb4f</vt:lpwstr>
  </property>
  <property fmtid="{D5CDD505-2E9C-101B-9397-08002B2CF9AE}" pid="7" name="MSIP_Label_a73fd474-4f3c-44ed-88fb-5cc4bd2471bf_ActionId">
    <vt:lpwstr>99e8f2f8-380d-46f4-9abc-558693208bc8</vt:lpwstr>
  </property>
  <property fmtid="{D5CDD505-2E9C-101B-9397-08002B2CF9AE}" pid="8" name="MSIP_Label_a73fd474-4f3c-44ed-88fb-5cc4bd2471bf_ContentBits">
    <vt:lpwstr>0</vt:lpwstr>
  </property>
  <property fmtid="{D5CDD505-2E9C-101B-9397-08002B2CF9AE}" pid="9" name="ContentTypeId">
    <vt:lpwstr>0x01010099B2C8BA91193641ACA596B843F8AC41</vt:lpwstr>
  </property>
</Properties>
</file>