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s\OneDrive\Desktop\"/>
    </mc:Choice>
  </mc:AlternateContent>
  <xr:revisionPtr revIDLastSave="0" documentId="8_{D66DD1BC-127F-4705-A5E8-98898DCB913F}" xr6:coauthVersionLast="47" xr6:coauthVersionMax="47" xr10:uidLastSave="{00000000-0000-0000-0000-000000000000}"/>
  <bookViews>
    <workbookView xWindow="-120" yWindow="-120" windowWidth="38640" windowHeight="21120" firstSheet="2" activeTab="2" xr2:uid="{370AA389-2474-4289-AD1D-72E8497102DC}"/>
  </bookViews>
  <sheets>
    <sheet name="Agenda" sheetId="5" r:id="rId1"/>
    <sheet name="Trading comps" sheetId="11" r:id="rId2"/>
    <sheet name="DCF" sheetId="8" r:id="rId3"/>
    <sheet name="Sheet1" sheetId="10" r:id="rId4"/>
    <sheet name="WACC" sheetId="9" r:id="rId5"/>
  </sheets>
  <definedNames>
    <definedName name="tgr">DCF!$E$19</definedName>
    <definedName name="wacc">DCF!$E$18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8" l="1"/>
  <c r="L26" i="8"/>
  <c r="M26" i="8" s="1"/>
  <c r="N26" i="8" s="1"/>
  <c r="L25" i="8"/>
  <c r="L23" i="8"/>
  <c r="M24" i="8"/>
  <c r="K24" i="8"/>
  <c r="K26" i="8"/>
  <c r="K25" i="8"/>
  <c r="K23" i="8"/>
  <c r="M24" i="11"/>
  <c r="N24" i="11"/>
  <c r="O24" i="11"/>
  <c r="K24" i="11"/>
  <c r="L24" i="11"/>
  <c r="I24" i="11"/>
  <c r="G24" i="11"/>
  <c r="H24" i="11"/>
  <c r="J24" i="11"/>
  <c r="F24" i="11"/>
  <c r="J23" i="11"/>
  <c r="H23" i="11"/>
  <c r="I23" i="11"/>
  <c r="K23" i="11"/>
  <c r="L23" i="11"/>
  <c r="M23" i="11"/>
  <c r="N23" i="11"/>
  <c r="O23" i="11"/>
  <c r="F23" i="11"/>
  <c r="G23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3" i="11"/>
  <c r="C13" i="11"/>
  <c r="D12" i="11"/>
  <c r="C12" i="11"/>
  <c r="G60" i="8"/>
  <c r="F60" i="8"/>
  <c r="F33" i="8"/>
  <c r="G33" i="8"/>
  <c r="H33" i="8"/>
  <c r="I33" i="8"/>
  <c r="J33" i="8"/>
  <c r="K33" i="8"/>
  <c r="L33" i="8"/>
  <c r="M33" i="8"/>
  <c r="N33" i="8"/>
  <c r="E33" i="8"/>
  <c r="E19" i="8"/>
  <c r="O82" i="8"/>
  <c r="M25" i="8" l="1"/>
  <c r="N25" i="8" s="1"/>
  <c r="M23" i="8"/>
  <c r="N23" i="8" s="1"/>
  <c r="N24" i="8"/>
  <c r="L22" i="8"/>
  <c r="L27" i="8" s="1"/>
  <c r="K22" i="8"/>
  <c r="K77" i="8"/>
  <c r="K76" i="8" s="1"/>
  <c r="L76" i="8" s="1"/>
  <c r="M76" i="8" s="1"/>
  <c r="N76" i="8" s="1"/>
  <c r="O76" i="8" s="1"/>
  <c r="F15" i="9"/>
  <c r="O83" i="8" s="1"/>
  <c r="F20" i="9"/>
  <c r="F16" i="9" s="1"/>
  <c r="F10" i="9"/>
  <c r="O56" i="8"/>
  <c r="O55" i="8"/>
  <c r="O57" i="8"/>
  <c r="O54" i="8" s="1"/>
  <c r="O50" i="8"/>
  <c r="Q11" i="8"/>
  <c r="L11" i="8"/>
  <c r="G11" i="8"/>
  <c r="J70" i="8"/>
  <c r="I70" i="8"/>
  <c r="H70" i="8"/>
  <c r="G70" i="8"/>
  <c r="F70" i="8"/>
  <c r="E70" i="8"/>
  <c r="J67" i="8"/>
  <c r="I67" i="8"/>
  <c r="H67" i="8"/>
  <c r="G67" i="8"/>
  <c r="F67" i="8"/>
  <c r="E67" i="8"/>
  <c r="J64" i="8"/>
  <c r="I64" i="8"/>
  <c r="H64" i="8"/>
  <c r="G64" i="8"/>
  <c r="F64" i="8"/>
  <c r="E64" i="8"/>
  <c r="I53" i="8"/>
  <c r="H53" i="8"/>
  <c r="G53" i="8"/>
  <c r="F53" i="8"/>
  <c r="E53" i="8"/>
  <c r="I60" i="8"/>
  <c r="H60" i="8"/>
  <c r="E60" i="8"/>
  <c r="I59" i="8"/>
  <c r="H59" i="8"/>
  <c r="G59" i="8"/>
  <c r="F59" i="8"/>
  <c r="E59" i="8"/>
  <c r="J60" i="8"/>
  <c r="J59" i="8"/>
  <c r="J47" i="8"/>
  <c r="G47" i="8"/>
  <c r="F47" i="8"/>
  <c r="F21" i="8"/>
  <c r="G21" i="8" s="1"/>
  <c r="H21" i="8" s="1"/>
  <c r="I21" i="8" s="1"/>
  <c r="J21" i="8" s="1"/>
  <c r="K21" i="8" s="1"/>
  <c r="L21" i="8" s="1"/>
  <c r="M21" i="8" s="1"/>
  <c r="N21" i="8" s="1"/>
  <c r="O21" i="8" s="1"/>
  <c r="N22" i="8" l="1"/>
  <c r="N30" i="8" s="1"/>
  <c r="M22" i="8"/>
  <c r="I37" i="8"/>
  <c r="I65" i="8" s="1"/>
  <c r="K60" i="8"/>
  <c r="L60" i="8" s="1"/>
  <c r="M60" i="8" s="1"/>
  <c r="N60" i="8" s="1"/>
  <c r="O60" i="8" s="1"/>
  <c r="F18" i="9"/>
  <c r="F54" i="8"/>
  <c r="G54" i="8"/>
  <c r="O49" i="8"/>
  <c r="O51" i="8"/>
  <c r="O48" i="8" s="1"/>
  <c r="F9" i="9"/>
  <c r="G43" i="8"/>
  <c r="G71" i="8" s="1"/>
  <c r="E40" i="8"/>
  <c r="E68" i="8" s="1"/>
  <c r="K30" i="8"/>
  <c r="K56" i="8" s="1"/>
  <c r="I27" i="8"/>
  <c r="E37" i="8"/>
  <c r="E65" i="8" s="1"/>
  <c r="G40" i="8"/>
  <c r="G68" i="8" s="1"/>
  <c r="I43" i="8"/>
  <c r="I71" i="8" s="1"/>
  <c r="F37" i="8"/>
  <c r="F65" i="8" s="1"/>
  <c r="J43" i="8"/>
  <c r="J71" i="8" s="1"/>
  <c r="L30" i="8"/>
  <c r="L56" i="8" s="1"/>
  <c r="G37" i="8"/>
  <c r="G65" i="8" s="1"/>
  <c r="F27" i="8"/>
  <c r="E43" i="8"/>
  <c r="E71" i="8" s="1"/>
  <c r="F43" i="8"/>
  <c r="F71" i="8" s="1"/>
  <c r="J37" i="8"/>
  <c r="J65" i="8" s="1"/>
  <c r="G44" i="8"/>
  <c r="E47" i="8"/>
  <c r="F48" i="8" s="1"/>
  <c r="H40" i="8"/>
  <c r="H68" i="8" s="1"/>
  <c r="I40" i="8"/>
  <c r="I68" i="8" s="1"/>
  <c r="H37" i="8"/>
  <c r="H65" i="8" s="1"/>
  <c r="J40" i="8"/>
  <c r="J68" i="8" s="1"/>
  <c r="F44" i="8"/>
  <c r="G48" i="8"/>
  <c r="J30" i="8"/>
  <c r="F40" i="8"/>
  <c r="F68" i="8" s="1"/>
  <c r="H44" i="8"/>
  <c r="K27" i="8"/>
  <c r="K50" i="8" s="1"/>
  <c r="H47" i="8"/>
  <c r="H48" i="8" s="1"/>
  <c r="I30" i="8"/>
  <c r="H43" i="8"/>
  <c r="H71" i="8" s="1"/>
  <c r="J53" i="8"/>
  <c r="J54" i="8" s="1"/>
  <c r="J27" i="8"/>
  <c r="L50" i="8"/>
  <c r="I47" i="8"/>
  <c r="I54" i="8" s="1"/>
  <c r="I44" i="8"/>
  <c r="J44" i="8"/>
  <c r="F30" i="8"/>
  <c r="G30" i="8"/>
  <c r="G27" i="8"/>
  <c r="H27" i="8"/>
  <c r="E30" i="8"/>
  <c r="H30" i="8"/>
  <c r="N27" i="8" l="1"/>
  <c r="M30" i="8"/>
  <c r="M27" i="8"/>
  <c r="F22" i="9"/>
  <c r="O18" i="8" s="1"/>
  <c r="T18" i="8" s="1"/>
  <c r="E18" i="8" s="1"/>
  <c r="K68" i="8"/>
  <c r="L68" i="8" s="1"/>
  <c r="M68" i="8" s="1"/>
  <c r="N68" i="8" s="1"/>
  <c r="O68" i="8" s="1"/>
  <c r="K57" i="8"/>
  <c r="K55" i="8"/>
  <c r="K71" i="8"/>
  <c r="K51" i="8"/>
  <c r="K49" i="8"/>
  <c r="H54" i="8"/>
  <c r="K65" i="8"/>
  <c r="L65" i="8" s="1"/>
  <c r="M65" i="8" s="1"/>
  <c r="N65" i="8" s="1"/>
  <c r="O65" i="8" s="1"/>
  <c r="I48" i="8"/>
  <c r="E54" i="8"/>
  <c r="J48" i="8"/>
  <c r="E35" i="8"/>
  <c r="E46" i="8"/>
  <c r="J18" i="8" l="1"/>
  <c r="K48" i="8"/>
  <c r="K47" i="8" s="1"/>
  <c r="K70" i="8" s="1"/>
  <c r="L71" i="8"/>
  <c r="K54" i="8"/>
  <c r="F46" i="8"/>
  <c r="F35" i="8"/>
  <c r="K53" i="8" l="1"/>
  <c r="K59" i="8" s="1"/>
  <c r="K62" i="8" s="1"/>
  <c r="M71" i="8"/>
  <c r="K64" i="8"/>
  <c r="K67" i="8"/>
  <c r="G46" i="8"/>
  <c r="G35" i="8"/>
  <c r="K73" i="8" l="1"/>
  <c r="K74" i="8" s="1"/>
  <c r="N71" i="8"/>
  <c r="H46" i="8"/>
  <c r="H35" i="8"/>
  <c r="O71" i="8" l="1"/>
  <c r="I35" i="8"/>
  <c r="I46" i="8"/>
  <c r="J35" i="8" l="1"/>
  <c r="J46" i="8"/>
  <c r="K35" i="8" l="1"/>
  <c r="K46" i="8"/>
  <c r="L35" i="8" l="1"/>
  <c r="L46" i="8"/>
  <c r="M46" i="8" l="1"/>
  <c r="M35" i="8"/>
  <c r="N46" i="8" l="1"/>
  <c r="N35" i="8"/>
  <c r="O46" i="8" l="1"/>
  <c r="O35" i="8"/>
  <c r="M50" i="8" l="1"/>
  <c r="N50" i="8" s="1"/>
  <c r="L57" i="8"/>
  <c r="L49" i="8"/>
  <c r="M49" i="8" s="1"/>
  <c r="N49" i="8" s="1"/>
  <c r="L51" i="8"/>
  <c r="L55" i="8"/>
  <c r="M55" i="8" s="1"/>
  <c r="N55" i="8" s="1"/>
  <c r="L48" i="8" l="1"/>
  <c r="L47" i="8" s="1"/>
  <c r="M51" i="8"/>
  <c r="M57" i="8"/>
  <c r="L54" i="8"/>
  <c r="L53" i="8" l="1"/>
  <c r="L59" i="8" s="1"/>
  <c r="L62" i="8" s="1"/>
  <c r="N57" i="8"/>
  <c r="N54" i="8" s="1"/>
  <c r="M54" i="8"/>
  <c r="N51" i="8"/>
  <c r="N48" i="8" s="1"/>
  <c r="M48" i="8"/>
  <c r="M47" i="8" s="1"/>
  <c r="L67" i="8"/>
  <c r="L64" i="8"/>
  <c r="L70" i="8"/>
  <c r="L73" i="8" l="1"/>
  <c r="L74" i="8" s="1"/>
  <c r="M53" i="8"/>
  <c r="M59" i="8" s="1"/>
  <c r="M62" i="8" s="1"/>
  <c r="M67" i="8"/>
  <c r="N47" i="8"/>
  <c r="O47" i="8" s="1"/>
  <c r="M64" i="8"/>
  <c r="M70" i="8"/>
  <c r="N64" i="8" l="1"/>
  <c r="N67" i="8"/>
  <c r="N70" i="8"/>
  <c r="M73" i="8"/>
  <c r="M74" i="8" s="1"/>
  <c r="N53" i="8"/>
  <c r="N59" i="8" s="1"/>
  <c r="N62" i="8" s="1"/>
  <c r="N73" i="8" l="1"/>
  <c r="N74" i="8" s="1"/>
  <c r="O67" i="8"/>
  <c r="O53" i="8"/>
  <c r="O59" i="8" s="1"/>
  <c r="O62" i="8" s="1"/>
  <c r="O64" i="8"/>
  <c r="O70" i="8"/>
  <c r="O73" i="8" l="1"/>
  <c r="O79" i="8" s="1"/>
  <c r="O80" i="8" s="1"/>
  <c r="O74" i="8" l="1"/>
  <c r="O81" i="8" l="1"/>
  <c r="O84" i="8" s="1"/>
  <c r="O87" i="8" s="1"/>
  <c r="J4" i="8" s="1"/>
  <c r="J6" i="8" s="1"/>
  <c r="M56" i="8" l="1"/>
  <c r="N56" i="8" s="1"/>
</calcChain>
</file>

<file path=xl/sharedStrings.xml><?xml version="1.0" encoding="utf-8"?>
<sst xmlns="http://schemas.openxmlformats.org/spreadsheetml/2006/main" count="184" uniqueCount="122">
  <si>
    <t>Agenda</t>
  </si>
  <si>
    <t>x</t>
  </si>
  <si>
    <t>1. AMD Situation Overview</t>
  </si>
  <si>
    <t>2. Trading Comps</t>
  </si>
  <si>
    <t>3. Street-Based DCF</t>
  </si>
  <si>
    <t>4. WACC, Mid-Year Convention</t>
  </si>
  <si>
    <t>The Bull Case</t>
  </si>
  <si>
    <t>1. Strong market position and execution in CPU (Intel) and GPU (NVIDIA) markets</t>
  </si>
  <si>
    <t>2. One of the most important chip designers at the center of rapidly growing industries like AI, cloud computing, and autonomous driving</t>
  </si>
  <si>
    <t>3. Strong leadership under CEO Lisa Su</t>
  </si>
  <si>
    <t>The Bear Case</t>
  </si>
  <si>
    <t>1. Weakening PC markets could result in decline of key customer segment</t>
  </si>
  <si>
    <t>2. Intense competition can result in price wars and will require consistently large amounts of R&amp;D (otherwise face technological obsolescence)</t>
  </si>
  <si>
    <t>3. Susceptible to economic downturn and supply chain issues due to dependence of chip manufacturing to companies like TSMC</t>
  </si>
  <si>
    <t>COMPARABLE COMPANY COMS</t>
  </si>
  <si>
    <t xml:space="preserve">Market </t>
  </si>
  <si>
    <t xml:space="preserve">Enterprise </t>
  </si>
  <si>
    <t>Current Price</t>
  </si>
  <si>
    <t xml:space="preserve">% 52 weeks </t>
  </si>
  <si>
    <t>Revenue</t>
  </si>
  <si>
    <t>Growth</t>
  </si>
  <si>
    <t>EBITDA</t>
  </si>
  <si>
    <t>Margin</t>
  </si>
  <si>
    <t xml:space="preserve">Profit </t>
  </si>
  <si>
    <t>EV/EBIT</t>
  </si>
  <si>
    <t>EV/EBITDA</t>
  </si>
  <si>
    <t>P/E</t>
  </si>
  <si>
    <t>Ticker</t>
  </si>
  <si>
    <t>Company Name</t>
  </si>
  <si>
    <t>Cap</t>
  </si>
  <si>
    <t>Value</t>
  </si>
  <si>
    <t>Price</t>
  </si>
  <si>
    <t>RANGE</t>
  </si>
  <si>
    <t>22-23</t>
  </si>
  <si>
    <t>23-24</t>
  </si>
  <si>
    <t>NVDA</t>
  </si>
  <si>
    <t>Nvidia Corporation</t>
  </si>
  <si>
    <t>TSM</t>
  </si>
  <si>
    <t>TAIWAN Corporation</t>
  </si>
  <si>
    <t>AVGO</t>
  </si>
  <si>
    <t>Broadcom INC</t>
  </si>
  <si>
    <t>005930-KR</t>
  </si>
  <si>
    <t>Samsung Electrics CO</t>
  </si>
  <si>
    <t>AMD</t>
  </si>
  <si>
    <t>Advanced Micro Devices</t>
  </si>
  <si>
    <t>INTC</t>
  </si>
  <si>
    <t>Intel Corporation</t>
  </si>
  <si>
    <t>QCOM</t>
  </si>
  <si>
    <t>QUALCOMM incorporated</t>
  </si>
  <si>
    <t>TXN</t>
  </si>
  <si>
    <t>Texas Instruments Incorporated</t>
  </si>
  <si>
    <t>MU</t>
  </si>
  <si>
    <t>Micron Technology</t>
  </si>
  <si>
    <t>GFS</t>
  </si>
  <si>
    <t>Global Foundations</t>
  </si>
  <si>
    <t>UMC</t>
  </si>
  <si>
    <t>United Microelectronics Corp</t>
  </si>
  <si>
    <t>Mean</t>
  </si>
  <si>
    <t>MEDIAN</t>
  </si>
  <si>
    <t>DCF</t>
  </si>
  <si>
    <t>Implied Price Per Share</t>
  </si>
  <si>
    <t>Date</t>
  </si>
  <si>
    <t>Current Share Price</t>
  </si>
  <si>
    <t>EOY</t>
  </si>
  <si>
    <t>Implied Upside / (Downside)</t>
  </si>
  <si>
    <t>Assumptions</t>
  </si>
  <si>
    <t>Switches</t>
  </si>
  <si>
    <t>Conservative</t>
  </si>
  <si>
    <t>Base</t>
  </si>
  <si>
    <t>Optimistic</t>
  </si>
  <si>
    <t>Year</t>
  </si>
  <si>
    <t>Metric</t>
  </si>
  <si>
    <t>EBIT</t>
  </si>
  <si>
    <t xml:space="preserve"> </t>
  </si>
  <si>
    <t>WACC</t>
  </si>
  <si>
    <t>TGR</t>
  </si>
  <si>
    <t>Valuation</t>
  </si>
  <si>
    <t>Income Statement</t>
  </si>
  <si>
    <t>Data Center</t>
  </si>
  <si>
    <t>Client</t>
  </si>
  <si>
    <t>Gaming</t>
  </si>
  <si>
    <t>Embedded</t>
  </si>
  <si>
    <t>% growth revenue</t>
  </si>
  <si>
    <t>--</t>
  </si>
  <si>
    <t>% of sales</t>
  </si>
  <si>
    <t>Taxes</t>
  </si>
  <si>
    <t>Tax rate</t>
  </si>
  <si>
    <t>Cash Flow Items</t>
  </si>
  <si>
    <t>D&amp;A</t>
  </si>
  <si>
    <t>CapEx</t>
  </si>
  <si>
    <t>Change in NWC</t>
  </si>
  <si>
    <t>% of change in sales</t>
  </si>
  <si>
    <t>% growth</t>
  </si>
  <si>
    <t>Conservative Case</t>
  </si>
  <si>
    <t>Base Case</t>
  </si>
  <si>
    <t>Optimistic Case</t>
  </si>
  <si>
    <t>EBIAT</t>
  </si>
  <si>
    <t>Unlevered FCF</t>
  </si>
  <si>
    <t>Present Value of Unlevered FCF</t>
  </si>
  <si>
    <t>Discount Period</t>
  </si>
  <si>
    <t>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</si>
  <si>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</si>
  <si>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</si>
  <si>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</si>
  <si>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</si>
  <si>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</si>
  <si>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</si>
  <si>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</si>
  <si>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Operating Income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</si>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</sst>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A"/>
    <numFmt numFmtId="165" formatCode="0\E"/>
    <numFmt numFmtId="166" formatCode="0%;\(0%\)"/>
    <numFmt numFmtId="167" formatCode="0.0%;\(0.0%\)"/>
    <numFmt numFmtId="168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87E7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777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</cellStyleXfs>
  <cellXfs count="137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0" fillId="0" borderId="1" xfId="0" applyBorder="1"/>
    <xf numFmtId="0" fontId="3" fillId="3" borderId="0" xfId="0" applyFont="1" applyFill="1"/>
    <xf numFmtId="0" fontId="2" fillId="3" borderId="0" xfId="0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164" fontId="2" fillId="3" borderId="0" xfId="0" applyNumberFormat="1" applyFont="1" applyFill="1"/>
    <xf numFmtId="165" fontId="2" fillId="3" borderId="0" xfId="0" applyNumberFormat="1" applyFont="1" applyFill="1"/>
    <xf numFmtId="3" fontId="0" fillId="0" borderId="0" xfId="0" applyNumberFormat="1"/>
    <xf numFmtId="3" fontId="10" fillId="0" borderId="0" xfId="0" applyNumberFormat="1" applyFont="1"/>
    <xf numFmtId="166" fontId="9" fillId="0" borderId="0" xfId="1" applyNumberFormat="1" applyFont="1"/>
    <xf numFmtId="37" fontId="11" fillId="0" borderId="0" xfId="0" applyNumberFormat="1" applyFont="1"/>
    <xf numFmtId="166" fontId="9" fillId="0" borderId="0" xfId="1" quotePrefix="1" applyNumberFormat="1" applyFont="1" applyAlignment="1">
      <alignment horizontal="right"/>
    </xf>
    <xf numFmtId="9" fontId="0" fillId="0" borderId="0" xfId="0" applyNumberFormat="1"/>
    <xf numFmtId="0" fontId="0" fillId="0" borderId="0" xfId="0" quotePrefix="1" applyAlignment="1">
      <alignment horizontal="right"/>
    </xf>
    <xf numFmtId="3" fontId="12" fillId="0" borderId="0" xfId="0" applyNumberFormat="1" applyFont="1"/>
    <xf numFmtId="166" fontId="9" fillId="0" borderId="0" xfId="1" applyNumberFormat="1" applyFont="1" applyAlignment="1">
      <alignment horizontal="right"/>
    </xf>
    <xf numFmtId="166" fontId="13" fillId="0" borderId="0" xfId="1" applyNumberFormat="1" applyFont="1" applyAlignment="1">
      <alignment horizontal="right"/>
    </xf>
    <xf numFmtId="9" fontId="9" fillId="2" borderId="2" xfId="1" applyFont="1" applyFill="1" applyBorder="1" applyAlignment="1">
      <alignment horizontal="right"/>
    </xf>
    <xf numFmtId="0" fontId="14" fillId="4" borderId="0" xfId="0" applyFont="1" applyFill="1"/>
    <xf numFmtId="0" fontId="15" fillId="4" borderId="0" xfId="0" applyFont="1" applyFill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167" fontId="5" fillId="2" borderId="2" xfId="0" applyNumberFormat="1" applyFont="1" applyFill="1" applyBorder="1" applyAlignment="1">
      <alignment horizontal="center"/>
    </xf>
    <xf numFmtId="168" fontId="5" fillId="2" borderId="2" xfId="1" applyNumberFormat="1" applyFont="1" applyFill="1" applyBorder="1" applyAlignment="1">
      <alignment horizontal="center"/>
    </xf>
    <xf numFmtId="9" fontId="18" fillId="2" borderId="2" xfId="1" applyFont="1" applyFill="1" applyBorder="1" applyAlignment="1">
      <alignment horizontal="right"/>
    </xf>
    <xf numFmtId="9" fontId="13" fillId="2" borderId="2" xfId="1" applyFont="1" applyFill="1" applyBorder="1" applyAlignment="1">
      <alignment horizontal="right"/>
    </xf>
    <xf numFmtId="3" fontId="11" fillId="0" borderId="0" xfId="0" applyNumberFormat="1" applyFont="1"/>
    <xf numFmtId="0" fontId="11" fillId="0" borderId="0" xfId="0" applyFont="1"/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37" fontId="12" fillId="0" borderId="0" xfId="0" applyNumberFormat="1" applyFont="1"/>
    <xf numFmtId="166" fontId="18" fillId="2" borderId="2" xfId="1" applyNumberFormat="1" applyFont="1" applyFill="1" applyBorder="1" applyAlignment="1">
      <alignment horizontal="right"/>
    </xf>
    <xf numFmtId="166" fontId="13" fillId="2" borderId="2" xfId="1" applyNumberFormat="1" applyFont="1" applyFill="1" applyBorder="1" applyAlignment="1">
      <alignment horizontal="right"/>
    </xf>
    <xf numFmtId="0" fontId="2" fillId="5" borderId="0" xfId="0" applyFont="1" applyFill="1"/>
    <xf numFmtId="0" fontId="0" fillId="5" borderId="0" xfId="0" applyFill="1"/>
    <xf numFmtId="10" fontId="0" fillId="0" borderId="0" xfId="0" applyNumberFormat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14" fontId="5" fillId="2" borderId="2" xfId="0" applyNumberFormat="1" applyFont="1" applyFill="1" applyBorder="1" applyAlignment="1">
      <alignment horizontal="center"/>
    </xf>
    <xf numFmtId="0" fontId="19" fillId="0" borderId="1" xfId="3" applyFont="1" applyBorder="1"/>
    <xf numFmtId="0" fontId="19" fillId="0" borderId="0" xfId="3" applyFont="1"/>
    <xf numFmtId="0" fontId="3" fillId="0" borderId="1" xfId="0" applyFont="1" applyBorder="1"/>
    <xf numFmtId="2" fontId="5" fillId="6" borderId="2" xfId="0" applyNumberFormat="1" applyFont="1" applyFill="1" applyBorder="1" applyAlignment="1">
      <alignment horizontal="center"/>
    </xf>
    <xf numFmtId="9" fontId="5" fillId="6" borderId="2" xfId="1" applyFont="1" applyFill="1" applyBorder="1" applyAlignment="1">
      <alignment horizontal="center"/>
    </xf>
    <xf numFmtId="0" fontId="0" fillId="7" borderId="0" xfId="0" applyFill="1"/>
    <xf numFmtId="0" fontId="11" fillId="7" borderId="0" xfId="0" applyFont="1" applyFill="1"/>
    <xf numFmtId="0" fontId="3" fillId="0" borderId="0" xfId="0" applyFont="1"/>
    <xf numFmtId="3" fontId="10" fillId="7" borderId="0" xfId="0" applyNumberFormat="1" applyFont="1" applyFill="1"/>
    <xf numFmtId="37" fontId="11" fillId="7" borderId="0" xfId="0" applyNumberFormat="1" applyFont="1" applyFill="1"/>
    <xf numFmtId="166" fontId="9" fillId="7" borderId="0" xfId="1" applyNumberFormat="1" applyFont="1" applyFill="1"/>
    <xf numFmtId="3" fontId="10" fillId="8" borderId="0" xfId="0" applyNumberFormat="1" applyFont="1" applyFill="1"/>
    <xf numFmtId="3" fontId="4" fillId="0" borderId="0" xfId="2" applyNumberFormat="1" applyAlignment="1">
      <alignment horizontal="right"/>
    </xf>
    <xf numFmtId="0" fontId="4" fillId="0" borderId="0" xfId="2" applyAlignment="1">
      <alignment horizontal="left"/>
    </xf>
    <xf numFmtId="37" fontId="10" fillId="0" borderId="0" xfId="0" applyNumberFormat="1" applyFont="1"/>
    <xf numFmtId="0" fontId="11" fillId="9" borderId="12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right"/>
    </xf>
    <xf numFmtId="0" fontId="11" fillId="9" borderId="13" xfId="0" applyFont="1" applyFill="1" applyBorder="1"/>
    <xf numFmtId="3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0" fontId="11" fillId="7" borderId="0" xfId="0" applyNumberFormat="1" applyFont="1" applyFill="1" applyAlignment="1">
      <alignment horizontal="center"/>
    </xf>
    <xf numFmtId="9" fontId="11" fillId="7" borderId="0" xfId="0" applyNumberFormat="1" applyFont="1" applyFill="1" applyAlignment="1">
      <alignment horizontal="center"/>
    </xf>
    <xf numFmtId="9" fontId="11" fillId="14" borderId="15" xfId="0" applyNumberFormat="1" applyFont="1" applyFill="1" applyBorder="1" applyAlignment="1">
      <alignment horizontal="center"/>
    </xf>
    <xf numFmtId="9" fontId="11" fillId="11" borderId="19" xfId="0" applyNumberFormat="1" applyFont="1" applyFill="1" applyBorder="1" applyAlignment="1">
      <alignment horizontal="center"/>
    </xf>
    <xf numFmtId="9" fontId="11" fillId="12" borderId="15" xfId="0" applyNumberFormat="1" applyFont="1" applyFill="1" applyBorder="1" applyAlignment="1">
      <alignment horizontal="center"/>
    </xf>
    <xf numFmtId="9" fontId="11" fillId="10" borderId="19" xfId="0" applyNumberFormat="1" applyFont="1" applyFill="1" applyBorder="1" applyAlignment="1">
      <alignment horizontal="center"/>
    </xf>
    <xf numFmtId="9" fontId="11" fillId="15" borderId="15" xfId="0" applyNumberFormat="1" applyFont="1" applyFill="1" applyBorder="1" applyAlignment="1">
      <alignment horizontal="center"/>
    </xf>
    <xf numFmtId="9" fontId="11" fillId="14" borderId="19" xfId="0" applyNumberFormat="1" applyFont="1" applyFill="1" applyBorder="1" applyAlignment="1">
      <alignment horizontal="center"/>
    </xf>
    <xf numFmtId="9" fontId="11" fillId="11" borderId="15" xfId="0" applyNumberFormat="1" applyFont="1" applyFill="1" applyBorder="1" applyAlignment="1">
      <alignment horizontal="center"/>
    </xf>
    <xf numFmtId="9" fontId="11" fillId="14" borderId="17" xfId="0" applyNumberFormat="1" applyFont="1" applyFill="1" applyBorder="1" applyAlignment="1">
      <alignment horizontal="center"/>
    </xf>
    <xf numFmtId="9" fontId="11" fillId="11" borderId="18" xfId="0" applyNumberFormat="1" applyFont="1" applyFill="1" applyBorder="1" applyAlignment="1">
      <alignment horizontal="center"/>
    </xf>
    <xf numFmtId="9" fontId="11" fillId="10" borderId="15" xfId="0" applyNumberFormat="1" applyFont="1" applyFill="1" applyBorder="1" applyAlignment="1">
      <alignment horizontal="center"/>
    </xf>
    <xf numFmtId="9" fontId="11" fillId="15" borderId="19" xfId="0" applyNumberFormat="1" applyFont="1" applyFill="1" applyBorder="1" applyAlignment="1">
      <alignment horizontal="center"/>
    </xf>
    <xf numFmtId="9" fontId="11" fillId="13" borderId="15" xfId="0" applyNumberFormat="1" applyFont="1" applyFill="1" applyBorder="1" applyAlignment="1">
      <alignment horizontal="center"/>
    </xf>
    <xf numFmtId="9" fontId="11" fillId="13" borderId="19" xfId="0" applyNumberFormat="1" applyFont="1" applyFill="1" applyBorder="1" applyAlignment="1">
      <alignment horizontal="center"/>
    </xf>
    <xf numFmtId="9" fontId="11" fillId="13" borderId="17" xfId="0" applyNumberFormat="1" applyFont="1" applyFill="1" applyBorder="1" applyAlignment="1">
      <alignment horizontal="center"/>
    </xf>
    <xf numFmtId="9" fontId="11" fillId="13" borderId="18" xfId="0" applyNumberFormat="1" applyFont="1" applyFill="1" applyBorder="1" applyAlignment="1">
      <alignment horizontal="center"/>
    </xf>
    <xf numFmtId="9" fontId="11" fillId="16" borderId="15" xfId="0" applyNumberFormat="1" applyFont="1" applyFill="1" applyBorder="1" applyAlignment="1">
      <alignment horizontal="center"/>
    </xf>
    <xf numFmtId="9" fontId="11" fillId="16" borderId="19" xfId="0" applyNumberFormat="1" applyFont="1" applyFill="1" applyBorder="1" applyAlignment="1">
      <alignment horizontal="center"/>
    </xf>
    <xf numFmtId="9" fontId="11" fillId="11" borderId="17" xfId="0" applyNumberFormat="1" applyFont="1" applyFill="1" applyBorder="1" applyAlignment="1">
      <alignment horizontal="center"/>
    </xf>
    <xf numFmtId="0" fontId="20" fillId="7" borderId="0" xfId="0" applyFont="1" applyFill="1"/>
    <xf numFmtId="0" fontId="11" fillId="13" borderId="16" xfId="0" applyFont="1" applyFill="1" applyBorder="1" applyAlignment="1">
      <alignment horizontal="left"/>
    </xf>
    <xf numFmtId="0" fontId="11" fillId="13" borderId="20" xfId="0" applyFont="1" applyFill="1" applyBorder="1" applyAlignment="1">
      <alignment horizontal="center"/>
    </xf>
    <xf numFmtId="0" fontId="11" fillId="13" borderId="17" xfId="0" applyFont="1" applyFill="1" applyBorder="1"/>
    <xf numFmtId="0" fontId="11" fillId="13" borderId="21" xfId="0" applyFont="1" applyFill="1" applyBorder="1"/>
    <xf numFmtId="0" fontId="11" fillId="10" borderId="19" xfId="0" applyFont="1" applyFill="1" applyBorder="1" applyAlignment="1">
      <alignment horizontal="center"/>
    </xf>
    <xf numFmtId="0" fontId="11" fillId="17" borderId="19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1" borderId="19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11" fillId="11" borderId="14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/>
    </xf>
    <xf numFmtId="0" fontId="11" fillId="16" borderId="14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7" borderId="14" xfId="0" applyFont="1" applyFill="1" applyBorder="1" applyAlignment="1">
      <alignment horizontal="center"/>
    </xf>
    <xf numFmtId="0" fontId="11" fillId="9" borderId="25" xfId="0" applyFont="1" applyFill="1" applyBorder="1"/>
    <xf numFmtId="0" fontId="11" fillId="9" borderId="26" xfId="0" applyFont="1" applyFill="1" applyBorder="1"/>
    <xf numFmtId="0" fontId="11" fillId="9" borderId="27" xfId="0" applyFont="1" applyFill="1" applyBorder="1"/>
    <xf numFmtId="0" fontId="11" fillId="9" borderId="28" xfId="0" applyFont="1" applyFill="1" applyBorder="1"/>
    <xf numFmtId="0" fontId="11" fillId="9" borderId="0" xfId="0" applyFont="1" applyFill="1"/>
    <xf numFmtId="0" fontId="11" fillId="9" borderId="0" xfId="0" applyFont="1" applyFill="1" applyAlignment="1">
      <alignment horizontal="center"/>
    </xf>
    <xf numFmtId="0" fontId="11" fillId="9" borderId="29" xfId="0" applyFont="1" applyFill="1" applyBorder="1" applyAlignment="1">
      <alignment horizontal="center"/>
    </xf>
    <xf numFmtId="0" fontId="11" fillId="9" borderId="30" xfId="0" applyFont="1" applyFill="1" applyBorder="1"/>
    <xf numFmtId="0" fontId="11" fillId="9" borderId="1" xfId="0" applyFont="1" applyFill="1" applyBorder="1"/>
    <xf numFmtId="0" fontId="11" fillId="9" borderId="1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 vertical="center"/>
    </xf>
    <xf numFmtId="0" fontId="20" fillId="9" borderId="31" xfId="0" applyFont="1" applyFill="1" applyBorder="1" applyAlignment="1">
      <alignment horizontal="center"/>
    </xf>
    <xf numFmtId="9" fontId="20" fillId="13" borderId="20" xfId="0" applyNumberFormat="1" applyFont="1" applyFill="1" applyBorder="1" applyAlignment="1">
      <alignment horizontal="center"/>
    </xf>
    <xf numFmtId="2" fontId="20" fillId="13" borderId="20" xfId="0" applyNumberFormat="1" applyFont="1" applyFill="1" applyBorder="1" applyAlignment="1">
      <alignment horizontal="center"/>
    </xf>
    <xf numFmtId="2" fontId="20" fillId="13" borderId="23" xfId="0" applyNumberFormat="1" applyFont="1" applyFill="1" applyBorder="1" applyAlignment="1">
      <alignment horizontal="center"/>
    </xf>
    <xf numFmtId="9" fontId="20" fillId="13" borderId="21" xfId="0" applyNumberFormat="1" applyFont="1" applyFill="1" applyBorder="1" applyAlignment="1">
      <alignment horizontal="center"/>
    </xf>
    <xf numFmtId="0" fontId="20" fillId="13" borderId="21" xfId="0" applyFont="1" applyFill="1" applyBorder="1" applyAlignment="1">
      <alignment horizontal="center"/>
    </xf>
    <xf numFmtId="0" fontId="20" fillId="13" borderId="24" xfId="0" applyFont="1" applyFill="1" applyBorder="1" applyAlignment="1">
      <alignment horizontal="center"/>
    </xf>
    <xf numFmtId="9" fontId="10" fillId="0" borderId="0" xfId="0" applyNumberFormat="1" applyFont="1"/>
  </cellXfs>
  <cellStyles count="4">
    <cellStyle name="Hyperlink" xfId="3" builtinId="8"/>
    <cellStyle name="Normal" xfId="0" builtinId="0"/>
    <cellStyle name="Normal 2" xfId="2" xr:uid="{975CD595-3FAA-4BAF-A636-2B2328995483}"/>
    <cellStyle name="Percent" xfId="1" builtinId="5"/>
  </cellStyles>
  <dxfs count="0"/>
  <tableStyles count="0" defaultTableStyle="TableStyleMedium2" defaultPivotStyle="PivotStyleLight16"/>
  <colors>
    <mruColors>
      <color rgb="FFF27774"/>
      <color rgb="FFE87E7E"/>
      <color rgb="FFD1969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9F15-27A8-4B1B-9A1F-7589223C49A8}">
  <dimension ref="A2:H24"/>
  <sheetViews>
    <sheetView showGridLines="0" zoomScale="95" zoomScaleNormal="145" workbookViewId="0">
      <selection activeCell="I6" sqref="I6"/>
    </sheetView>
  </sheetViews>
  <sheetFormatPr defaultColWidth="8.7109375" defaultRowHeight="12.75" x14ac:dyDescent="0.2"/>
  <cols>
    <col min="1" max="1" width="3.7109375" style="5" customWidth="1"/>
    <col min="2" max="16384" width="8.7109375" style="5"/>
  </cols>
  <sheetData>
    <row r="2" spans="1:8" s="1" customFormat="1" ht="21" x14ac:dyDescent="0.35">
      <c r="B2" s="2" t="s">
        <v>0</v>
      </c>
      <c r="H2" s="60"/>
    </row>
    <row r="4" spans="1:8" ht="15" x14ac:dyDescent="0.25">
      <c r="A4" s="3" t="s">
        <v>1</v>
      </c>
      <c r="B4" s="4" t="s">
        <v>0</v>
      </c>
    </row>
    <row r="5" spans="1:8" x14ac:dyDescent="0.2">
      <c r="A5" s="3"/>
      <c r="B5" s="5" t="s">
        <v>2</v>
      </c>
    </row>
    <row r="6" spans="1:8" x14ac:dyDescent="0.2">
      <c r="A6" s="3"/>
      <c r="B6" s="5" t="s">
        <v>3</v>
      </c>
    </row>
    <row r="7" spans="1:8" x14ac:dyDescent="0.2">
      <c r="A7" s="3"/>
      <c r="B7" s="5" t="s">
        <v>4</v>
      </c>
    </row>
    <row r="8" spans="1:8" x14ac:dyDescent="0.2">
      <c r="A8" s="3"/>
      <c r="B8" s="5" t="s">
        <v>5</v>
      </c>
    </row>
    <row r="9" spans="1:8" x14ac:dyDescent="0.2">
      <c r="A9" s="3"/>
    </row>
    <row r="10" spans="1:8" ht="15" x14ac:dyDescent="0.25">
      <c r="A10" s="3" t="s">
        <v>1</v>
      </c>
      <c r="B10" s="4" t="s">
        <v>6</v>
      </c>
    </row>
    <row r="11" spans="1:8" x14ac:dyDescent="0.2">
      <c r="A11" s="3"/>
      <c r="B11" s="5" t="s">
        <v>7</v>
      </c>
    </row>
    <row r="12" spans="1:8" x14ac:dyDescent="0.2">
      <c r="A12" s="3"/>
      <c r="B12" s="5" t="s">
        <v>8</v>
      </c>
    </row>
    <row r="13" spans="1:8" x14ac:dyDescent="0.2">
      <c r="A13" s="3"/>
      <c r="B13" s="5" t="s">
        <v>9</v>
      </c>
    </row>
    <row r="14" spans="1:8" x14ac:dyDescent="0.2">
      <c r="A14" s="3"/>
    </row>
    <row r="15" spans="1:8" ht="15" x14ac:dyDescent="0.25">
      <c r="A15" s="3" t="s">
        <v>1</v>
      </c>
      <c r="B15" s="4" t="s">
        <v>10</v>
      </c>
    </row>
    <row r="16" spans="1:8" x14ac:dyDescent="0.2">
      <c r="A16" s="3"/>
      <c r="B16" s="5" t="s">
        <v>11</v>
      </c>
    </row>
    <row r="17" spans="1:7" x14ac:dyDescent="0.2">
      <c r="A17" s="3"/>
      <c r="B17" s="5" t="s">
        <v>12</v>
      </c>
    </row>
    <row r="18" spans="1:7" x14ac:dyDescent="0.2">
      <c r="A18" s="3"/>
      <c r="B18" s="5" t="s">
        <v>13</v>
      </c>
    </row>
    <row r="19" spans="1:7" x14ac:dyDescent="0.2">
      <c r="A19" s="3"/>
    </row>
    <row r="20" spans="1:7" ht="15" x14ac:dyDescent="0.25">
      <c r="A20" s="3"/>
      <c r="B20" s="4"/>
    </row>
    <row r="21" spans="1:7" x14ac:dyDescent="0.2">
      <c r="A21" s="3"/>
    </row>
    <row r="22" spans="1:7" x14ac:dyDescent="0.2">
      <c r="A22" s="3"/>
    </row>
    <row r="23" spans="1:7" x14ac:dyDescent="0.2">
      <c r="A23" s="3"/>
    </row>
    <row r="24" spans="1:7" x14ac:dyDescent="0.2">
      <c r="G24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3B26-2007-47F2-A3D6-20AF257A7930}">
  <dimension ref="A3:P24"/>
  <sheetViews>
    <sheetView zoomScale="69" zoomScaleNormal="130" workbookViewId="0">
      <selection activeCell="J4" sqref="J4"/>
    </sheetView>
  </sheetViews>
  <sheetFormatPr defaultColWidth="9.140625" defaultRowHeight="15" x14ac:dyDescent="0.25"/>
  <cols>
    <col min="1" max="1" width="16.28515625" style="66" customWidth="1"/>
    <col min="2" max="2" width="33.28515625" style="66" customWidth="1"/>
    <col min="3" max="3" width="11" style="66" bestFit="1" customWidth="1"/>
    <col min="4" max="4" width="15.85546875" style="66" bestFit="1" customWidth="1"/>
    <col min="5" max="5" width="12.5703125" style="66" bestFit="1" customWidth="1"/>
    <col min="6" max="6" width="15.28515625" style="66" customWidth="1"/>
    <col min="7" max="7" width="8.140625" style="66" customWidth="1"/>
    <col min="8" max="8" width="9.42578125" style="66" customWidth="1"/>
    <col min="9" max="9" width="7.28515625" style="66" customWidth="1"/>
    <col min="10" max="10" width="8.5703125" style="66" customWidth="1"/>
    <col min="11" max="11" width="7.140625" style="66" customWidth="1"/>
    <col min="12" max="12" width="8.42578125" style="66" customWidth="1"/>
    <col min="13" max="13" width="11.5703125" style="66" customWidth="1"/>
    <col min="14" max="14" width="10.42578125" style="66" bestFit="1" customWidth="1"/>
    <col min="15" max="16384" width="9.140625" style="66"/>
  </cols>
  <sheetData>
    <row r="3" spans="1:16" x14ac:dyDescent="0.25">
      <c r="A3" s="102" t="s">
        <v>14</v>
      </c>
    </row>
    <row r="8" spans="1:16" ht="15.75" thickBot="1" x14ac:dyDescent="0.3">
      <c r="A8" s="117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9"/>
    </row>
    <row r="9" spans="1:16" ht="15.75" thickBot="1" x14ac:dyDescent="0.3">
      <c r="A9" s="120"/>
      <c r="B9" s="121"/>
      <c r="C9" s="122" t="s">
        <v>15</v>
      </c>
      <c r="D9" s="122" t="s">
        <v>16</v>
      </c>
      <c r="E9" s="122" t="s">
        <v>17</v>
      </c>
      <c r="F9" s="122" t="s">
        <v>18</v>
      </c>
      <c r="G9" s="75" t="s">
        <v>19</v>
      </c>
      <c r="H9" s="77" t="s">
        <v>20</v>
      </c>
      <c r="I9" s="75" t="s">
        <v>21</v>
      </c>
      <c r="J9" s="76" t="s">
        <v>22</v>
      </c>
      <c r="K9" s="78" t="s">
        <v>23</v>
      </c>
      <c r="L9" s="79" t="s">
        <v>22</v>
      </c>
      <c r="M9" s="122" t="s">
        <v>24</v>
      </c>
      <c r="N9" s="121" t="s">
        <v>25</v>
      </c>
      <c r="O9" s="123" t="s">
        <v>26</v>
      </c>
    </row>
    <row r="10" spans="1:16" x14ac:dyDescent="0.25">
      <c r="A10" s="124" t="s">
        <v>27</v>
      </c>
      <c r="B10" s="125" t="s">
        <v>28</v>
      </c>
      <c r="C10" s="126" t="s">
        <v>29</v>
      </c>
      <c r="D10" s="126" t="s">
        <v>30</v>
      </c>
      <c r="E10" s="126" t="s">
        <v>31</v>
      </c>
      <c r="F10" s="126" t="s">
        <v>32</v>
      </c>
      <c r="G10" s="127" t="s">
        <v>33</v>
      </c>
      <c r="H10" s="127" t="s">
        <v>34</v>
      </c>
      <c r="I10" s="128">
        <v>23</v>
      </c>
      <c r="J10" s="128">
        <v>24</v>
      </c>
      <c r="K10" s="128">
        <v>23</v>
      </c>
      <c r="L10" s="127">
        <v>24</v>
      </c>
      <c r="M10" s="127">
        <v>24</v>
      </c>
      <c r="N10" s="127">
        <v>24</v>
      </c>
      <c r="O10" s="129">
        <v>24</v>
      </c>
    </row>
    <row r="11" spans="1:16" x14ac:dyDescent="0.25">
      <c r="A11" s="66" t="s">
        <v>35</v>
      </c>
      <c r="B11" s="66" t="s">
        <v>36</v>
      </c>
      <c r="C11" s="80">
        <v>2194000</v>
      </c>
      <c r="D11" s="80">
        <v>2189000</v>
      </c>
      <c r="E11" s="80">
        <v>877.57</v>
      </c>
      <c r="F11" s="82">
        <v>2.0348000000000002</v>
      </c>
      <c r="G11" s="93">
        <v>1.1585000000000001</v>
      </c>
      <c r="H11" s="87">
        <v>0.6</v>
      </c>
      <c r="I11" s="93">
        <v>0.57999999999999996</v>
      </c>
      <c r="J11" s="87">
        <v>0.6</v>
      </c>
      <c r="K11" s="93">
        <v>0.46</v>
      </c>
      <c r="L11" s="87">
        <v>0.5</v>
      </c>
      <c r="M11" s="112">
        <v>27.6</v>
      </c>
      <c r="N11" s="116">
        <v>28.7</v>
      </c>
      <c r="O11" s="110">
        <v>33.4</v>
      </c>
      <c r="P11" s="81"/>
    </row>
    <row r="12" spans="1:16" x14ac:dyDescent="0.25">
      <c r="A12" s="66" t="s">
        <v>37</v>
      </c>
      <c r="B12" s="66" t="s">
        <v>38</v>
      </c>
      <c r="C12" s="80">
        <f>623.17 *1000</f>
        <v>623170</v>
      </c>
      <c r="D12" s="80">
        <f>599.87*1000</f>
        <v>599870</v>
      </c>
      <c r="E12" s="80">
        <v>138.5</v>
      </c>
      <c r="F12" s="82">
        <v>0.64680000000000004</v>
      </c>
      <c r="G12" s="84">
        <v>-0.09</v>
      </c>
      <c r="H12" s="85">
        <v>0.21</v>
      </c>
      <c r="I12" s="93">
        <v>0.67</v>
      </c>
      <c r="J12" s="87">
        <v>0.68</v>
      </c>
      <c r="K12" s="93">
        <v>0.39</v>
      </c>
      <c r="L12" s="87">
        <v>0.37</v>
      </c>
      <c r="M12" s="112">
        <v>14.04</v>
      </c>
      <c r="N12" s="113">
        <v>8.6999999999999993</v>
      </c>
      <c r="O12" s="107">
        <v>18.8</v>
      </c>
      <c r="P12" s="81"/>
    </row>
    <row r="13" spans="1:16" x14ac:dyDescent="0.25">
      <c r="A13" s="66" t="s">
        <v>39</v>
      </c>
      <c r="B13" s="66" t="s">
        <v>40</v>
      </c>
      <c r="C13" s="80">
        <f>622.87*1000</f>
        <v>622870</v>
      </c>
      <c r="D13" s="80">
        <f>686.91*1000</f>
        <v>686910</v>
      </c>
      <c r="E13" s="80">
        <v>1338.62</v>
      </c>
      <c r="F13" s="82">
        <v>1.1069</v>
      </c>
      <c r="G13" s="86">
        <v>7.0000000000000007E-2</v>
      </c>
      <c r="H13" s="87">
        <v>0.39</v>
      </c>
      <c r="I13" s="93">
        <v>0.64</v>
      </c>
      <c r="J13" s="87">
        <v>0.6</v>
      </c>
      <c r="K13" s="93">
        <v>0.51</v>
      </c>
      <c r="L13" s="87">
        <v>0.46</v>
      </c>
      <c r="M13" s="112">
        <v>18.3</v>
      </c>
      <c r="N13" s="112">
        <v>17.5</v>
      </c>
      <c r="O13" s="108">
        <v>23.7</v>
      </c>
      <c r="P13" s="81"/>
    </row>
    <row r="14" spans="1:16" x14ac:dyDescent="0.25">
      <c r="A14" s="66" t="s">
        <v>41</v>
      </c>
      <c r="B14" s="66" t="s">
        <v>42</v>
      </c>
      <c r="C14" s="80">
        <v>425933</v>
      </c>
      <c r="D14" s="80">
        <v>359600</v>
      </c>
      <c r="E14" s="80">
        <v>64.5</v>
      </c>
      <c r="F14" s="82">
        <v>0.17100000000000001</v>
      </c>
      <c r="G14" s="88">
        <v>-0.15</v>
      </c>
      <c r="H14" s="85">
        <v>0.15</v>
      </c>
      <c r="I14" s="84">
        <v>0.18</v>
      </c>
      <c r="J14" s="89">
        <v>0.25</v>
      </c>
      <c r="K14" s="99">
        <v>0.06</v>
      </c>
      <c r="L14" s="100">
        <v>0.1</v>
      </c>
      <c r="M14" s="113">
        <v>11.7</v>
      </c>
      <c r="N14" s="113">
        <v>5.5</v>
      </c>
      <c r="O14" s="107">
        <v>16.399999999999999</v>
      </c>
      <c r="P14" s="81"/>
    </row>
    <row r="15" spans="1:16" x14ac:dyDescent="0.25">
      <c r="A15" s="102" t="s">
        <v>43</v>
      </c>
      <c r="B15" s="102" t="s">
        <v>44</v>
      </c>
      <c r="C15" s="80">
        <f>254.38*1000</f>
        <v>254380</v>
      </c>
      <c r="D15" s="80">
        <f>251.61*1000</f>
        <v>251610</v>
      </c>
      <c r="E15" s="80">
        <v>160.19999999999999</v>
      </c>
      <c r="F15" s="82">
        <v>0.75490000000000002</v>
      </c>
      <c r="G15" s="84">
        <v>-0.04</v>
      </c>
      <c r="H15" s="85">
        <v>0.15</v>
      </c>
      <c r="I15" s="84">
        <v>0.17</v>
      </c>
      <c r="J15" s="94">
        <v>0.31</v>
      </c>
      <c r="K15" s="99">
        <v>0.04</v>
      </c>
      <c r="L15" s="85">
        <v>0.23</v>
      </c>
      <c r="M15" s="114">
        <v>39.4</v>
      </c>
      <c r="N15" s="114">
        <v>33</v>
      </c>
      <c r="O15" s="109">
        <v>45.2</v>
      </c>
      <c r="P15" s="81"/>
    </row>
    <row r="16" spans="1:16" x14ac:dyDescent="0.25">
      <c r="A16" s="66" t="s">
        <v>45</v>
      </c>
      <c r="B16" s="66" t="s">
        <v>46</v>
      </c>
      <c r="C16" s="80">
        <f>135.71*1000</f>
        <v>135710</v>
      </c>
      <c r="D16" s="80">
        <f>159.95*1000</f>
        <v>159950</v>
      </c>
      <c r="E16" s="80">
        <v>31.36</v>
      </c>
      <c r="F16" s="82">
        <v>5.21E-2</v>
      </c>
      <c r="G16" s="88">
        <v>-0.14000000000000001</v>
      </c>
      <c r="H16" s="85">
        <v>0.06</v>
      </c>
      <c r="I16" s="84">
        <v>0.18</v>
      </c>
      <c r="J16" s="94">
        <v>0.28000000000000003</v>
      </c>
      <c r="K16" s="99">
        <v>0.03</v>
      </c>
      <c r="L16" s="100">
        <v>0.1</v>
      </c>
      <c r="M16" s="114">
        <v>30.8</v>
      </c>
      <c r="N16" s="112">
        <v>12.9</v>
      </c>
      <c r="O16" s="110">
        <v>29.8</v>
      </c>
      <c r="P16" s="81"/>
    </row>
    <row r="17" spans="1:16" x14ac:dyDescent="0.25">
      <c r="A17" s="66" t="s">
        <v>47</v>
      </c>
      <c r="B17" s="66" t="s">
        <v>48</v>
      </c>
      <c r="C17" s="80">
        <f>184.88*1000</f>
        <v>184880</v>
      </c>
      <c r="D17" s="80">
        <f>188.3*1000</f>
        <v>188300</v>
      </c>
      <c r="E17" s="80">
        <v>169.2</v>
      </c>
      <c r="F17" s="82">
        <v>0.43009999999999998</v>
      </c>
      <c r="G17" s="88">
        <v>-0.16</v>
      </c>
      <c r="H17" s="85">
        <v>7.0000000000000007E-2</v>
      </c>
      <c r="I17" s="90">
        <v>0.36</v>
      </c>
      <c r="J17" s="85">
        <v>0.36</v>
      </c>
      <c r="K17" s="90">
        <v>0.26</v>
      </c>
      <c r="L17" s="85">
        <v>0.28000000000000003</v>
      </c>
      <c r="M17" s="113">
        <v>13.2</v>
      </c>
      <c r="N17" s="112">
        <v>12.2</v>
      </c>
      <c r="O17" s="107">
        <v>15.1</v>
      </c>
      <c r="P17" s="81"/>
    </row>
    <row r="18" spans="1:16" x14ac:dyDescent="0.25">
      <c r="A18" s="66" t="s">
        <v>49</v>
      </c>
      <c r="B18" s="66" t="s">
        <v>50</v>
      </c>
      <c r="C18" s="80">
        <f>161.59*1000</f>
        <v>161590</v>
      </c>
      <c r="D18" s="80">
        <f>165.39*1000</f>
        <v>165390</v>
      </c>
      <c r="E18" s="80">
        <v>179.29</v>
      </c>
      <c r="F18" s="82">
        <v>6.4799999999999996E-2</v>
      </c>
      <c r="G18" s="88">
        <v>-0.13</v>
      </c>
      <c r="H18" s="89">
        <v>-0.1</v>
      </c>
      <c r="I18" s="95">
        <v>0.49</v>
      </c>
      <c r="J18" s="96">
        <v>0.46</v>
      </c>
      <c r="K18" s="93">
        <v>0.37</v>
      </c>
      <c r="L18" s="85">
        <v>0.3</v>
      </c>
      <c r="M18" s="112">
        <v>27.4</v>
      </c>
      <c r="N18" s="116">
        <v>20.6</v>
      </c>
      <c r="O18" s="110">
        <v>30.5</v>
      </c>
      <c r="P18" s="81"/>
    </row>
    <row r="19" spans="1:16" x14ac:dyDescent="0.25">
      <c r="A19" s="66" t="s">
        <v>51</v>
      </c>
      <c r="B19" s="66" t="s">
        <v>52</v>
      </c>
      <c r="C19" s="80">
        <f>127.17*1000</f>
        <v>127170</v>
      </c>
      <c r="D19" s="80">
        <f>132.48*1000</f>
        <v>132480</v>
      </c>
      <c r="E19" s="80">
        <v>114.36</v>
      </c>
      <c r="F19" s="82">
        <v>0.84189999999999998</v>
      </c>
      <c r="G19" s="84">
        <v>-0.34</v>
      </c>
      <c r="H19" s="87">
        <v>0.51</v>
      </c>
      <c r="I19" s="84">
        <v>0.22</v>
      </c>
      <c r="J19" s="85">
        <v>0.39</v>
      </c>
      <c r="K19" s="99">
        <v>-0.25</v>
      </c>
      <c r="L19" s="89">
        <v>0.06</v>
      </c>
      <c r="M19" s="114">
        <v>41.1</v>
      </c>
      <c r="N19" s="113">
        <v>9.9</v>
      </c>
      <c r="O19" s="109">
        <v>59.5</v>
      </c>
      <c r="P19" s="81"/>
    </row>
    <row r="20" spans="1:16" x14ac:dyDescent="0.25">
      <c r="A20" s="66" t="s">
        <v>53</v>
      </c>
      <c r="B20" s="66" t="s">
        <v>54</v>
      </c>
      <c r="C20" s="80">
        <f>26.77*1000</f>
        <v>26770</v>
      </c>
      <c r="D20" s="80">
        <f>25.77*1000</f>
        <v>25770</v>
      </c>
      <c r="E20" s="80">
        <v>48.8</v>
      </c>
      <c r="F20" s="83">
        <v>0.05</v>
      </c>
      <c r="G20" s="90">
        <v>-0.09</v>
      </c>
      <c r="H20" s="89">
        <v>0.02</v>
      </c>
      <c r="I20" s="90">
        <v>0.36</v>
      </c>
      <c r="J20" s="85">
        <v>0.37</v>
      </c>
      <c r="K20" s="84">
        <v>0.14000000000000001</v>
      </c>
      <c r="L20" s="89">
        <v>0.15</v>
      </c>
      <c r="M20" s="112">
        <v>22.6</v>
      </c>
      <c r="N20" s="112">
        <v>10.9</v>
      </c>
      <c r="O20" s="110">
        <v>28</v>
      </c>
      <c r="P20" s="81"/>
    </row>
    <row r="21" spans="1:16" ht="15.75" thickBot="1" x14ac:dyDescent="0.3">
      <c r="A21" s="66" t="s">
        <v>55</v>
      </c>
      <c r="B21" s="66" t="s">
        <v>56</v>
      </c>
      <c r="C21" s="80">
        <f>19.17*1000</f>
        <v>19170</v>
      </c>
      <c r="D21" s="80">
        <f>16.69*1000</f>
        <v>16690</v>
      </c>
      <c r="E21" s="80">
        <v>7.79</v>
      </c>
      <c r="F21" s="83">
        <v>0.15</v>
      </c>
      <c r="G21" s="91">
        <v>-0.24</v>
      </c>
      <c r="H21" s="92">
        <v>0.08</v>
      </c>
      <c r="I21" s="97">
        <v>0.44</v>
      </c>
      <c r="J21" s="98">
        <v>0.44</v>
      </c>
      <c r="K21" s="101">
        <v>0.26</v>
      </c>
      <c r="L21" s="92">
        <v>0.22</v>
      </c>
      <c r="M21" s="115">
        <v>9.6</v>
      </c>
      <c r="N21" s="115">
        <v>5.2</v>
      </c>
      <c r="O21" s="111">
        <v>11.5</v>
      </c>
      <c r="P21" s="81"/>
    </row>
    <row r="22" spans="1:16" ht="15.75" thickBot="1" x14ac:dyDescent="0.3">
      <c r="P22" s="81"/>
    </row>
    <row r="23" spans="1:16" x14ac:dyDescent="0.25">
      <c r="A23" s="103" t="s">
        <v>57</v>
      </c>
      <c r="B23" s="104"/>
      <c r="C23" s="104"/>
      <c r="D23" s="104"/>
      <c r="E23" s="104"/>
      <c r="F23" s="130">
        <f t="shared" ref="F23:O23" si="0">AVERAGE(F11:F21)</f>
        <v>0.57302727272727283</v>
      </c>
      <c r="G23" s="130">
        <f t="shared" si="0"/>
        <v>-1.3772727272727277E-2</v>
      </c>
      <c r="H23" s="130">
        <f t="shared" si="0"/>
        <v>0.19454545454545455</v>
      </c>
      <c r="I23" s="130">
        <f t="shared" si="0"/>
        <v>0.39000000000000007</v>
      </c>
      <c r="J23" s="130">
        <f t="shared" si="0"/>
        <v>0.43090909090909091</v>
      </c>
      <c r="K23" s="130">
        <f t="shared" si="0"/>
        <v>0.20636363636363642</v>
      </c>
      <c r="L23" s="130">
        <f t="shared" si="0"/>
        <v>0.25181818181818183</v>
      </c>
      <c r="M23" s="131">
        <f t="shared" si="0"/>
        <v>23.249090909090906</v>
      </c>
      <c r="N23" s="131">
        <f t="shared" si="0"/>
        <v>15.009090909090911</v>
      </c>
      <c r="O23" s="132">
        <f t="shared" si="0"/>
        <v>28.354545454545452</v>
      </c>
    </row>
    <row r="24" spans="1:16" ht="15.75" thickBot="1" x14ac:dyDescent="0.3">
      <c r="A24" s="105" t="s">
        <v>58</v>
      </c>
      <c r="B24" s="106"/>
      <c r="C24" s="106"/>
      <c r="D24" s="106"/>
      <c r="E24" s="106"/>
      <c r="F24" s="133">
        <f>MEDIAN(F11:F21)</f>
        <v>0.43009999999999998</v>
      </c>
      <c r="G24" s="133">
        <f t="shared" ref="G24:O24" si="1">MEDIAN(G11:G21)</f>
        <v>-0.13</v>
      </c>
      <c r="H24" s="133">
        <f t="shared" si="1"/>
        <v>0.15</v>
      </c>
      <c r="I24" s="133">
        <f>MEDIAN(I11:I21)</f>
        <v>0.36</v>
      </c>
      <c r="J24" s="133">
        <f t="shared" si="1"/>
        <v>0.39</v>
      </c>
      <c r="K24" s="133">
        <f t="shared" si="1"/>
        <v>0.26</v>
      </c>
      <c r="L24" s="133">
        <f t="shared" si="1"/>
        <v>0.23</v>
      </c>
      <c r="M24" s="134">
        <f>MEDIAN(M11:M21)</f>
        <v>22.6</v>
      </c>
      <c r="N24" s="134">
        <f t="shared" si="1"/>
        <v>12.2</v>
      </c>
      <c r="O24" s="135">
        <f t="shared" si="1"/>
        <v>28</v>
      </c>
    </row>
  </sheetData>
  <pageMargins left="0.7" right="0.7" top="0.75" bottom="0.75" header="0.3" footer="0.3"/>
  <ignoredErrors>
    <ignoredError sqref="I23 J23 I24:J24 K24:L24 M24:O24" formulaRange="1"/>
    <ignoredError sqref="K23:O23" evalError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45F4-2CE0-48F6-AC7C-C28B869698CE}">
  <dimension ref="A2:U87"/>
  <sheetViews>
    <sheetView showGridLines="0" tabSelected="1" zoomScale="130" zoomScaleNormal="130" workbookViewId="0">
      <selection activeCell="Y10" sqref="Y10"/>
    </sheetView>
  </sheetViews>
  <sheetFormatPr defaultColWidth="8.85546875" defaultRowHeight="15" x14ac:dyDescent="0.25"/>
  <cols>
    <col min="1" max="1" width="3.7109375" style="10" customWidth="1"/>
    <col min="3" max="3" width="10.42578125" bestFit="1" customWidth="1"/>
  </cols>
  <sheetData>
    <row r="2" spans="1:21" s="6" customFormat="1" ht="21" x14ac:dyDescent="0.35">
      <c r="A2" s="9"/>
      <c r="B2" s="2" t="s">
        <v>59</v>
      </c>
      <c r="C2" s="62" t="s">
        <v>43</v>
      </c>
    </row>
    <row r="4" spans="1:21" s="5" customFormat="1" ht="12.75" x14ac:dyDescent="0.2">
      <c r="A4" s="3"/>
      <c r="B4" s="5" t="s">
        <v>27</v>
      </c>
      <c r="C4" s="30" t="s">
        <v>43</v>
      </c>
      <c r="G4" s="5" t="s">
        <v>60</v>
      </c>
      <c r="J4" s="63">
        <f ca="1">O87</f>
        <v>110.75908765229697</v>
      </c>
    </row>
    <row r="5" spans="1:21" s="5" customFormat="1" ht="12.75" x14ac:dyDescent="0.2">
      <c r="A5" s="3"/>
      <c r="B5" s="5" t="s">
        <v>61</v>
      </c>
      <c r="C5" s="59">
        <v>45322</v>
      </c>
      <c r="G5" s="5" t="s">
        <v>62</v>
      </c>
      <c r="J5" s="63">
        <v>157</v>
      </c>
    </row>
    <row r="6" spans="1:21" s="5" customFormat="1" ht="12.75" x14ac:dyDescent="0.2">
      <c r="A6" s="3"/>
      <c r="B6" s="5" t="s">
        <v>63</v>
      </c>
      <c r="C6" s="59">
        <v>45657</v>
      </c>
      <c r="G6" s="5" t="s">
        <v>64</v>
      </c>
      <c r="J6" s="64">
        <f ca="1">J4/J5-1</f>
        <v>-0.29452810412549701</v>
      </c>
    </row>
    <row r="8" spans="1:21" x14ac:dyDescent="0.25">
      <c r="A8" s="10" t="s">
        <v>1</v>
      </c>
      <c r="B8" s="8" t="s">
        <v>65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1" ht="5.0999999999999996" customHeight="1" x14ac:dyDescent="0.25"/>
    <row r="10" spans="1:21" s="5" customFormat="1" ht="12.95" customHeight="1" x14ac:dyDescent="0.2">
      <c r="A10" s="3"/>
      <c r="B10" s="25" t="s">
        <v>66</v>
      </c>
      <c r="C10" s="26"/>
      <c r="D10" s="26"/>
      <c r="E10" s="26"/>
      <c r="G10" s="25" t="s">
        <v>67</v>
      </c>
      <c r="H10" s="26"/>
      <c r="I10" s="26"/>
      <c r="J10" s="26"/>
      <c r="L10" s="25" t="s">
        <v>68</v>
      </c>
      <c r="M10" s="26"/>
      <c r="N10" s="26"/>
      <c r="O10" s="26"/>
      <c r="Q10" s="25" t="s">
        <v>69</v>
      </c>
      <c r="R10" s="26"/>
      <c r="S10" s="26"/>
      <c r="T10" s="26"/>
    </row>
    <row r="11" spans="1:21" s="5" customFormat="1" ht="12.95" customHeight="1" x14ac:dyDescent="0.2">
      <c r="A11" s="3"/>
      <c r="B11" s="27" t="s">
        <v>65</v>
      </c>
      <c r="G11" s="27" t="str">
        <f>$B11</f>
        <v>Assumptions</v>
      </c>
      <c r="H11" s="28"/>
      <c r="I11" s="29" t="s">
        <v>70</v>
      </c>
      <c r="J11" s="29" t="s">
        <v>71</v>
      </c>
      <c r="L11" s="27" t="str">
        <f>$B11</f>
        <v>Assumptions</v>
      </c>
      <c r="M11" s="28"/>
      <c r="N11" s="29" t="s">
        <v>70</v>
      </c>
      <c r="O11" s="29" t="s">
        <v>71</v>
      </c>
      <c r="Q11" s="27" t="str">
        <f>$B11</f>
        <v>Assumptions</v>
      </c>
      <c r="R11" s="28"/>
      <c r="S11" s="29" t="s">
        <v>70</v>
      </c>
      <c r="T11" s="29" t="s">
        <v>71</v>
      </c>
    </row>
    <row r="12" spans="1:21" s="5" customFormat="1" ht="12.95" customHeight="1" x14ac:dyDescent="0.2">
      <c r="A12" s="3"/>
      <c r="B12" s="5" t="s">
        <v>19</v>
      </c>
      <c r="E12" s="30">
        <v>3</v>
      </c>
      <c r="F12" s="3"/>
      <c r="G12" s="5" t="s">
        <v>19</v>
      </c>
      <c r="I12" s="3">
        <v>2024</v>
      </c>
      <c r="J12" s="31">
        <v>-0.1</v>
      </c>
      <c r="O12" s="3"/>
      <c r="Q12" s="5" t="s">
        <v>19</v>
      </c>
      <c r="S12" s="3">
        <v>2024</v>
      </c>
      <c r="T12" s="31">
        <v>0.1</v>
      </c>
    </row>
    <row r="13" spans="1:21" s="5" customFormat="1" ht="12.95" customHeight="1" x14ac:dyDescent="0.2">
      <c r="A13" s="3"/>
      <c r="B13" s="5" t="s">
        <v>72</v>
      </c>
      <c r="E13" s="30">
        <v>3</v>
      </c>
      <c r="F13" s="3" t="s">
        <v>73</v>
      </c>
      <c r="G13" s="5" t="s">
        <v>19</v>
      </c>
      <c r="I13" s="3">
        <v>2028</v>
      </c>
      <c r="J13" s="31">
        <v>-0.2</v>
      </c>
      <c r="L13" s="5" t="s">
        <v>19</v>
      </c>
      <c r="N13" s="3">
        <v>2028</v>
      </c>
      <c r="O13" s="31">
        <v>0.15</v>
      </c>
      <c r="Q13" s="5" t="s">
        <v>19</v>
      </c>
      <c r="S13" s="3">
        <v>2028</v>
      </c>
      <c r="T13" s="31">
        <v>0.2</v>
      </c>
    </row>
    <row r="14" spans="1:21" s="5" customFormat="1" ht="12.95" customHeight="1" x14ac:dyDescent="0.2">
      <c r="A14" s="3"/>
      <c r="B14" s="5" t="s">
        <v>74</v>
      </c>
      <c r="E14" s="30">
        <v>2</v>
      </c>
      <c r="F14" s="3"/>
      <c r="G14" s="5" t="s">
        <v>72</v>
      </c>
      <c r="I14" s="3">
        <v>2024</v>
      </c>
      <c r="J14" s="31">
        <v>-0.05</v>
      </c>
      <c r="Q14" s="5" t="s">
        <v>72</v>
      </c>
      <c r="S14" s="3">
        <v>2024</v>
      </c>
      <c r="T14" s="31">
        <v>0.05</v>
      </c>
    </row>
    <row r="15" spans="1:21" s="5" customFormat="1" ht="12.95" customHeight="1" x14ac:dyDescent="0.2">
      <c r="A15" s="3"/>
      <c r="B15" s="5" t="s">
        <v>75</v>
      </c>
      <c r="E15" s="30">
        <v>3</v>
      </c>
      <c r="F15" s="3"/>
      <c r="G15" s="5" t="s">
        <v>72</v>
      </c>
      <c r="I15" s="3">
        <v>2028</v>
      </c>
      <c r="J15" s="31">
        <v>0.3</v>
      </c>
      <c r="L15" s="5" t="s">
        <v>72</v>
      </c>
      <c r="N15" s="3">
        <v>2028</v>
      </c>
      <c r="O15" s="31">
        <v>0.32</v>
      </c>
      <c r="Q15" s="5" t="s">
        <v>72</v>
      </c>
      <c r="S15" s="3">
        <v>2028</v>
      </c>
      <c r="T15" s="31">
        <v>0.34</v>
      </c>
    </row>
    <row r="16" spans="1:21" s="5" customFormat="1" ht="12.95" customHeight="1" x14ac:dyDescent="0.2">
      <c r="A16" s="3"/>
      <c r="F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s="5" customFormat="1" ht="12.95" customHeight="1" x14ac:dyDescent="0.2">
      <c r="A17" s="3"/>
      <c r="B17" s="27" t="s">
        <v>76</v>
      </c>
      <c r="F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s="5" customFormat="1" ht="12.95" customHeight="1" x14ac:dyDescent="0.2">
      <c r="A18" s="3"/>
      <c r="B18" s="5" t="s">
        <v>74</v>
      </c>
      <c r="E18" s="32">
        <f>CHOOSE(E14,J18,O18,T18)</f>
        <v>0.11823593271299883</v>
      </c>
      <c r="F18" s="3"/>
      <c r="G18" s="5" t="s">
        <v>74</v>
      </c>
      <c r="J18" s="32">
        <f>O18+0.5%</f>
        <v>0.12323593271299883</v>
      </c>
      <c r="K18" s="3"/>
      <c r="L18" s="5" t="s">
        <v>74</v>
      </c>
      <c r="O18" s="32">
        <f>WACC!F22</f>
        <v>0.11823593271299883</v>
      </c>
      <c r="P18" s="3"/>
      <c r="Q18" s="5" t="s">
        <v>74</v>
      </c>
      <c r="T18" s="32">
        <f>O18-0.5%</f>
        <v>0.11323593271299882</v>
      </c>
      <c r="U18" s="3"/>
    </row>
    <row r="19" spans="1:21" s="5" customFormat="1" ht="12.95" customHeight="1" x14ac:dyDescent="0.2">
      <c r="A19" s="3"/>
      <c r="B19" s="5" t="s">
        <v>75</v>
      </c>
      <c r="E19" s="32">
        <f>CHOOSE(E15,J19,O19,T19)</f>
        <v>0.03</v>
      </c>
      <c r="G19" s="5" t="s">
        <v>75</v>
      </c>
      <c r="J19" s="32">
        <v>0.02</v>
      </c>
      <c r="K19" s="3"/>
      <c r="L19" s="5" t="s">
        <v>75</v>
      </c>
      <c r="O19" s="32">
        <v>2.5000000000000001E-2</v>
      </c>
      <c r="P19" s="3"/>
      <c r="Q19" s="5" t="s">
        <v>75</v>
      </c>
      <c r="T19" s="32">
        <v>0.03</v>
      </c>
    </row>
    <row r="20" spans="1:21" s="5" customFormat="1" ht="12.95" customHeight="1" x14ac:dyDescent="0.2">
      <c r="A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1" x14ac:dyDescent="0.25">
      <c r="A21" s="10" t="s">
        <v>1</v>
      </c>
      <c r="B21" s="8" t="s">
        <v>77</v>
      </c>
      <c r="C21" s="7"/>
      <c r="D21" s="7"/>
      <c r="E21" s="12">
        <v>2018</v>
      </c>
      <c r="F21" s="12">
        <f t="shared" ref="F21:O21" si="0">E21+1</f>
        <v>2019</v>
      </c>
      <c r="G21" s="12">
        <f t="shared" si="0"/>
        <v>2020</v>
      </c>
      <c r="H21" s="12">
        <f t="shared" si="0"/>
        <v>2021</v>
      </c>
      <c r="I21" s="12">
        <f t="shared" si="0"/>
        <v>2022</v>
      </c>
      <c r="J21" s="12">
        <f t="shared" si="0"/>
        <v>2023</v>
      </c>
      <c r="K21" s="13">
        <f t="shared" si="0"/>
        <v>2024</v>
      </c>
      <c r="L21" s="13">
        <f t="shared" si="0"/>
        <v>2025</v>
      </c>
      <c r="M21" s="13">
        <f t="shared" si="0"/>
        <v>2026</v>
      </c>
      <c r="N21" s="13">
        <f t="shared" si="0"/>
        <v>2027</v>
      </c>
      <c r="O21" s="13">
        <f t="shared" si="0"/>
        <v>2028</v>
      </c>
    </row>
    <row r="22" spans="1:21" x14ac:dyDescent="0.25">
      <c r="B22" s="67" t="s">
        <v>19</v>
      </c>
      <c r="E22" s="15">
        <v>6475</v>
      </c>
      <c r="F22" s="15">
        <v>6731</v>
      </c>
      <c r="G22" s="15">
        <v>9763</v>
      </c>
      <c r="H22" s="15">
        <v>16434</v>
      </c>
      <c r="I22" s="15">
        <v>23601</v>
      </c>
      <c r="J22" s="15">
        <v>22680</v>
      </c>
      <c r="K22" s="15">
        <f>SUM(K23:K26)</f>
        <v>25481.274799999999</v>
      </c>
      <c r="L22" s="15">
        <f t="shared" ref="L22:N22" si="1">SUM(L23:L26)</f>
        <v>32565.810207930001</v>
      </c>
      <c r="M22" s="15">
        <f t="shared" si="1"/>
        <v>38879.152804878904</v>
      </c>
      <c r="N22" s="15">
        <f t="shared" si="1"/>
        <v>46610.581456616404</v>
      </c>
      <c r="O22" s="15"/>
      <c r="P22" s="15"/>
      <c r="Q22" s="15"/>
      <c r="R22" s="15"/>
    </row>
    <row r="23" spans="1:21" x14ac:dyDescent="0.25">
      <c r="B23" s="66" t="s">
        <v>78</v>
      </c>
      <c r="E23" s="15"/>
      <c r="F23" s="15"/>
      <c r="G23" s="15"/>
      <c r="H23" s="136"/>
      <c r="I23" s="15">
        <v>6043</v>
      </c>
      <c r="J23" s="15">
        <v>6496</v>
      </c>
      <c r="K23" s="15">
        <f>J23*(1+20%)</f>
        <v>7795.2</v>
      </c>
      <c r="L23" s="15">
        <f>K23*(1+37%)</f>
        <v>10679.424000000001</v>
      </c>
      <c r="M23" s="15">
        <f t="shared" ref="M23:N23" si="2">L23*(1+30%)</f>
        <v>13883.251200000002</v>
      </c>
      <c r="N23" s="15">
        <f t="shared" si="2"/>
        <v>18048.226560000003</v>
      </c>
      <c r="O23" s="15"/>
    </row>
    <row r="24" spans="1:21" x14ac:dyDescent="0.25">
      <c r="B24" s="66" t="s">
        <v>79</v>
      </c>
      <c r="E24" s="15"/>
      <c r="F24" s="15"/>
      <c r="H24" s="136"/>
      <c r="I24" s="15">
        <v>6201</v>
      </c>
      <c r="J24" s="15">
        <v>4651</v>
      </c>
      <c r="K24" s="15">
        <f>J24*(1+9.07%)</f>
        <v>5072.8456999999999</v>
      </c>
      <c r="L24" s="15">
        <f>K24*(1+25.01%)</f>
        <v>6341.56440957</v>
      </c>
      <c r="M24" s="15">
        <f t="shared" ref="M24:N24" si="3">L24*(1+13%)</f>
        <v>7165.9677828140993</v>
      </c>
      <c r="N24" s="15">
        <f t="shared" si="3"/>
        <v>8097.5435945799318</v>
      </c>
      <c r="O24" s="15"/>
    </row>
    <row r="25" spans="1:21" x14ac:dyDescent="0.25">
      <c r="B25" s="66" t="s">
        <v>80</v>
      </c>
      <c r="E25" s="15"/>
      <c r="F25" s="15"/>
      <c r="G25" s="15"/>
      <c r="H25" s="136"/>
      <c r="I25" s="15">
        <v>6805</v>
      </c>
      <c r="J25" s="15">
        <v>6212</v>
      </c>
      <c r="K25" s="15">
        <f>J25*(1+10.1%)</f>
        <v>6839.4120000000003</v>
      </c>
      <c r="L25" s="15">
        <f>K25*(1+25%)</f>
        <v>8549.2649999999994</v>
      </c>
      <c r="M25" s="15">
        <f t="shared" ref="M25:N25" si="4">L25*(1+12%)</f>
        <v>9575.1768000000011</v>
      </c>
      <c r="N25" s="15">
        <f t="shared" si="4"/>
        <v>10724.198016000002</v>
      </c>
      <c r="O25" s="15"/>
    </row>
    <row r="26" spans="1:21" x14ac:dyDescent="0.25">
      <c r="B26" s="66" t="s">
        <v>81</v>
      </c>
      <c r="E26" s="15"/>
      <c r="F26" s="15"/>
      <c r="G26" s="15"/>
      <c r="H26" s="136"/>
      <c r="I26" s="15">
        <v>4552</v>
      </c>
      <c r="J26" s="15">
        <v>5321</v>
      </c>
      <c r="K26" s="15">
        <f>J26*(1+8.51%)</f>
        <v>5773.8170999999993</v>
      </c>
      <c r="L26" s="15">
        <f>K26*(1+21.16%)</f>
        <v>6995.5567983599994</v>
      </c>
      <c r="M26" s="15">
        <f t="shared" ref="M26:N26" si="5">L26*(1+18%)</f>
        <v>8254.7570220647995</v>
      </c>
      <c r="N26" s="15">
        <f t="shared" si="5"/>
        <v>9740.6132860364633</v>
      </c>
      <c r="O26" s="15"/>
    </row>
    <row r="27" spans="1:21" x14ac:dyDescent="0.25">
      <c r="B27" s="11" t="s">
        <v>82</v>
      </c>
      <c r="E27" s="18" t="s">
        <v>83</v>
      </c>
      <c r="F27" s="16">
        <f t="shared" ref="F27:J27" si="6">F22/E22-1</f>
        <v>3.9536679536679609E-2</v>
      </c>
      <c r="G27" s="16">
        <f t="shared" si="6"/>
        <v>0.45045312732134901</v>
      </c>
      <c r="H27" s="16">
        <f t="shared" si="6"/>
        <v>0.68329406944586712</v>
      </c>
      <c r="I27" s="16">
        <f t="shared" si="6"/>
        <v>0.43610806863818907</v>
      </c>
      <c r="J27" s="16">
        <f t="shared" si="6"/>
        <v>-3.9023770179229644E-2</v>
      </c>
      <c r="K27" s="16">
        <f t="shared" ref="K27" si="7">K22/J22-1</f>
        <v>0.12351299823633144</v>
      </c>
      <c r="L27" s="16">
        <f t="shared" ref="L27" si="8">L22/K22-1</f>
        <v>0.27802908070870935</v>
      </c>
      <c r="M27" s="16">
        <f t="shared" ref="M27" si="9">M22/L22-1</f>
        <v>0.19386413409151304</v>
      </c>
      <c r="N27" s="16">
        <f t="shared" ref="N27" si="10">N22/M22-1</f>
        <v>0.19885795070018331</v>
      </c>
      <c r="O27" s="16"/>
    </row>
    <row r="29" spans="1:21" x14ac:dyDescent="0.25">
      <c r="B29" t="s">
        <v>72</v>
      </c>
      <c r="E29" s="15">
        <v>633</v>
      </c>
      <c r="F29" s="15">
        <v>840</v>
      </c>
      <c r="G29" s="15">
        <v>1657</v>
      </c>
      <c r="H29" s="15">
        <v>4069</v>
      </c>
      <c r="I29" s="15">
        <v>6345</v>
      </c>
      <c r="J29" s="15">
        <v>4673.92</v>
      </c>
      <c r="K29" s="15">
        <v>7036.04</v>
      </c>
      <c r="L29" s="15">
        <v>9657.07</v>
      </c>
      <c r="M29" s="71">
        <v>12726.3</v>
      </c>
      <c r="N29" s="71">
        <v>16696</v>
      </c>
      <c r="O29" s="69"/>
    </row>
    <row r="30" spans="1:21" x14ac:dyDescent="0.25">
      <c r="B30" s="11" t="s">
        <v>84</v>
      </c>
      <c r="E30" s="16">
        <f t="shared" ref="E30:J30" si="11">E29/E22</f>
        <v>9.7760617760617757E-2</v>
      </c>
      <c r="F30" s="16">
        <f t="shared" si="11"/>
        <v>0.12479572128955578</v>
      </c>
      <c r="G30" s="16">
        <f t="shared" si="11"/>
        <v>0.1697224213868688</v>
      </c>
      <c r="H30" s="16">
        <f t="shared" si="11"/>
        <v>0.24759644639162712</v>
      </c>
      <c r="I30" s="16">
        <f t="shared" si="11"/>
        <v>0.26884454048557266</v>
      </c>
      <c r="J30" s="16">
        <f t="shared" si="11"/>
        <v>0.20608112874779541</v>
      </c>
      <c r="K30" s="16">
        <f t="shared" ref="K30" si="12">K29/K22</f>
        <v>0.27612590246073559</v>
      </c>
      <c r="L30" s="16">
        <f t="shared" ref="L30" si="13">L29/L22</f>
        <v>0.29654014250959543</v>
      </c>
      <c r="M30" s="70">
        <f t="shared" ref="M30" si="14">M29/M22</f>
        <v>0.32732966337689823</v>
      </c>
      <c r="N30" s="70">
        <f t="shared" ref="N30" si="15">N29/N22</f>
        <v>0.3582019249328629</v>
      </c>
      <c r="O30" s="70"/>
    </row>
    <row r="31" spans="1:21" x14ac:dyDescent="0.25">
      <c r="M31" s="65"/>
      <c r="N31" s="65"/>
      <c r="O31" s="65"/>
    </row>
    <row r="32" spans="1:21" x14ac:dyDescent="0.25">
      <c r="B32" t="s">
        <v>85</v>
      </c>
      <c r="E32" s="15">
        <v>34</v>
      </c>
      <c r="F32" s="15">
        <v>23</v>
      </c>
      <c r="G32" s="15">
        <v>48</v>
      </c>
      <c r="H32" s="15">
        <v>606</v>
      </c>
      <c r="I32" s="15">
        <v>823</v>
      </c>
      <c r="J32" s="15">
        <v>647.774</v>
      </c>
      <c r="K32" s="15">
        <v>955.72900000000004</v>
      </c>
      <c r="L32" s="15">
        <v>1290.1500000000001</v>
      </c>
      <c r="M32" s="71">
        <v>1567.33</v>
      </c>
      <c r="N32" s="71">
        <v>2020.5</v>
      </c>
      <c r="O32" s="68"/>
    </row>
    <row r="33" spans="1:15" x14ac:dyDescent="0.25">
      <c r="B33" s="11" t="s">
        <v>86</v>
      </c>
      <c r="E33" s="16">
        <f>E32/E29</f>
        <v>5.3712480252764615E-2</v>
      </c>
      <c r="F33" s="16">
        <f t="shared" ref="F33:N33" si="16">F32/F29</f>
        <v>2.7380952380952381E-2</v>
      </c>
      <c r="G33" s="16">
        <f t="shared" si="16"/>
        <v>2.8968014484007241E-2</v>
      </c>
      <c r="H33" s="16">
        <f t="shared" si="16"/>
        <v>0.14893094126320963</v>
      </c>
      <c r="I33" s="16">
        <f t="shared" si="16"/>
        <v>0.1297084318360914</v>
      </c>
      <c r="J33" s="16">
        <f t="shared" si="16"/>
        <v>0.13859330069834314</v>
      </c>
      <c r="K33" s="16">
        <f t="shared" si="16"/>
        <v>0.1358333664959267</v>
      </c>
      <c r="L33" s="16">
        <f t="shared" si="16"/>
        <v>0.13359642210318451</v>
      </c>
      <c r="M33" s="16">
        <f t="shared" si="16"/>
        <v>0.12315676983883768</v>
      </c>
      <c r="N33" s="16">
        <f t="shared" si="16"/>
        <v>0.12101701006229038</v>
      </c>
      <c r="O33" s="16"/>
    </row>
    <row r="34" spans="1:15" x14ac:dyDescent="0.25">
      <c r="J34" s="19"/>
    </row>
    <row r="35" spans="1:15" x14ac:dyDescent="0.25">
      <c r="A35" s="10" t="s">
        <v>1</v>
      </c>
      <c r="B35" s="8" t="s">
        <v>87</v>
      </c>
      <c r="C35" s="7"/>
      <c r="D35" s="7"/>
      <c r="E35" s="12">
        <f t="shared" ref="E35:O35" si="17">E$21</f>
        <v>2018</v>
      </c>
      <c r="F35" s="12">
        <f t="shared" si="17"/>
        <v>2019</v>
      </c>
      <c r="G35" s="12">
        <f t="shared" si="17"/>
        <v>2020</v>
      </c>
      <c r="H35" s="12">
        <f t="shared" si="17"/>
        <v>2021</v>
      </c>
      <c r="I35" s="12">
        <f t="shared" si="17"/>
        <v>2022</v>
      </c>
      <c r="J35" s="12">
        <f t="shared" si="17"/>
        <v>2023</v>
      </c>
      <c r="K35" s="13">
        <f t="shared" si="17"/>
        <v>2024</v>
      </c>
      <c r="L35" s="13">
        <f t="shared" si="17"/>
        <v>2025</v>
      </c>
      <c r="M35" s="13">
        <f t="shared" si="17"/>
        <v>2026</v>
      </c>
      <c r="N35" s="13">
        <f t="shared" si="17"/>
        <v>2027</v>
      </c>
      <c r="O35" s="13">
        <f t="shared" si="17"/>
        <v>2028</v>
      </c>
    </row>
    <row r="36" spans="1:15" x14ac:dyDescent="0.25">
      <c r="B36" t="s">
        <v>88</v>
      </c>
      <c r="E36" s="15">
        <v>170</v>
      </c>
      <c r="F36" s="15">
        <v>258</v>
      </c>
      <c r="G36" s="15">
        <v>354</v>
      </c>
      <c r="H36" s="15">
        <v>463</v>
      </c>
      <c r="I36" s="15">
        <v>4262</v>
      </c>
      <c r="J36" s="15">
        <v>740</v>
      </c>
      <c r="K36" s="15"/>
      <c r="L36" s="15"/>
      <c r="M36" s="15"/>
      <c r="N36" s="15"/>
    </row>
    <row r="37" spans="1:15" x14ac:dyDescent="0.25">
      <c r="B37" s="11" t="s">
        <v>84</v>
      </c>
      <c r="E37" s="16">
        <f>E36/E$22</f>
        <v>2.6254826254826256E-2</v>
      </c>
      <c r="F37" s="16">
        <f t="shared" ref="F37:J37" si="18">F36/F$22</f>
        <v>3.833011439607785E-2</v>
      </c>
      <c r="G37" s="16">
        <f t="shared" si="18"/>
        <v>3.625934651234252E-2</v>
      </c>
      <c r="H37" s="16">
        <f t="shared" si="18"/>
        <v>2.8173299257636605E-2</v>
      </c>
      <c r="I37" s="16">
        <f t="shared" si="18"/>
        <v>0.18058556840811829</v>
      </c>
      <c r="J37" s="16">
        <f t="shared" si="18"/>
        <v>3.2627865961199293E-2</v>
      </c>
      <c r="K37" s="16"/>
      <c r="L37" s="16"/>
      <c r="M37" s="16"/>
      <c r="N37" s="16"/>
    </row>
    <row r="39" spans="1:15" x14ac:dyDescent="0.25">
      <c r="B39" t="s">
        <v>89</v>
      </c>
      <c r="E39" s="15">
        <v>163</v>
      </c>
      <c r="F39" s="15">
        <v>217</v>
      </c>
      <c r="G39" s="15">
        <v>294</v>
      </c>
      <c r="H39" s="15">
        <v>301</v>
      </c>
      <c r="I39" s="15">
        <v>450</v>
      </c>
      <c r="J39" s="15">
        <v>546</v>
      </c>
      <c r="K39" s="15"/>
      <c r="L39" s="15"/>
      <c r="M39" s="15"/>
      <c r="N39" s="15"/>
    </row>
    <row r="40" spans="1:15" x14ac:dyDescent="0.25">
      <c r="B40" s="11" t="s">
        <v>84</v>
      </c>
      <c r="E40" s="16">
        <f>E39/E$22</f>
        <v>2.5173745173745175E-2</v>
      </c>
      <c r="F40" s="16">
        <f t="shared" ref="F40" si="19">F39/F$22</f>
        <v>3.2238894666468579E-2</v>
      </c>
      <c r="G40" s="16">
        <f t="shared" ref="G40" si="20">G39/G$22</f>
        <v>3.0113694561098022E-2</v>
      </c>
      <c r="H40" s="16">
        <f t="shared" ref="H40" si="21">H39/H$22</f>
        <v>1.8315686990385785E-2</v>
      </c>
      <c r="I40" s="16">
        <f t="shared" ref="I40" si="22">I39/I$22</f>
        <v>1.9066988686920045E-2</v>
      </c>
      <c r="J40" s="16">
        <f t="shared" ref="J40" si="23">J39/J$22</f>
        <v>2.4074074074074074E-2</v>
      </c>
      <c r="K40" s="16"/>
      <c r="L40" s="16"/>
      <c r="M40" s="16"/>
      <c r="N40" s="16"/>
    </row>
    <row r="42" spans="1:15" x14ac:dyDescent="0.25">
      <c r="B42" t="s">
        <v>90</v>
      </c>
      <c r="E42" s="74">
        <v>-727</v>
      </c>
      <c r="F42" s="74">
        <v>-542</v>
      </c>
      <c r="G42" s="74">
        <v>-931</v>
      </c>
      <c r="H42" s="74">
        <v>-774</v>
      </c>
      <c r="I42" s="74">
        <v>-1846</v>
      </c>
      <c r="J42" s="74">
        <v>-3049</v>
      </c>
    </row>
    <row r="43" spans="1:15" x14ac:dyDescent="0.25">
      <c r="B43" s="11" t="s">
        <v>84</v>
      </c>
      <c r="E43" s="16">
        <f>E42/E$22</f>
        <v>-0.11227799227799228</v>
      </c>
      <c r="F43" s="16">
        <f t="shared" ref="F43" si="24">F42/F$22</f>
        <v>-8.0522953498737185E-2</v>
      </c>
      <c r="G43" s="16">
        <f t="shared" ref="G43" si="25">G42/G$22</f>
        <v>-9.5360032776810405E-2</v>
      </c>
      <c r="H43" s="16">
        <f t="shared" ref="H43" si="26">H42/H$22</f>
        <v>-4.7097480832420595E-2</v>
      </c>
      <c r="I43" s="16">
        <f t="shared" ref="I43" si="27">I42/I$22</f>
        <v>-7.8217024702343124E-2</v>
      </c>
      <c r="J43" s="16">
        <f t="shared" ref="J43" si="28">J42/J$22</f>
        <v>-0.13443562610229276</v>
      </c>
    </row>
    <row r="44" spans="1:15" x14ac:dyDescent="0.25">
      <c r="B44" t="s">
        <v>91</v>
      </c>
      <c r="E44" s="20" t="s">
        <v>83</v>
      </c>
      <c r="F44" s="16">
        <f>F42/(F22-E22)</f>
        <v>-2.1171875</v>
      </c>
      <c r="G44" s="16">
        <f t="shared" ref="G44:J44" si="29">G42/(G22-F22)</f>
        <v>-0.30705804749340371</v>
      </c>
      <c r="H44" s="16">
        <f t="shared" si="29"/>
        <v>-0.11602458402038675</v>
      </c>
      <c r="I44" s="16">
        <f t="shared" si="29"/>
        <v>-0.25756941537602901</v>
      </c>
      <c r="J44" s="16">
        <f t="shared" si="29"/>
        <v>3.3105320304017374</v>
      </c>
    </row>
    <row r="46" spans="1:15" x14ac:dyDescent="0.25">
      <c r="A46" s="10" t="s">
        <v>1</v>
      </c>
      <c r="B46" s="8" t="s">
        <v>59</v>
      </c>
      <c r="C46" s="7"/>
      <c r="D46" s="7"/>
      <c r="E46" s="12">
        <f t="shared" ref="E46:O46" si="30">E$21</f>
        <v>2018</v>
      </c>
      <c r="F46" s="12">
        <f t="shared" si="30"/>
        <v>2019</v>
      </c>
      <c r="G46" s="12">
        <f t="shared" si="30"/>
        <v>2020</v>
      </c>
      <c r="H46" s="12">
        <f t="shared" si="30"/>
        <v>2021</v>
      </c>
      <c r="I46" s="12">
        <f t="shared" si="30"/>
        <v>2022</v>
      </c>
      <c r="J46" s="12">
        <f t="shared" si="30"/>
        <v>2023</v>
      </c>
      <c r="K46" s="13">
        <f t="shared" si="30"/>
        <v>2024</v>
      </c>
      <c r="L46" s="13">
        <f t="shared" si="30"/>
        <v>2025</v>
      </c>
      <c r="M46" s="13">
        <f t="shared" si="30"/>
        <v>2026</v>
      </c>
      <c r="N46" s="13">
        <f t="shared" si="30"/>
        <v>2027</v>
      </c>
      <c r="O46" s="13">
        <f t="shared" si="30"/>
        <v>2028</v>
      </c>
    </row>
    <row r="47" spans="1:15" x14ac:dyDescent="0.25">
      <c r="B47" t="s">
        <v>19</v>
      </c>
      <c r="E47" s="21">
        <f>E22</f>
        <v>6475</v>
      </c>
      <c r="F47" s="21">
        <f t="shared" ref="F47:J47" si="31">F22</f>
        <v>6731</v>
      </c>
      <c r="G47" s="21">
        <f t="shared" si="31"/>
        <v>9763</v>
      </c>
      <c r="H47" s="21">
        <f t="shared" si="31"/>
        <v>16434</v>
      </c>
      <c r="I47" s="21">
        <f t="shared" si="31"/>
        <v>23601</v>
      </c>
      <c r="J47" s="21">
        <f t="shared" si="31"/>
        <v>22680</v>
      </c>
      <c r="K47" s="35">
        <f ca="1">J47*(1+K48)</f>
        <v>25761.402279999995</v>
      </c>
      <c r="L47" s="35">
        <f t="shared" ref="L47:N47" ca="1" si="32">K47*(1+L48)</f>
        <v>29545.706510959422</v>
      </c>
      <c r="M47" s="35">
        <f t="shared" ca="1" si="32"/>
        <v>34211.923434844386</v>
      </c>
      <c r="N47" s="35">
        <f t="shared" ca="1" si="32"/>
        <v>39992.577839237478</v>
      </c>
      <c r="O47" s="35">
        <f ca="1">N47*(1+O48)</f>
        <v>47191.241850300219</v>
      </c>
    </row>
    <row r="48" spans="1:15" x14ac:dyDescent="0.25">
      <c r="B48" s="11" t="s">
        <v>92</v>
      </c>
      <c r="E48" s="22" t="s">
        <v>83</v>
      </c>
      <c r="F48" s="16">
        <f>F47/E47-1</f>
        <v>3.9536679536679609E-2</v>
      </c>
      <c r="G48" s="16">
        <f t="shared" ref="G48:J48" si="33">G47/F47-1</f>
        <v>0.45045312732134901</v>
      </c>
      <c r="H48" s="16">
        <f t="shared" si="33"/>
        <v>0.68329406944586712</v>
      </c>
      <c r="I48" s="16">
        <f t="shared" si="33"/>
        <v>0.43610806863818907</v>
      </c>
      <c r="J48" s="16">
        <f t="shared" si="33"/>
        <v>-3.9023770179229644E-2</v>
      </c>
      <c r="K48" s="16">
        <f ca="1">OFFSET(K48,$E$12,0)</f>
        <v>0.13586429805996458</v>
      </c>
      <c r="L48" s="16">
        <f t="shared" ref="L48:O48" ca="1" si="34">OFFSET(L48,$E$12,0)</f>
        <v>0.14689822354497345</v>
      </c>
      <c r="M48" s="16">
        <f t="shared" ca="1" si="34"/>
        <v>0.15793214902998232</v>
      </c>
      <c r="N48" s="16">
        <f t="shared" ca="1" si="34"/>
        <v>0.16896607451499118</v>
      </c>
      <c r="O48" s="16">
        <f t="shared" ca="1" si="34"/>
        <v>0.18</v>
      </c>
    </row>
    <row r="49" spans="2:15" x14ac:dyDescent="0.25">
      <c r="B49" t="s">
        <v>93</v>
      </c>
      <c r="E49" s="22"/>
      <c r="F49" s="16"/>
      <c r="G49" s="16"/>
      <c r="H49" s="16"/>
      <c r="I49" s="16"/>
      <c r="J49" s="16"/>
      <c r="K49" s="24">
        <f>K50*(1+J12)</f>
        <v>0.1111616984126983</v>
      </c>
      <c r="L49" s="24">
        <f>K49-($K$49-$O$49)/($O$46-$K$46)</f>
        <v>0.11337127380952372</v>
      </c>
      <c r="M49" s="24">
        <f t="shared" ref="M49:N49" si="35">L49-($K$49-$O$49)/($O$46-$K$46)</f>
        <v>0.11558084920634915</v>
      </c>
      <c r="N49" s="24">
        <f t="shared" si="35"/>
        <v>0.11779042460317457</v>
      </c>
      <c r="O49" s="24">
        <f>O50*(1+J13)</f>
        <v>0.12</v>
      </c>
    </row>
    <row r="50" spans="2:15" x14ac:dyDescent="0.25">
      <c r="B50" t="s">
        <v>94</v>
      </c>
      <c r="E50" s="22"/>
      <c r="F50" s="16"/>
      <c r="G50" s="16"/>
      <c r="H50" s="16"/>
      <c r="I50" s="16"/>
      <c r="J50" s="16"/>
      <c r="K50" s="34">
        <f>K27</f>
        <v>0.12351299823633144</v>
      </c>
      <c r="L50" s="34">
        <f>L27</f>
        <v>0.27802908070870935</v>
      </c>
      <c r="M50" s="24">
        <f>L50-($L$50-$O$50)/($O$46-$L$46)</f>
        <v>0.23535272047247291</v>
      </c>
      <c r="N50" s="24">
        <f>M50-($L$50-$O$50)/($O$46-$L$46)</f>
        <v>0.19267636023623647</v>
      </c>
      <c r="O50" s="34">
        <f>O13</f>
        <v>0.15</v>
      </c>
    </row>
    <row r="51" spans="2:15" x14ac:dyDescent="0.25">
      <c r="B51" t="s">
        <v>95</v>
      </c>
      <c r="E51" s="22"/>
      <c r="F51" s="16"/>
      <c r="G51" s="16"/>
      <c r="H51" s="16"/>
      <c r="I51" s="16"/>
      <c r="J51" s="16"/>
      <c r="K51" s="24">
        <f>K50*(1+T12)</f>
        <v>0.13586429805996458</v>
      </c>
      <c r="L51" s="24">
        <f>K51-($K$51-$O$51)/($O$46-$K$46)</f>
        <v>0.14689822354497345</v>
      </c>
      <c r="M51" s="24">
        <f t="shared" ref="M51:N51" si="36">L51-($K$51-$O$51)/($O$46-$K$46)</f>
        <v>0.15793214902998232</v>
      </c>
      <c r="N51" s="24">
        <f t="shared" si="36"/>
        <v>0.16896607451499118</v>
      </c>
      <c r="O51" s="24">
        <f>O50*(1+T13)</f>
        <v>0.18</v>
      </c>
    </row>
    <row r="53" spans="2:15" x14ac:dyDescent="0.25">
      <c r="B53" t="s">
        <v>72</v>
      </c>
      <c r="E53" s="21">
        <f>E29</f>
        <v>633</v>
      </c>
      <c r="F53" s="21">
        <f t="shared" ref="F53:J53" si="37">F29</f>
        <v>840</v>
      </c>
      <c r="G53" s="21">
        <f t="shared" si="37"/>
        <v>1657</v>
      </c>
      <c r="H53" s="21">
        <f t="shared" si="37"/>
        <v>4069</v>
      </c>
      <c r="I53" s="21">
        <f t="shared" si="37"/>
        <v>6345</v>
      </c>
      <c r="J53" s="21">
        <f t="shared" si="37"/>
        <v>4673.92</v>
      </c>
      <c r="K53" s="35">
        <f ca="1">K54*K47</f>
        <v>7469.0599758800026</v>
      </c>
      <c r="L53" s="35">
        <f t="shared" ref="L53:O53" ca="1" si="38">L54*L47</f>
        <v>8936.0737668472793</v>
      </c>
      <c r="M53" s="35">
        <f t="shared" ca="1" si="38"/>
        <v>10775.596056439643</v>
      </c>
      <c r="N53" s="35">
        <f t="shared" ca="1" si="38"/>
        <v>13096.891343998106</v>
      </c>
      <c r="O53" s="35">
        <f t="shared" ca="1" si="38"/>
        <v>16045.022229102076</v>
      </c>
    </row>
    <row r="54" spans="2:15" x14ac:dyDescent="0.25">
      <c r="B54" s="11" t="s">
        <v>84</v>
      </c>
      <c r="E54" s="22">
        <f>E53/E47</f>
        <v>9.7760617760617757E-2</v>
      </c>
      <c r="F54" s="22">
        <f t="shared" ref="F54:J54" si="39">F53/F47</f>
        <v>0.12479572128955578</v>
      </c>
      <c r="G54" s="22">
        <f t="shared" si="39"/>
        <v>0.1697224213868688</v>
      </c>
      <c r="H54" s="22">
        <f t="shared" si="39"/>
        <v>0.24759644639162712</v>
      </c>
      <c r="I54" s="22">
        <f t="shared" si="39"/>
        <v>0.26884454048557266</v>
      </c>
      <c r="J54" s="22">
        <f t="shared" si="39"/>
        <v>0.20608112874779541</v>
      </c>
      <c r="K54" s="22">
        <f ca="1">OFFSET(K54,$E$13,0)</f>
        <v>0.28993219758377237</v>
      </c>
      <c r="L54" s="22">
        <f t="shared" ref="L54:O54" ca="1" si="40">OFFSET(L54,$E$13,0)</f>
        <v>0.30244914818782931</v>
      </c>
      <c r="M54" s="22">
        <f t="shared" ca="1" si="40"/>
        <v>0.3149660987918862</v>
      </c>
      <c r="N54" s="22">
        <f t="shared" ca="1" si="40"/>
        <v>0.32748304939594308</v>
      </c>
      <c r="O54" s="22">
        <f t="shared" ca="1" si="40"/>
        <v>0.34</v>
      </c>
    </row>
    <row r="55" spans="2:15" x14ac:dyDescent="0.25">
      <c r="B55" t="s">
        <v>93</v>
      </c>
      <c r="E55" s="22"/>
      <c r="F55" s="16"/>
      <c r="G55" s="16"/>
      <c r="H55" s="16"/>
      <c r="I55" s="16"/>
      <c r="J55" s="16"/>
      <c r="K55" s="24">
        <f>K56*(1+J14)</f>
        <v>0.26231960733769882</v>
      </c>
      <c r="L55" s="24">
        <f>K55+($O55-$K55)/($O$46-$K$46)</f>
        <v>0.27173970550327409</v>
      </c>
      <c r="M55" s="24">
        <f t="shared" ref="M55:N57" si="41">L55+($O55-$K55)/($O$46-$K$46)</f>
        <v>0.28115980366884941</v>
      </c>
      <c r="N55" s="24">
        <f t="shared" si="41"/>
        <v>0.29057990183442473</v>
      </c>
      <c r="O55" s="34">
        <f>J15</f>
        <v>0.3</v>
      </c>
    </row>
    <row r="56" spans="2:15" x14ac:dyDescent="0.25">
      <c r="B56" t="s">
        <v>94</v>
      </c>
      <c r="E56" s="22"/>
      <c r="F56" s="16"/>
      <c r="G56" s="16"/>
      <c r="H56" s="16"/>
      <c r="I56" s="16"/>
      <c r="J56" s="16"/>
      <c r="K56" s="34">
        <f>K30</f>
        <v>0.27612590246073559</v>
      </c>
      <c r="L56" s="34">
        <f>L30</f>
        <v>0.29654014250959543</v>
      </c>
      <c r="M56" s="24">
        <f>L56+($O56-$L56)/($O$46-$L$46)</f>
        <v>0.30436009500639694</v>
      </c>
      <c r="N56" s="24">
        <f>M56+($O56-$L56)/($O$46-$L$46)</f>
        <v>0.31218004750319844</v>
      </c>
      <c r="O56" s="34">
        <f>O15</f>
        <v>0.32</v>
      </c>
    </row>
    <row r="57" spans="2:15" x14ac:dyDescent="0.25">
      <c r="B57" t="s">
        <v>95</v>
      </c>
      <c r="E57" s="22"/>
      <c r="F57" s="16"/>
      <c r="G57" s="16"/>
      <c r="H57" s="16"/>
      <c r="I57" s="16"/>
      <c r="J57" s="16"/>
      <c r="K57" s="24">
        <f>K56*(1+T14)</f>
        <v>0.28993219758377237</v>
      </c>
      <c r="L57" s="24">
        <f>K57+($O57-$K57)/($O$46-$K$46)</f>
        <v>0.30244914818782931</v>
      </c>
      <c r="M57" s="24">
        <f t="shared" si="41"/>
        <v>0.3149660987918862</v>
      </c>
      <c r="N57" s="24">
        <f t="shared" si="41"/>
        <v>0.32748304939594308</v>
      </c>
      <c r="O57" s="34">
        <f>T15</f>
        <v>0.34</v>
      </c>
    </row>
    <row r="58" spans="2:15" x14ac:dyDescent="0.25">
      <c r="K58" s="36"/>
    </row>
    <row r="59" spans="2:15" x14ac:dyDescent="0.25">
      <c r="B59" t="s">
        <v>85</v>
      </c>
      <c r="E59" s="21">
        <f>E32</f>
        <v>34</v>
      </c>
      <c r="F59" s="21">
        <f t="shared" ref="F59:J59" si="42">F32</f>
        <v>23</v>
      </c>
      <c r="G59" s="21">
        <f t="shared" si="42"/>
        <v>48</v>
      </c>
      <c r="H59" s="21">
        <f t="shared" si="42"/>
        <v>606</v>
      </c>
      <c r="I59" s="21">
        <f t="shared" si="42"/>
        <v>823</v>
      </c>
      <c r="J59" s="21">
        <f t="shared" si="42"/>
        <v>647.774</v>
      </c>
      <c r="K59" s="35">
        <f ca="1">K53*K60</f>
        <v>1001.9808659661034</v>
      </c>
      <c r="L59" s="35">
        <f t="shared" ref="L59:O59" ca="1" si="43">L53*L60</f>
        <v>1198.782036850318</v>
      </c>
      <c r="M59" s="35">
        <f t="shared" ca="1" si="43"/>
        <v>1445.5555455169886</v>
      </c>
      <c r="N59" s="35">
        <f t="shared" ca="1" si="43"/>
        <v>1756.9593192049656</v>
      </c>
      <c r="O59" s="35">
        <f t="shared" ca="1" si="43"/>
        <v>2152.453631310801</v>
      </c>
    </row>
    <row r="60" spans="2:15" x14ac:dyDescent="0.25">
      <c r="B60" s="11" t="s">
        <v>86</v>
      </c>
      <c r="E60" s="23">
        <f>E33</f>
        <v>5.3712480252764615E-2</v>
      </c>
      <c r="F60" s="23">
        <f>F33</f>
        <v>2.7380952380952381E-2</v>
      </c>
      <c r="G60" s="23">
        <f>G33</f>
        <v>2.8968014484007241E-2</v>
      </c>
      <c r="H60" s="23">
        <f t="shared" ref="H60:J60" si="44">H33</f>
        <v>0.14893094126320963</v>
      </c>
      <c r="I60" s="23">
        <f t="shared" si="44"/>
        <v>0.1297084318360914</v>
      </c>
      <c r="J60" s="23">
        <f t="shared" si="44"/>
        <v>0.13859330069834314</v>
      </c>
      <c r="K60" s="33">
        <f>AVERAGE(I60:J60)</f>
        <v>0.13415086626721728</v>
      </c>
      <c r="L60" s="24">
        <f>K60</f>
        <v>0.13415086626721728</v>
      </c>
      <c r="M60" s="24">
        <f t="shared" ref="M60:O60" si="45">L60</f>
        <v>0.13415086626721728</v>
      </c>
      <c r="N60" s="24">
        <f t="shared" si="45"/>
        <v>0.13415086626721728</v>
      </c>
      <c r="O60" s="24">
        <f t="shared" si="45"/>
        <v>0.13415086626721728</v>
      </c>
    </row>
    <row r="62" spans="2:15" x14ac:dyDescent="0.25">
      <c r="B62" s="37" t="s">
        <v>96</v>
      </c>
      <c r="C62" s="38"/>
      <c r="D62" s="38"/>
      <c r="E62" s="38"/>
      <c r="F62" s="38"/>
      <c r="G62" s="38"/>
      <c r="H62" s="38"/>
      <c r="I62" s="38"/>
      <c r="J62" s="38"/>
      <c r="K62" s="39">
        <f ca="1">K53-K59</f>
        <v>6467.0791099138996</v>
      </c>
      <c r="L62" s="39">
        <f t="shared" ref="L62:O62" ca="1" si="46">L53-L59</f>
        <v>7737.2917299969613</v>
      </c>
      <c r="M62" s="39">
        <f t="shared" ca="1" si="46"/>
        <v>9330.040510922654</v>
      </c>
      <c r="N62" s="39">
        <f t="shared" ca="1" si="46"/>
        <v>11339.932024793141</v>
      </c>
      <c r="O62" s="40">
        <f t="shared" ca="1" si="46"/>
        <v>13892.568597791276</v>
      </c>
    </row>
    <row r="64" spans="2:15" x14ac:dyDescent="0.25">
      <c r="B64" t="s">
        <v>88</v>
      </c>
      <c r="E64" s="21">
        <f>E36</f>
        <v>170</v>
      </c>
      <c r="F64" s="21">
        <f t="shared" ref="F64:J64" si="47">F36</f>
        <v>258</v>
      </c>
      <c r="G64" s="21">
        <f t="shared" si="47"/>
        <v>354</v>
      </c>
      <c r="H64" s="21">
        <f t="shared" si="47"/>
        <v>463</v>
      </c>
      <c r="I64" s="21">
        <f t="shared" si="47"/>
        <v>4262</v>
      </c>
      <c r="J64" s="21">
        <f t="shared" si="47"/>
        <v>740</v>
      </c>
      <c r="K64" s="35">
        <f ca="1">K65*K$47</f>
        <v>871.96309615133168</v>
      </c>
      <c r="L64" s="35">
        <f t="shared" ref="L64:O64" ca="1" si="48">L65*L$47</f>
        <v>1000.0529259727372</v>
      </c>
      <c r="M64" s="35">
        <f t="shared" ca="1" si="48"/>
        <v>1157.9934337153334</v>
      </c>
      <c r="N64" s="35">
        <f t="shared" ca="1" si="48"/>
        <v>1353.655038524349</v>
      </c>
      <c r="O64" s="35">
        <f t="shared" ca="1" si="48"/>
        <v>1597.3129454587317</v>
      </c>
    </row>
    <row r="65" spans="2:15" x14ac:dyDescent="0.25">
      <c r="B65" s="11" t="s">
        <v>84</v>
      </c>
      <c r="E65" s="22">
        <f t="shared" ref="E65:J65" si="49">E37</f>
        <v>2.6254826254826256E-2</v>
      </c>
      <c r="F65" s="22">
        <f t="shared" si="49"/>
        <v>3.833011439607785E-2</v>
      </c>
      <c r="G65" s="22">
        <f t="shared" si="49"/>
        <v>3.625934651234252E-2</v>
      </c>
      <c r="H65" s="22">
        <f t="shared" si="49"/>
        <v>2.8173299257636605E-2</v>
      </c>
      <c r="I65" s="22">
        <f t="shared" si="49"/>
        <v>0.18058556840811829</v>
      </c>
      <c r="J65" s="22">
        <f t="shared" si="49"/>
        <v>3.2627865961199293E-2</v>
      </c>
      <c r="K65" s="33">
        <f>AVERAGE(J65,H65,G65,F65)</f>
        <v>3.3847656531814069E-2</v>
      </c>
      <c r="L65" s="34">
        <f>K65</f>
        <v>3.3847656531814069E-2</v>
      </c>
      <c r="M65" s="34">
        <f t="shared" ref="M65:O65" si="50">L65</f>
        <v>3.3847656531814069E-2</v>
      </c>
      <c r="N65" s="34">
        <f t="shared" si="50"/>
        <v>3.3847656531814069E-2</v>
      </c>
      <c r="O65" s="34">
        <f t="shared" si="50"/>
        <v>3.3847656531814069E-2</v>
      </c>
    </row>
    <row r="67" spans="2:15" x14ac:dyDescent="0.25">
      <c r="B67" t="s">
        <v>89</v>
      </c>
      <c r="E67" s="21">
        <f t="shared" ref="E67:J67" si="51">E39</f>
        <v>163</v>
      </c>
      <c r="F67" s="21">
        <f t="shared" si="51"/>
        <v>217</v>
      </c>
      <c r="G67" s="21">
        <f t="shared" si="51"/>
        <v>294</v>
      </c>
      <c r="H67" s="21">
        <f t="shared" si="51"/>
        <v>301</v>
      </c>
      <c r="I67" s="21">
        <f t="shared" si="51"/>
        <v>450</v>
      </c>
      <c r="J67" s="21">
        <f t="shared" si="51"/>
        <v>546</v>
      </c>
      <c r="K67" s="35">
        <f ca="1">K68*K$47</f>
        <v>637.90043749150493</v>
      </c>
      <c r="L67" s="35">
        <f t="shared" ref="L67" ca="1" si="52">L68*L$47</f>
        <v>731.60687855756828</v>
      </c>
      <c r="M67" s="35">
        <f t="shared" ref="M67" ca="1" si="53">M68*M$47</f>
        <v>847.15112513328245</v>
      </c>
      <c r="N67" s="35">
        <f t="shared" ref="N67" ca="1" si="54">N68*N$47</f>
        <v>990.29092526801128</v>
      </c>
      <c r="O67" s="35">
        <f t="shared" ref="O67" ca="1" si="55">O68*O$47</f>
        <v>1168.5432918162533</v>
      </c>
    </row>
    <row r="68" spans="2:15" x14ac:dyDescent="0.25">
      <c r="B68" s="11" t="s">
        <v>84</v>
      </c>
      <c r="E68" s="22">
        <f t="shared" ref="E68:J68" si="56">E40</f>
        <v>2.5173745173745175E-2</v>
      </c>
      <c r="F68" s="22">
        <f t="shared" si="56"/>
        <v>3.2238894666468579E-2</v>
      </c>
      <c r="G68" s="22">
        <f t="shared" si="56"/>
        <v>3.0113694561098022E-2</v>
      </c>
      <c r="H68" s="22">
        <f t="shared" si="56"/>
        <v>1.8315686990385785E-2</v>
      </c>
      <c r="I68" s="22">
        <f t="shared" si="56"/>
        <v>1.9066988686920045E-2</v>
      </c>
      <c r="J68" s="22">
        <f t="shared" si="56"/>
        <v>2.4074074074074074E-2</v>
      </c>
      <c r="K68" s="33">
        <f>AVERAGE(F68:J68)</f>
        <v>2.4761867795789299E-2</v>
      </c>
      <c r="L68" s="34">
        <f>K68</f>
        <v>2.4761867795789299E-2</v>
      </c>
      <c r="M68" s="34">
        <f t="shared" ref="M68:O68" si="57">L68</f>
        <v>2.4761867795789299E-2</v>
      </c>
      <c r="N68" s="34">
        <f t="shared" si="57"/>
        <v>2.4761867795789299E-2</v>
      </c>
      <c r="O68" s="34">
        <f t="shared" si="57"/>
        <v>2.4761867795789299E-2</v>
      </c>
    </row>
    <row r="70" spans="2:15" x14ac:dyDescent="0.25">
      <c r="B70" t="s">
        <v>90</v>
      </c>
      <c r="E70" s="41">
        <f t="shared" ref="E70:J70" si="58">E42</f>
        <v>-727</v>
      </c>
      <c r="F70" s="41">
        <f t="shared" si="58"/>
        <v>-542</v>
      </c>
      <c r="G70" s="41">
        <f t="shared" si="58"/>
        <v>-931</v>
      </c>
      <c r="H70" s="41">
        <f t="shared" si="58"/>
        <v>-774</v>
      </c>
      <c r="I70" s="41">
        <f t="shared" si="58"/>
        <v>-1846</v>
      </c>
      <c r="J70" s="41">
        <f t="shared" si="58"/>
        <v>-3049</v>
      </c>
      <c r="K70" s="17">
        <f ca="1">K71*K$47</f>
        <v>-2244.5039994074527</v>
      </c>
      <c r="L70" s="17">
        <f t="shared" ref="L70" ca="1" si="59">L71*L$47</f>
        <v>-2574.2176496599959</v>
      </c>
      <c r="M70" s="17">
        <f t="shared" ref="M70" ca="1" si="60">M71*M$47</f>
        <v>-2980.7693751417091</v>
      </c>
      <c r="N70" s="17">
        <f t="shared" ref="N70" ca="1" si="61">N71*N$47</f>
        <v>-3484.418275493907</v>
      </c>
      <c r="O70" s="17">
        <f t="shared" ref="O70" ca="1" si="62">O71*O$47</f>
        <v>-4111.6135650828101</v>
      </c>
    </row>
    <row r="71" spans="2:15" x14ac:dyDescent="0.25">
      <c r="B71" s="11" t="s">
        <v>84</v>
      </c>
      <c r="E71" s="22">
        <f t="shared" ref="E71:J71" si="63">E43</f>
        <v>-0.11227799227799228</v>
      </c>
      <c r="F71" s="22">
        <f t="shared" si="63"/>
        <v>-8.0522953498737185E-2</v>
      </c>
      <c r="G71" s="22">
        <f t="shared" si="63"/>
        <v>-9.5360032776810405E-2</v>
      </c>
      <c r="H71" s="22">
        <f t="shared" si="63"/>
        <v>-4.7097480832420595E-2</v>
      </c>
      <c r="I71" s="22">
        <f t="shared" si="63"/>
        <v>-7.8217024702343124E-2</v>
      </c>
      <c r="J71" s="22">
        <f t="shared" si="63"/>
        <v>-0.13443562610229276</v>
      </c>
      <c r="K71" s="42">
        <f>AVERAGE(F71:J71)</f>
        <v>-8.712662358252081E-2</v>
      </c>
      <c r="L71" s="43">
        <f>K71</f>
        <v>-8.712662358252081E-2</v>
      </c>
      <c r="M71" s="43">
        <f t="shared" ref="M71:O71" si="64">L71</f>
        <v>-8.712662358252081E-2</v>
      </c>
      <c r="N71" s="43">
        <f t="shared" si="64"/>
        <v>-8.712662358252081E-2</v>
      </c>
      <c r="O71" s="43">
        <f t="shared" si="64"/>
        <v>-8.712662358252081E-2</v>
      </c>
    </row>
    <row r="73" spans="2:15" x14ac:dyDescent="0.25">
      <c r="B73" s="51" t="s">
        <v>97</v>
      </c>
      <c r="C73" s="52"/>
      <c r="D73" s="52"/>
      <c r="E73" s="52"/>
      <c r="F73" s="52"/>
      <c r="G73" s="52"/>
      <c r="H73" s="52"/>
      <c r="I73" s="52"/>
      <c r="J73" s="52"/>
      <c r="K73" s="53">
        <f ca="1">K62+K64-K67-K70</f>
        <v>8945.6457679811792</v>
      </c>
      <c r="L73" s="53">
        <f t="shared" ref="L73:O73" ca="1" si="65">L62+L64-L67-L70</f>
        <v>10579.955427072127</v>
      </c>
      <c r="M73" s="53">
        <f t="shared" ca="1" si="65"/>
        <v>12621.652194646413</v>
      </c>
      <c r="N73" s="53">
        <f t="shared" ca="1" si="65"/>
        <v>15187.714413543385</v>
      </c>
      <c r="O73" s="54">
        <f t="shared" ca="1" si="65"/>
        <v>18432.951816516565</v>
      </c>
    </row>
    <row r="74" spans="2:15" x14ac:dyDescent="0.25">
      <c r="B74" s="55" t="s">
        <v>98</v>
      </c>
      <c r="C74" s="56"/>
      <c r="D74" s="56"/>
      <c r="E74" s="56"/>
      <c r="F74" s="56"/>
      <c r="G74" s="56"/>
      <c r="H74" s="56"/>
      <c r="I74" s="56"/>
      <c r="J74" s="56"/>
      <c r="K74" s="57">
        <f ca="1">K73/(1+wacc)^K76</f>
        <v>8498.9877238068093</v>
      </c>
      <c r="L74" s="57">
        <f ca="1">L73/(1+wacc)^L76</f>
        <v>8988.8865588513836</v>
      </c>
      <c r="M74" s="57">
        <f ca="1">M73/(1+wacc)^M76</f>
        <v>9589.6957037525081</v>
      </c>
      <c r="N74" s="57">
        <f ca="1">N73/(1+wacc)^N76</f>
        <v>10319.237232732632</v>
      </c>
      <c r="O74" s="58">
        <f ca="1">O73/(1+wacc)^O76</f>
        <v>11199.963798427847</v>
      </c>
    </row>
    <row r="76" spans="2:15" x14ac:dyDescent="0.25">
      <c r="B76" t="s">
        <v>99</v>
      </c>
      <c r="K76" s="50">
        <f>K77/2</f>
        <v>0.45833333333333331</v>
      </c>
      <c r="L76" s="50">
        <f>K76+1</f>
        <v>1.4583333333333333</v>
      </c>
      <c r="M76" s="50">
        <f t="shared" ref="M76:O76" si="66">L76+1</f>
        <v>2.458333333333333</v>
      </c>
      <c r="N76" s="50">
        <f t="shared" si="66"/>
        <v>3.458333333333333</v>
      </c>
      <c r="O76" s="50">
        <f t="shared" si="66"/>
        <v>4.458333333333333</v>
      </c>
    </row>
    <row r="77" spans="2:15" x14ac:dyDescent="0.25">
      <c r="B77" t="s">
        <v>100</v>
      </c>
      <c r="K77" s="50">
        <f>YEARFRAC(C5,C6)</f>
        <v>0.91666666666666663</v>
      </c>
    </row>
    <row r="79" spans="2:15" x14ac:dyDescent="0.25">
      <c r="B79" t="s">
        <v>101</v>
      </c>
      <c r="O79" s="17">
        <f ca="1">(O73*(1+tgr))/(wacc-tgr)</f>
        <v>215172.43357948968</v>
      </c>
    </row>
    <row r="80" spans="2:15" x14ac:dyDescent="0.25">
      <c r="B80" t="s">
        <v>102</v>
      </c>
      <c r="O80" s="17">
        <f ca="1">O79/(1+wacc)^O76</f>
        <v>130739.96452106653</v>
      </c>
    </row>
    <row r="81" spans="1:15" x14ac:dyDescent="0.25">
      <c r="B81" t="s">
        <v>103</v>
      </c>
      <c r="O81" s="17">
        <f ca="1">SUM(K74:O74,O80)</f>
        <v>179336.7355386377</v>
      </c>
    </row>
    <row r="82" spans="1:15" x14ac:dyDescent="0.25">
      <c r="B82" t="s">
        <v>104</v>
      </c>
      <c r="O82" s="17">
        <f>3933+1840</f>
        <v>5773</v>
      </c>
    </row>
    <row r="83" spans="1:15" x14ac:dyDescent="0.25">
      <c r="B83" t="s">
        <v>105</v>
      </c>
      <c r="O83" s="17">
        <f>WACC!F15</f>
        <v>2468</v>
      </c>
    </row>
    <row r="84" spans="1:15" x14ac:dyDescent="0.25">
      <c r="B84" t="s">
        <v>106</v>
      </c>
      <c r="O84" s="17">
        <f ca="1">O81+O82-O83</f>
        <v>182641.7355386377</v>
      </c>
    </row>
    <row r="86" spans="1:15" x14ac:dyDescent="0.25">
      <c r="B86" t="s">
        <v>107</v>
      </c>
      <c r="O86" s="17">
        <v>1649</v>
      </c>
    </row>
    <row r="87" spans="1:15" x14ac:dyDescent="0.25">
      <c r="A87" s="10" t="s">
        <v>1</v>
      </c>
      <c r="B87" t="s">
        <v>60</v>
      </c>
      <c r="O87">
        <f ca="1">O84/O86</f>
        <v>110.75908765229697</v>
      </c>
    </row>
  </sheetData>
  <pageMargins left="0.7" right="0.7" top="0.75" bottom="0.75" header="0.3" footer="0.3"/>
  <ignoredErrors>
    <ignoredError sqref="L56 M56:O56" formula="1"/>
    <ignoredError sqref="H60:O60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23BC-0024-41DA-8014-5175BCEB54FD}">
  <dimension ref="A1:M1"/>
  <sheetViews>
    <sheetView workbookViewId="0">
      <selection activeCell="G7" sqref="G7"/>
    </sheetView>
  </sheetViews>
  <sheetFormatPr defaultRowHeight="15" x14ac:dyDescent="0.25"/>
  <cols>
    <col min="1" max="1" width="17.85546875" customWidth="1"/>
  </cols>
  <sheetData>
    <row r="1" spans="1:13" x14ac:dyDescent="0.25">
      <c r="A1" s="73" t="s">
        <v>108</v>
      </c>
      <c r="B1" s="72">
        <v>44</v>
      </c>
      <c r="C1" s="72">
        <v>301</v>
      </c>
      <c r="D1" s="72">
        <v>633</v>
      </c>
      <c r="E1" s="72">
        <v>840</v>
      </c>
      <c r="F1" s="72">
        <v>1657</v>
      </c>
      <c r="G1" s="72">
        <v>4069</v>
      </c>
      <c r="H1" s="72">
        <v>6345</v>
      </c>
      <c r="I1" s="72">
        <v>4673.92</v>
      </c>
      <c r="J1" s="72">
        <v>7036.04</v>
      </c>
      <c r="K1" s="72">
        <v>9657.07</v>
      </c>
      <c r="L1" s="72">
        <v>12726.3</v>
      </c>
      <c r="M1" s="72">
        <v>16696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B5D1-6B89-4045-9031-F77BDE3D7181}">
  <dimension ref="B2:F22"/>
  <sheetViews>
    <sheetView showGridLines="0" zoomScale="160" zoomScaleNormal="160" workbookViewId="0">
      <selection activeCell="F12" sqref="F12"/>
    </sheetView>
  </sheetViews>
  <sheetFormatPr defaultColWidth="8.85546875" defaultRowHeight="15" x14ac:dyDescent="0.25"/>
  <cols>
    <col min="1" max="1" width="3.7109375" customWidth="1"/>
    <col min="6" max="6" width="12.7109375" customWidth="1"/>
  </cols>
  <sheetData>
    <row r="2" spans="2:6" s="6" customFormat="1" ht="21" x14ac:dyDescent="0.35">
      <c r="B2" s="2" t="s">
        <v>74</v>
      </c>
    </row>
    <row r="4" spans="2:6" x14ac:dyDescent="0.25">
      <c r="B4" t="s">
        <v>109</v>
      </c>
    </row>
    <row r="5" spans="2:6" x14ac:dyDescent="0.25">
      <c r="B5" t="s">
        <v>110</v>
      </c>
    </row>
    <row r="7" spans="2:6" x14ac:dyDescent="0.25">
      <c r="B7" s="44" t="s">
        <v>74</v>
      </c>
      <c r="C7" s="45"/>
      <c r="D7" s="45"/>
      <c r="E7" s="45"/>
      <c r="F7" s="45"/>
    </row>
    <row r="8" spans="2:6" x14ac:dyDescent="0.25">
      <c r="B8" t="s">
        <v>111</v>
      </c>
      <c r="F8" s="14">
        <v>278000</v>
      </c>
    </row>
    <row r="9" spans="2:6" x14ac:dyDescent="0.25">
      <c r="B9" t="s">
        <v>112</v>
      </c>
      <c r="F9" s="46">
        <f>F8/F20</f>
        <v>0.99120042215154669</v>
      </c>
    </row>
    <row r="10" spans="2:6" x14ac:dyDescent="0.25">
      <c r="B10" t="s">
        <v>113</v>
      </c>
      <c r="F10" s="46">
        <f>F11+F12*F13</f>
        <v>0.11906</v>
      </c>
    </row>
    <row r="11" spans="2:6" x14ac:dyDescent="0.25">
      <c r="B11" t="s">
        <v>114</v>
      </c>
      <c r="F11" s="47">
        <v>4.4999999999999998E-2</v>
      </c>
    </row>
    <row r="12" spans="2:6" x14ac:dyDescent="0.25">
      <c r="B12" t="s">
        <v>115</v>
      </c>
      <c r="F12" s="48">
        <v>1.61</v>
      </c>
    </row>
    <row r="13" spans="2:6" x14ac:dyDescent="0.25">
      <c r="B13" t="s">
        <v>116</v>
      </c>
      <c r="F13" s="47">
        <v>4.5999999999999999E-2</v>
      </c>
    </row>
    <row r="15" spans="2:6" x14ac:dyDescent="0.25">
      <c r="B15" t="s">
        <v>117</v>
      </c>
      <c r="F15" s="49">
        <f>751+1717</f>
        <v>2468</v>
      </c>
    </row>
    <row r="16" spans="2:6" x14ac:dyDescent="0.25">
      <c r="B16" t="s">
        <v>118</v>
      </c>
      <c r="F16" s="46">
        <f>F15/F20</f>
        <v>8.7995778484533001E-3</v>
      </c>
    </row>
    <row r="17" spans="2:6" x14ac:dyDescent="0.25">
      <c r="B17" t="s">
        <v>119</v>
      </c>
      <c r="F17" s="47">
        <v>2.9499999999999998E-2</v>
      </c>
    </row>
    <row r="18" spans="2:6" x14ac:dyDescent="0.25">
      <c r="B18" t="s">
        <v>120</v>
      </c>
      <c r="F18" s="47">
        <f>DCF!J33</f>
        <v>0.13859330069834314</v>
      </c>
    </row>
    <row r="20" spans="2:6" x14ac:dyDescent="0.25">
      <c r="B20" t="s">
        <v>121</v>
      </c>
      <c r="F20" s="14">
        <f>F8+F15</f>
        <v>280468</v>
      </c>
    </row>
    <row r="22" spans="2:6" x14ac:dyDescent="0.25">
      <c r="B22" t="s">
        <v>74</v>
      </c>
      <c r="F22" s="46">
        <f>(F9*F10)+(F16*F17*(1-F18))</f>
        <v>0.11823593271299883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39ca4cb-d11d-4438-82c6-60d14c0632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B2C8BA91193641ACA596B843F8AC41" ma:contentTypeVersion="12" ma:contentTypeDescription="Create a new document." ma:contentTypeScope="" ma:versionID="d3e6f49a4cd03b147a500aec12464d1e">
  <xsd:schema xmlns:xsd="http://www.w3.org/2001/XMLSchema" xmlns:xs="http://www.w3.org/2001/XMLSchema" xmlns:p="http://schemas.microsoft.com/office/2006/metadata/properties" xmlns:ns3="a39ca4cb-d11d-4438-82c6-60d14c06324d" xmlns:ns4="006b831d-9a63-4bf1-a113-3c6b7a00a3a6" targetNamespace="http://schemas.microsoft.com/office/2006/metadata/properties" ma:root="true" ma:fieldsID="5dc48f6715d2b99e042117d5bfcf6e02" ns3:_="" ns4:_="">
    <xsd:import namespace="a39ca4cb-d11d-4438-82c6-60d14c06324d"/>
    <xsd:import namespace="006b831d-9a63-4bf1-a113-3c6b7a00a3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ca4cb-d11d-4438-82c6-60d14c063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b831d-9a63-4bf1-a113-3c6b7a00a3a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C45209-93D4-41A2-9EB0-172BE47A5F3B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a39ca4cb-d11d-4438-82c6-60d14c06324d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006b831d-9a63-4bf1-a113-3c6b7a00a3a6"/>
  </ds:schemaRefs>
</ds:datastoreItem>
</file>

<file path=customXml/itemProps2.xml><?xml version="1.0" encoding="utf-8"?>
<ds:datastoreItem xmlns:ds="http://schemas.openxmlformats.org/officeDocument/2006/customXml" ds:itemID="{6515C138-76A1-48CB-B9BB-0E348E1801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9ca4cb-d11d-4438-82c6-60d14c06324d"/>
    <ds:schemaRef ds:uri="006b831d-9a63-4bf1-a113-3c6b7a00a3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DC9D6A-ADC9-4D1C-9E80-23ADB112C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Agenda</vt:lpstr>
      <vt:lpstr>Trading comps</vt:lpstr>
      <vt:lpstr>DCF</vt:lpstr>
      <vt:lpstr>Sheet1</vt:lpstr>
      <vt:lpstr>WACC</vt:lpstr>
      <vt:lpstr>tgr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Chon</dc:creator>
  <cp:keywords/>
  <dc:description/>
  <cp:lastModifiedBy>Aniket Rajesh Vasaikar</cp:lastModifiedBy>
  <cp:revision/>
  <dcterms:created xsi:type="dcterms:W3CDTF">2024-01-31T01:30:59Z</dcterms:created>
  <dcterms:modified xsi:type="dcterms:W3CDTF">2024-10-13T05:36:17Z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2024-04-27T03:08:51Z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58b84077-ec4b-4bef-8f88-fa52446c22c8</vt:lpwstr>
  </property>
  <property fmtid="{D5CDD505-2E9C-101B-9397-08002B2CF9AE}" pid="8" name="MSIP_Label_a73fd474-4f3c-44ed-88fb-5cc4bd2471bf_ContentBits">
    <vt:lpwstr>0</vt:lpwstr>
  </property>
  <property fmtid="{D5CDD505-2E9C-101B-9397-08002B2CF9AE}" pid="9" name="ContentTypeId">
    <vt:lpwstr>0x01010099B2C8BA91193641ACA596B843F8AC41</vt:lpwstr>
  </property>
</Properties>
</file>