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ding pairs" sheetId="1" r:id="rId4"/>
    <sheet state="visible" name="top 500" sheetId="2" r:id="rId5"/>
    <sheet state="visible" name="Pairs Cleaned" sheetId="3" r:id="rId6"/>
    <sheet state="visible" name="Final Pairs" sheetId="4" r:id="rId7"/>
  </sheets>
  <definedNames/>
  <calcPr/>
  <extLst>
    <ext uri="GoogleSheetsCustomDataVersion2">
      <go:sheetsCustomData xmlns:go="http://customooxmlschemas.google.com/" r:id="rId8" roundtripDataChecksum="cEc0lEo11AmFeF3P5aX//MQX7UBj3U5pc+4mjjV4FsQ="/>
    </ext>
  </extLst>
</workbook>
</file>

<file path=xl/sharedStrings.xml><?xml version="1.0" encoding="utf-8"?>
<sst xmlns="http://schemas.openxmlformats.org/spreadsheetml/2006/main" count="1001" uniqueCount="502">
  <si>
    <t>Binance Trading Pairs</t>
  </si>
  <si>
    <t>ID/TRY</t>
  </si>
  <si>
    <t>BONK/FDUSD</t>
  </si>
  <si>
    <t>DOT/USDC</t>
  </si>
  <si>
    <t>OP/BTC</t>
  </si>
  <si>
    <t>UFT/USDT</t>
  </si>
  <si>
    <t>ACE/BTC</t>
  </si>
  <si>
    <t>ALPINE/USDT</t>
  </si>
  <si>
    <t>ADX/USDT</t>
  </si>
  <si>
    <t>BETA/USDT</t>
  </si>
  <si>
    <t>HIVE/USDT</t>
  </si>
  <si>
    <t>AST/USDT</t>
  </si>
  <si>
    <t>IMX/BTC</t>
  </si>
  <si>
    <t>REEF/TRY</t>
  </si>
  <si>
    <t>LINK/ETH</t>
  </si>
  <si>
    <t>FLOKI/TRY</t>
  </si>
  <si>
    <t>MBOX/TRY</t>
  </si>
  <si>
    <t>WLD/FDUSD</t>
  </si>
  <si>
    <t>BNB/USDC</t>
  </si>
  <si>
    <t>IRIS/USDT</t>
  </si>
  <si>
    <t>DOCK/USDT</t>
  </si>
  <si>
    <t>FTM/BTC</t>
  </si>
  <si>
    <t>OAX/USDT</t>
  </si>
  <si>
    <t>BCH/FDUSD</t>
  </si>
  <si>
    <t>LTO/USDT</t>
  </si>
  <si>
    <t>GAS/BTC</t>
  </si>
  <si>
    <t>CITY/USDT</t>
  </si>
  <si>
    <t>SUI/USDT</t>
  </si>
  <si>
    <t>ADA/USDT</t>
  </si>
  <si>
    <t>JUP/USDT</t>
  </si>
  <si>
    <t>ALT/USDT</t>
  </si>
  <si>
    <t>PEOPLE/USDT</t>
  </si>
  <si>
    <t>GMT/USDT</t>
  </si>
  <si>
    <t>MASK/USDT</t>
  </si>
  <si>
    <t>BTC/TRY</t>
  </si>
  <si>
    <t>ROSE/USDT</t>
  </si>
  <si>
    <t>KLAY/USDT</t>
  </si>
  <si>
    <t>MOVR/USDT</t>
  </si>
  <si>
    <t>STX/BTC</t>
  </si>
  <si>
    <t>VET/USDT</t>
  </si>
  <si>
    <t>ORDI/USDT</t>
  </si>
  <si>
    <t>ARKM/USDT</t>
  </si>
  <si>
    <t>PHA/USDT</t>
  </si>
  <si>
    <t>FTT/USDT</t>
  </si>
  <si>
    <t>ALGO/USDT</t>
  </si>
  <si>
    <t>SSV/USDT</t>
  </si>
  <si>
    <t>1INCH/USDT</t>
  </si>
  <si>
    <t>YGG/USDT</t>
  </si>
  <si>
    <t>LINK/BTC</t>
  </si>
  <si>
    <t>RDNT/USDT</t>
  </si>
  <si>
    <t>FXS/USDT</t>
  </si>
  <si>
    <t>ETH/FDUSD</t>
  </si>
  <si>
    <t>VTHO/USDT</t>
  </si>
  <si>
    <t>INJ/USDT</t>
  </si>
  <si>
    <t>APT/USDT</t>
  </si>
  <si>
    <t>RUNE/USDT</t>
  </si>
  <si>
    <t>DOGE/FDUSD</t>
  </si>
  <si>
    <t>BNB/FDUSD</t>
  </si>
  <si>
    <t>SUSHI/USDT</t>
  </si>
  <si>
    <t>MANA/USDT</t>
  </si>
  <si>
    <t>MANTA/TRY</t>
  </si>
  <si>
    <t>SEI/FDUSD</t>
  </si>
  <si>
    <t>ACH/USDT</t>
  </si>
  <si>
    <t>SLP/USDT</t>
  </si>
  <si>
    <t>MKR/USDT</t>
  </si>
  <si>
    <t>CRV/USDT</t>
  </si>
  <si>
    <t>ZIL/USDT</t>
  </si>
  <si>
    <t>RAY/USDT</t>
  </si>
  <si>
    <t>OP/USDT</t>
  </si>
  <si>
    <t>AI/USDT</t>
  </si>
  <si>
    <t>LTC/USDT</t>
  </si>
  <si>
    <t>PROM/USDT</t>
  </si>
  <si>
    <t>TIA/USDT</t>
  </si>
  <si>
    <t>RIF/USDT</t>
  </si>
  <si>
    <t>MATIC/USDT</t>
  </si>
  <si>
    <t>LINK/FDUSD</t>
  </si>
  <si>
    <t>AVAX/FDUSD</t>
  </si>
  <si>
    <t>NMR/USDT</t>
  </si>
  <si>
    <t>AVAX/TRY</t>
  </si>
  <si>
    <t>DENT/USDT</t>
  </si>
  <si>
    <t>NULS/USDT</t>
  </si>
  <si>
    <t>LUNC/TRY</t>
  </si>
  <si>
    <t>GMX/USDT</t>
  </si>
  <si>
    <t>GAL/USDT</t>
  </si>
  <si>
    <t>GLMR/USDT</t>
  </si>
  <si>
    <t>AGIX/USDT</t>
  </si>
  <si>
    <t>WAVES/USDT</t>
  </si>
  <si>
    <t>MIOTA/USDT</t>
  </si>
  <si>
    <t>TKO/USDT</t>
  </si>
  <si>
    <t>BCH/USDT</t>
  </si>
  <si>
    <t>BONK/USDT</t>
  </si>
  <si>
    <t>PEPE/USDT</t>
  </si>
  <si>
    <t>BTC/USDC</t>
  </si>
  <si>
    <t>TRX/USDT</t>
  </si>
  <si>
    <t>WLD/USDT</t>
  </si>
  <si>
    <t>SOL/USDT</t>
  </si>
  <si>
    <t>ACE/USDT</t>
  </si>
  <si>
    <t>USDC/USDT</t>
  </si>
  <si>
    <t>KEY/USDT</t>
  </si>
  <si>
    <t>NEAR/USDT</t>
  </si>
  <si>
    <t>DOT/USDT</t>
  </si>
  <si>
    <t>CELO/USDT</t>
  </si>
  <si>
    <t>ETH/TUSD</t>
  </si>
  <si>
    <t>HFT/USDT</t>
  </si>
  <si>
    <t>STG/USDT</t>
  </si>
  <si>
    <t>VET/BTC</t>
  </si>
  <si>
    <t>UMA/TRY</t>
  </si>
  <si>
    <t>HOOK/USDT</t>
  </si>
  <si>
    <t>OSMO/USDT</t>
  </si>
  <si>
    <t>REEF/USDT</t>
  </si>
  <si>
    <t>AR/USDT</t>
  </si>
  <si>
    <t>PERP/USDT</t>
  </si>
  <si>
    <t>ADA/BTC</t>
  </si>
  <si>
    <t>EDU/USDT</t>
  </si>
  <si>
    <t>MTL/USDT</t>
  </si>
  <si>
    <t>VET/TRY</t>
  </si>
  <si>
    <t>MEME/TRY</t>
  </si>
  <si>
    <t>THETA/USDT</t>
  </si>
  <si>
    <t>DODO/USDT</t>
  </si>
  <si>
    <t>USTC/TRY</t>
  </si>
  <si>
    <t>AI/TRY</t>
  </si>
  <si>
    <t>WOO/USDT</t>
  </si>
  <si>
    <t>HIGH/USDT</t>
  </si>
  <si>
    <t>SEI/TRY</t>
  </si>
  <si>
    <t>REN/USDT</t>
  </si>
  <si>
    <t>RNDR/USDT</t>
  </si>
  <si>
    <t>USTC/USDT</t>
  </si>
  <si>
    <t>BTC/TUSD</t>
  </si>
  <si>
    <t>SHIB/USDT</t>
  </si>
  <si>
    <t>AUCTION/USDT</t>
  </si>
  <si>
    <t>FIL/USDT</t>
  </si>
  <si>
    <t>XAI/USDT</t>
  </si>
  <si>
    <t>RLC/USDT</t>
  </si>
  <si>
    <t>MDT/USDT</t>
  </si>
  <si>
    <t>DAR/USDT</t>
  </si>
  <si>
    <t>FLOKI/USDT</t>
  </si>
  <si>
    <t>COMP/USDT</t>
  </si>
  <si>
    <t>BTT/TRY</t>
  </si>
  <si>
    <t>SOL/TRY</t>
  </si>
  <si>
    <t>HOT/USDT</t>
  </si>
  <si>
    <t>ARPA/USDT</t>
  </si>
  <si>
    <t>HIFI/USDT</t>
  </si>
  <si>
    <t>FRONT/USDT</t>
  </si>
  <si>
    <t>LEVER/TRY</t>
  </si>
  <si>
    <t>QNT/USDT</t>
  </si>
  <si>
    <t>C98/USDT</t>
  </si>
  <si>
    <t>ALT/TRY</t>
  </si>
  <si>
    <t>TIA/TRY</t>
  </si>
  <si>
    <t>DUSK/USDT</t>
  </si>
  <si>
    <t>JASMY/USDT</t>
  </si>
  <si>
    <t>BTC/FDUSD</t>
  </si>
  <si>
    <t>FDUSD/TRY</t>
  </si>
  <si>
    <t>MBOX/USDT</t>
  </si>
  <si>
    <t>KDA/USDT</t>
  </si>
  <si>
    <t>LRC/USDT</t>
  </si>
  <si>
    <t>PYR/USDT</t>
  </si>
  <si>
    <t>BCH/BTC</t>
  </si>
  <si>
    <t>KSM/USDT</t>
  </si>
  <si>
    <t>LINA/USDT</t>
  </si>
  <si>
    <t>REI/USDT</t>
  </si>
  <si>
    <t>QI/USDT</t>
  </si>
  <si>
    <t>DOGE/BTC</t>
  </si>
  <si>
    <t>BAND/USDT</t>
  </si>
  <si>
    <t>BLUR/USDT</t>
  </si>
  <si>
    <t>ICP/USDT</t>
  </si>
  <si>
    <t>ETC/USDT</t>
  </si>
  <si>
    <t>PYTH/USDT</t>
  </si>
  <si>
    <t>IMX/USDT</t>
  </si>
  <si>
    <t>ATOM/USDT</t>
  </si>
  <si>
    <t>NTRN/USDT</t>
  </si>
  <si>
    <t>LUNC/USDT</t>
  </si>
  <si>
    <t>DYDX/USDT</t>
  </si>
  <si>
    <t>XRP/FDUSD</t>
  </si>
  <si>
    <t>OM/USDT</t>
  </si>
  <si>
    <t>SUPER/USDT</t>
  </si>
  <si>
    <t>BAKE/USDT</t>
  </si>
  <si>
    <t>ENJ/USDT</t>
  </si>
  <si>
    <t>SOL/ETH</t>
  </si>
  <si>
    <t>LPT/USDT</t>
  </si>
  <si>
    <t>TRU/USDT</t>
  </si>
  <si>
    <t>LSK/USDT</t>
  </si>
  <si>
    <t>LTC/BTC</t>
  </si>
  <si>
    <t>UNFI/USDT</t>
  </si>
  <si>
    <t>ACA/USDT</t>
  </si>
  <si>
    <t>STRAX/USDT</t>
  </si>
  <si>
    <t>SOL/EUR</t>
  </si>
  <si>
    <t>REQ/USDT</t>
  </si>
  <si>
    <t>XTZ/USDT</t>
  </si>
  <si>
    <t>ORDI/BTC</t>
  </si>
  <si>
    <t>POLYX/USDT</t>
  </si>
  <si>
    <t>TLM/USDT</t>
  </si>
  <si>
    <t>ETH/TRY</t>
  </si>
  <si>
    <t>TWT/USDT</t>
  </si>
  <si>
    <t>LQTY/USDT</t>
  </si>
  <si>
    <t>ONE/USDT</t>
  </si>
  <si>
    <t>ONT/USDT</t>
  </si>
  <si>
    <t>VANRY/USDT</t>
  </si>
  <si>
    <t>STMX/USDT</t>
  </si>
  <si>
    <t>ETH/BRL</t>
  </si>
  <si>
    <t>IOTX/USDT</t>
  </si>
  <si>
    <t>AVAX/USDC</t>
  </si>
  <si>
    <t>BLZ/USDT</t>
  </si>
  <si>
    <t>QKC/USDT</t>
  </si>
  <si>
    <t>CLV/USDT</t>
  </si>
  <si>
    <t>ARK/USDT</t>
  </si>
  <si>
    <t>AMB/USDT</t>
  </si>
  <si>
    <t>PHB/USDT</t>
  </si>
  <si>
    <t>CVP/USDT</t>
  </si>
  <si>
    <t>XMR/BTC</t>
  </si>
  <si>
    <t>SHIB/TRY</t>
  </si>
  <si>
    <t>FIO/USDT</t>
  </si>
  <si>
    <t>SUI/BTC</t>
  </si>
  <si>
    <t>JST/USDT</t>
  </si>
  <si>
    <t>WING/USDT</t>
  </si>
  <si>
    <t>XRP/TRY</t>
  </si>
  <si>
    <t>SXP/USDT</t>
  </si>
  <si>
    <t>TRX/BTC</t>
  </si>
  <si>
    <t>ZEC/USDT</t>
  </si>
  <si>
    <t>ZRX/USDT</t>
  </si>
  <si>
    <t>DASH/USDT</t>
  </si>
  <si>
    <t>LEVER/USDT</t>
  </si>
  <si>
    <t>NFP/USDT</t>
  </si>
  <si>
    <t>XRP/USDT</t>
  </si>
  <si>
    <t>EUR/USDT</t>
  </si>
  <si>
    <t>SOL/BTC</t>
  </si>
  <si>
    <t>CKB/USDT</t>
  </si>
  <si>
    <t>UMA/USDT</t>
  </si>
  <si>
    <t>ORN/USDT</t>
  </si>
  <si>
    <t>BEAM/USDT</t>
  </si>
  <si>
    <t>TUSD/USDT</t>
  </si>
  <si>
    <t>ETH/USDC</t>
  </si>
  <si>
    <t>MEME/USDT</t>
  </si>
  <si>
    <t>CAKE/USDT</t>
  </si>
  <si>
    <t>LDO/USDT</t>
  </si>
  <si>
    <t>T/USDT</t>
  </si>
  <si>
    <t>MINA/USDT</t>
  </si>
  <si>
    <t>CHR/USDT</t>
  </si>
  <si>
    <t>BNB/USDT</t>
  </si>
  <si>
    <t>ENS/USDT</t>
  </si>
  <si>
    <t>GAS/USDT</t>
  </si>
  <si>
    <t>GALA/USDT</t>
  </si>
  <si>
    <t>APE/USDT</t>
  </si>
  <si>
    <t>FTM/USDT</t>
  </si>
  <si>
    <t>ASTR/USDT</t>
  </si>
  <si>
    <t>SEI/USDT</t>
  </si>
  <si>
    <t>DATA/USDT</t>
  </si>
  <si>
    <t>DYM/TRY</t>
  </si>
  <si>
    <t>SOL/FDUSD</t>
  </si>
  <si>
    <t>ID/USDT</t>
  </si>
  <si>
    <t>NEO/USDT</t>
  </si>
  <si>
    <t>CYBER/USDT</t>
  </si>
  <si>
    <t>CHZ/USDT</t>
  </si>
  <si>
    <t>ZEN/USDT</t>
  </si>
  <si>
    <t>DOGE/TRY</t>
  </si>
  <si>
    <t>SYS/USDT</t>
  </si>
  <si>
    <t>PYTH/TRY</t>
  </si>
  <si>
    <t>DOT/BTC</t>
  </si>
  <si>
    <t>BNT/USDT</t>
  </si>
  <si>
    <t>JOE/USDT</t>
  </si>
  <si>
    <t>BNB/ETH</t>
  </si>
  <si>
    <t>USDP/USDT</t>
  </si>
  <si>
    <t>XEC/USDT</t>
  </si>
  <si>
    <t>MATIC/BTC</t>
  </si>
  <si>
    <t>SOL/USDC</t>
  </si>
  <si>
    <t>BURGER/USDT</t>
  </si>
  <si>
    <t>ARB/FDUSD</t>
  </si>
  <si>
    <t>LIT/USDT</t>
  </si>
  <si>
    <t>OGN/USDT</t>
  </si>
  <si>
    <t>XAI/TRY</t>
  </si>
  <si>
    <t>GTC/USDT</t>
  </si>
  <si>
    <t>BAT/USDT</t>
  </si>
  <si>
    <t>BTC/USDT</t>
  </si>
  <si>
    <t>PAXG/USDT</t>
  </si>
  <si>
    <t>RAD/USDT</t>
  </si>
  <si>
    <t>YFI/USDT</t>
  </si>
  <si>
    <t>TFUEL/USDT</t>
  </si>
  <si>
    <t>RVN/USDT</t>
  </si>
  <si>
    <t>IDEX/USDT</t>
  </si>
  <si>
    <t>RSR/USDT</t>
  </si>
  <si>
    <t>ADA/FDUSD</t>
  </si>
  <si>
    <t>RIF/BTC</t>
  </si>
  <si>
    <t>VET/ETH</t>
  </si>
  <si>
    <t>USDT/DAI</t>
  </si>
  <si>
    <t>VOXEL/USDT</t>
  </si>
  <si>
    <t>BNB/TRY</t>
  </si>
  <si>
    <t>IOST/USDT</t>
  </si>
  <si>
    <t>BSW/USDT</t>
  </si>
  <si>
    <t>QUICK/USDT</t>
  </si>
  <si>
    <t>CYBER/TRY</t>
  </si>
  <si>
    <t>AKRO/USDT</t>
  </si>
  <si>
    <t>OCEAN/USDT</t>
  </si>
  <si>
    <t>SNT/USDT</t>
  </si>
  <si>
    <t>DEGO/USDT</t>
  </si>
  <si>
    <t>STX/TRY</t>
  </si>
  <si>
    <t>ALPHA/USDT</t>
  </si>
  <si>
    <t>ACE/TRY</t>
  </si>
  <si>
    <t>RARE/USDT</t>
  </si>
  <si>
    <t>DGB/USDT</t>
  </si>
  <si>
    <t>FIDA/USDT</t>
  </si>
  <si>
    <t>ICX/USDT</t>
  </si>
  <si>
    <t>AGLD/USDT</t>
  </si>
  <si>
    <t>MULTI/USDT</t>
  </si>
  <si>
    <t>API3/BTC</t>
  </si>
  <si>
    <t>TRB/TRY</t>
  </si>
  <si>
    <t>ARB/BTC</t>
  </si>
  <si>
    <t>ALCX/USDT</t>
  </si>
  <si>
    <t>ARB/TRY</t>
  </si>
  <si>
    <t>BTC/EUR</t>
  </si>
  <si>
    <t>USDT/BRL</t>
  </si>
  <si>
    <t>CFX/USDT</t>
  </si>
  <si>
    <t>BADGER/USDT</t>
  </si>
  <si>
    <t>JTO/USDT</t>
  </si>
  <si>
    <t>AVAX/USDT</t>
  </si>
  <si>
    <t>AAVE/USDT</t>
  </si>
  <si>
    <t>API3/TRY</t>
  </si>
  <si>
    <t>DOGE/USDT</t>
  </si>
  <si>
    <t>QTUM/USDT</t>
  </si>
  <si>
    <t>TRB/USDT</t>
  </si>
  <si>
    <t>STORJ/USDT</t>
  </si>
  <si>
    <t>FET/USDT</t>
  </si>
  <si>
    <t>HBAR/USDT</t>
  </si>
  <si>
    <t>COTI/USDT</t>
  </si>
  <si>
    <t>LOOM/USDT</t>
  </si>
  <si>
    <t>BTT/USDT</t>
  </si>
  <si>
    <t>WBTC/BTC</t>
  </si>
  <si>
    <t>XRP/BTC</t>
  </si>
  <si>
    <t>POWR/USDT</t>
  </si>
  <si>
    <t>FLOW/USDT</t>
  </si>
  <si>
    <t>SNX/USDT</t>
  </si>
  <si>
    <t>SKL/USDT</t>
  </si>
  <si>
    <t>DYM/USDT</t>
  </si>
  <si>
    <t>PEPE/TRY</t>
  </si>
  <si>
    <t>MAV/USDT</t>
  </si>
  <si>
    <t>BNB/BTC</t>
  </si>
  <si>
    <t>PENDLE/USDT</t>
  </si>
  <si>
    <t>UNI/USDT</t>
  </si>
  <si>
    <t>AVAX/BTC</t>
  </si>
  <si>
    <t>XMR/USDT</t>
  </si>
  <si>
    <t>STX/USDT</t>
  </si>
  <si>
    <t>USDT/TRY</t>
  </si>
  <si>
    <t>AXS/USDT</t>
  </si>
  <si>
    <t>MANTA/USDT</t>
  </si>
  <si>
    <t>SAND/USDT</t>
  </si>
  <si>
    <t>BTC/BRL</t>
  </si>
  <si>
    <t>GRT/USDT</t>
  </si>
  <si>
    <t>ETH/EUR</t>
  </si>
  <si>
    <t>KAVA/USDT</t>
  </si>
  <si>
    <t>MAGIC/USDT</t>
  </si>
  <si>
    <t>SEI/BTC</t>
  </si>
  <si>
    <t>BOND/USDT</t>
  </si>
  <si>
    <t>ARB/USDT</t>
  </si>
  <si>
    <t>ETH/BTC</t>
  </si>
  <si>
    <t>LINK/USDT</t>
  </si>
  <si>
    <t>API3/USDT</t>
  </si>
  <si>
    <t>SC/USDT</t>
  </si>
  <si>
    <t>CTSI/USDT</t>
  </si>
  <si>
    <t>EOS/USDT</t>
  </si>
  <si>
    <t>JUP/TRY</t>
  </si>
  <si>
    <t>ANKR/USDT</t>
  </si>
  <si>
    <t>XLM/USDT</t>
  </si>
  <si>
    <t>BONK/TRY</t>
  </si>
  <si>
    <t>EGLD/USDT</t>
  </si>
  <si>
    <t>ILV/USDT</t>
  </si>
  <si>
    <t>OXT/USDT</t>
  </si>
  <si>
    <t>NTRN/BTC</t>
  </si>
  <si>
    <t>POND/USDT</t>
  </si>
  <si>
    <t>SOL/BNB</t>
  </si>
  <si>
    <t>ONG/USDT</t>
  </si>
  <si>
    <t>ALT/FDUSD</t>
  </si>
  <si>
    <t>APT/TRY</t>
  </si>
  <si>
    <t>OMG/USDT</t>
  </si>
  <si>
    <t>BEAM/TRY</t>
  </si>
  <si>
    <t>WLD/BTC</t>
  </si>
  <si>
    <t>TRX/TRY</t>
  </si>
  <si>
    <t>XRP/EUR</t>
  </si>
  <si>
    <t>SYN/USDT</t>
  </si>
  <si>
    <t>CHZ/TRY</t>
  </si>
  <si>
    <t>OP/USDC</t>
  </si>
  <si>
    <t>ALICE/USDT</t>
  </si>
  <si>
    <t>ALT/BTC</t>
  </si>
  <si>
    <t>CTXC/USDT</t>
  </si>
  <si>
    <t>ATOM/BTC</t>
  </si>
  <si>
    <t>INJ/BTC</t>
  </si>
  <si>
    <t>APT/BTC</t>
  </si>
  <si>
    <t>DYM/BTC</t>
  </si>
  <si>
    <t>WLD/TRY</t>
  </si>
  <si>
    <t>INJ/TRY</t>
  </si>
  <si>
    <t>AUDIO/USDT</t>
  </si>
  <si>
    <t>EPX/USDT</t>
  </si>
  <si>
    <t>SUN/USDT</t>
  </si>
  <si>
    <t>BTC/DAI</t>
  </si>
  <si>
    <t>SKL/TRY</t>
  </si>
  <si>
    <t>FLM/USDT</t>
  </si>
  <si>
    <t>DATA/BTC</t>
  </si>
  <si>
    <t>SANTOS/USDT</t>
  </si>
  <si>
    <t>NFP/TRY</t>
  </si>
  <si>
    <t>SUPER/TRY</t>
  </si>
  <si>
    <t>FLUX/USDT</t>
  </si>
  <si>
    <t>AUCTION/BTC</t>
  </si>
  <si>
    <t>ATA/USDT</t>
  </si>
  <si>
    <t>MANTA/FDUSD</t>
  </si>
  <si>
    <t>ARB/USDC</t>
  </si>
  <si>
    <t>KP3R/USDT</t>
  </si>
  <si>
    <t>PROM/BTC</t>
  </si>
  <si>
    <t>VET/EUR</t>
  </si>
  <si>
    <t>GNO/USDT</t>
  </si>
  <si>
    <t>RNDR/BTC</t>
  </si>
  <si>
    <t>JTO/TRY</t>
  </si>
  <si>
    <t>DAR/TRY</t>
  </si>
  <si>
    <t>AMP/USDT</t>
  </si>
  <si>
    <t>XVS/USDT</t>
  </si>
  <si>
    <t>BNB/TUSD</t>
  </si>
  <si>
    <t>ERN/USDT</t>
  </si>
  <si>
    <t>DIA/USDT</t>
  </si>
  <si>
    <t>ADA/USDC</t>
  </si>
  <si>
    <t>COMBO/USDT</t>
  </si>
  <si>
    <t>SCRT/USDT</t>
  </si>
  <si>
    <t>BAR/USDT</t>
  </si>
  <si>
    <t>BNB/EUR</t>
  </si>
  <si>
    <t>KNC/USDT</t>
  </si>
  <si>
    <t>STORJ/TRY</t>
  </si>
  <si>
    <t>USDT/PLN</t>
  </si>
  <si>
    <t>NTRN/TRY</t>
  </si>
  <si>
    <t>MATIC/FDUSD</t>
  </si>
  <si>
    <t>OG/USDT</t>
  </si>
  <si>
    <t>WIN/USDT</t>
  </si>
  <si>
    <t>OOKI/USDT</t>
  </si>
  <si>
    <t>XRP/USDC</t>
  </si>
  <si>
    <t>FIS/USDT</t>
  </si>
  <si>
    <t>MBL/USDT</t>
  </si>
  <si>
    <t>SOL/TUSD</t>
  </si>
  <si>
    <t>TROY/USDT</t>
  </si>
  <si>
    <t>APE/TRY</t>
  </si>
  <si>
    <t>ACA/TRY</t>
  </si>
  <si>
    <t>NEXO/USDT</t>
  </si>
  <si>
    <t>INJ/USDC</t>
  </si>
  <si>
    <t>CELR/USDT</t>
  </si>
  <si>
    <t>SUI/TRY</t>
  </si>
  <si>
    <t>XVG/USDT</t>
  </si>
  <si>
    <t>WAXP/USDT</t>
  </si>
  <si>
    <t>MINA/TRY</t>
  </si>
  <si>
    <t>LOKA/USDT</t>
  </si>
  <si>
    <t>DYM/FDUSD</t>
  </si>
  <si>
    <t>ADA/EUR</t>
  </si>
  <si>
    <t>WAN/USDT</t>
  </si>
  <si>
    <t>ORDI/TRY</t>
  </si>
  <si>
    <t>MOB/USDT</t>
  </si>
  <si>
    <t>VIC/USDT</t>
  </si>
  <si>
    <t>MANTA/BTC</t>
  </si>
  <si>
    <t>MAV/TRY</t>
  </si>
  <si>
    <t>STPT/USDT</t>
  </si>
  <si>
    <t>ELF/USDT</t>
  </si>
  <si>
    <t>TIA/BTC</t>
  </si>
  <si>
    <t>BICO/USDT</t>
  </si>
  <si>
    <t>BEL/USDT</t>
  </si>
  <si>
    <t>XNO/USDT</t>
  </si>
  <si>
    <t>NKN/USDT</t>
  </si>
  <si>
    <t>VITE/USDT</t>
  </si>
  <si>
    <t>SOL/BRL</t>
  </si>
  <si>
    <t>WRX/USDT</t>
  </si>
  <si>
    <t>USDT/NGN</t>
  </si>
  <si>
    <t>RPL/USDT</t>
  </si>
  <si>
    <t>VET/BNB</t>
  </si>
  <si>
    <t>SFP/USDT</t>
  </si>
  <si>
    <t>FET/TRY</t>
  </si>
  <si>
    <t>ARPA/TRY</t>
  </si>
  <si>
    <t>ETH/USDT</t>
  </si>
  <si>
    <t>CVX/USDT</t>
  </si>
  <si>
    <t>COS/USDT</t>
  </si>
  <si>
    <t>RNDR/TRY</t>
  </si>
  <si>
    <t>CHR/BTC</t>
  </si>
  <si>
    <t>MATIC/USDC</t>
  </si>
  <si>
    <t>CVC/USDT</t>
  </si>
  <si>
    <t>STEEM/USDT</t>
  </si>
  <si>
    <t>VIDT/USDT</t>
  </si>
  <si>
    <t>XRP/ETH</t>
  </si>
  <si>
    <t>AVA/USDT</t>
  </si>
  <si>
    <t>DCR/USDT</t>
  </si>
  <si>
    <t>ANT/USDT</t>
  </si>
  <si>
    <t>CTK/USDT</t>
  </si>
  <si>
    <t>LAZIO/USDT</t>
  </si>
  <si>
    <t>FUN/USDT</t>
  </si>
  <si>
    <t>SANTOS/TRY</t>
  </si>
  <si>
    <t>VGX/USDT</t>
  </si>
  <si>
    <t>POLS/USDT</t>
  </si>
  <si>
    <t>AI/FDUSD</t>
  </si>
  <si>
    <t>FORTH/USDT</t>
  </si>
  <si>
    <t>XEM/USDT</t>
  </si>
  <si>
    <t>SEI/USDC</t>
  </si>
  <si>
    <t>GNS/USDT</t>
  </si>
  <si>
    <t>NEAR/BTC</t>
  </si>
  <si>
    <t>FDUSD/USDT</t>
  </si>
  <si>
    <t>UTK/USDT</t>
  </si>
  <si>
    <t>DF/USDT</t>
  </si>
  <si>
    <t>USTC/FDUSD</t>
  </si>
  <si>
    <t>XAI/FDUSD</t>
  </si>
  <si>
    <t>PSG/USDT</t>
  </si>
  <si>
    <t>DENT/TRY</t>
  </si>
  <si>
    <t>GHST/USDT</t>
  </si>
  <si>
    <t>ALPACA/USDT</t>
  </si>
  <si>
    <t>CHESS/USDT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</si>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</sst>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0.0"/>
      <color rgb="FF000000"/>
      <name val="Arial"/>
      <scheme val="minor"/>
    </font>
    <font>
      <color theme="1"/>
      <name val="Arial"/>
    </font>
    <font>
      <sz val="9.0"/>
      <color rgb="FF000000"/>
      <name val="Arial"/>
    </font>
    <font>
      <b/>
      <color theme="1"/>
      <name val="Arial"/>
    </font>
    <font>
      <sz val="12.0"/>
      <color rgb="FF1F1F1F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Font="1" applyNumberFormat="1"/>
    <xf borderId="0" fillId="2" fontId="2" numFmtId="0" xfId="0" applyFill="1" applyFont="1"/>
    <xf borderId="0" fillId="0" fontId="3" numFmtId="0" xfId="0" applyAlignment="1" applyFont="1">
      <alignment horizontal="center"/>
    </xf>
    <xf borderId="0" fillId="2" fontId="4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25.13"/>
    <col customWidth="1" min="5" max="6" width="12.63"/>
  </cols>
  <sheetData>
    <row r="1" ht="15.75" customHeight="1">
      <c r="A1" s="1" t="str">
        <f>IFERROR(__xludf.DUMMYFUNCTION("IMPORTHTML(""https://coinranking.com/exchange/-zdvbieRdZ+binance/markets?tenable.test=anything&amp;sortby=desc&amp;sorton&amp;page=1"", ""table"", 1)"),"Markets")</f>
        <v>Markets</v>
      </c>
      <c r="B1" s="1" t="str">
        <f>IFERROR(__xludf.DUMMYFUNCTION("""COMPUTED_VALUE"""),"Base price")</f>
        <v>Base price</v>
      </c>
      <c r="C1" s="1" t="str">
        <f>IFERROR(__xludf.DUMMYFUNCTION("""COMPUTED_VALUE"""),"24h trade volume")</f>
        <v>24h trade volume</v>
      </c>
      <c r="D1" s="1" t="str">
        <f>IFERROR(__xludf.DUMMYFUNCTION("""COMPUTED_VALUE"""),"24h volume")</f>
        <v>24h volume</v>
      </c>
      <c r="E1" s="1" t="str">
        <f>IFERROR(__xludf.DUMMYFUNCTION("""COMPUTED_VALUE"""),"Recommended")</f>
        <v>Recommended</v>
      </c>
      <c r="F1" s="1"/>
    </row>
    <row r="2" ht="15.75" customHeight="1">
      <c r="A2" s="1" t="str">
        <f>IFERROR(__xludf.DUMMYFUNCTION("""COMPUTED_VALUE"""),"1 BTC/FDUSD Binance")</f>
        <v>1 BTC/FDUSD Binance</v>
      </c>
      <c r="B2" s="2">
        <f>IFERROR(__xludf.DUMMYFUNCTION("""COMPUTED_VALUE"""),52356.85)</f>
        <v>52356.85</v>
      </c>
      <c r="C2" s="1" t="str">
        <f>IFERROR(__xludf.DUMMYFUNCTION("""COMPUTED_VALUE"""),"$ 4.26 billion")</f>
        <v>$ 4.26 billion</v>
      </c>
      <c r="D2" s="1" t="str">
        <f>IFERROR(__xludf.DUMMYFUNCTION("""COMPUTED_VALUE"""),"$ 4.26B 
$ 52,356.85")</f>
        <v>$ 4.26B 
$ 52,356.85</v>
      </c>
      <c r="E2" s="1"/>
      <c r="F2" s="1"/>
    </row>
    <row r="3" ht="15.75" customHeight="1">
      <c r="A3" s="1" t="str">
        <f>IFERROR(__xludf.DUMMYFUNCTION("""COMPUTED_VALUE"""),"2 BTC/USDT Binance")</f>
        <v>2 BTC/USDT Binance</v>
      </c>
      <c r="B3" s="3">
        <f>IFERROR(__xludf.DUMMYFUNCTION("""COMPUTED_VALUE"""),52385.99)</f>
        <v>52385.99</v>
      </c>
      <c r="C3" s="1" t="str">
        <f>IFERROR(__xludf.DUMMYFUNCTION("""COMPUTED_VALUE"""),"$ 2.67 billion")</f>
        <v>$ 2.67 billion</v>
      </c>
      <c r="D3" s="1" t="str">
        <f>IFERROR(__xludf.DUMMYFUNCTION("""COMPUTED_VALUE"""),"$ 2.67B 
$ 52,385.99")</f>
        <v>$ 2.67B 
$ 52,385.99</v>
      </c>
      <c r="E3" s="1"/>
      <c r="F3" s="1"/>
    </row>
    <row r="4" ht="15.75" customHeight="1">
      <c r="A4" s="1" t="str">
        <f>IFERROR(__xludf.DUMMYFUNCTION("""COMPUTED_VALUE"""),"3 ETH/USDT Binance")</f>
        <v>3 ETH/USDT Binance</v>
      </c>
      <c r="B4" s="2">
        <f>IFERROR(__xludf.DUMMYFUNCTION("""COMPUTED_VALUE"""),2794.8)</f>
        <v>2794.8</v>
      </c>
      <c r="C4" s="1" t="str">
        <f>IFERROR(__xludf.DUMMYFUNCTION("""COMPUTED_VALUE"""),"$ 1.18 billion")</f>
        <v>$ 1.18 billion</v>
      </c>
      <c r="D4" s="1" t="str">
        <f>IFERROR(__xludf.DUMMYFUNCTION("""COMPUTED_VALUE"""),"$ 1.18B 
$ 2,794.80")</f>
        <v>$ 1.18B 
$ 2,794.80</v>
      </c>
      <c r="E4" s="1"/>
      <c r="F4" s="1"/>
    </row>
    <row r="5" ht="15.75" customHeight="1">
      <c r="A5" s="1" t="str">
        <f>IFERROR(__xludf.DUMMYFUNCTION("""COMPUTED_VALUE"""),"4 FDUSD/USDT Binance")</f>
        <v>4 FDUSD/USDT Binance</v>
      </c>
      <c r="B5" s="2">
        <f>IFERROR(__xludf.DUMMYFUNCTION("""COMPUTED_VALUE"""),1.0)</f>
        <v>1</v>
      </c>
      <c r="C5" s="1" t="str">
        <f>IFERROR(__xludf.DUMMYFUNCTION("""COMPUTED_VALUE"""),"$ 1.05 billion")</f>
        <v>$ 1.05 billion</v>
      </c>
      <c r="D5" s="1" t="str">
        <f>IFERROR(__xludf.DUMMYFUNCTION("""COMPUTED_VALUE"""),"$ 1.05B 
$ 1.00")</f>
        <v>$ 1.05B 
$ 1.00</v>
      </c>
      <c r="E5" s="1"/>
      <c r="F5" s="1"/>
    </row>
    <row r="6" ht="15.75" customHeight="1">
      <c r="A6" s="1" t="str">
        <f>IFERROR(__xludf.DUMMYFUNCTION("""COMPUTED_VALUE"""),"5 ETH/FDUSD Binance")</f>
        <v>5 ETH/FDUSD Binance</v>
      </c>
      <c r="B6" s="2">
        <f>IFERROR(__xludf.DUMMYFUNCTION("""COMPUTED_VALUE"""),2793.23)</f>
        <v>2793.23</v>
      </c>
      <c r="C6" s="1" t="str">
        <f>IFERROR(__xludf.DUMMYFUNCTION("""COMPUTED_VALUE"""),"$ 795.28 million")</f>
        <v>$ 795.28 million</v>
      </c>
      <c r="D6" s="1" t="str">
        <f>IFERROR(__xludf.DUMMYFUNCTION("""COMPUTED_VALUE"""),"$ 795.28M 
$ 2,793.23")</f>
        <v>$ 795.28M 
$ 2,793.23</v>
      </c>
      <c r="E6" s="1"/>
      <c r="F6" s="1"/>
    </row>
    <row r="7" ht="15.75" customHeight="1">
      <c r="A7" s="1" t="str">
        <f>IFERROR(__xludf.DUMMYFUNCTION("""COMPUTED_VALUE"""),"6 SOL/USDT Binance")</f>
        <v>6 SOL/USDT Binance</v>
      </c>
      <c r="B7" s="2">
        <f>IFERROR(__xludf.DUMMYFUNCTION("""COMPUTED_VALUE"""),115.9)</f>
        <v>115.9</v>
      </c>
      <c r="C7" s="1" t="str">
        <f>IFERROR(__xludf.DUMMYFUNCTION("""COMPUTED_VALUE"""),"$ 537.47 million")</f>
        <v>$ 537.47 million</v>
      </c>
      <c r="D7" s="1" t="str">
        <f>IFERROR(__xludf.DUMMYFUNCTION("""COMPUTED_VALUE"""),"$ 537.47M 
$ 115.90")</f>
        <v>$ 537.47M 
$ 115.90</v>
      </c>
      <c r="E7" s="1"/>
      <c r="F7" s="1"/>
    </row>
    <row r="8" ht="15.75" customHeight="1">
      <c r="A8" s="1" t="str">
        <f>IFERROR(__xludf.DUMMYFUNCTION("""COMPUTED_VALUE"""),"7 USDC/USDT Binance")</f>
        <v>7 USDC/USDT Binance</v>
      </c>
      <c r="B8" s="2">
        <f>IFERROR(__xludf.DUMMYFUNCTION("""COMPUTED_VALUE"""),0.999)</f>
        <v>0.999</v>
      </c>
      <c r="C8" s="1" t="str">
        <f>IFERROR(__xludf.DUMMYFUNCTION("""COMPUTED_VALUE"""),"$ 522.06 million")</f>
        <v>$ 522.06 million</v>
      </c>
      <c r="D8" s="1" t="str">
        <f>IFERROR(__xludf.DUMMYFUNCTION("""COMPUTED_VALUE"""),"$ 522.06M 
$ 0.999")</f>
        <v>$ 522.06M 
$ 0.999</v>
      </c>
      <c r="E8" s="1"/>
      <c r="F8" s="1"/>
    </row>
    <row r="9" ht="15.75" customHeight="1">
      <c r="A9" s="1" t="str">
        <f>IFERROR(__xludf.DUMMYFUNCTION("""COMPUTED_VALUE"""),"8 XRP/USDT Binance")</f>
        <v>8 XRP/USDT Binance</v>
      </c>
      <c r="B9" s="2">
        <f>IFERROR(__xludf.DUMMYFUNCTION("""COMPUTED_VALUE"""),0.55)</f>
        <v>0.55</v>
      </c>
      <c r="C9" s="1" t="str">
        <f>IFERROR(__xludf.DUMMYFUNCTION("""COMPUTED_VALUE"""),"$ 286.48 million")</f>
        <v>$ 286.48 million</v>
      </c>
      <c r="D9" s="1" t="str">
        <f>IFERROR(__xludf.DUMMYFUNCTION("""COMPUTED_VALUE"""),"$ 286.48M 
$ 0.550")</f>
        <v>$ 286.48M 
$ 0.550</v>
      </c>
      <c r="E9" s="1"/>
      <c r="F9" s="1"/>
    </row>
    <row r="10" ht="15.75" customHeight="1">
      <c r="A10" s="1" t="str">
        <f>IFERROR(__xludf.DUMMYFUNCTION("""COMPUTED_VALUE"""),"9 CKB/USDT Binance")</f>
        <v>9 CKB/USDT Binance</v>
      </c>
      <c r="B10" s="2">
        <f>IFERROR(__xludf.DUMMYFUNCTION("""COMPUTED_VALUE"""),0.0136)</f>
        <v>0.0136</v>
      </c>
      <c r="C10" s="1" t="str">
        <f>IFERROR(__xludf.DUMMYFUNCTION("""COMPUTED_VALUE"""),"$ 272.59 million")</f>
        <v>$ 272.59 million</v>
      </c>
      <c r="D10" s="1" t="str">
        <f>IFERROR(__xludf.DUMMYFUNCTION("""COMPUTED_VALUE"""),"$ 272.59M 
$ 0.0136")</f>
        <v>$ 272.59M 
$ 0.0136</v>
      </c>
      <c r="E10" s="1"/>
      <c r="F10" s="1"/>
    </row>
    <row r="11" ht="15.75" customHeight="1">
      <c r="A11" s="1" t="str">
        <f>IFERROR(__xludf.DUMMYFUNCTION("""COMPUTED_VALUE"""),"10 BNB/USDT Binance")</f>
        <v>10 BNB/USDT Binance</v>
      </c>
      <c r="B11" s="2">
        <f>IFERROR(__xludf.DUMMYFUNCTION("""COMPUTED_VALUE"""),347.3)</f>
        <v>347.3</v>
      </c>
      <c r="C11" s="1" t="str">
        <f>IFERROR(__xludf.DUMMYFUNCTION("""COMPUTED_VALUE"""),"$ 238.22 million")</f>
        <v>$ 238.22 million</v>
      </c>
      <c r="D11" s="1" t="str">
        <f>IFERROR(__xludf.DUMMYFUNCTION("""COMPUTED_VALUE"""),"$ 238.22M 
$ 347.30")</f>
        <v>$ 238.22M 
$ 347.30</v>
      </c>
      <c r="E11" s="1"/>
      <c r="F11" s="1"/>
    </row>
    <row r="12" ht="15.75" customHeight="1">
      <c r="A12" s="1"/>
      <c r="B12" s="1"/>
      <c r="C12" s="1"/>
      <c r="D12" s="1"/>
      <c r="E12" s="1"/>
      <c r="F12" s="1"/>
    </row>
    <row r="13" ht="15.75" customHeight="1">
      <c r="A13" s="1" t="str">
        <f>IFERROR(__xludf.DUMMYFUNCTION("""COMPUTED_VALUE"""),"11 SEI/USDT Binance")</f>
        <v>11 SEI/USDT Binance</v>
      </c>
      <c r="B13" s="2">
        <f>IFERROR(__xludf.DUMMYFUNCTION("""COMPUTED_VALUE"""),0.967)</f>
        <v>0.967</v>
      </c>
      <c r="C13" s="1" t="str">
        <f>IFERROR(__xludf.DUMMYFUNCTION("""COMPUTED_VALUE"""),"$ 211.46 million")</f>
        <v>$ 211.46 million</v>
      </c>
      <c r="D13" s="1" t="str">
        <f>IFERROR(__xludf.DUMMYFUNCTION("""COMPUTED_VALUE"""),"$ 211.46M 
$ 0.967")</f>
        <v>$ 211.46M 
$ 0.967</v>
      </c>
      <c r="E13" s="1"/>
      <c r="F13" s="1"/>
    </row>
    <row r="14" ht="15.75" customHeight="1">
      <c r="A14" s="1" t="str">
        <f>IFERROR(__xludf.DUMMYFUNCTION("""COMPUTED_VALUE"""),"12 SOL/FDUSD Binance")</f>
        <v>12 SOL/FDUSD Binance</v>
      </c>
      <c r="B14" s="2">
        <f>IFERROR(__xludf.DUMMYFUNCTION("""COMPUTED_VALUE"""),115.84)</f>
        <v>115.84</v>
      </c>
      <c r="C14" s="1" t="str">
        <f>IFERROR(__xludf.DUMMYFUNCTION("""COMPUTED_VALUE"""),"$ 205.26 million")</f>
        <v>$ 205.26 million</v>
      </c>
      <c r="D14" s="1" t="str">
        <f>IFERROR(__xludf.DUMMYFUNCTION("""COMPUTED_VALUE"""),"$ 205.26M 
$ 115.84")</f>
        <v>$ 205.26M 
$ 115.84</v>
      </c>
      <c r="E14" s="1"/>
      <c r="F14" s="1"/>
    </row>
    <row r="15" ht="15.75" customHeight="1">
      <c r="A15" s="1" t="str">
        <f>IFERROR(__xludf.DUMMYFUNCTION("""COMPUTED_VALUE"""),"13 AVAX/USDT Binance")</f>
        <v>13 AVAX/USDT Binance</v>
      </c>
      <c r="B15" s="2">
        <f>IFERROR(__xludf.DUMMYFUNCTION("""COMPUTED_VALUE"""),42.52)</f>
        <v>42.52</v>
      </c>
      <c r="C15" s="1" t="str">
        <f>IFERROR(__xludf.DUMMYFUNCTION("""COMPUTED_VALUE"""),"$ 172.20 million")</f>
        <v>$ 172.20 million</v>
      </c>
      <c r="D15" s="1" t="str">
        <f>IFERROR(__xludf.DUMMYFUNCTION("""COMPUTED_VALUE"""),"$ 172.20M 
$ 42.52")</f>
        <v>$ 172.20M 
$ 42.52</v>
      </c>
      <c r="E15" s="1"/>
      <c r="F15" s="1"/>
    </row>
    <row r="16" ht="15.75" customHeight="1">
      <c r="A16" s="1" t="str">
        <f>IFERROR(__xludf.DUMMYFUNCTION("""COMPUTED_VALUE"""),"14 DOGE/USDT Binance")</f>
        <v>14 DOGE/USDT Binance</v>
      </c>
      <c r="B16" s="2">
        <f>IFERROR(__xludf.DUMMYFUNCTION("""COMPUTED_VALUE"""),0.0861)</f>
        <v>0.0861</v>
      </c>
      <c r="C16" s="1" t="str">
        <f>IFERROR(__xludf.DUMMYFUNCTION("""COMPUTED_VALUE"""),"$ 165.73 million")</f>
        <v>$ 165.73 million</v>
      </c>
      <c r="D16" s="1" t="str">
        <f>IFERROR(__xludf.DUMMYFUNCTION("""COMPUTED_VALUE"""),"$ 165.73M 
$ 0.0861")</f>
        <v>$ 165.73M 
$ 0.0861</v>
      </c>
      <c r="E16" s="1"/>
      <c r="F16" s="1"/>
    </row>
    <row r="17" ht="15.75" customHeight="1">
      <c r="A17" s="1" t="str">
        <f>IFERROR(__xludf.DUMMYFUNCTION("""COMPUTED_VALUE"""),"15 DYM/USDT Binance")</f>
        <v>15 DYM/USDT Binance</v>
      </c>
      <c r="B17" s="2">
        <f>IFERROR(__xludf.DUMMYFUNCTION("""COMPUTED_VALUE"""),8.23)</f>
        <v>8.23</v>
      </c>
      <c r="C17" s="1" t="str">
        <f>IFERROR(__xludf.DUMMYFUNCTION("""COMPUTED_VALUE"""),"$ 137.53 million")</f>
        <v>$ 137.53 million</v>
      </c>
      <c r="D17" s="1" t="str">
        <f>IFERROR(__xludf.DUMMYFUNCTION("""COMPUTED_VALUE"""),"$ 137.53M 
$ 8.23")</f>
        <v>$ 137.53M 
$ 8.23</v>
      </c>
      <c r="E17" s="1"/>
      <c r="F17" s="1"/>
    </row>
    <row r="18" ht="15.75" customHeight="1">
      <c r="A18" s="1" t="str">
        <f>IFERROR(__xludf.DUMMYFUNCTION("""COMPUTED_VALUE"""),"16 STX/USDT Binance")</f>
        <v>16 STX/USDT Binance</v>
      </c>
      <c r="B18" s="2">
        <f>IFERROR(__xludf.DUMMYFUNCTION("""COMPUTED_VALUE"""),2.62)</f>
        <v>2.62</v>
      </c>
      <c r="C18" s="1" t="str">
        <f>IFERROR(__xludf.DUMMYFUNCTION("""COMPUTED_VALUE"""),"$ 127.20 million")</f>
        <v>$ 127.20 million</v>
      </c>
      <c r="D18" s="1" t="str">
        <f>IFERROR(__xludf.DUMMYFUNCTION("""COMPUTED_VALUE"""),"$ 127.20M 
$ 2.62")</f>
        <v>$ 127.20M 
$ 2.62</v>
      </c>
      <c r="E18" s="1"/>
      <c r="F18" s="1"/>
    </row>
    <row r="19" ht="15.75" customHeight="1">
      <c r="A19" s="1" t="str">
        <f>IFERROR(__xludf.DUMMYFUNCTION("""COMPUTED_VALUE"""),"17 USDT/TRY Binance")</f>
        <v>17 USDT/TRY Binance</v>
      </c>
      <c r="B19" s="2">
        <f>IFERROR(__xludf.DUMMYFUNCTION("""COMPUTED_VALUE"""),1.01)</f>
        <v>1.01</v>
      </c>
      <c r="C19" s="1" t="str">
        <f>IFERROR(__xludf.DUMMYFUNCTION("""COMPUTED_VALUE"""),"$ 120.29 million")</f>
        <v>$ 120.29 million</v>
      </c>
      <c r="D19" s="1" t="str">
        <f>IFERROR(__xludf.DUMMYFUNCTION("""COMPUTED_VALUE"""),"$ 120.29M 
$ 1.01")</f>
        <v>$ 120.29M 
$ 1.01</v>
      </c>
      <c r="E19" s="1"/>
      <c r="F19" s="1"/>
    </row>
    <row r="20" ht="15.75" customHeight="1">
      <c r="A20" s="1" t="str">
        <f>IFERROR(__xludf.DUMMYFUNCTION("""COMPUTED_VALUE"""),"18 MANTA/USDT Binance")</f>
        <v>18 MANTA/USDT Binance</v>
      </c>
      <c r="B20" s="2">
        <f>IFERROR(__xludf.DUMMYFUNCTION("""COMPUTED_VALUE"""),3.05)</f>
        <v>3.05</v>
      </c>
      <c r="C20" s="1" t="str">
        <f>IFERROR(__xludf.DUMMYFUNCTION("""COMPUTED_VALUE"""),"$ 119.79 million")</f>
        <v>$ 119.79 million</v>
      </c>
      <c r="D20" s="1" t="str">
        <f>IFERROR(__xludf.DUMMYFUNCTION("""COMPUTED_VALUE"""),"$ 119.79M 
$ 3.05")</f>
        <v>$ 119.79M 
$ 3.05</v>
      </c>
      <c r="E20" s="1"/>
      <c r="F20" s="1"/>
    </row>
    <row r="21" ht="15.75" customHeight="1">
      <c r="A21" s="1" t="str">
        <f>IFERROR(__xludf.DUMMYFUNCTION("""COMPUTED_VALUE"""),"19 ARB/USDT Binance")</f>
        <v>19 ARB/USDT Binance</v>
      </c>
      <c r="B21" s="2">
        <f>IFERROR(__xludf.DUMMYFUNCTION("""COMPUTED_VALUE"""),2.11)</f>
        <v>2.11</v>
      </c>
      <c r="C21" s="1" t="str">
        <f>IFERROR(__xludf.DUMMYFUNCTION("""COMPUTED_VALUE"""),"$ 108.52 million")</f>
        <v>$ 108.52 million</v>
      </c>
      <c r="D21" s="1" t="str">
        <f>IFERROR(__xludf.DUMMYFUNCTION("""COMPUTED_VALUE"""),"$ 108.52M 
$ 2.11")</f>
        <v>$ 108.52M 
$ 2.11</v>
      </c>
      <c r="E21" s="1"/>
      <c r="F21" s="1"/>
    </row>
    <row r="22" ht="15.75" customHeight="1">
      <c r="A22" s="1" t="str">
        <f>IFERROR(__xludf.DUMMYFUNCTION("""COMPUTED_VALUE"""),"20 ETH/BTC Binance")</f>
        <v>20 ETH/BTC Binance</v>
      </c>
      <c r="B22" s="2">
        <f>IFERROR(__xludf.DUMMYFUNCTION("""COMPUTED_VALUE"""),2792.53)</f>
        <v>2792.53</v>
      </c>
      <c r="C22" s="1" t="str">
        <f>IFERROR(__xludf.DUMMYFUNCTION("""COMPUTED_VALUE"""),"$ 100.72 million")</f>
        <v>$ 100.72 million</v>
      </c>
      <c r="D22" s="1" t="str">
        <f>IFERROR(__xludf.DUMMYFUNCTION("""COMPUTED_VALUE"""),"$ 100.72M 
$ 2,792.53")</f>
        <v>$ 100.72M 
$ 2,792.53</v>
      </c>
      <c r="E22" s="1"/>
      <c r="F22" s="1"/>
    </row>
    <row r="23" ht="15.75" customHeight="1">
      <c r="A23" s="1" t="str">
        <f>IFERROR(__xludf.DUMMYFUNCTION("""COMPUTED_VALUE"""),"21 LINK/USDT Binance")</f>
        <v>21 LINK/USDT Binance</v>
      </c>
      <c r="B23" s="2">
        <f>IFERROR(__xludf.DUMMYFUNCTION("""COMPUTED_VALUE"""),20.02)</f>
        <v>20.02</v>
      </c>
      <c r="C23" s="1" t="str">
        <f>IFERROR(__xludf.DUMMYFUNCTION("""COMPUTED_VALUE"""),"$ 100.46 million")</f>
        <v>$ 100.46 million</v>
      </c>
      <c r="D23" s="1" t="str">
        <f>IFERROR(__xludf.DUMMYFUNCTION("""COMPUTED_VALUE"""),"$ 100.46M 
$ 20.02")</f>
        <v>$ 100.46M 
$ 20.02</v>
      </c>
      <c r="E23" s="1"/>
      <c r="F23" s="1"/>
    </row>
    <row r="24" ht="15.75" customHeight="1">
      <c r="A24" s="1" t="str">
        <f>IFERROR(__xludf.DUMMYFUNCTION("""COMPUTED_VALUE"""),"22 API3/USDT Binance")</f>
        <v>22 API3/USDT Binance</v>
      </c>
      <c r="B24" s="2">
        <f>IFERROR(__xludf.DUMMYFUNCTION("""COMPUTED_VALUE"""),4.65)</f>
        <v>4.65</v>
      </c>
      <c r="C24" s="1" t="str">
        <f>IFERROR(__xludf.DUMMYFUNCTION("""COMPUTED_VALUE"""),"$ 100.10 million")</f>
        <v>$ 100.10 million</v>
      </c>
      <c r="D24" s="1" t="str">
        <f>IFERROR(__xludf.DUMMYFUNCTION("""COMPUTED_VALUE"""),"$ 100.10M 
$ 4.65")</f>
        <v>$ 100.10M 
$ 4.65</v>
      </c>
      <c r="E24" s="1"/>
      <c r="F24" s="1"/>
    </row>
    <row r="25" ht="15.75" customHeight="1">
      <c r="A25" s="1" t="str">
        <f>IFERROR(__xludf.DUMMYFUNCTION("""COMPUTED_VALUE"""),"23 SUI/USDT Binance")</f>
        <v>23 SUI/USDT Binance</v>
      </c>
      <c r="B25" s="2">
        <f>IFERROR(__xludf.DUMMYFUNCTION("""COMPUTED_VALUE"""),1.89)</f>
        <v>1.89</v>
      </c>
      <c r="C25" s="1" t="str">
        <f>IFERROR(__xludf.DUMMYFUNCTION("""COMPUTED_VALUE"""),"$ 98.46 million")</f>
        <v>$ 98.46 million</v>
      </c>
      <c r="D25" s="1" t="str">
        <f>IFERROR(__xludf.DUMMYFUNCTION("""COMPUTED_VALUE"""),"$ 98.46M 
$ 1.89")</f>
        <v>$ 98.46M 
$ 1.89</v>
      </c>
      <c r="E25" s="1"/>
      <c r="F25" s="1"/>
    </row>
    <row r="26" ht="15.75" customHeight="1">
      <c r="A26" s="1" t="str">
        <f>IFERROR(__xludf.DUMMYFUNCTION("""COMPUTED_VALUE"""),"24 ADA/USDT Binance")</f>
        <v>24 ADA/USDT Binance</v>
      </c>
      <c r="B26" s="2">
        <f>IFERROR(__xludf.DUMMYFUNCTION("""COMPUTED_VALUE"""),0.593)</f>
        <v>0.593</v>
      </c>
      <c r="C26" s="1" t="str">
        <f>IFERROR(__xludf.DUMMYFUNCTION("""COMPUTED_VALUE"""),"$ 96.58 million")</f>
        <v>$ 96.58 million</v>
      </c>
      <c r="D26" s="1" t="str">
        <f>IFERROR(__xludf.DUMMYFUNCTION("""COMPUTED_VALUE"""),"$ 96.58M 
$ 0.593")</f>
        <v>$ 96.58M 
$ 0.593</v>
      </c>
      <c r="E26" s="1"/>
      <c r="F26" s="1"/>
    </row>
    <row r="27" ht="15.75" customHeight="1">
      <c r="A27" s="1" t="str">
        <f>IFERROR(__xludf.DUMMYFUNCTION("""COMPUTED_VALUE"""),"25 JUP/USDT Binance")</f>
        <v>25 JUP/USDT Binance</v>
      </c>
      <c r="B27" s="2">
        <f>IFERROR(__xludf.DUMMYFUNCTION("""COMPUTED_VALUE"""),0.544)</f>
        <v>0.544</v>
      </c>
      <c r="C27" s="1" t="str">
        <f>IFERROR(__xludf.DUMMYFUNCTION("""COMPUTED_VALUE"""),"$ 93.64 million")</f>
        <v>$ 93.64 million</v>
      </c>
      <c r="D27" s="1" t="str">
        <f>IFERROR(__xludf.DUMMYFUNCTION("""COMPUTED_VALUE"""),"$ 93.64M 
$ 0.544")</f>
        <v>$ 93.64M 
$ 0.544</v>
      </c>
      <c r="E27" s="1"/>
      <c r="F27" s="1"/>
    </row>
    <row r="28" ht="15.75" customHeight="1">
      <c r="A28" s="1" t="str">
        <f>IFERROR(__xludf.DUMMYFUNCTION("""COMPUTED_VALUE"""),"26 ALT/USDT Binance")</f>
        <v>26 ALT/USDT Binance</v>
      </c>
      <c r="B28" s="2">
        <f>IFERROR(__xludf.DUMMYFUNCTION("""COMPUTED_VALUE"""),0.4)</f>
        <v>0.4</v>
      </c>
      <c r="C28" s="1" t="str">
        <f>IFERROR(__xludf.DUMMYFUNCTION("""COMPUTED_VALUE"""),"$ 90.06 million")</f>
        <v>$ 90.06 million</v>
      </c>
      <c r="D28" s="1" t="str">
        <f>IFERROR(__xludf.DUMMYFUNCTION("""COMPUTED_VALUE"""),"$ 90.06M 
$ 0.400")</f>
        <v>$ 90.06M 
$ 0.400</v>
      </c>
      <c r="E28" s="1"/>
      <c r="F28" s="1"/>
    </row>
    <row r="29" ht="15.75" customHeight="1">
      <c r="A29" s="1" t="str">
        <f>IFERROR(__xludf.DUMMYFUNCTION("""COMPUTED_VALUE"""),"27 VET/USDT Binance")</f>
        <v>27 VET/USDT Binance</v>
      </c>
      <c r="B29" s="2">
        <f>IFERROR(__xludf.DUMMYFUNCTION("""COMPUTED_VALUE"""),0.0461)</f>
        <v>0.0461</v>
      </c>
      <c r="C29" s="1" t="str">
        <f>IFERROR(__xludf.DUMMYFUNCTION("""COMPUTED_VALUE"""),"$ 84.65 million")</f>
        <v>$ 84.65 million</v>
      </c>
      <c r="D29" s="1" t="str">
        <f>IFERROR(__xludf.DUMMYFUNCTION("""COMPUTED_VALUE"""),"$ 84.65M 
$ 0.0461")</f>
        <v>$ 84.65M 
$ 0.0461</v>
      </c>
      <c r="E29" s="1"/>
      <c r="F29" s="1"/>
    </row>
    <row r="30" ht="15.75" customHeight="1">
      <c r="A30" s="1" t="str">
        <f>IFERROR(__xludf.DUMMYFUNCTION("""COMPUTED_VALUE"""),"28 ORDI/USDT Binance")</f>
        <v>28 ORDI/USDT Binance</v>
      </c>
      <c r="B30" s="2">
        <f>IFERROR(__xludf.DUMMYFUNCTION("""COMPUTED_VALUE"""),70.34)</f>
        <v>70.34</v>
      </c>
      <c r="C30" s="1" t="str">
        <f>IFERROR(__xludf.DUMMYFUNCTION("""COMPUTED_VALUE"""),"$ 83.70 million")</f>
        <v>$ 83.70 million</v>
      </c>
      <c r="D30" s="1" t="str">
        <f>IFERROR(__xludf.DUMMYFUNCTION("""COMPUTED_VALUE"""),"$ 83.70M 
$ 70.34")</f>
        <v>$ 83.70M 
$ 70.34</v>
      </c>
      <c r="E30" s="1"/>
      <c r="F30" s="1"/>
    </row>
    <row r="31" ht="15.75" customHeight="1">
      <c r="A31" s="1" t="str">
        <f>IFERROR(__xludf.DUMMYFUNCTION("""COMPUTED_VALUE"""),"29 VTHO/USDT Binance")</f>
        <v>29 VTHO/USDT Binance</v>
      </c>
      <c r="B31" s="2">
        <f>IFERROR(__xludf.DUMMYFUNCTION("""COMPUTED_VALUE"""),0.0058)</f>
        <v>0.0058</v>
      </c>
      <c r="C31" s="1" t="str">
        <f>IFERROR(__xludf.DUMMYFUNCTION("""COMPUTED_VALUE"""),"$ 76.47 million")</f>
        <v>$ 76.47 million</v>
      </c>
      <c r="D31" s="1" t="str">
        <f>IFERROR(__xludf.DUMMYFUNCTION("""COMPUTED_VALUE"""),"$ 76.47M 
$ 0.00580")</f>
        <v>$ 76.47M 
$ 0.00580</v>
      </c>
      <c r="E31" s="1"/>
      <c r="F31" s="1"/>
    </row>
    <row r="32" ht="15.75" customHeight="1">
      <c r="A32" s="1" t="str">
        <f>IFERROR(__xludf.DUMMYFUNCTION("""COMPUTED_VALUE"""),"30 INJ/USDT Binance")</f>
        <v>30 INJ/USDT Binance</v>
      </c>
      <c r="B32" s="2">
        <f>IFERROR(__xludf.DUMMYFUNCTION("""COMPUTED_VALUE"""),34.72)</f>
        <v>34.72</v>
      </c>
      <c r="C32" s="1" t="str">
        <f>IFERROR(__xludf.DUMMYFUNCTION("""COMPUTED_VALUE"""),"$ 75.53 million")</f>
        <v>$ 75.53 million</v>
      </c>
      <c r="D32" s="1" t="str">
        <f>IFERROR(__xludf.DUMMYFUNCTION("""COMPUTED_VALUE"""),"$ 75.53M 
$ 34.72")</f>
        <v>$ 75.53M 
$ 34.72</v>
      </c>
      <c r="E32" s="1"/>
      <c r="F32" s="1"/>
    </row>
    <row r="33" ht="15.75" customHeight="1">
      <c r="A33" s="1" t="str">
        <f>IFERROR(__xludf.DUMMYFUNCTION("""COMPUTED_VALUE"""),"31 APT/USDT Binance")</f>
        <v>31 APT/USDT Binance</v>
      </c>
      <c r="B33" s="2">
        <f>IFERROR(__xludf.DUMMYFUNCTION("""COMPUTED_VALUE"""),10.19)</f>
        <v>10.19</v>
      </c>
      <c r="C33" s="1" t="str">
        <f>IFERROR(__xludf.DUMMYFUNCTION("""COMPUTED_VALUE"""),"$ 74.64 million")</f>
        <v>$ 74.64 million</v>
      </c>
      <c r="D33" s="1" t="str">
        <f>IFERROR(__xludf.DUMMYFUNCTION("""COMPUTED_VALUE"""),"$ 74.64M 
$ 10.19")</f>
        <v>$ 74.64M 
$ 10.19</v>
      </c>
      <c r="E33" s="1"/>
      <c r="F33" s="1"/>
    </row>
    <row r="34" ht="15.75" customHeight="1">
      <c r="A34" s="1" t="str">
        <f>IFERROR(__xludf.DUMMYFUNCTION("""COMPUTED_VALUE"""),"32 RUNE/USDT Binance")</f>
        <v>32 RUNE/USDT Binance</v>
      </c>
      <c r="B34" s="2">
        <f>IFERROR(__xludf.DUMMYFUNCTION("""COMPUTED_VALUE"""),5.61)</f>
        <v>5.61</v>
      </c>
      <c r="C34" s="1" t="str">
        <f>IFERROR(__xludf.DUMMYFUNCTION("""COMPUTED_VALUE"""),"$ 72.68 million")</f>
        <v>$ 72.68 million</v>
      </c>
      <c r="D34" s="1" t="str">
        <f>IFERROR(__xludf.DUMMYFUNCTION("""COMPUTED_VALUE"""),"$ 72.68M 
$ 5.61")</f>
        <v>$ 72.68M 
$ 5.61</v>
      </c>
      <c r="E34" s="1"/>
      <c r="F34" s="1"/>
    </row>
    <row r="35" ht="15.75" customHeight="1">
      <c r="A35" s="1" t="str">
        <f>IFERROR(__xludf.DUMMYFUNCTION("""COMPUTED_VALUE"""),"33 DOGE/FDUSD Binance")</f>
        <v>33 DOGE/FDUSD Binance</v>
      </c>
      <c r="B35" s="2">
        <f>IFERROR(__xludf.DUMMYFUNCTION("""COMPUTED_VALUE"""),0.0861)</f>
        <v>0.0861</v>
      </c>
      <c r="C35" s="1" t="str">
        <f>IFERROR(__xludf.DUMMYFUNCTION("""COMPUTED_VALUE"""),"$ 72.07 million")</f>
        <v>$ 72.07 million</v>
      </c>
      <c r="D35" s="1" t="str">
        <f>IFERROR(__xludf.DUMMYFUNCTION("""COMPUTED_VALUE"""),"$ 72.07M 
$ 0.0861")</f>
        <v>$ 72.07M 
$ 0.0861</v>
      </c>
      <c r="E35" s="1"/>
      <c r="F35" s="1"/>
    </row>
    <row r="36" ht="15.75" customHeight="1">
      <c r="A36" s="1" t="str">
        <f>IFERROR(__xludf.DUMMYFUNCTION("""COMPUTED_VALUE"""),"34 BNB/FDUSD Binance")</f>
        <v>34 BNB/FDUSD Binance</v>
      </c>
      <c r="B36" s="2">
        <f>IFERROR(__xludf.DUMMYFUNCTION("""COMPUTED_VALUE"""),347.2)</f>
        <v>347.2</v>
      </c>
      <c r="C36" s="1" t="str">
        <f>IFERROR(__xludf.DUMMYFUNCTION("""COMPUTED_VALUE"""),"$ 71.75 million")</f>
        <v>$ 71.75 million</v>
      </c>
      <c r="D36" s="1" t="str">
        <f>IFERROR(__xludf.DUMMYFUNCTION("""COMPUTED_VALUE"""),"$ 71.75M 
$ 347.20")</f>
        <v>$ 71.75M 
$ 347.20</v>
      </c>
      <c r="E36" s="1"/>
      <c r="F36" s="1"/>
    </row>
    <row r="37" ht="15.75" customHeight="1">
      <c r="A37" s="1" t="str">
        <f>IFERROR(__xludf.DUMMYFUNCTION("""COMPUTED_VALUE"""),"35 OP/USDT Binance")</f>
        <v>35 OP/USDT Binance</v>
      </c>
      <c r="B37" s="2">
        <f>IFERROR(__xludf.DUMMYFUNCTION("""COMPUTED_VALUE"""),3.85)</f>
        <v>3.85</v>
      </c>
      <c r="C37" s="1" t="str">
        <f>IFERROR(__xludf.DUMMYFUNCTION("""COMPUTED_VALUE"""),"$ 69.67 million")</f>
        <v>$ 69.67 million</v>
      </c>
      <c r="D37" s="1" t="str">
        <f>IFERROR(__xludf.DUMMYFUNCTION("""COMPUTED_VALUE"""),"$ 69.67M 
$ 3.85")</f>
        <v>$ 69.67M 
$ 3.85</v>
      </c>
      <c r="E37" s="1"/>
      <c r="F37" s="1"/>
    </row>
    <row r="38" ht="15.75" customHeight="1">
      <c r="A38" s="1" t="str">
        <f>IFERROR(__xludf.DUMMYFUNCTION("""COMPUTED_VALUE"""),"36 AI/USDT Binance")</f>
        <v>36 AI/USDT Binance</v>
      </c>
      <c r="B38" s="2">
        <f>IFERROR(__xludf.DUMMYFUNCTION("""COMPUTED_VALUE"""),1.58)</f>
        <v>1.58</v>
      </c>
      <c r="C38" s="1" t="str">
        <f>IFERROR(__xludf.DUMMYFUNCTION("""COMPUTED_VALUE"""),"$ 68.99 million")</f>
        <v>$ 68.99 million</v>
      </c>
      <c r="D38" s="1" t="str">
        <f>IFERROR(__xludf.DUMMYFUNCTION("""COMPUTED_VALUE"""),"$ 68.99M 
$ 1.58")</f>
        <v>$ 68.99M 
$ 1.58</v>
      </c>
      <c r="E38" s="1"/>
      <c r="F38" s="1"/>
    </row>
    <row r="39" ht="15.75" customHeight="1">
      <c r="A39" s="1" t="str">
        <f>IFERROR(__xludf.DUMMYFUNCTION("""COMPUTED_VALUE"""),"37 LTC/USDT Binance")</f>
        <v>37 LTC/USDT Binance</v>
      </c>
      <c r="B39" s="2">
        <f>IFERROR(__xludf.DUMMYFUNCTION("""COMPUTED_VALUE"""),70.08)</f>
        <v>70.08</v>
      </c>
      <c r="C39" s="1" t="str">
        <f>IFERROR(__xludf.DUMMYFUNCTION("""COMPUTED_VALUE"""),"$ 62.05 million")</f>
        <v>$ 62.05 million</v>
      </c>
      <c r="D39" s="1" t="str">
        <f>IFERROR(__xludf.DUMMYFUNCTION("""COMPUTED_VALUE"""),"$ 62.05M 
$ 70.08")</f>
        <v>$ 62.05M 
$ 70.08</v>
      </c>
      <c r="E39" s="1"/>
      <c r="F39" s="1"/>
    </row>
    <row r="40" ht="15.75" customHeight="1">
      <c r="A40" s="1" t="str">
        <f>IFERROR(__xludf.DUMMYFUNCTION("""COMPUTED_VALUE"""),"38 PROM/USDT Binance")</f>
        <v>38 PROM/USDT Binance</v>
      </c>
      <c r="B40" s="2">
        <f>IFERROR(__xludf.DUMMYFUNCTION("""COMPUTED_VALUE"""),11.34)</f>
        <v>11.34</v>
      </c>
      <c r="C40" s="1" t="str">
        <f>IFERROR(__xludf.DUMMYFUNCTION("""COMPUTED_VALUE"""),"$ 61.98 million")</f>
        <v>$ 61.98 million</v>
      </c>
      <c r="D40" s="1" t="str">
        <f>IFERROR(__xludf.DUMMYFUNCTION("""COMPUTED_VALUE"""),"$ 61.98M 
$ 11.34")</f>
        <v>$ 61.98M 
$ 11.34</v>
      </c>
      <c r="E40" s="1"/>
      <c r="F40" s="1"/>
    </row>
    <row r="41" ht="15.75" customHeight="1">
      <c r="A41" s="1" t="str">
        <f>IFERROR(__xludf.DUMMYFUNCTION("""COMPUTED_VALUE"""),"39 TIA/USDT Binance")</f>
        <v>39 TIA/USDT Binance</v>
      </c>
      <c r="B41" s="2">
        <f>IFERROR(__xludf.DUMMYFUNCTION("""COMPUTED_VALUE"""),18.68)</f>
        <v>18.68</v>
      </c>
      <c r="C41" s="1" t="str">
        <f>IFERROR(__xludf.DUMMYFUNCTION("""COMPUTED_VALUE"""),"$ 61.62 million")</f>
        <v>$ 61.62 million</v>
      </c>
      <c r="D41" s="1" t="str">
        <f>IFERROR(__xludf.DUMMYFUNCTION("""COMPUTED_VALUE"""),"$ 61.62M 
$ 18.68")</f>
        <v>$ 61.62M 
$ 18.68</v>
      </c>
      <c r="E41" s="1"/>
      <c r="F41" s="1"/>
    </row>
    <row r="42" ht="15.75" customHeight="1">
      <c r="A42" s="1" t="str">
        <f>IFERROR(__xludf.DUMMYFUNCTION("""COMPUTED_VALUE"""),"40 RIF/USDT Binance")</f>
        <v>40 RIF/USDT Binance</v>
      </c>
      <c r="B42" s="2">
        <f>IFERROR(__xludf.DUMMYFUNCTION("""COMPUTED_VALUE"""),0.236)</f>
        <v>0.236</v>
      </c>
      <c r="C42" s="1" t="str">
        <f>IFERROR(__xludf.DUMMYFUNCTION("""COMPUTED_VALUE"""),"$ 61.21 million")</f>
        <v>$ 61.21 million</v>
      </c>
      <c r="D42" s="1" t="str">
        <f>IFERROR(__xludf.DUMMYFUNCTION("""COMPUTED_VALUE"""),"$ 61.21M 
$ 0.236")</f>
        <v>$ 61.21M 
$ 0.236</v>
      </c>
      <c r="E42" s="1"/>
      <c r="F42" s="1"/>
    </row>
    <row r="43" ht="15.75" customHeight="1">
      <c r="A43" s="1" t="str">
        <f>IFERROR(__xludf.DUMMYFUNCTION("""COMPUTED_VALUE"""),"41 MATIC/USDT Binance")</f>
        <v>41 MATIC/USDT Binance</v>
      </c>
      <c r="B43" s="2">
        <f>IFERROR(__xludf.DUMMYFUNCTION("""COMPUTED_VALUE"""),0.893)</f>
        <v>0.893</v>
      </c>
      <c r="C43" s="1" t="str">
        <f>IFERROR(__xludf.DUMMYFUNCTION("""COMPUTED_VALUE"""),"$ 60.64 million")</f>
        <v>$ 60.64 million</v>
      </c>
      <c r="D43" s="1" t="str">
        <f>IFERROR(__xludf.DUMMYFUNCTION("""COMPUTED_VALUE"""),"$ 60.64M 
$ 0.893")</f>
        <v>$ 60.64M 
$ 0.893</v>
      </c>
      <c r="E43" s="1"/>
      <c r="F43" s="1"/>
    </row>
    <row r="44" ht="15.75" customHeight="1">
      <c r="A44" s="1" t="str">
        <f>IFERROR(__xludf.DUMMYFUNCTION("""COMPUTED_VALUE"""),"42 BCH/USDT Binance")</f>
        <v>42 BCH/USDT Binance</v>
      </c>
      <c r="B44" s="2">
        <f>IFERROR(__xludf.DUMMYFUNCTION("""COMPUTED_VALUE"""),270.0)</f>
        <v>270</v>
      </c>
      <c r="C44" s="1" t="str">
        <f>IFERROR(__xludf.DUMMYFUNCTION("""COMPUTED_VALUE"""),"$ 58.14 million")</f>
        <v>$ 58.14 million</v>
      </c>
      <c r="D44" s="1" t="str">
        <f>IFERROR(__xludf.DUMMYFUNCTION("""COMPUTED_VALUE"""),"$ 58.14M 
$ 270")</f>
        <v>$ 58.14M 
$ 270</v>
      </c>
      <c r="E44" s="1"/>
      <c r="F44" s="1"/>
    </row>
    <row r="45" ht="15.75" customHeight="1">
      <c r="A45" s="1" t="str">
        <f>IFERROR(__xludf.DUMMYFUNCTION("""COMPUTED_VALUE"""),"43 BONK/USDT Binance")</f>
        <v>43 BONK/USDT Binance</v>
      </c>
      <c r="B45" s="2">
        <f>IFERROR(__xludf.DUMMYFUNCTION("""COMPUTED_VALUE"""),1.4E-5)</f>
        <v>0.000014</v>
      </c>
      <c r="C45" s="1" t="str">
        <f>IFERROR(__xludf.DUMMYFUNCTION("""COMPUTED_VALUE"""),"$ 56.81 million")</f>
        <v>$ 56.81 million</v>
      </c>
      <c r="D45" s="1" t="str">
        <f>IFERROR(__xludf.DUMMYFUNCTION("""COMPUTED_VALUE"""),"$ 56.81M 
$ 0.0000140")</f>
        <v>$ 56.81M 
$ 0.0000140</v>
      </c>
      <c r="E45" s="1"/>
      <c r="F45" s="1"/>
    </row>
    <row r="46" ht="15.75" customHeight="1">
      <c r="A46" s="1" t="str">
        <f>IFERROR(__xludf.DUMMYFUNCTION("""COMPUTED_VALUE"""),"44 PEPE/USDT Binance")</f>
        <v>44 PEPE/USDT Binance</v>
      </c>
      <c r="B46" s="2" t="str">
        <f>IFERROR(__xludf.DUMMYFUNCTION("""COMPUTED_VALUE"""),"$ 0.0₃0125")</f>
        <v>$ 0.0₃0125</v>
      </c>
      <c r="C46" s="1" t="str">
        <f>IFERROR(__xludf.DUMMYFUNCTION("""COMPUTED_VALUE"""),"$ 55.06 million")</f>
        <v>$ 55.06 million</v>
      </c>
      <c r="D46" s="1" t="str">
        <f>IFERROR(__xludf.DUMMYFUNCTION("""COMPUTED_VALUE"""),"$ 55.06M 
$ 0.0₃0125")</f>
        <v>$ 55.06M 
$ 0.0₃0125</v>
      </c>
      <c r="E46" s="1"/>
      <c r="F46" s="1"/>
    </row>
    <row r="47" ht="15.75" customHeight="1">
      <c r="A47" s="1" t="str">
        <f>IFERROR(__xludf.DUMMYFUNCTION("""COMPUTED_VALUE"""),"45 BTC/USDC Binance")</f>
        <v>45 BTC/USDC Binance</v>
      </c>
      <c r="B47" s="2">
        <f>IFERROR(__xludf.DUMMYFUNCTION("""COMPUTED_VALUE"""),52428.37)</f>
        <v>52428.37</v>
      </c>
      <c r="C47" s="1" t="str">
        <f>IFERROR(__xludf.DUMMYFUNCTION("""COMPUTED_VALUE"""),"$ 54.59 million")</f>
        <v>$ 54.59 million</v>
      </c>
      <c r="D47" s="1" t="str">
        <f>IFERROR(__xludf.DUMMYFUNCTION("""COMPUTED_VALUE"""),"$ 54.59M 
$ 52,428.37")</f>
        <v>$ 54.59M 
$ 52,428.37</v>
      </c>
      <c r="E47" s="1"/>
      <c r="F47" s="1"/>
    </row>
    <row r="48" ht="15.75" customHeight="1">
      <c r="A48" s="1" t="str">
        <f>IFERROR(__xludf.DUMMYFUNCTION("""COMPUTED_VALUE"""),"46 TRX/USDT Binance")</f>
        <v>46 TRX/USDT Binance</v>
      </c>
      <c r="B48" s="2">
        <f>IFERROR(__xludf.DUMMYFUNCTION("""COMPUTED_VALUE"""),0.131)</f>
        <v>0.131</v>
      </c>
      <c r="C48" s="1" t="str">
        <f>IFERROR(__xludf.DUMMYFUNCTION("""COMPUTED_VALUE"""),"$ 54.29 million")</f>
        <v>$ 54.29 million</v>
      </c>
      <c r="D48" s="1" t="str">
        <f>IFERROR(__xludf.DUMMYFUNCTION("""COMPUTED_VALUE"""),"$ 54.29M 
$ 0.131")</f>
        <v>$ 54.29M 
$ 0.131</v>
      </c>
      <c r="E48" s="1"/>
      <c r="F48" s="1"/>
    </row>
    <row r="49" ht="15.75" customHeight="1">
      <c r="A49" s="1" t="str">
        <f>IFERROR(__xludf.DUMMYFUNCTION("""COMPUTED_VALUE"""),"47 WLD/USDT Binance")</f>
        <v>47 WLD/USDT Binance</v>
      </c>
      <c r="B49" s="4">
        <f>IFERROR(__xludf.DUMMYFUNCTION("""COMPUTED_VALUE"""),3.22)</f>
        <v>3.22</v>
      </c>
      <c r="C49" s="1" t="str">
        <f>IFERROR(__xludf.DUMMYFUNCTION("""COMPUTED_VALUE"""),"$ 54.01 million")</f>
        <v>$ 54.01 million</v>
      </c>
      <c r="D49" s="1" t="str">
        <f>IFERROR(__xludf.DUMMYFUNCTION("""COMPUTED_VALUE"""),"$ 54.01M 
$ 3.22")</f>
        <v>$ 54.01M 
$ 3.22</v>
      </c>
      <c r="E49" s="1"/>
      <c r="F49" s="1"/>
    </row>
    <row r="50" ht="15.75" customHeight="1">
      <c r="A50" s="1" t="str">
        <f>IFERROR(__xludf.DUMMYFUNCTION("""COMPUTED_VALUE"""),"48 ACE/USDT Binance")</f>
        <v>48 ACE/USDT Binance</v>
      </c>
      <c r="B50" s="2">
        <f>IFERROR(__xludf.DUMMYFUNCTION("""COMPUTED_VALUE"""),10.57)</f>
        <v>10.57</v>
      </c>
      <c r="C50" s="1" t="str">
        <f>IFERROR(__xludf.DUMMYFUNCTION("""COMPUTED_VALUE"""),"$ 53.87 million")</f>
        <v>$ 53.87 million</v>
      </c>
      <c r="D50" s="1" t="str">
        <f>IFERROR(__xludf.DUMMYFUNCTION("""COMPUTED_VALUE"""),"$ 53.87M 
$ 10.57")</f>
        <v>$ 53.87M 
$ 10.57</v>
      </c>
      <c r="E50" s="1"/>
      <c r="F50" s="1"/>
    </row>
    <row r="51" ht="15.75" customHeight="1">
      <c r="A51" s="1" t="str">
        <f>IFERROR(__xludf.DUMMYFUNCTION("""COMPUTED_VALUE"""),"49 KEY/USDT Binance")</f>
        <v>49 KEY/USDT Binance</v>
      </c>
      <c r="B51" s="2">
        <f>IFERROR(__xludf.DUMMYFUNCTION("""COMPUTED_VALUE"""),0.0075)</f>
        <v>0.0075</v>
      </c>
      <c r="C51" s="1" t="str">
        <f>IFERROR(__xludf.DUMMYFUNCTION("""COMPUTED_VALUE"""),"$ 52.31 million")</f>
        <v>$ 52.31 million</v>
      </c>
      <c r="D51" s="1" t="str">
        <f>IFERROR(__xludf.DUMMYFUNCTION("""COMPUTED_VALUE"""),"$ 52.31M 
$ 0.00750")</f>
        <v>$ 52.31M 
$ 0.00750</v>
      </c>
      <c r="E51" s="1"/>
      <c r="F51" s="1"/>
    </row>
    <row r="52" ht="15.75" customHeight="1">
      <c r="A52" s="1" t="str">
        <f>IFERROR(__xludf.DUMMYFUNCTION("""COMPUTED_VALUE"""),"50 NEAR/USDT Binance")</f>
        <v>50 NEAR/USDT Binance</v>
      </c>
      <c r="B52" s="2">
        <f>IFERROR(__xludf.DUMMYFUNCTION("""COMPUTED_VALUE"""),3.32)</f>
        <v>3.32</v>
      </c>
      <c r="C52" s="1" t="str">
        <f>IFERROR(__xludf.DUMMYFUNCTION("""COMPUTED_VALUE"""),"$ 51.54 million")</f>
        <v>$ 51.54 million</v>
      </c>
      <c r="D52" s="1" t="str">
        <f>IFERROR(__xludf.DUMMYFUNCTION("""COMPUTED_VALUE"""),"$ 51.54M 
$ 3.32")</f>
        <v>$ 51.54M 
$ 3.32</v>
      </c>
      <c r="E52" s="1"/>
      <c r="F52" s="1"/>
    </row>
    <row r="53" ht="15.75" customHeight="1">
      <c r="A53" s="5" t="str">
        <f>IFERROR(__xludf.DUMMYFUNCTION("IMPORTHTML(""https://coinranking.com/exchange/-zdvbieRdZ+binance/markets?tenable.test=anything&amp;sortby=desc&amp;sorton&amp;page=2"", ""table"", 1)"),"Markets")</f>
        <v>Markets</v>
      </c>
      <c r="B53" s="1" t="str">
        <f>IFERROR(__xludf.DUMMYFUNCTION("""COMPUTED_VALUE"""),"Base price")</f>
        <v>Base price</v>
      </c>
      <c r="C53" s="1" t="str">
        <f>IFERROR(__xludf.DUMMYFUNCTION("""COMPUTED_VALUE"""),"24h trade volume")</f>
        <v>24h trade volume</v>
      </c>
      <c r="D53" s="1" t="str">
        <f>IFERROR(__xludf.DUMMYFUNCTION("""COMPUTED_VALUE"""),"24h volume")</f>
        <v>24h volume</v>
      </c>
      <c r="E53" s="1" t="str">
        <f>IFERROR(__xludf.DUMMYFUNCTION("""COMPUTED_VALUE"""),"Recommended")</f>
        <v>Recommended</v>
      </c>
      <c r="F53" s="1"/>
    </row>
    <row r="54" ht="15.75" customHeight="1">
      <c r="A54" s="1" t="str">
        <f>IFERROR(__xludf.DUMMYFUNCTION("""COMPUTED_VALUE"""),"51 DOT/USDT Binance")</f>
        <v>51 DOT/USDT Binance</v>
      </c>
      <c r="B54" s="2">
        <f>IFERROR(__xludf.DUMMYFUNCTION("""COMPUTED_VALUE"""),7.9)</f>
        <v>7.9</v>
      </c>
      <c r="C54" s="1" t="str">
        <f>IFERROR(__xludf.DUMMYFUNCTION("""COMPUTED_VALUE"""),"$ 50.81 million")</f>
        <v>$ 50.81 million</v>
      </c>
      <c r="D54" s="1" t="str">
        <f>IFERROR(__xludf.DUMMYFUNCTION("""COMPUTED_VALUE"""),"$ 50.81M 
$ 7.90")</f>
        <v>$ 50.81M 
$ 7.90</v>
      </c>
      <c r="E54" s="1"/>
      <c r="F54" s="1"/>
    </row>
    <row r="55" ht="15.75" customHeight="1">
      <c r="A55" s="1" t="str">
        <f>IFERROR(__xludf.DUMMYFUNCTION("""COMPUTED_VALUE"""),"52 RNDR/USDT Binance")</f>
        <v>52 RNDR/USDT Binance</v>
      </c>
      <c r="B55" s="2">
        <f>IFERROR(__xludf.DUMMYFUNCTION("""COMPUTED_VALUE"""),4.95)</f>
        <v>4.95</v>
      </c>
      <c r="C55" s="1" t="str">
        <f>IFERROR(__xludf.DUMMYFUNCTION("""COMPUTED_VALUE"""),"$ 48.93 million")</f>
        <v>$ 48.93 million</v>
      </c>
      <c r="D55" s="1" t="str">
        <f>IFERROR(__xludf.DUMMYFUNCTION("""COMPUTED_VALUE"""),"$ 48.93M 
$ 4.95")</f>
        <v>$ 48.93M 
$ 4.95</v>
      </c>
      <c r="E55" s="1"/>
      <c r="F55" s="1"/>
    </row>
    <row r="56" ht="15.75" customHeight="1">
      <c r="A56" s="1" t="str">
        <f>IFERROR(__xludf.DUMMYFUNCTION("""COMPUTED_VALUE"""),"53 USTC/USDT Binance")</f>
        <v>53 USTC/USDT Binance</v>
      </c>
      <c r="B56" s="2">
        <f>IFERROR(__xludf.DUMMYFUNCTION("""COMPUTED_VALUE"""),0.0328)</f>
        <v>0.0328</v>
      </c>
      <c r="C56" s="1" t="str">
        <f>IFERROR(__xludf.DUMMYFUNCTION("""COMPUTED_VALUE"""),"$ 48.26 million")</f>
        <v>$ 48.26 million</v>
      </c>
      <c r="D56" s="1" t="str">
        <f>IFERROR(__xludf.DUMMYFUNCTION("""COMPUTED_VALUE"""),"$ 48.26M 
$ 0.0328")</f>
        <v>$ 48.26M 
$ 0.0328</v>
      </c>
      <c r="E56" s="1"/>
      <c r="F56" s="1"/>
    </row>
    <row r="57" ht="15.75" customHeight="1">
      <c r="A57" s="1" t="str">
        <f>IFERROR(__xludf.DUMMYFUNCTION("""COMPUTED_VALUE"""),"54 BTC/TUSD Binance")</f>
        <v>54 BTC/TUSD Binance</v>
      </c>
      <c r="B57" s="2">
        <f>IFERROR(__xludf.DUMMYFUNCTION("""COMPUTED_VALUE"""),52368.99)</f>
        <v>52368.99</v>
      </c>
      <c r="C57" s="1" t="str">
        <f>IFERROR(__xludf.DUMMYFUNCTION("""COMPUTED_VALUE"""),"$ 45.69 million")</f>
        <v>$ 45.69 million</v>
      </c>
      <c r="D57" s="1" t="str">
        <f>IFERROR(__xludf.DUMMYFUNCTION("""COMPUTED_VALUE"""),"$ 45.69M 
$ 52,368.99")</f>
        <v>$ 45.69M 
$ 52,368.99</v>
      </c>
      <c r="E57" s="1"/>
      <c r="F57" s="1"/>
    </row>
    <row r="58" ht="15.75" customHeight="1">
      <c r="A58" s="1" t="str">
        <f>IFERROR(__xludf.DUMMYFUNCTION("""COMPUTED_VALUE"""),"55 SHIB/USDT Binance")</f>
        <v>55 SHIB/USDT Binance</v>
      </c>
      <c r="B58" s="1" t="str">
        <f>IFERROR(__xludf.DUMMYFUNCTION("""COMPUTED_VALUE"""),"$ 0.0₃0982")</f>
        <v>$ 0.0₃0982</v>
      </c>
      <c r="C58" s="1" t="str">
        <f>IFERROR(__xludf.DUMMYFUNCTION("""COMPUTED_VALUE"""),"$ 43.37 million")</f>
        <v>$ 43.37 million</v>
      </c>
      <c r="D58" s="1" t="str">
        <f>IFERROR(__xludf.DUMMYFUNCTION("""COMPUTED_VALUE"""),"$ 43.37M 
$ 0.0₃0982")</f>
        <v>$ 43.37M 
$ 0.0₃0982</v>
      </c>
      <c r="E58" s="1"/>
      <c r="F58" s="1"/>
    </row>
    <row r="59" ht="15.75" customHeight="1">
      <c r="A59" s="1" t="str">
        <f>IFERROR(__xludf.DUMMYFUNCTION("""COMPUTED_VALUE"""),"56 AUCTION/USDT Binance")</f>
        <v>56 AUCTION/USDT Binance</v>
      </c>
      <c r="B59" s="2">
        <f>IFERROR(__xludf.DUMMYFUNCTION("""COMPUTED_VALUE"""),33.96)</f>
        <v>33.96</v>
      </c>
      <c r="C59" s="1" t="str">
        <f>IFERROR(__xludf.DUMMYFUNCTION("""COMPUTED_VALUE"""),"$ 42.50 million")</f>
        <v>$ 42.50 million</v>
      </c>
      <c r="D59" s="1" t="str">
        <f>IFERROR(__xludf.DUMMYFUNCTION("""COMPUTED_VALUE"""),"$ 42.50M 
$ 33.96")</f>
        <v>$ 42.50M 
$ 33.96</v>
      </c>
      <c r="E59" s="1"/>
      <c r="F59" s="1"/>
    </row>
    <row r="60" ht="15.75" customHeight="1">
      <c r="A60" s="1" t="str">
        <f>IFERROR(__xludf.DUMMYFUNCTION("""COMPUTED_VALUE"""),"57 FIL/USDT Binance")</f>
        <v>57 FIL/USDT Binance</v>
      </c>
      <c r="B60" s="2">
        <f>IFERROR(__xludf.DUMMYFUNCTION("""COMPUTED_VALUE"""),5.75)</f>
        <v>5.75</v>
      </c>
      <c r="C60" s="1" t="str">
        <f>IFERROR(__xludf.DUMMYFUNCTION("""COMPUTED_VALUE"""),"$ 40.62 million")</f>
        <v>$ 40.62 million</v>
      </c>
      <c r="D60" s="1" t="str">
        <f>IFERROR(__xludf.DUMMYFUNCTION("""COMPUTED_VALUE"""),"$ 40.62M 
$ 5.75")</f>
        <v>$ 40.62M 
$ 5.75</v>
      </c>
      <c r="E60" s="1"/>
      <c r="F60" s="1"/>
    </row>
    <row r="61" ht="15.75" customHeight="1">
      <c r="A61" s="1" t="str">
        <f>IFERROR(__xludf.DUMMYFUNCTION("""COMPUTED_VALUE"""),"58 XAI/USDT Binance")</f>
        <v>58 XAI/USDT Binance</v>
      </c>
      <c r="B61" s="2">
        <f>IFERROR(__xludf.DUMMYFUNCTION("""COMPUTED_VALUE"""),1.05)</f>
        <v>1.05</v>
      </c>
      <c r="C61" s="1" t="str">
        <f>IFERROR(__xludf.DUMMYFUNCTION("""COMPUTED_VALUE"""),"$ 40.42 million")</f>
        <v>$ 40.42 million</v>
      </c>
      <c r="D61" s="1" t="str">
        <f>IFERROR(__xludf.DUMMYFUNCTION("""COMPUTED_VALUE"""),"$ 40.42M 
$ 1.05")</f>
        <v>$ 40.42M 
$ 1.05</v>
      </c>
      <c r="E61" s="1"/>
      <c r="F61" s="1"/>
    </row>
    <row r="62" ht="15.75" customHeight="1">
      <c r="A62" s="1" t="str">
        <f>IFERROR(__xludf.DUMMYFUNCTION("""COMPUTED_VALUE"""),"59 BLUR/USDT Binance")</f>
        <v>59 BLUR/USDT Binance</v>
      </c>
      <c r="B62" s="2">
        <f>IFERROR(__xludf.DUMMYFUNCTION("""COMPUTED_VALUE"""),0.756)</f>
        <v>0.756</v>
      </c>
      <c r="C62" s="1" t="str">
        <f>IFERROR(__xludf.DUMMYFUNCTION("""COMPUTED_VALUE"""),"$ 39.90 million")</f>
        <v>$ 39.90 million</v>
      </c>
      <c r="D62" s="1" t="str">
        <f>IFERROR(__xludf.DUMMYFUNCTION("""COMPUTED_VALUE"""),"$ 39.90M 
$ 0.756")</f>
        <v>$ 39.90M 
$ 0.756</v>
      </c>
      <c r="E62" s="1"/>
      <c r="F62" s="1"/>
    </row>
    <row r="63" ht="15.75" customHeight="1">
      <c r="A63" s="1" t="str">
        <f>IFERROR(__xludf.DUMMYFUNCTION("""COMPUTED_VALUE"""),"60 ICP/USDT Binance")</f>
        <v>60 ICP/USDT Binance</v>
      </c>
      <c r="B63" s="2">
        <f>IFERROR(__xludf.DUMMYFUNCTION("""COMPUTED_VALUE"""),13.38)</f>
        <v>13.38</v>
      </c>
      <c r="C63" s="1" t="str">
        <f>IFERROR(__xludf.DUMMYFUNCTION("""COMPUTED_VALUE"""),"$ 36.99 million")</f>
        <v>$ 36.99 million</v>
      </c>
      <c r="D63" s="1" t="str">
        <f>IFERROR(__xludf.DUMMYFUNCTION("""COMPUTED_VALUE"""),"$ 36.99M 
$ 13.38")</f>
        <v>$ 36.99M 
$ 13.38</v>
      </c>
      <c r="E63" s="1"/>
      <c r="F63" s="1"/>
    </row>
    <row r="64" ht="15.75" customHeight="1">
      <c r="A64" s="1"/>
      <c r="B64" s="1"/>
      <c r="C64" s="1"/>
      <c r="D64" s="1"/>
      <c r="E64" s="1"/>
      <c r="F64" s="1"/>
    </row>
    <row r="65" ht="15.75" customHeight="1">
      <c r="A65" s="1" t="str">
        <f>IFERROR(__xludf.DUMMYFUNCTION("""COMPUTED_VALUE"""),"61 ETC/USDT Binance")</f>
        <v>61 ETC/USDT Binance</v>
      </c>
      <c r="B65" s="2">
        <f>IFERROR(__xludf.DUMMYFUNCTION("""COMPUTED_VALUE"""),26.84)</f>
        <v>26.84</v>
      </c>
      <c r="C65" s="1" t="str">
        <f>IFERROR(__xludf.DUMMYFUNCTION("""COMPUTED_VALUE"""),"$ 36.80 million")</f>
        <v>$ 36.80 million</v>
      </c>
      <c r="D65" s="1" t="str">
        <f>IFERROR(__xludf.DUMMYFUNCTION("""COMPUTED_VALUE"""),"$ 36.80M 
$ 26.84")</f>
        <v>$ 36.80M 
$ 26.84</v>
      </c>
      <c r="E65" s="1"/>
      <c r="F65" s="1"/>
    </row>
    <row r="66" ht="15.75" customHeight="1">
      <c r="A66" s="1" t="str">
        <f>IFERROR(__xludf.DUMMYFUNCTION("""COMPUTED_VALUE"""),"62 PYTH/USDT Binance")</f>
        <v>62 PYTH/USDT Binance</v>
      </c>
      <c r="B66" s="2">
        <f>IFERROR(__xludf.DUMMYFUNCTION("""COMPUTED_VALUE"""),0.635)</f>
        <v>0.635</v>
      </c>
      <c r="C66" s="1" t="str">
        <f>IFERROR(__xludf.DUMMYFUNCTION("""COMPUTED_VALUE"""),"$ 35.96 million")</f>
        <v>$ 35.96 million</v>
      </c>
      <c r="D66" s="1" t="str">
        <f>IFERROR(__xludf.DUMMYFUNCTION("""COMPUTED_VALUE"""),"$ 35.96M 
$ 0.635")</f>
        <v>$ 35.96M 
$ 0.635</v>
      </c>
      <c r="E66" s="1"/>
      <c r="F66" s="1"/>
    </row>
    <row r="67" ht="15.75" customHeight="1">
      <c r="A67" s="1" t="str">
        <f>IFERROR(__xludf.DUMMYFUNCTION("""COMPUTED_VALUE"""),"63 IMX/USDT Binance")</f>
        <v>63 IMX/USDT Binance</v>
      </c>
      <c r="B67" s="2">
        <f>IFERROR(__xludf.DUMMYFUNCTION("""COMPUTED_VALUE"""),3.17)</f>
        <v>3.17</v>
      </c>
      <c r="C67" s="1" t="str">
        <f>IFERROR(__xludf.DUMMYFUNCTION("""COMPUTED_VALUE"""),"$ 35.68 million")</f>
        <v>$ 35.68 million</v>
      </c>
      <c r="D67" s="1" t="str">
        <f>IFERROR(__xludf.DUMMYFUNCTION("""COMPUTED_VALUE"""),"$ 35.68M 
$ 3.17")</f>
        <v>$ 35.68M 
$ 3.17</v>
      </c>
      <c r="E67" s="1"/>
      <c r="F67" s="1"/>
    </row>
    <row r="68" ht="15.75" customHeight="1">
      <c r="A68" s="1" t="str">
        <f>IFERROR(__xludf.DUMMYFUNCTION("""COMPUTED_VALUE"""),"64 ATOM/USDT Binance")</f>
        <v>64 ATOM/USDT Binance</v>
      </c>
      <c r="B68" s="2">
        <f>IFERROR(__xludf.DUMMYFUNCTION("""COMPUTED_VALUE"""),10.24)</f>
        <v>10.24</v>
      </c>
      <c r="C68" s="1" t="str">
        <f>IFERROR(__xludf.DUMMYFUNCTION("""COMPUTED_VALUE"""),"$ 34.86 million")</f>
        <v>$ 34.86 million</v>
      </c>
      <c r="D68" s="1" t="str">
        <f>IFERROR(__xludf.DUMMYFUNCTION("""COMPUTED_VALUE"""),"$ 34.86M 
$ 10.24")</f>
        <v>$ 34.86M 
$ 10.24</v>
      </c>
      <c r="E68" s="1"/>
      <c r="F68" s="1"/>
    </row>
    <row r="69" ht="15.75" customHeight="1">
      <c r="A69" s="1" t="str">
        <f>IFERROR(__xludf.DUMMYFUNCTION("""COMPUTED_VALUE"""),"65 NTRN/USDT Binance")</f>
        <v>65 NTRN/USDT Binance</v>
      </c>
      <c r="B69" s="2">
        <f>IFERROR(__xludf.DUMMYFUNCTION("""COMPUTED_VALUE"""),1.71)</f>
        <v>1.71</v>
      </c>
      <c r="C69" s="1" t="str">
        <f>IFERROR(__xludf.DUMMYFUNCTION("""COMPUTED_VALUE"""),"$ 34.76 million")</f>
        <v>$ 34.76 million</v>
      </c>
      <c r="D69" s="1" t="str">
        <f>IFERROR(__xludf.DUMMYFUNCTION("""COMPUTED_VALUE"""),"$ 34.76M 
$ 1.71")</f>
        <v>$ 34.76M 
$ 1.71</v>
      </c>
      <c r="E69" s="1"/>
      <c r="F69" s="1"/>
    </row>
    <row r="70" ht="15.75" customHeight="1">
      <c r="A70" s="1" t="str">
        <f>IFERROR(__xludf.DUMMYFUNCTION("""COMPUTED_VALUE"""),"66 LUNC/USDT Binance")</f>
        <v>66 LUNC/USDT Binance</v>
      </c>
      <c r="B70" s="2">
        <f>IFERROR(__xludf.DUMMYFUNCTION("""COMPUTED_VALUE"""),1.24E-4)</f>
        <v>0.000124</v>
      </c>
      <c r="C70" s="1" t="str">
        <f>IFERROR(__xludf.DUMMYFUNCTION("""COMPUTED_VALUE"""),"$ 34.74 million")</f>
        <v>$ 34.74 million</v>
      </c>
      <c r="D70" s="1" t="str">
        <f>IFERROR(__xludf.DUMMYFUNCTION("""COMPUTED_VALUE"""),"$ 34.74M 
$ 0.000124")</f>
        <v>$ 34.74M 
$ 0.000124</v>
      </c>
      <c r="E70" s="1"/>
      <c r="F70" s="1"/>
    </row>
    <row r="71" ht="15.75" customHeight="1">
      <c r="A71" s="1" t="str">
        <f>IFERROR(__xludf.DUMMYFUNCTION("""COMPUTED_VALUE"""),"67 DYDX/USDT Binance")</f>
        <v>67 DYDX/USDT Binance</v>
      </c>
      <c r="B71" s="2">
        <f>IFERROR(__xludf.DUMMYFUNCTION("""COMPUTED_VALUE"""),3.11)</f>
        <v>3.11</v>
      </c>
      <c r="C71" s="1" t="str">
        <f>IFERROR(__xludf.DUMMYFUNCTION("""COMPUTED_VALUE"""),"$ 34.29 million")</f>
        <v>$ 34.29 million</v>
      </c>
      <c r="D71" s="1" t="str">
        <f>IFERROR(__xludf.DUMMYFUNCTION("""COMPUTED_VALUE"""),"$ 34.29M 
$ 3.11")</f>
        <v>$ 34.29M 
$ 3.11</v>
      </c>
      <c r="E71" s="1"/>
      <c r="F71" s="1"/>
    </row>
    <row r="72" ht="15.75" customHeight="1">
      <c r="A72" s="1" t="str">
        <f>IFERROR(__xludf.DUMMYFUNCTION("""COMPUTED_VALUE"""),"68 XRP/FDUSD Binance")</f>
        <v>68 XRP/FDUSD Binance</v>
      </c>
      <c r="B72" s="2">
        <f>IFERROR(__xludf.DUMMYFUNCTION("""COMPUTED_VALUE"""),0.55)</f>
        <v>0.55</v>
      </c>
      <c r="C72" s="1" t="str">
        <f>IFERROR(__xludf.DUMMYFUNCTION("""COMPUTED_VALUE"""),"$ 34.13 million")</f>
        <v>$ 34.13 million</v>
      </c>
      <c r="D72" s="1" t="str">
        <f>IFERROR(__xludf.DUMMYFUNCTION("""COMPUTED_VALUE"""),"$ 34.13M 
$ 0.550")</f>
        <v>$ 34.13M 
$ 0.550</v>
      </c>
      <c r="E72" s="1"/>
      <c r="F72" s="1"/>
    </row>
    <row r="73" ht="15.75" customHeight="1">
      <c r="A73" s="1" t="str">
        <f>IFERROR(__xludf.DUMMYFUNCTION("""COMPUTED_VALUE"""),"69 OM/USDT Binance")</f>
        <v>69 OM/USDT Binance</v>
      </c>
      <c r="B73" s="2">
        <f>IFERROR(__xludf.DUMMYFUNCTION("""COMPUTED_VALUE"""),0.275)</f>
        <v>0.275</v>
      </c>
      <c r="C73" s="1" t="str">
        <f>IFERROR(__xludf.DUMMYFUNCTION("""COMPUTED_VALUE"""),"$ 32.89 million")</f>
        <v>$ 32.89 million</v>
      </c>
      <c r="D73" s="1" t="str">
        <f>IFERROR(__xludf.DUMMYFUNCTION("""COMPUTED_VALUE"""),"$ 32.89M 
$ 0.275")</f>
        <v>$ 32.89M 
$ 0.275</v>
      </c>
      <c r="E73" s="1"/>
      <c r="F73" s="1"/>
    </row>
    <row r="74" ht="15.75" customHeight="1">
      <c r="A74" s="1" t="str">
        <f>IFERROR(__xludf.DUMMYFUNCTION("""COMPUTED_VALUE"""),"70 SUPER/USDT Binance")</f>
        <v>70 SUPER/USDT Binance</v>
      </c>
      <c r="B74" s="2">
        <f>IFERROR(__xludf.DUMMYFUNCTION("""COMPUTED_VALUE"""),1.13)</f>
        <v>1.13</v>
      </c>
      <c r="C74" s="1" t="str">
        <f>IFERROR(__xludf.DUMMYFUNCTION("""COMPUTED_VALUE"""),"$ 31.38 million")</f>
        <v>$ 31.38 million</v>
      </c>
      <c r="D74" s="1" t="str">
        <f>IFERROR(__xludf.DUMMYFUNCTION("""COMPUTED_VALUE"""),"$ 31.38M 
$ 1.13")</f>
        <v>$ 31.38M 
$ 1.13</v>
      </c>
      <c r="E74" s="1"/>
      <c r="F74" s="1"/>
    </row>
    <row r="75" ht="15.75" customHeight="1">
      <c r="A75" s="1" t="str">
        <f>IFERROR(__xludf.DUMMYFUNCTION("""COMPUTED_VALUE"""),"71 BAKE/USDT Binance")</f>
        <v>71 BAKE/USDT Binance</v>
      </c>
      <c r="B75" s="2">
        <f>IFERROR(__xludf.DUMMYFUNCTION("""COMPUTED_VALUE"""),0.422)</f>
        <v>0.422</v>
      </c>
      <c r="C75" s="1" t="str">
        <f>IFERROR(__xludf.DUMMYFUNCTION("""COMPUTED_VALUE"""),"$ 30.85 million")</f>
        <v>$ 30.85 million</v>
      </c>
      <c r="D75" s="1" t="str">
        <f>IFERROR(__xludf.DUMMYFUNCTION("""COMPUTED_VALUE"""),"$ 30.85M 
$ 0.422")</f>
        <v>$ 30.85M 
$ 0.422</v>
      </c>
      <c r="E75" s="1"/>
      <c r="F75" s="1"/>
    </row>
    <row r="76" ht="15.75" customHeight="1">
      <c r="A76" s="1" t="str">
        <f>IFERROR(__xludf.DUMMYFUNCTION("""COMPUTED_VALUE"""),"72 LEVER/USDT Binance")</f>
        <v>72 LEVER/USDT Binance</v>
      </c>
      <c r="B76" s="2">
        <f>IFERROR(__xludf.DUMMYFUNCTION("""COMPUTED_VALUE"""),0.00177)</f>
        <v>0.00177</v>
      </c>
      <c r="C76" s="1" t="str">
        <f>IFERROR(__xludf.DUMMYFUNCTION("""COMPUTED_VALUE"""),"$ 29.48 million")</f>
        <v>$ 29.48 million</v>
      </c>
      <c r="D76" s="1" t="str">
        <f>IFERROR(__xludf.DUMMYFUNCTION("""COMPUTED_VALUE"""),"$ 29.48M 
$ 0.00177")</f>
        <v>$ 29.48M 
$ 0.00177</v>
      </c>
      <c r="E76" s="1"/>
      <c r="F76" s="1"/>
    </row>
    <row r="77" ht="15.75" customHeight="1">
      <c r="A77" s="1" t="str">
        <f>IFERROR(__xludf.DUMMYFUNCTION("""COMPUTED_VALUE"""),"73 NFP/USDT Binance")</f>
        <v>73 NFP/USDT Binance</v>
      </c>
      <c r="B77" s="2">
        <f>IFERROR(__xludf.DUMMYFUNCTION("""COMPUTED_VALUE"""),0.651)</f>
        <v>0.651</v>
      </c>
      <c r="C77" s="1" t="str">
        <f>IFERROR(__xludf.DUMMYFUNCTION("""COMPUTED_VALUE"""),"$ 29.40 million")</f>
        <v>$ 29.40 million</v>
      </c>
      <c r="D77" s="1" t="str">
        <f>IFERROR(__xludf.DUMMYFUNCTION("""COMPUTED_VALUE"""),"$ 29.40M 
$ 0.651")</f>
        <v>$ 29.40M 
$ 0.651</v>
      </c>
      <c r="E77" s="1"/>
      <c r="F77" s="1"/>
    </row>
    <row r="78" ht="15.75" customHeight="1">
      <c r="A78" s="1" t="str">
        <f>IFERROR(__xludf.DUMMYFUNCTION("""COMPUTED_VALUE"""),"74 EUR/USDT Binance")</f>
        <v>74 EUR/USDT Binance</v>
      </c>
      <c r="B78" s="2">
        <f>IFERROR(__xludf.DUMMYFUNCTION("""COMPUTED_VALUE"""),1.07)</f>
        <v>1.07</v>
      </c>
      <c r="C78" s="1" t="str">
        <f>IFERROR(__xludf.DUMMYFUNCTION("""COMPUTED_VALUE"""),"$ 28.48 million")</f>
        <v>$ 28.48 million</v>
      </c>
      <c r="D78" s="1" t="str">
        <f>IFERROR(__xludf.DUMMYFUNCTION("""COMPUTED_VALUE"""),"$ 28.48M 
$ 1.07")</f>
        <v>$ 28.48M 
$ 1.07</v>
      </c>
      <c r="E78" s="1"/>
      <c r="F78" s="1"/>
    </row>
    <row r="79" ht="15.75" customHeight="1">
      <c r="A79" s="1" t="str">
        <f>IFERROR(__xludf.DUMMYFUNCTION("""COMPUTED_VALUE"""),"75 SOL/BTC Binance")</f>
        <v>75 SOL/BTC Binance</v>
      </c>
      <c r="B79" s="2">
        <f>IFERROR(__xludf.DUMMYFUNCTION("""COMPUTED_VALUE"""),115.8)</f>
        <v>115.8</v>
      </c>
      <c r="C79" s="1" t="str">
        <f>IFERROR(__xludf.DUMMYFUNCTION("""COMPUTED_VALUE"""),"$ 28.29 million")</f>
        <v>$ 28.29 million</v>
      </c>
      <c r="D79" s="1" t="str">
        <f>IFERROR(__xludf.DUMMYFUNCTION("""COMPUTED_VALUE"""),"$ 28.29M 
$ 115.80")</f>
        <v>$ 28.29M 
$ 115.80</v>
      </c>
      <c r="E79" s="1"/>
      <c r="F79" s="1"/>
    </row>
    <row r="80" ht="15.75" customHeight="1">
      <c r="A80" s="1" t="str">
        <f>IFERROR(__xludf.DUMMYFUNCTION("""COMPUTED_VALUE"""),"76 UMA/USDT Binance")</f>
        <v>76 UMA/USDT Binance</v>
      </c>
      <c r="B80" s="2">
        <f>IFERROR(__xludf.DUMMYFUNCTION("""COMPUTED_VALUE"""),4.44)</f>
        <v>4.44</v>
      </c>
      <c r="C80" s="1" t="str">
        <f>IFERROR(__xludf.DUMMYFUNCTION("""COMPUTED_VALUE"""),"$ 27.87 million")</f>
        <v>$ 27.87 million</v>
      </c>
      <c r="D80" s="1" t="str">
        <f>IFERROR(__xludf.DUMMYFUNCTION("""COMPUTED_VALUE"""),"$ 27.87M 
$ 4.44")</f>
        <v>$ 27.87M 
$ 4.44</v>
      </c>
      <c r="E80" s="1"/>
      <c r="F80" s="1"/>
    </row>
    <row r="81" ht="15.75" customHeight="1">
      <c r="A81" s="1" t="str">
        <f>IFERROR(__xludf.DUMMYFUNCTION("""COMPUTED_VALUE"""),"77 ORN/USDT Binance")</f>
        <v>77 ORN/USDT Binance</v>
      </c>
      <c r="B81" s="2">
        <f>IFERROR(__xludf.DUMMYFUNCTION("""COMPUTED_VALUE"""),1.37)</f>
        <v>1.37</v>
      </c>
      <c r="C81" s="1" t="str">
        <f>IFERROR(__xludf.DUMMYFUNCTION("""COMPUTED_VALUE"""),"$ 27.61 million")</f>
        <v>$ 27.61 million</v>
      </c>
      <c r="D81" s="1" t="str">
        <f>IFERROR(__xludf.DUMMYFUNCTION("""COMPUTED_VALUE"""),"$ 27.61M 
$ 1.37")</f>
        <v>$ 27.61M 
$ 1.37</v>
      </c>
      <c r="E81" s="1"/>
      <c r="F81" s="1"/>
    </row>
    <row r="82" ht="15.75" customHeight="1">
      <c r="A82" s="1" t="str">
        <f>IFERROR(__xludf.DUMMYFUNCTION("""COMPUTED_VALUE"""),"78 BEAM/USDT Binance")</f>
        <v>78 BEAM/USDT Binance</v>
      </c>
      <c r="B82" s="2">
        <f>IFERROR(__xludf.DUMMYFUNCTION("""COMPUTED_VALUE"""),0.0304)</f>
        <v>0.0304</v>
      </c>
      <c r="C82" s="1" t="str">
        <f>IFERROR(__xludf.DUMMYFUNCTION("""COMPUTED_VALUE"""),"$ 27.21 million")</f>
        <v>$ 27.21 million</v>
      </c>
      <c r="D82" s="1" t="str">
        <f>IFERROR(__xludf.DUMMYFUNCTION("""COMPUTED_VALUE"""),"$ 27.21M 
$ 0.0304")</f>
        <v>$ 27.21M 
$ 0.0304</v>
      </c>
      <c r="E82" s="1"/>
      <c r="F82" s="1"/>
    </row>
    <row r="83" ht="15.75" customHeight="1">
      <c r="A83" s="1" t="str">
        <f>IFERROR(__xludf.DUMMYFUNCTION("""COMPUTED_VALUE"""),"79 TUSD/USDT Binance")</f>
        <v>79 TUSD/USDT Binance</v>
      </c>
      <c r="B83" s="2">
        <f>IFERROR(__xludf.DUMMYFUNCTION("""COMPUTED_VALUE"""),0.984)</f>
        <v>0.984</v>
      </c>
      <c r="C83" s="1" t="str">
        <f>IFERROR(__xludf.DUMMYFUNCTION("""COMPUTED_VALUE"""),"$ 27.06 million")</f>
        <v>$ 27.06 million</v>
      </c>
      <c r="D83" s="1" t="str">
        <f>IFERROR(__xludf.DUMMYFUNCTION("""COMPUTED_VALUE"""),"$ 27.06M 
$ 0.984")</f>
        <v>$ 27.06M 
$ 0.984</v>
      </c>
      <c r="E83" s="1"/>
      <c r="F83" s="1"/>
    </row>
    <row r="84" ht="15.75" customHeight="1">
      <c r="A84" s="1" t="str">
        <f>IFERROR(__xludf.DUMMYFUNCTION("""COMPUTED_VALUE"""),"80 ETH/USDC Binance")</f>
        <v>80 ETH/USDC Binance</v>
      </c>
      <c r="B84" s="2">
        <f>IFERROR(__xludf.DUMMYFUNCTION("""COMPUTED_VALUE"""),2797.14)</f>
        <v>2797.14</v>
      </c>
      <c r="C84" s="1" t="str">
        <f>IFERROR(__xludf.DUMMYFUNCTION("""COMPUTED_VALUE"""),"$ 26.76 million")</f>
        <v>$ 26.76 million</v>
      </c>
      <c r="D84" s="1" t="str">
        <f>IFERROR(__xludf.DUMMYFUNCTION("""COMPUTED_VALUE"""),"$ 26.76M 
$ 2,797.14")</f>
        <v>$ 26.76M 
$ 2,797.14</v>
      </c>
      <c r="E84" s="1"/>
      <c r="F84" s="1"/>
    </row>
    <row r="85" ht="15.75" customHeight="1">
      <c r="A85" s="1" t="str">
        <f>IFERROR(__xludf.DUMMYFUNCTION("""COMPUTED_VALUE"""),"81 MEME/USDT Binance")</f>
        <v>81 MEME/USDT Binance</v>
      </c>
      <c r="B85" s="2">
        <f>IFERROR(__xludf.DUMMYFUNCTION("""COMPUTED_VALUE"""),0.0269)</f>
        <v>0.0269</v>
      </c>
      <c r="C85" s="1" t="str">
        <f>IFERROR(__xludf.DUMMYFUNCTION("""COMPUTED_VALUE"""),"$ 26.50 million")</f>
        <v>$ 26.50 million</v>
      </c>
      <c r="D85" s="1" t="str">
        <f>IFERROR(__xludf.DUMMYFUNCTION("""COMPUTED_VALUE"""),"$ 26.50M 
$ 0.0269")</f>
        <v>$ 26.50M 
$ 0.0269</v>
      </c>
      <c r="E85" s="1"/>
      <c r="F85" s="1"/>
    </row>
    <row r="86" ht="15.75" customHeight="1">
      <c r="A86" s="1" t="str">
        <f>IFERROR(__xludf.DUMMYFUNCTION("""COMPUTED_VALUE"""),"82 CAKE/USDT Binance")</f>
        <v>82 CAKE/USDT Binance</v>
      </c>
      <c r="B86" s="2">
        <f>IFERROR(__xludf.DUMMYFUNCTION("""COMPUTED_VALUE"""),2.76)</f>
        <v>2.76</v>
      </c>
      <c r="C86" s="1" t="str">
        <f>IFERROR(__xludf.DUMMYFUNCTION("""COMPUTED_VALUE"""),"$ 26.22 million")</f>
        <v>$ 26.22 million</v>
      </c>
      <c r="D86" s="1" t="str">
        <f>IFERROR(__xludf.DUMMYFUNCTION("""COMPUTED_VALUE"""),"$ 26.22M 
$ 2.76")</f>
        <v>$ 26.22M 
$ 2.76</v>
      </c>
      <c r="E86" s="1"/>
      <c r="F86" s="1"/>
    </row>
    <row r="87" ht="15.75" customHeight="1">
      <c r="A87" s="1" t="str">
        <f>IFERROR(__xludf.DUMMYFUNCTION("""COMPUTED_VALUE"""),"83 LDO/USDT Binance")</f>
        <v>83 LDO/USDT Binance</v>
      </c>
      <c r="B87" s="2">
        <f>IFERROR(__xludf.DUMMYFUNCTION("""COMPUTED_VALUE"""),3.22)</f>
        <v>3.22</v>
      </c>
      <c r="C87" s="1" t="str">
        <f>IFERROR(__xludf.DUMMYFUNCTION("""COMPUTED_VALUE"""),"$ 25.68 million")</f>
        <v>$ 25.68 million</v>
      </c>
      <c r="D87" s="1" t="str">
        <f>IFERROR(__xludf.DUMMYFUNCTION("""COMPUTED_VALUE"""),"$ 25.68M 
$ 3.22")</f>
        <v>$ 25.68M 
$ 3.22</v>
      </c>
      <c r="E87" s="1"/>
      <c r="F87" s="1"/>
    </row>
    <row r="88" ht="15.75" customHeight="1">
      <c r="A88" s="1" t="str">
        <f>IFERROR(__xludf.DUMMYFUNCTION("""COMPUTED_VALUE"""),"84 T/USDT Binance")</f>
        <v>84 T/USDT Binance</v>
      </c>
      <c r="B88" s="2">
        <f>IFERROR(__xludf.DUMMYFUNCTION("""COMPUTED_VALUE"""),0.0306)</f>
        <v>0.0306</v>
      </c>
      <c r="C88" s="1" t="str">
        <f>IFERROR(__xludf.DUMMYFUNCTION("""COMPUTED_VALUE"""),"$ 25.10 million")</f>
        <v>$ 25.10 million</v>
      </c>
      <c r="D88" s="1" t="str">
        <f>IFERROR(__xludf.DUMMYFUNCTION("""COMPUTED_VALUE"""),"$ 25.10M 
$ 0.0306")</f>
        <v>$ 25.10M 
$ 0.0306</v>
      </c>
      <c r="E88" s="1"/>
      <c r="F88" s="1"/>
    </row>
    <row r="89" ht="15.75" customHeight="1">
      <c r="A89" s="1" t="str">
        <f>IFERROR(__xludf.DUMMYFUNCTION("""COMPUTED_VALUE"""),"85 MINA/USDT Binance")</f>
        <v>85 MINA/USDT Binance</v>
      </c>
      <c r="B89" s="2">
        <f>IFERROR(__xludf.DUMMYFUNCTION("""COMPUTED_VALUE"""),1.48)</f>
        <v>1.48</v>
      </c>
      <c r="C89" s="1" t="str">
        <f>IFERROR(__xludf.DUMMYFUNCTION("""COMPUTED_VALUE"""),"$ 24.38 million")</f>
        <v>$ 24.38 million</v>
      </c>
      <c r="D89" s="1" t="str">
        <f>IFERROR(__xludf.DUMMYFUNCTION("""COMPUTED_VALUE"""),"$ 24.38M 
$ 1.48")</f>
        <v>$ 24.38M 
$ 1.48</v>
      </c>
      <c r="E89" s="1"/>
      <c r="F89" s="1"/>
    </row>
    <row r="90" ht="15.75" customHeight="1">
      <c r="A90" s="1" t="str">
        <f>IFERROR(__xludf.DUMMYFUNCTION("""COMPUTED_VALUE"""),"86 CHR/USDT Binance")</f>
        <v>86 CHR/USDT Binance</v>
      </c>
      <c r="B90" s="2">
        <f>IFERROR(__xludf.DUMMYFUNCTION("""COMPUTED_VALUE"""),0.405)</f>
        <v>0.405</v>
      </c>
      <c r="C90" s="1" t="str">
        <f>IFERROR(__xludf.DUMMYFUNCTION("""COMPUTED_VALUE"""),"$ 24.35 million")</f>
        <v>$ 24.35 million</v>
      </c>
      <c r="D90" s="1" t="str">
        <f>IFERROR(__xludf.DUMMYFUNCTION("""COMPUTED_VALUE"""),"$ 24.35M 
$ 0.405")</f>
        <v>$ 24.35M 
$ 0.405</v>
      </c>
      <c r="E90" s="1"/>
      <c r="F90" s="1"/>
    </row>
    <row r="91" ht="15.75" customHeight="1">
      <c r="A91" s="1" t="str">
        <f>IFERROR(__xludf.DUMMYFUNCTION("""COMPUTED_VALUE"""),"87 ENS/USDT Binance")</f>
        <v>87 ENS/USDT Binance</v>
      </c>
      <c r="B91" s="2">
        <f>IFERROR(__xludf.DUMMYFUNCTION("""COMPUTED_VALUE"""),23.44)</f>
        <v>23.44</v>
      </c>
      <c r="C91" s="1" t="str">
        <f>IFERROR(__xludf.DUMMYFUNCTION("""COMPUTED_VALUE"""),"$ 23.70 million")</f>
        <v>$ 23.70 million</v>
      </c>
      <c r="D91" s="1" t="str">
        <f>IFERROR(__xludf.DUMMYFUNCTION("""COMPUTED_VALUE"""),"$ 23.70M 
$ 23.44")</f>
        <v>$ 23.70M 
$ 23.44</v>
      </c>
      <c r="E91" s="1"/>
      <c r="F91" s="1"/>
    </row>
    <row r="92" ht="15.75" customHeight="1">
      <c r="A92" s="1" t="str">
        <f>IFERROR(__xludf.DUMMYFUNCTION("""COMPUTED_VALUE"""),"88 GAS/USDT Binance")</f>
        <v>88 GAS/USDT Binance</v>
      </c>
      <c r="B92" s="2">
        <f>IFERROR(__xludf.DUMMYFUNCTION("""COMPUTED_VALUE"""),6.87)</f>
        <v>6.87</v>
      </c>
      <c r="C92" s="1" t="str">
        <f>IFERROR(__xludf.DUMMYFUNCTION("""COMPUTED_VALUE"""),"$ 22.83 million")</f>
        <v>$ 22.83 million</v>
      </c>
      <c r="D92" s="1" t="str">
        <f>IFERROR(__xludf.DUMMYFUNCTION("""COMPUTED_VALUE"""),"$ 22.83M 
$ 6.87")</f>
        <v>$ 22.83M 
$ 6.87</v>
      </c>
      <c r="E92" s="1"/>
      <c r="F92" s="1"/>
    </row>
    <row r="93" ht="15.75" customHeight="1">
      <c r="A93" s="1" t="str">
        <f>IFERROR(__xludf.DUMMYFUNCTION("""COMPUTED_VALUE"""),"89 GALA/USDT Binance")</f>
        <v>89 GALA/USDT Binance</v>
      </c>
      <c r="B93" s="2">
        <f>IFERROR(__xludf.DUMMYFUNCTION("""COMPUTED_VALUE"""),0.0266)</f>
        <v>0.0266</v>
      </c>
      <c r="C93" s="1" t="str">
        <f>IFERROR(__xludf.DUMMYFUNCTION("""COMPUTED_VALUE"""),"$ 22.80 million")</f>
        <v>$ 22.80 million</v>
      </c>
      <c r="D93" s="1" t="str">
        <f>IFERROR(__xludf.DUMMYFUNCTION("""COMPUTED_VALUE"""),"$ 22.80M 
$ 0.0266")</f>
        <v>$ 22.80M 
$ 0.0266</v>
      </c>
      <c r="E93" s="1"/>
      <c r="F93" s="1"/>
    </row>
    <row r="94" ht="15.75" customHeight="1">
      <c r="A94" s="1" t="str">
        <f>IFERROR(__xludf.DUMMYFUNCTION("""COMPUTED_VALUE"""),"90 APE/USDT Binance")</f>
        <v>90 APE/USDT Binance</v>
      </c>
      <c r="B94" s="2">
        <f>IFERROR(__xludf.DUMMYFUNCTION("""COMPUTED_VALUE"""),1.62)</f>
        <v>1.62</v>
      </c>
      <c r="C94" s="1" t="str">
        <f>IFERROR(__xludf.DUMMYFUNCTION("""COMPUTED_VALUE"""),"$ 22.68 million")</f>
        <v>$ 22.68 million</v>
      </c>
      <c r="D94" s="1" t="str">
        <f>IFERROR(__xludf.DUMMYFUNCTION("""COMPUTED_VALUE"""),"$ 22.68M 
$ 1.62")</f>
        <v>$ 22.68M 
$ 1.62</v>
      </c>
      <c r="E94" s="1"/>
      <c r="F94" s="1"/>
    </row>
    <row r="95" ht="15.75" customHeight="1">
      <c r="A95" s="1" t="str">
        <f>IFERROR(__xludf.DUMMYFUNCTION("""COMPUTED_VALUE"""),"91 FTM/USDT Binance")</f>
        <v>91 FTM/USDT Binance</v>
      </c>
      <c r="B95" s="2">
        <f>IFERROR(__xludf.DUMMYFUNCTION("""COMPUTED_VALUE"""),0.412)</f>
        <v>0.412</v>
      </c>
      <c r="C95" s="1" t="str">
        <f>IFERROR(__xludf.DUMMYFUNCTION("""COMPUTED_VALUE"""),"$ 22.45 million")</f>
        <v>$ 22.45 million</v>
      </c>
      <c r="D95" s="1" t="str">
        <f>IFERROR(__xludf.DUMMYFUNCTION("""COMPUTED_VALUE"""),"$ 22.45M 
$ 0.412")</f>
        <v>$ 22.45M 
$ 0.412</v>
      </c>
      <c r="E95" s="1"/>
      <c r="F95" s="1"/>
    </row>
    <row r="96" ht="15.75" customHeight="1">
      <c r="A96" s="1" t="str">
        <f>IFERROR(__xludf.DUMMYFUNCTION("""COMPUTED_VALUE"""),"92 ASTR/USDT Binance")</f>
        <v>92 ASTR/USDT Binance</v>
      </c>
      <c r="B96" s="2">
        <f>IFERROR(__xludf.DUMMYFUNCTION("""COMPUTED_VALUE"""),0.175)</f>
        <v>0.175</v>
      </c>
      <c r="C96" s="1" t="str">
        <f>IFERROR(__xludf.DUMMYFUNCTION("""COMPUTED_VALUE"""),"$ 22.36 million")</f>
        <v>$ 22.36 million</v>
      </c>
      <c r="D96" s="1" t="str">
        <f>IFERROR(__xludf.DUMMYFUNCTION("""COMPUTED_VALUE"""),"$ 22.36M 
$ 0.175")</f>
        <v>$ 22.36M 
$ 0.175</v>
      </c>
      <c r="E96" s="1"/>
      <c r="F96" s="1"/>
    </row>
    <row r="97" ht="15.75" customHeight="1">
      <c r="A97" s="1" t="str">
        <f>IFERROR(__xludf.DUMMYFUNCTION("""COMPUTED_VALUE"""),"93 DATA/USDT Binance")</f>
        <v>93 DATA/USDT Binance</v>
      </c>
      <c r="B97" s="2">
        <f>IFERROR(__xludf.DUMMYFUNCTION("""COMPUTED_VALUE"""),0.0679)</f>
        <v>0.0679</v>
      </c>
      <c r="C97" s="1" t="str">
        <f>IFERROR(__xludf.DUMMYFUNCTION("""COMPUTED_VALUE"""),"$ 21.90 million")</f>
        <v>$ 21.90 million</v>
      </c>
      <c r="D97" s="1" t="str">
        <f>IFERROR(__xludf.DUMMYFUNCTION("""COMPUTED_VALUE"""),"$ 21.90M 
$ 0.0679")</f>
        <v>$ 21.90M 
$ 0.0679</v>
      </c>
      <c r="E97" s="1"/>
      <c r="F97" s="1"/>
    </row>
    <row r="98" ht="15.75" customHeight="1">
      <c r="A98" s="1" t="str">
        <f>IFERROR(__xludf.DUMMYFUNCTION("""COMPUTED_VALUE"""),"94 DYM/TRY Binance")</f>
        <v>94 DYM/TRY Binance</v>
      </c>
      <c r="B98" s="2">
        <f>IFERROR(__xludf.DUMMYFUNCTION("""COMPUTED_VALUE"""),8.26)</f>
        <v>8.26</v>
      </c>
      <c r="C98" s="1" t="str">
        <f>IFERROR(__xludf.DUMMYFUNCTION("""COMPUTED_VALUE"""),"$ 21.25 million")</f>
        <v>$ 21.25 million</v>
      </c>
      <c r="D98" s="1" t="str">
        <f>IFERROR(__xludf.DUMMYFUNCTION("""COMPUTED_VALUE"""),"$ 21.25M 
$ 8.26")</f>
        <v>$ 21.25M 
$ 8.26</v>
      </c>
      <c r="E98" s="1"/>
      <c r="F98" s="1"/>
    </row>
    <row r="99" ht="15.75" customHeight="1">
      <c r="A99" s="1" t="str">
        <f>IFERROR(__xludf.DUMMYFUNCTION("""COMPUTED_VALUE"""),"95 ID/USDT Binance")</f>
        <v>95 ID/USDT Binance</v>
      </c>
      <c r="B99" s="2">
        <f>IFERROR(__xludf.DUMMYFUNCTION("""COMPUTED_VALUE"""),0.594)</f>
        <v>0.594</v>
      </c>
      <c r="C99" s="1" t="str">
        <f>IFERROR(__xludf.DUMMYFUNCTION("""COMPUTED_VALUE"""),"$ 20.82 million")</f>
        <v>$ 20.82 million</v>
      </c>
      <c r="D99" s="1" t="str">
        <f>IFERROR(__xludf.DUMMYFUNCTION("""COMPUTED_VALUE"""),"$ 20.82M 
$ 0.594")</f>
        <v>$ 20.82M 
$ 0.594</v>
      </c>
      <c r="E99" s="1"/>
      <c r="F99" s="1"/>
    </row>
    <row r="100" ht="15.75" customHeight="1">
      <c r="A100" s="1" t="str">
        <f>IFERROR(__xludf.DUMMYFUNCTION("""COMPUTED_VALUE"""),"96 NEO/USDT Binance")</f>
        <v>96 NEO/USDT Binance</v>
      </c>
      <c r="B100" s="2">
        <f>IFERROR(__xludf.DUMMYFUNCTION("""COMPUTED_VALUE"""),13.18)</f>
        <v>13.18</v>
      </c>
      <c r="C100" s="1" t="str">
        <f>IFERROR(__xludf.DUMMYFUNCTION("""COMPUTED_VALUE"""),"$ 20.65 million")</f>
        <v>$ 20.65 million</v>
      </c>
      <c r="D100" s="1" t="str">
        <f>IFERROR(__xludf.DUMMYFUNCTION("""COMPUTED_VALUE"""),"$ 20.65M 
$ 13.18")</f>
        <v>$ 20.65M 
$ 13.18</v>
      </c>
      <c r="E100" s="1"/>
      <c r="F100" s="1"/>
    </row>
    <row r="101" ht="15.75" customHeight="1">
      <c r="A101" s="1" t="str">
        <f>IFERROR(__xludf.DUMMYFUNCTION("""COMPUTED_VALUE"""),"97 CYBER/USDT Binance")</f>
        <v>97 CYBER/USDT Binance</v>
      </c>
      <c r="B101" s="2">
        <f>IFERROR(__xludf.DUMMYFUNCTION("""COMPUTED_VALUE"""),8.26)</f>
        <v>8.26</v>
      </c>
      <c r="C101" s="1" t="str">
        <f>IFERROR(__xludf.DUMMYFUNCTION("""COMPUTED_VALUE"""),"$ 20.64 million")</f>
        <v>$ 20.64 million</v>
      </c>
      <c r="D101" s="1" t="str">
        <f>IFERROR(__xludf.DUMMYFUNCTION("""COMPUTED_VALUE"""),"$ 20.64M 
$ 8.26")</f>
        <v>$ 20.64M 
$ 8.26</v>
      </c>
      <c r="E101" s="1"/>
      <c r="F101" s="1"/>
    </row>
    <row r="102" ht="15.75" customHeight="1">
      <c r="A102" s="1" t="str">
        <f>IFERROR(__xludf.DUMMYFUNCTION("""COMPUTED_VALUE"""),"98 CHZ/USDT Binance")</f>
        <v>98 CHZ/USDT Binance</v>
      </c>
      <c r="B102" s="2">
        <f>IFERROR(__xludf.DUMMYFUNCTION("""COMPUTED_VALUE"""),0.107)</f>
        <v>0.107</v>
      </c>
      <c r="C102" s="1" t="str">
        <f>IFERROR(__xludf.DUMMYFUNCTION("""COMPUTED_VALUE"""),"$ 20.53 million")</f>
        <v>$ 20.53 million</v>
      </c>
      <c r="D102" s="1" t="str">
        <f>IFERROR(__xludf.DUMMYFUNCTION("""COMPUTED_VALUE"""),"$ 20.53M 
$ 0.107")</f>
        <v>$ 20.53M 
$ 0.107</v>
      </c>
      <c r="E102" s="1"/>
      <c r="F102" s="1"/>
    </row>
    <row r="103" ht="15.75" customHeight="1">
      <c r="A103" s="1" t="str">
        <f>IFERROR(__xludf.DUMMYFUNCTION("""COMPUTED_VALUE"""),"99 BTC/EUR Binance")</f>
        <v>99 BTC/EUR Binance</v>
      </c>
      <c r="B103" s="2">
        <f>IFERROR(__xludf.DUMMYFUNCTION("""COMPUTED_VALUE"""),52440.19)</f>
        <v>52440.19</v>
      </c>
      <c r="C103" s="1" t="str">
        <f>IFERROR(__xludf.DUMMYFUNCTION("""COMPUTED_VALUE"""),"$ 19.98 million")</f>
        <v>$ 19.98 million</v>
      </c>
      <c r="D103" s="1" t="str">
        <f>IFERROR(__xludf.DUMMYFUNCTION("""COMPUTED_VALUE"""),"$ 19.98M 
$ 52,440.19")</f>
        <v>$ 19.98M 
$ 52,440.19</v>
      </c>
      <c r="E103" s="1"/>
      <c r="F103" s="1"/>
    </row>
    <row r="104" ht="15.75" customHeight="1">
      <c r="A104" s="1" t="str">
        <f>IFERROR(__xludf.DUMMYFUNCTION("""COMPUTED_VALUE"""),"100 USDT/BRL Binance")</f>
        <v>100 USDT/BRL Binance</v>
      </c>
      <c r="B104" s="2">
        <f>IFERROR(__xludf.DUMMYFUNCTION("""COMPUTED_VALUE"""),1.01)</f>
        <v>1.01</v>
      </c>
      <c r="C104" s="1" t="str">
        <f>IFERROR(__xludf.DUMMYFUNCTION("""COMPUTED_VALUE"""),"$ 18.72 million")</f>
        <v>$ 18.72 million</v>
      </c>
      <c r="D104" s="1" t="str">
        <f>IFERROR(__xludf.DUMMYFUNCTION("""COMPUTED_VALUE"""),"$ 18.72M 
$ 1.01")</f>
        <v>$ 18.72M 
$ 1.01</v>
      </c>
      <c r="E104" s="1"/>
      <c r="F104" s="1"/>
    </row>
    <row r="105" ht="15.75" customHeight="1">
      <c r="A105" s="5" t="str">
        <f>IFERROR(__xludf.DUMMYFUNCTION("IMPORTHTML(""https://coinranking.com/exchange/-zdvbieRdZ+binance/markets?tenable.test=anything&amp;sortby=desc&amp;sorton&amp;page=3"", ""table"", 1)"),"Markets")</f>
        <v>Markets</v>
      </c>
      <c r="B105" s="1" t="str">
        <f>IFERROR(__xludf.DUMMYFUNCTION("""COMPUTED_VALUE"""),"Base price")</f>
        <v>Base price</v>
      </c>
      <c r="C105" s="1" t="str">
        <f>IFERROR(__xludf.DUMMYFUNCTION("""COMPUTED_VALUE"""),"24h trade volume")</f>
        <v>24h trade volume</v>
      </c>
      <c r="D105" s="1" t="str">
        <f>IFERROR(__xludf.DUMMYFUNCTION("""COMPUTED_VALUE"""),"24h volume")</f>
        <v>24h volume</v>
      </c>
      <c r="E105" s="1" t="str">
        <f>IFERROR(__xludf.DUMMYFUNCTION("""COMPUTED_VALUE"""),"Recommended")</f>
        <v>Recommended</v>
      </c>
      <c r="F105" s="1"/>
    </row>
    <row r="106" ht="15.75" customHeight="1">
      <c r="A106" s="1" t="str">
        <f>IFERROR(__xludf.DUMMYFUNCTION("""COMPUTED_VALUE"""),"101 CFX/USDT Binance")</f>
        <v>101 CFX/USDT Binance</v>
      </c>
      <c r="B106" s="2">
        <f>IFERROR(__xludf.DUMMYFUNCTION("""COMPUTED_VALUE"""),0.232)</f>
        <v>0.232</v>
      </c>
      <c r="C106" s="1" t="str">
        <f>IFERROR(__xludf.DUMMYFUNCTION("""COMPUTED_VALUE"""),"$ 18.64 million")</f>
        <v>$ 18.64 million</v>
      </c>
      <c r="D106" s="1" t="str">
        <f>IFERROR(__xludf.DUMMYFUNCTION("""COMPUTED_VALUE"""),"$ 18.64M 
$ 0.232")</f>
        <v>$ 18.64M 
$ 0.232</v>
      </c>
      <c r="E106" s="1"/>
      <c r="F106" s="1"/>
    </row>
    <row r="107" ht="15.75" customHeight="1">
      <c r="A107" s="1" t="str">
        <f>IFERROR(__xludf.DUMMYFUNCTION("""COMPUTED_VALUE"""),"102 BADGER/USDT Binance")</f>
        <v>102 BADGER/USDT Binance</v>
      </c>
      <c r="B107" s="2">
        <f>IFERROR(__xludf.DUMMYFUNCTION("""COMPUTED_VALUE"""),4.13)</f>
        <v>4.13</v>
      </c>
      <c r="C107" s="1" t="str">
        <f>IFERROR(__xludf.DUMMYFUNCTION("""COMPUTED_VALUE"""),"$ 18.62 million")</f>
        <v>$ 18.62 million</v>
      </c>
      <c r="D107" s="1" t="str">
        <f>IFERROR(__xludf.DUMMYFUNCTION("""COMPUTED_VALUE"""),"$ 18.62M 
$ 4.13")</f>
        <v>$ 18.62M 
$ 4.13</v>
      </c>
      <c r="E107" s="1"/>
      <c r="F107" s="1"/>
    </row>
    <row r="108" ht="15.75" customHeight="1">
      <c r="A108" s="1" t="str">
        <f>IFERROR(__xludf.DUMMYFUNCTION("""COMPUTED_VALUE"""),"103 JTO/USDT Binance")</f>
        <v>103 JTO/USDT Binance</v>
      </c>
      <c r="B108" s="2">
        <f>IFERROR(__xludf.DUMMYFUNCTION("""COMPUTED_VALUE"""),2.21)</f>
        <v>2.21</v>
      </c>
      <c r="C108" s="1" t="str">
        <f>IFERROR(__xludf.DUMMYFUNCTION("""COMPUTED_VALUE"""),"$ 18.41 million")</f>
        <v>$ 18.41 million</v>
      </c>
      <c r="D108" s="1" t="str">
        <f>IFERROR(__xludf.DUMMYFUNCTION("""COMPUTED_VALUE"""),"$ 18.41M 
$ 2.21")</f>
        <v>$ 18.41M 
$ 2.21</v>
      </c>
      <c r="E108" s="1"/>
      <c r="F108" s="1"/>
    </row>
    <row r="109" ht="15.75" customHeight="1">
      <c r="A109" s="1" t="str">
        <f>IFERROR(__xludf.DUMMYFUNCTION("""COMPUTED_VALUE"""),"104 AAVE/USDT Binance")</f>
        <v>104 AAVE/USDT Binance</v>
      </c>
      <c r="B109" s="2">
        <f>IFERROR(__xludf.DUMMYFUNCTION("""COMPUTED_VALUE"""),92.47)</f>
        <v>92.47</v>
      </c>
      <c r="C109" s="1" t="str">
        <f>IFERROR(__xludf.DUMMYFUNCTION("""COMPUTED_VALUE"""),"$ 17.33 million")</f>
        <v>$ 17.33 million</v>
      </c>
      <c r="D109" s="1" t="str">
        <f>IFERROR(__xludf.DUMMYFUNCTION("""COMPUTED_VALUE"""),"$ 17.33M 
$ 92.47")</f>
        <v>$ 17.33M 
$ 92.47</v>
      </c>
      <c r="E109" s="1"/>
      <c r="F109" s="1"/>
    </row>
    <row r="110" ht="15.75" customHeight="1">
      <c r="A110" s="1" t="str">
        <f>IFERROR(__xludf.DUMMYFUNCTION("""COMPUTED_VALUE"""),"105 API3/TRY Binance")</f>
        <v>105 API3/TRY Binance</v>
      </c>
      <c r="B110" s="2">
        <f>IFERROR(__xludf.DUMMYFUNCTION("""COMPUTED_VALUE"""),4.68)</f>
        <v>4.68</v>
      </c>
      <c r="C110" s="1" t="str">
        <f>IFERROR(__xludf.DUMMYFUNCTION("""COMPUTED_VALUE"""),"$ 17.30 million")</f>
        <v>$ 17.30 million</v>
      </c>
      <c r="D110" s="1" t="str">
        <f>IFERROR(__xludf.DUMMYFUNCTION("""COMPUTED_VALUE"""),"$ 17.30M 
$ 4.68")</f>
        <v>$ 17.30M 
$ 4.68</v>
      </c>
      <c r="E110" s="1"/>
      <c r="F110" s="1"/>
    </row>
    <row r="111" ht="15.75" customHeight="1">
      <c r="A111" s="1" t="str">
        <f>IFERROR(__xludf.DUMMYFUNCTION("""COMPUTED_VALUE"""),"106 QTUM/USDT Binance")</f>
        <v>106 QTUM/USDT Binance</v>
      </c>
      <c r="B111" s="2">
        <f>IFERROR(__xludf.DUMMYFUNCTION("""COMPUTED_VALUE"""),3.37)</f>
        <v>3.37</v>
      </c>
      <c r="C111" s="1" t="str">
        <f>IFERROR(__xludf.DUMMYFUNCTION("""COMPUTED_VALUE"""),"$ 16.92 million")</f>
        <v>$ 16.92 million</v>
      </c>
      <c r="D111" s="1" t="str">
        <f>IFERROR(__xludf.DUMMYFUNCTION("""COMPUTED_VALUE"""),"$ 16.92M 
$ 3.37")</f>
        <v>$ 16.92M 
$ 3.37</v>
      </c>
      <c r="E111" s="1"/>
      <c r="F111" s="1"/>
    </row>
    <row r="112" ht="15.75" customHeight="1">
      <c r="A112" s="1" t="str">
        <f>IFERROR(__xludf.DUMMYFUNCTION("""COMPUTED_VALUE"""),"107 TRB/USDT Binance")</f>
        <v>107 TRB/USDT Binance</v>
      </c>
      <c r="B112" s="2">
        <f>IFERROR(__xludf.DUMMYFUNCTION("""COMPUTED_VALUE"""),126.88)</f>
        <v>126.88</v>
      </c>
      <c r="C112" s="1" t="str">
        <f>IFERROR(__xludf.DUMMYFUNCTION("""COMPUTED_VALUE"""),"$ 16.82 million")</f>
        <v>$ 16.82 million</v>
      </c>
      <c r="D112" s="1" t="str">
        <f>IFERROR(__xludf.DUMMYFUNCTION("""COMPUTED_VALUE"""),"$ 16.82M 
$ 126.88")</f>
        <v>$ 16.82M 
$ 126.88</v>
      </c>
      <c r="E112" s="1"/>
      <c r="F112" s="1"/>
    </row>
    <row r="113" ht="15.75" customHeight="1">
      <c r="A113" s="1" t="str">
        <f>IFERROR(__xludf.DUMMYFUNCTION("""COMPUTED_VALUE"""),"108 STORJ/USDT Binance")</f>
        <v>108 STORJ/USDT Binance</v>
      </c>
      <c r="B113" s="2">
        <f>IFERROR(__xludf.DUMMYFUNCTION("""COMPUTED_VALUE"""),0.662)</f>
        <v>0.662</v>
      </c>
      <c r="C113" s="1" t="str">
        <f>IFERROR(__xludf.DUMMYFUNCTION("""COMPUTED_VALUE"""),"$ 16.59 million")</f>
        <v>$ 16.59 million</v>
      </c>
      <c r="D113" s="1" t="str">
        <f>IFERROR(__xludf.DUMMYFUNCTION("""COMPUTED_VALUE"""),"$ 16.59M 
$ 0.662")</f>
        <v>$ 16.59M 
$ 0.662</v>
      </c>
      <c r="E113" s="1"/>
      <c r="F113" s="1"/>
    </row>
    <row r="114" ht="15.75" customHeight="1">
      <c r="A114" s="1" t="str">
        <f>IFERROR(__xludf.DUMMYFUNCTION("""COMPUTED_VALUE"""),"109 FET/USDT Binance")</f>
        <v>109 FET/USDT Binance</v>
      </c>
      <c r="B114" s="2">
        <f>IFERROR(__xludf.DUMMYFUNCTION("""COMPUTED_VALUE"""),0.668)</f>
        <v>0.668</v>
      </c>
      <c r="C114" s="1" t="str">
        <f>IFERROR(__xludf.DUMMYFUNCTION("""COMPUTED_VALUE"""),"$ 16.42 million")</f>
        <v>$ 16.42 million</v>
      </c>
      <c r="D114" s="1" t="str">
        <f>IFERROR(__xludf.DUMMYFUNCTION("""COMPUTED_VALUE"""),"$ 16.42M 
$ 0.668")</f>
        <v>$ 16.42M 
$ 0.668</v>
      </c>
      <c r="E114" s="1"/>
      <c r="F114" s="1"/>
    </row>
    <row r="115" ht="15.75" customHeight="1">
      <c r="A115" s="1" t="str">
        <f>IFERROR(__xludf.DUMMYFUNCTION("""COMPUTED_VALUE"""),"110 HBAR/USDT Binance")</f>
        <v>110 HBAR/USDT Binance</v>
      </c>
      <c r="B115" s="2">
        <f>IFERROR(__xludf.DUMMYFUNCTION("""COMPUTED_VALUE"""),0.0837)</f>
        <v>0.0837</v>
      </c>
      <c r="C115" s="1" t="str">
        <f>IFERROR(__xludf.DUMMYFUNCTION("""COMPUTED_VALUE"""),"$ 15.65 million")</f>
        <v>$ 15.65 million</v>
      </c>
      <c r="D115" s="1" t="str">
        <f>IFERROR(__xludf.DUMMYFUNCTION("""COMPUTED_VALUE"""),"$ 15.65M 
$ 0.0837")</f>
        <v>$ 15.65M 
$ 0.0837</v>
      </c>
      <c r="E115" s="1"/>
      <c r="F115" s="1"/>
    </row>
    <row r="116" ht="15.75" customHeight="1">
      <c r="A116" s="1"/>
      <c r="B116" s="1"/>
      <c r="C116" s="1"/>
      <c r="D116" s="1"/>
      <c r="E116" s="1"/>
      <c r="F116" s="1"/>
    </row>
    <row r="117" ht="15.75" customHeight="1">
      <c r="A117" s="1" t="str">
        <f>IFERROR(__xludf.DUMMYFUNCTION("""COMPUTED_VALUE"""),"111 COTI/USDT Binance")</f>
        <v>111 COTI/USDT Binance</v>
      </c>
      <c r="B117" s="2">
        <f>IFERROR(__xludf.DUMMYFUNCTION("""COMPUTED_VALUE"""),0.0923)</f>
        <v>0.0923</v>
      </c>
      <c r="C117" s="1" t="str">
        <f>IFERROR(__xludf.DUMMYFUNCTION("""COMPUTED_VALUE"""),"$ 15.35 million")</f>
        <v>$ 15.35 million</v>
      </c>
      <c r="D117" s="1" t="str">
        <f>IFERROR(__xludf.DUMMYFUNCTION("""COMPUTED_VALUE"""),"$ 15.35M 
$ 0.0923")</f>
        <v>$ 15.35M 
$ 0.0923</v>
      </c>
      <c r="E117" s="1"/>
      <c r="F117" s="1"/>
    </row>
    <row r="118" ht="15.75" customHeight="1">
      <c r="A118" s="1" t="str">
        <f>IFERROR(__xludf.DUMMYFUNCTION("""COMPUTED_VALUE"""),"112 LOOM/USDT Binance")</f>
        <v>112 LOOM/USDT Binance</v>
      </c>
      <c r="B118" s="2">
        <f>IFERROR(__xludf.DUMMYFUNCTION("""COMPUTED_VALUE"""),0.102)</f>
        <v>0.102</v>
      </c>
      <c r="C118" s="1" t="str">
        <f>IFERROR(__xludf.DUMMYFUNCTION("""COMPUTED_VALUE"""),"$ 15.23 million")</f>
        <v>$ 15.23 million</v>
      </c>
      <c r="D118" s="1" t="str">
        <f>IFERROR(__xludf.DUMMYFUNCTION("""COMPUTED_VALUE"""),"$ 15.23M 
$ 0.102")</f>
        <v>$ 15.23M 
$ 0.102</v>
      </c>
      <c r="E118" s="1"/>
      <c r="F118" s="1"/>
    </row>
    <row r="119" ht="15.75" customHeight="1">
      <c r="A119" s="1" t="str">
        <f>IFERROR(__xludf.DUMMYFUNCTION("""COMPUTED_VALUE"""),"113 BTT/USDT Binance")</f>
        <v>113 BTT/USDT Binance</v>
      </c>
      <c r="B119" s="2" t="str">
        <f>IFERROR(__xludf.DUMMYFUNCTION("""COMPUTED_VALUE"""),"$ 0.0₃0107")</f>
        <v>$ 0.0₃0107</v>
      </c>
      <c r="C119" s="1" t="str">
        <f>IFERROR(__xludf.DUMMYFUNCTION("""COMPUTED_VALUE"""),"$ 15.14 million")</f>
        <v>$ 15.14 million</v>
      </c>
      <c r="D119" s="1" t="str">
        <f>IFERROR(__xludf.DUMMYFUNCTION("""COMPUTED_VALUE"""),"$ 15.14M 
$ 0.0₃0107")</f>
        <v>$ 15.14M 
$ 0.0₃0107</v>
      </c>
      <c r="E119" s="1"/>
      <c r="F119" s="1"/>
    </row>
    <row r="120" ht="15.75" customHeight="1">
      <c r="A120" s="1" t="str">
        <f>IFERROR(__xludf.DUMMYFUNCTION("""COMPUTED_VALUE"""),"114 WBTC/BTC Binance")</f>
        <v>114 WBTC/BTC Binance</v>
      </c>
      <c r="B120" s="2">
        <f>IFERROR(__xludf.DUMMYFUNCTION("""COMPUTED_VALUE"""),52249.27)</f>
        <v>52249.27</v>
      </c>
      <c r="C120" s="1" t="str">
        <f>IFERROR(__xludf.DUMMYFUNCTION("""COMPUTED_VALUE"""),"$ 15.11 million")</f>
        <v>$ 15.11 million</v>
      </c>
      <c r="D120" s="1" t="str">
        <f>IFERROR(__xludf.DUMMYFUNCTION("""COMPUTED_VALUE"""),"$ 15.11M 
$ 52,249.27")</f>
        <v>$ 15.11M 
$ 52,249.27</v>
      </c>
      <c r="E120" s="1"/>
      <c r="F120" s="1"/>
    </row>
    <row r="121" ht="15.75" customHeight="1">
      <c r="A121" s="1" t="str">
        <f>IFERROR(__xludf.DUMMYFUNCTION("""COMPUTED_VALUE"""),"115 XRP/BTC Binance")</f>
        <v>115 XRP/BTC Binance</v>
      </c>
      <c r="B121" s="2">
        <f>IFERROR(__xludf.DUMMYFUNCTION("""COMPUTED_VALUE"""),0.549)</f>
        <v>0.549</v>
      </c>
      <c r="C121" s="1" t="str">
        <f>IFERROR(__xludf.DUMMYFUNCTION("""COMPUTED_VALUE"""),"$ 14.88 million")</f>
        <v>$ 14.88 million</v>
      </c>
      <c r="D121" s="1" t="str">
        <f>IFERROR(__xludf.DUMMYFUNCTION("""COMPUTED_VALUE"""),"$ 14.88M 
$ 0.549")</f>
        <v>$ 14.88M 
$ 0.549</v>
      </c>
      <c r="E121" s="1"/>
      <c r="F121" s="1"/>
    </row>
    <row r="122" ht="15.75" customHeight="1">
      <c r="A122" s="1" t="str">
        <f>IFERROR(__xludf.DUMMYFUNCTION("""COMPUTED_VALUE"""),"116 POWR/USDT Binance")</f>
        <v>116 POWR/USDT Binance</v>
      </c>
      <c r="B122" s="2">
        <f>IFERROR(__xludf.DUMMYFUNCTION("""COMPUTED_VALUE"""),0.356)</f>
        <v>0.356</v>
      </c>
      <c r="C122" s="1" t="str">
        <f>IFERROR(__xludf.DUMMYFUNCTION("""COMPUTED_VALUE"""),"$ 14.82 million")</f>
        <v>$ 14.82 million</v>
      </c>
      <c r="D122" s="1" t="str">
        <f>IFERROR(__xludf.DUMMYFUNCTION("""COMPUTED_VALUE"""),"$ 14.82M 
$ 0.356")</f>
        <v>$ 14.82M 
$ 0.356</v>
      </c>
      <c r="E122" s="1"/>
      <c r="F122" s="1"/>
    </row>
    <row r="123" ht="15.75" customHeight="1">
      <c r="A123" s="1" t="str">
        <f>IFERROR(__xludf.DUMMYFUNCTION("""COMPUTED_VALUE"""),"117 FLOW/USDT Binance")</f>
        <v>117 FLOW/USDT Binance</v>
      </c>
      <c r="B123" s="2">
        <f>IFERROR(__xludf.DUMMYFUNCTION("""COMPUTED_VALUE"""),0.959)</f>
        <v>0.959</v>
      </c>
      <c r="C123" s="1" t="str">
        <f>IFERROR(__xludf.DUMMYFUNCTION("""COMPUTED_VALUE"""),"$ 14.73 million")</f>
        <v>$ 14.73 million</v>
      </c>
      <c r="D123" s="1" t="str">
        <f>IFERROR(__xludf.DUMMYFUNCTION("""COMPUTED_VALUE"""),"$ 14.73M 
$ 0.959")</f>
        <v>$ 14.73M 
$ 0.959</v>
      </c>
      <c r="E123" s="1"/>
      <c r="F123" s="1"/>
    </row>
    <row r="124" ht="15.75" customHeight="1">
      <c r="A124" s="1" t="str">
        <f>IFERROR(__xludf.DUMMYFUNCTION("""COMPUTED_VALUE"""),"118 SNX/USDT Binance")</f>
        <v>118 SNX/USDT Binance</v>
      </c>
      <c r="B124" s="2">
        <f>IFERROR(__xludf.DUMMYFUNCTION("""COMPUTED_VALUE"""),3.73)</f>
        <v>3.73</v>
      </c>
      <c r="C124" s="1" t="str">
        <f>IFERROR(__xludf.DUMMYFUNCTION("""COMPUTED_VALUE"""),"$ 14.42 million")</f>
        <v>$ 14.42 million</v>
      </c>
      <c r="D124" s="1" t="str">
        <f>IFERROR(__xludf.DUMMYFUNCTION("""COMPUTED_VALUE"""),"$ 14.42M 
$ 3.73")</f>
        <v>$ 14.42M 
$ 3.73</v>
      </c>
      <c r="E124" s="1"/>
      <c r="F124" s="1"/>
    </row>
    <row r="125" ht="15.75" customHeight="1">
      <c r="A125" s="1" t="str">
        <f>IFERROR(__xludf.DUMMYFUNCTION("""COMPUTED_VALUE"""),"119 SKL/USDT Binance")</f>
        <v>119 SKL/USDT Binance</v>
      </c>
      <c r="B125" s="2">
        <f>IFERROR(__xludf.DUMMYFUNCTION("""COMPUTED_VALUE"""),0.0917)</f>
        <v>0.0917</v>
      </c>
      <c r="C125" s="1" t="str">
        <f>IFERROR(__xludf.DUMMYFUNCTION("""COMPUTED_VALUE"""),"$ 14.04 million")</f>
        <v>$ 14.04 million</v>
      </c>
      <c r="D125" s="1" t="str">
        <f>IFERROR(__xludf.DUMMYFUNCTION("""COMPUTED_VALUE"""),"$ 14.04M 
$ 0.0917")</f>
        <v>$ 14.04M 
$ 0.0917</v>
      </c>
      <c r="E125" s="1"/>
      <c r="F125" s="1"/>
    </row>
    <row r="126" ht="15.75" customHeight="1">
      <c r="A126" s="1" t="str">
        <f>IFERROR(__xludf.DUMMYFUNCTION("""COMPUTED_VALUE"""),"120 PEPE/TRY Binance")</f>
        <v>120 PEPE/TRY Binance</v>
      </c>
      <c r="B126" s="1" t="str">
        <f>IFERROR(__xludf.DUMMYFUNCTION("""COMPUTED_VALUE"""),"$ 0.0₃0125")</f>
        <v>$ 0.0₃0125</v>
      </c>
      <c r="C126" s="1" t="str">
        <f>IFERROR(__xludf.DUMMYFUNCTION("""COMPUTED_VALUE"""),"$ 13.85 million")</f>
        <v>$ 13.85 million</v>
      </c>
      <c r="D126" s="1" t="str">
        <f>IFERROR(__xludf.DUMMYFUNCTION("""COMPUTED_VALUE"""),"$ 13.85M 
$ 0.0₃0125")</f>
        <v>$ 13.85M 
$ 0.0₃0125</v>
      </c>
      <c r="E126" s="1"/>
      <c r="F126" s="1"/>
    </row>
    <row r="127" ht="15.75" customHeight="1">
      <c r="A127" s="1" t="str">
        <f>IFERROR(__xludf.DUMMYFUNCTION("""COMPUTED_VALUE"""),"121 MAV/USDT Binance")</f>
        <v>121 MAV/USDT Binance</v>
      </c>
      <c r="B127" s="4">
        <f>IFERROR(__xludf.DUMMYFUNCTION("""COMPUTED_VALUE"""),0.653)</f>
        <v>0.653</v>
      </c>
      <c r="C127" s="1" t="str">
        <f>IFERROR(__xludf.DUMMYFUNCTION("""COMPUTED_VALUE"""),"$ 13.81 million")</f>
        <v>$ 13.81 million</v>
      </c>
      <c r="D127" s="1" t="str">
        <f>IFERROR(__xludf.DUMMYFUNCTION("""COMPUTED_VALUE"""),"$ 13.81M 
$ 0.653")</f>
        <v>$ 13.81M 
$ 0.653</v>
      </c>
      <c r="E127" s="1"/>
      <c r="F127" s="1"/>
    </row>
    <row r="128" ht="15.75" customHeight="1">
      <c r="A128" s="1" t="str">
        <f>IFERROR(__xludf.DUMMYFUNCTION("""COMPUTED_VALUE"""),"122 BNB/BTC Binance")</f>
        <v>122 BNB/BTC Binance</v>
      </c>
      <c r="B128" s="2">
        <f>IFERROR(__xludf.DUMMYFUNCTION("""COMPUTED_VALUE"""),347.09)</f>
        <v>347.09</v>
      </c>
      <c r="C128" s="1" t="str">
        <f>IFERROR(__xludf.DUMMYFUNCTION("""COMPUTED_VALUE"""),"$ 13.81 million")</f>
        <v>$ 13.81 million</v>
      </c>
      <c r="D128" s="1" t="str">
        <f>IFERROR(__xludf.DUMMYFUNCTION("""COMPUTED_VALUE"""),"$ 13.81M 
$ 347.09")</f>
        <v>$ 13.81M 
$ 347.09</v>
      </c>
      <c r="E128" s="1"/>
      <c r="F128" s="1"/>
    </row>
    <row r="129" ht="15.75" customHeight="1">
      <c r="A129" s="1" t="str">
        <f>IFERROR(__xludf.DUMMYFUNCTION("""COMPUTED_VALUE"""),"123 PENDLE/USDT Binance")</f>
        <v>123 PENDLE/USDT Binance</v>
      </c>
      <c r="B129" s="2">
        <f>IFERROR(__xludf.DUMMYFUNCTION("""COMPUTED_VALUE"""),3.15)</f>
        <v>3.15</v>
      </c>
      <c r="C129" s="1" t="str">
        <f>IFERROR(__xludf.DUMMYFUNCTION("""COMPUTED_VALUE"""),"$ 13.73 million")</f>
        <v>$ 13.73 million</v>
      </c>
      <c r="D129" s="1" t="str">
        <f>IFERROR(__xludf.DUMMYFUNCTION("""COMPUTED_VALUE"""),"$ 13.73M 
$ 3.15")</f>
        <v>$ 13.73M 
$ 3.15</v>
      </c>
      <c r="E129" s="1"/>
      <c r="F129" s="1"/>
    </row>
    <row r="130" ht="15.75" customHeight="1">
      <c r="A130" s="1" t="str">
        <f>IFERROR(__xludf.DUMMYFUNCTION("""COMPUTED_VALUE"""),"124 UNI/USDT Binance")</f>
        <v>124 UNI/USDT Binance</v>
      </c>
      <c r="B130" s="2">
        <f>IFERROR(__xludf.DUMMYFUNCTION("""COMPUTED_VALUE"""),7.3)</f>
        <v>7.3</v>
      </c>
      <c r="C130" s="1" t="str">
        <f>IFERROR(__xludf.DUMMYFUNCTION("""COMPUTED_VALUE"""),"$ 13.71 million")</f>
        <v>$ 13.71 million</v>
      </c>
      <c r="D130" s="1" t="str">
        <f>IFERROR(__xludf.DUMMYFUNCTION("""COMPUTED_VALUE"""),"$ 13.71M 
$ 7.30")</f>
        <v>$ 13.71M 
$ 7.30</v>
      </c>
      <c r="E130" s="1"/>
      <c r="F130" s="1"/>
    </row>
    <row r="131" ht="15.75" customHeight="1">
      <c r="A131" s="1" t="str">
        <f>IFERROR(__xludf.DUMMYFUNCTION("""COMPUTED_VALUE"""),"125 AVAX/BTC Binance")</f>
        <v>125 AVAX/BTC Binance</v>
      </c>
      <c r="B131" s="2">
        <f>IFERROR(__xludf.DUMMYFUNCTION("""COMPUTED_VALUE"""),42.49)</f>
        <v>42.49</v>
      </c>
      <c r="C131" s="1" t="str">
        <f>IFERROR(__xludf.DUMMYFUNCTION("""COMPUTED_VALUE"""),"$ 13.39 million")</f>
        <v>$ 13.39 million</v>
      </c>
      <c r="D131" s="1" t="str">
        <f>IFERROR(__xludf.DUMMYFUNCTION("""COMPUTED_VALUE"""),"$ 13.39M 
$ 42.49")</f>
        <v>$ 13.39M 
$ 42.49</v>
      </c>
      <c r="E131" s="1"/>
      <c r="F131" s="1"/>
    </row>
    <row r="132" ht="15.75" customHeight="1">
      <c r="A132" s="1" t="str">
        <f>IFERROR(__xludf.DUMMYFUNCTION("""COMPUTED_VALUE"""),"126 XMR/USDT Binance")</f>
        <v>126 XMR/USDT Binance</v>
      </c>
      <c r="B132" s="2">
        <f>IFERROR(__xludf.DUMMYFUNCTION("""COMPUTED_VALUE"""),127.0)</f>
        <v>127</v>
      </c>
      <c r="C132" s="1" t="str">
        <f>IFERROR(__xludf.DUMMYFUNCTION("""COMPUTED_VALUE"""),"$ 13.35 million")</f>
        <v>$ 13.35 million</v>
      </c>
      <c r="D132" s="1" t="str">
        <f>IFERROR(__xludf.DUMMYFUNCTION("""COMPUTED_VALUE"""),"$ 13.35M 
$ 127")</f>
        <v>$ 13.35M 
$ 127</v>
      </c>
      <c r="E132" s="1"/>
      <c r="F132" s="1"/>
    </row>
    <row r="133" ht="15.75" customHeight="1">
      <c r="A133" s="1" t="str">
        <f>IFERROR(__xludf.DUMMYFUNCTION("""COMPUTED_VALUE"""),"127 AXS/USDT Binance")</f>
        <v>127 AXS/USDT Binance</v>
      </c>
      <c r="B133" s="2">
        <f>IFERROR(__xludf.DUMMYFUNCTION("""COMPUTED_VALUE"""),8.12)</f>
        <v>8.12</v>
      </c>
      <c r="C133" s="1" t="str">
        <f>IFERROR(__xludf.DUMMYFUNCTION("""COMPUTED_VALUE"""),"$ 12.38 million")</f>
        <v>$ 12.38 million</v>
      </c>
      <c r="D133" s="1" t="str">
        <f>IFERROR(__xludf.DUMMYFUNCTION("""COMPUTED_VALUE"""),"$ 12.38M 
$ 8.12")</f>
        <v>$ 12.38M 
$ 8.12</v>
      </c>
      <c r="E133" s="1"/>
      <c r="F133" s="1"/>
    </row>
    <row r="134" ht="15.75" customHeight="1">
      <c r="A134" s="1" t="str">
        <f>IFERROR(__xludf.DUMMYFUNCTION("""COMPUTED_VALUE"""),"128 SAND/USDT Binance")</f>
        <v>128 SAND/USDT Binance</v>
      </c>
      <c r="B134" s="2">
        <f>IFERROR(__xludf.DUMMYFUNCTION("""COMPUTED_VALUE"""),0.493)</f>
        <v>0.493</v>
      </c>
      <c r="C134" s="1" t="str">
        <f>IFERROR(__xludf.DUMMYFUNCTION("""COMPUTED_VALUE"""),"$ 11.94 million")</f>
        <v>$ 11.94 million</v>
      </c>
      <c r="D134" s="1" t="str">
        <f>IFERROR(__xludf.DUMMYFUNCTION("""COMPUTED_VALUE"""),"$ 11.94M 
$ 0.493")</f>
        <v>$ 11.94M 
$ 0.493</v>
      </c>
      <c r="E134" s="1"/>
      <c r="F134" s="1"/>
    </row>
    <row r="135" ht="15.75" customHeight="1">
      <c r="A135" s="1" t="str">
        <f>IFERROR(__xludf.DUMMYFUNCTION("""COMPUTED_VALUE"""),"129 BTC/BRL Binance")</f>
        <v>129 BTC/BRL Binance</v>
      </c>
      <c r="B135" s="2">
        <f>IFERROR(__xludf.DUMMYFUNCTION("""COMPUTED_VALUE"""),52751.95)</f>
        <v>52751.95</v>
      </c>
      <c r="C135" s="1" t="str">
        <f>IFERROR(__xludf.DUMMYFUNCTION("""COMPUTED_VALUE"""),"$ 11.79 million")</f>
        <v>$ 11.79 million</v>
      </c>
      <c r="D135" s="1" t="str">
        <f>IFERROR(__xludf.DUMMYFUNCTION("""COMPUTED_VALUE"""),"$ 11.79M 
$ 52,751.95")</f>
        <v>$ 11.79M 
$ 52,751.95</v>
      </c>
      <c r="E135" s="1"/>
      <c r="F135" s="1"/>
    </row>
    <row r="136" ht="15.75" customHeight="1">
      <c r="A136" s="1" t="str">
        <f>IFERROR(__xludf.DUMMYFUNCTION("""COMPUTED_VALUE"""),"130 GRT/USDT Binance")</f>
        <v>130 GRT/USDT Binance</v>
      </c>
      <c r="B136" s="2">
        <f>IFERROR(__xludf.DUMMYFUNCTION("""COMPUTED_VALUE"""),0.182)</f>
        <v>0.182</v>
      </c>
      <c r="C136" s="1" t="str">
        <f>IFERROR(__xludf.DUMMYFUNCTION("""COMPUTED_VALUE"""),"$ 11.62 million")</f>
        <v>$ 11.62 million</v>
      </c>
      <c r="D136" s="1" t="str">
        <f>IFERROR(__xludf.DUMMYFUNCTION("""COMPUTED_VALUE"""),"$ 11.62M 
$ 0.182")</f>
        <v>$ 11.62M 
$ 0.182</v>
      </c>
      <c r="E136" s="1"/>
      <c r="F136" s="1"/>
    </row>
    <row r="137" ht="15.75" customHeight="1">
      <c r="A137" s="1" t="str">
        <f>IFERROR(__xludf.DUMMYFUNCTION("""COMPUTED_VALUE"""),"131 ETH/EUR Binance")</f>
        <v>131 ETH/EUR Binance</v>
      </c>
      <c r="B137" s="2">
        <f>IFERROR(__xludf.DUMMYFUNCTION("""COMPUTED_VALUE"""),2799.31)</f>
        <v>2799.31</v>
      </c>
      <c r="C137" s="1" t="str">
        <f>IFERROR(__xludf.DUMMYFUNCTION("""COMPUTED_VALUE"""),"$ 11.46 million")</f>
        <v>$ 11.46 million</v>
      </c>
      <c r="D137" s="1" t="str">
        <f>IFERROR(__xludf.DUMMYFUNCTION("""COMPUTED_VALUE"""),"$ 11.46M 
$ 2,799.31")</f>
        <v>$ 11.46M 
$ 2,799.31</v>
      </c>
      <c r="E137" s="1"/>
      <c r="F137" s="1"/>
    </row>
    <row r="138" ht="15.75" customHeight="1">
      <c r="A138" s="1" t="str">
        <f>IFERROR(__xludf.DUMMYFUNCTION("""COMPUTED_VALUE"""),"132 KAVA/USDT Binance")</f>
        <v>132 KAVA/USDT Binance</v>
      </c>
      <c r="B138" s="2">
        <f>IFERROR(__xludf.DUMMYFUNCTION("""COMPUTED_VALUE"""),0.759)</f>
        <v>0.759</v>
      </c>
      <c r="C138" s="1" t="str">
        <f>IFERROR(__xludf.DUMMYFUNCTION("""COMPUTED_VALUE"""),"$ 11.39 million")</f>
        <v>$ 11.39 million</v>
      </c>
      <c r="D138" s="1" t="str">
        <f>IFERROR(__xludf.DUMMYFUNCTION("""COMPUTED_VALUE"""),"$ 11.39M 
$ 0.759")</f>
        <v>$ 11.39M 
$ 0.759</v>
      </c>
      <c r="E138" s="1"/>
      <c r="F138" s="1"/>
    </row>
    <row r="139" ht="15.75" customHeight="1">
      <c r="A139" s="1" t="str">
        <f>IFERROR(__xludf.DUMMYFUNCTION("""COMPUTED_VALUE"""),"133 MAGIC/USDT Binance")</f>
        <v>133 MAGIC/USDT Binance</v>
      </c>
      <c r="B139" s="3">
        <f>IFERROR(__xludf.DUMMYFUNCTION("""COMPUTED_VALUE"""),1.33)</f>
        <v>1.33</v>
      </c>
      <c r="C139" s="1" t="str">
        <f>IFERROR(__xludf.DUMMYFUNCTION("""COMPUTED_VALUE"""),"$ 11.22 million")</f>
        <v>$ 11.22 million</v>
      </c>
      <c r="D139" s="1" t="str">
        <f>IFERROR(__xludf.DUMMYFUNCTION("""COMPUTED_VALUE"""),"$ 11.22M 
$ 1.33")</f>
        <v>$ 11.22M 
$ 1.33</v>
      </c>
      <c r="E139" s="1"/>
      <c r="F139" s="1"/>
    </row>
    <row r="140" ht="15.75" customHeight="1">
      <c r="A140" s="1" t="str">
        <f>IFERROR(__xludf.DUMMYFUNCTION("""COMPUTED_VALUE"""),"134 SEI/BTC Binance")</f>
        <v>134 SEI/BTC Binance</v>
      </c>
      <c r="B140" s="2">
        <f>IFERROR(__xludf.DUMMYFUNCTION("""COMPUTED_VALUE"""),0.967)</f>
        <v>0.967</v>
      </c>
      <c r="C140" s="1" t="str">
        <f>IFERROR(__xludf.DUMMYFUNCTION("""COMPUTED_VALUE"""),"$ 11.21 million")</f>
        <v>$ 11.21 million</v>
      </c>
      <c r="D140" s="1" t="str">
        <f>IFERROR(__xludf.DUMMYFUNCTION("""COMPUTED_VALUE"""),"$ 11.21M 
$ 0.967")</f>
        <v>$ 11.21M 
$ 0.967</v>
      </c>
      <c r="E140" s="1"/>
      <c r="F140" s="1"/>
    </row>
    <row r="141" ht="15.75" customHeight="1">
      <c r="A141" s="1" t="str">
        <f>IFERROR(__xludf.DUMMYFUNCTION("""COMPUTED_VALUE"""),"135 BOND/USDT Binance")</f>
        <v>135 BOND/USDT Binance</v>
      </c>
      <c r="B141" s="2">
        <f>IFERROR(__xludf.DUMMYFUNCTION("""COMPUTED_VALUE"""),3.7)</f>
        <v>3.7</v>
      </c>
      <c r="C141" s="1" t="str">
        <f>IFERROR(__xludf.DUMMYFUNCTION("""COMPUTED_VALUE"""),"$ 11.19 million")</f>
        <v>$ 11.19 million</v>
      </c>
      <c r="D141" s="1" t="str">
        <f>IFERROR(__xludf.DUMMYFUNCTION("""COMPUTED_VALUE"""),"$ 11.19M 
$ 3.70")</f>
        <v>$ 11.19M 
$ 3.70</v>
      </c>
      <c r="E141" s="1"/>
      <c r="F141" s="1"/>
    </row>
    <row r="142" ht="15.75" customHeight="1">
      <c r="A142" s="1" t="str">
        <f>IFERROR(__xludf.DUMMYFUNCTION("""COMPUTED_VALUE"""),"136 SC/USDT Binance")</f>
        <v>136 SC/USDT Binance</v>
      </c>
      <c r="B142" s="2">
        <f>IFERROR(__xludf.DUMMYFUNCTION("""COMPUTED_VALUE"""),0.0107)</f>
        <v>0.0107</v>
      </c>
      <c r="C142" s="1" t="str">
        <f>IFERROR(__xludf.DUMMYFUNCTION("""COMPUTED_VALUE"""),"$ 10.95 million")</f>
        <v>$ 10.95 million</v>
      </c>
      <c r="D142" s="1" t="str">
        <f>IFERROR(__xludf.DUMMYFUNCTION("""COMPUTED_VALUE"""),"$ 10.95M 
$ 0.0107")</f>
        <v>$ 10.95M 
$ 0.0107</v>
      </c>
      <c r="E142" s="1"/>
      <c r="F142" s="1"/>
    </row>
    <row r="143" ht="15.75" customHeight="1">
      <c r="A143" s="1" t="str">
        <f>IFERROR(__xludf.DUMMYFUNCTION("""COMPUTED_VALUE"""),"137 CTSI/USDT Binance")</f>
        <v>137 CTSI/USDT Binance</v>
      </c>
      <c r="B143" s="2">
        <f>IFERROR(__xludf.DUMMYFUNCTION("""COMPUTED_VALUE"""),0.313)</f>
        <v>0.313</v>
      </c>
      <c r="C143" s="1" t="str">
        <f>IFERROR(__xludf.DUMMYFUNCTION("""COMPUTED_VALUE"""),"$ 10.72 million")</f>
        <v>$ 10.72 million</v>
      </c>
      <c r="D143" s="1" t="str">
        <f>IFERROR(__xludf.DUMMYFUNCTION("""COMPUTED_VALUE"""),"$ 10.72M 
$ 0.313")</f>
        <v>$ 10.72M 
$ 0.313</v>
      </c>
      <c r="E143" s="1"/>
      <c r="F143" s="1"/>
    </row>
    <row r="144" ht="15.75" customHeight="1">
      <c r="A144" s="1" t="str">
        <f>IFERROR(__xludf.DUMMYFUNCTION("""COMPUTED_VALUE"""),"138 EOS/USDT Binance")</f>
        <v>138 EOS/USDT Binance</v>
      </c>
      <c r="B144" s="2">
        <f>IFERROR(__xludf.DUMMYFUNCTION("""COMPUTED_VALUE"""),0.778)</f>
        <v>0.778</v>
      </c>
      <c r="C144" s="1" t="str">
        <f>IFERROR(__xludf.DUMMYFUNCTION("""COMPUTED_VALUE"""),"$ 10.54 million")</f>
        <v>$ 10.54 million</v>
      </c>
      <c r="D144" s="1" t="str">
        <f>IFERROR(__xludf.DUMMYFUNCTION("""COMPUTED_VALUE"""),"$ 10.54M 
$ 0.778")</f>
        <v>$ 10.54M 
$ 0.778</v>
      </c>
      <c r="E144" s="1"/>
      <c r="F144" s="1"/>
    </row>
    <row r="145" ht="15.75" customHeight="1">
      <c r="A145" s="1" t="str">
        <f>IFERROR(__xludf.DUMMYFUNCTION("""COMPUTED_VALUE"""),"139 JUP/TRY Binance")</f>
        <v>139 JUP/TRY Binance</v>
      </c>
      <c r="B145" s="2">
        <f>IFERROR(__xludf.DUMMYFUNCTION("""COMPUTED_VALUE"""),0.547)</f>
        <v>0.547</v>
      </c>
      <c r="C145" s="1" t="str">
        <f>IFERROR(__xludf.DUMMYFUNCTION("""COMPUTED_VALUE"""),"$ 10.48 million")</f>
        <v>$ 10.48 million</v>
      </c>
      <c r="D145" s="1" t="str">
        <f>IFERROR(__xludf.DUMMYFUNCTION("""COMPUTED_VALUE"""),"$ 10.48M 
$ 0.547")</f>
        <v>$ 10.48M 
$ 0.547</v>
      </c>
      <c r="E145" s="1"/>
      <c r="F145" s="1"/>
    </row>
    <row r="146" ht="15.75" customHeight="1">
      <c r="A146" s="1" t="str">
        <f>IFERROR(__xludf.DUMMYFUNCTION("""COMPUTED_VALUE"""),"140 ANKR/USDT Binance")</f>
        <v>140 ANKR/USDT Binance</v>
      </c>
      <c r="B146" s="2">
        <f>IFERROR(__xludf.DUMMYFUNCTION("""COMPUTED_VALUE"""),0.0275)</f>
        <v>0.0275</v>
      </c>
      <c r="C146" s="1" t="str">
        <f>IFERROR(__xludf.DUMMYFUNCTION("""COMPUTED_VALUE"""),"$ 10.45 million")</f>
        <v>$ 10.45 million</v>
      </c>
      <c r="D146" s="1" t="str">
        <f>IFERROR(__xludf.DUMMYFUNCTION("""COMPUTED_VALUE"""),"$ 10.45M 
$ 0.0275")</f>
        <v>$ 10.45M 
$ 0.0275</v>
      </c>
      <c r="E146" s="1"/>
      <c r="F146" s="1"/>
    </row>
    <row r="147" ht="15.75" customHeight="1">
      <c r="A147" s="1" t="str">
        <f>IFERROR(__xludf.DUMMYFUNCTION("""COMPUTED_VALUE"""),"141 XLM/USDT Binance")</f>
        <v>141 XLM/USDT Binance</v>
      </c>
      <c r="B147" s="2">
        <f>IFERROR(__xludf.DUMMYFUNCTION("""COMPUTED_VALUE"""),0.116)</f>
        <v>0.116</v>
      </c>
      <c r="C147" s="1" t="str">
        <f>IFERROR(__xludf.DUMMYFUNCTION("""COMPUTED_VALUE"""),"$ 10.44 million")</f>
        <v>$ 10.44 million</v>
      </c>
      <c r="D147" s="1" t="str">
        <f>IFERROR(__xludf.DUMMYFUNCTION("""COMPUTED_VALUE"""),"$ 10.44M 
$ 0.116")</f>
        <v>$ 10.44M 
$ 0.116</v>
      </c>
      <c r="E147" s="1"/>
      <c r="F147" s="1"/>
    </row>
    <row r="148" ht="15.75" customHeight="1">
      <c r="A148" s="1" t="str">
        <f>IFERROR(__xludf.DUMMYFUNCTION("""COMPUTED_VALUE"""),"142 BONK/TRY Binance")</f>
        <v>142 BONK/TRY Binance</v>
      </c>
      <c r="B148" s="2">
        <f>IFERROR(__xludf.DUMMYFUNCTION("""COMPUTED_VALUE"""),1.4E-5)</f>
        <v>0.000014</v>
      </c>
      <c r="C148" s="1" t="str">
        <f>IFERROR(__xludf.DUMMYFUNCTION("""COMPUTED_VALUE"""),"$ 10.37 million")</f>
        <v>$ 10.37 million</v>
      </c>
      <c r="D148" s="1" t="str">
        <f>IFERROR(__xludf.DUMMYFUNCTION("""COMPUTED_VALUE"""),"$ 10.37M 
$ 0.0000140")</f>
        <v>$ 10.37M 
$ 0.0000140</v>
      </c>
      <c r="E148" s="1"/>
      <c r="F148" s="1"/>
    </row>
    <row r="149" ht="15.75" customHeight="1">
      <c r="A149" s="1" t="str">
        <f>IFERROR(__xludf.DUMMYFUNCTION("""COMPUTED_VALUE"""),"143 EGLD/USDT Binance")</f>
        <v>143 EGLD/USDT Binance</v>
      </c>
      <c r="B149" s="2">
        <f>IFERROR(__xludf.DUMMYFUNCTION("""COMPUTED_VALUE"""),60.05)</f>
        <v>60.05</v>
      </c>
      <c r="C149" s="1" t="str">
        <f>IFERROR(__xludf.DUMMYFUNCTION("""COMPUTED_VALUE"""),"$ 10.32 million")</f>
        <v>$ 10.32 million</v>
      </c>
      <c r="D149" s="1" t="str">
        <f>IFERROR(__xludf.DUMMYFUNCTION("""COMPUTED_VALUE"""),"$ 10.32M 
$ 60.05")</f>
        <v>$ 10.32M 
$ 60.05</v>
      </c>
      <c r="E149" s="1"/>
      <c r="F149" s="1"/>
    </row>
    <row r="150" ht="15.75" customHeight="1">
      <c r="A150" s="1" t="str">
        <f>IFERROR(__xludf.DUMMYFUNCTION("""COMPUTED_VALUE"""),"144 ILV/USDT Binance")</f>
        <v>144 ILV/USDT Binance</v>
      </c>
      <c r="B150" s="2">
        <f>IFERROR(__xludf.DUMMYFUNCTION("""COMPUTED_VALUE"""),102.0)</f>
        <v>102</v>
      </c>
      <c r="C150" s="1" t="str">
        <f>IFERROR(__xludf.DUMMYFUNCTION("""COMPUTED_VALUE"""),"$ 10.06 million")</f>
        <v>$ 10.06 million</v>
      </c>
      <c r="D150" s="1" t="str">
        <f>IFERROR(__xludf.DUMMYFUNCTION("""COMPUTED_VALUE"""),"$ 10.06M 
$ 102")</f>
        <v>$ 10.06M 
$ 102</v>
      </c>
      <c r="E150" s="1"/>
      <c r="F150" s="1"/>
    </row>
    <row r="151" ht="15.75" customHeight="1">
      <c r="A151" s="1" t="str">
        <f>IFERROR(__xludf.DUMMYFUNCTION("""COMPUTED_VALUE"""),"145 PEOPLE/USDT Binance")</f>
        <v>145 PEOPLE/USDT Binance</v>
      </c>
      <c r="B151" s="2">
        <f>IFERROR(__xludf.DUMMYFUNCTION("""COMPUTED_VALUE"""),0.0301)</f>
        <v>0.0301</v>
      </c>
      <c r="C151" s="1" t="str">
        <f>IFERROR(__xludf.DUMMYFUNCTION("""COMPUTED_VALUE"""),"$ 9.78 million")</f>
        <v>$ 9.78 million</v>
      </c>
      <c r="D151" s="1" t="str">
        <f>IFERROR(__xludf.DUMMYFUNCTION("""COMPUTED_VALUE"""),"$ 9.78M 
$ 0.0301")</f>
        <v>$ 9.78M 
$ 0.0301</v>
      </c>
      <c r="E151" s="1"/>
      <c r="F151" s="1"/>
    </row>
    <row r="152" ht="15.75" customHeight="1">
      <c r="A152" s="1" t="str">
        <f>IFERROR(__xludf.DUMMYFUNCTION("""COMPUTED_VALUE"""),"146 GMT/USDT Binance")</f>
        <v>146 GMT/USDT Binance</v>
      </c>
      <c r="B152" s="2">
        <f>IFERROR(__xludf.DUMMYFUNCTION("""COMPUTED_VALUE"""),0.275)</f>
        <v>0.275</v>
      </c>
      <c r="C152" s="1" t="str">
        <f>IFERROR(__xludf.DUMMYFUNCTION("""COMPUTED_VALUE"""),"$ 9.64 million")</f>
        <v>$ 9.64 million</v>
      </c>
      <c r="D152" s="1" t="str">
        <f>IFERROR(__xludf.DUMMYFUNCTION("""COMPUTED_VALUE"""),"$ 9.64M 
$ 0.275")</f>
        <v>$ 9.64M 
$ 0.275</v>
      </c>
      <c r="E152" s="1"/>
      <c r="F152" s="1"/>
    </row>
    <row r="153" ht="15.75" customHeight="1">
      <c r="A153" s="1" t="str">
        <f>IFERROR(__xludf.DUMMYFUNCTION("""COMPUTED_VALUE"""),"147 MASK/USDT Binance")</f>
        <v>147 MASK/USDT Binance</v>
      </c>
      <c r="B153" s="2">
        <f>IFERROR(__xludf.DUMMYFUNCTION("""COMPUTED_VALUE"""),3.73)</f>
        <v>3.73</v>
      </c>
      <c r="C153" s="1" t="str">
        <f>IFERROR(__xludf.DUMMYFUNCTION("""COMPUTED_VALUE"""),"$ 9.53 million")</f>
        <v>$ 9.53 million</v>
      </c>
      <c r="D153" s="1" t="str">
        <f>IFERROR(__xludf.DUMMYFUNCTION("""COMPUTED_VALUE"""),"$ 9.53M 
$ 3.73")</f>
        <v>$ 9.53M 
$ 3.73</v>
      </c>
      <c r="E153" s="1"/>
      <c r="F153" s="1"/>
    </row>
    <row r="154" ht="15.75" customHeight="1">
      <c r="A154" s="1" t="str">
        <f>IFERROR(__xludf.DUMMYFUNCTION("""COMPUTED_VALUE"""),"148 BTC/TRY Binance")</f>
        <v>148 BTC/TRY Binance</v>
      </c>
      <c r="B154" s="2">
        <f>IFERROR(__xludf.DUMMYFUNCTION("""COMPUTED_VALUE"""),52645.45)</f>
        <v>52645.45</v>
      </c>
      <c r="C154" s="1" t="str">
        <f>IFERROR(__xludf.DUMMYFUNCTION("""COMPUTED_VALUE"""),"$ 9.53 million")</f>
        <v>$ 9.53 million</v>
      </c>
      <c r="D154" s="1" t="str">
        <f>IFERROR(__xludf.DUMMYFUNCTION("""COMPUTED_VALUE"""),"$ 9.53M 
$ 52,645.45")</f>
        <v>$ 9.53M 
$ 52,645.45</v>
      </c>
      <c r="E154" s="1"/>
      <c r="F154" s="1"/>
    </row>
    <row r="155" ht="15.75" customHeight="1">
      <c r="A155" s="1" t="str">
        <f>IFERROR(__xludf.DUMMYFUNCTION("""COMPUTED_VALUE"""),"149 ROSE/USDT Binance")</f>
        <v>149 ROSE/USDT Binance</v>
      </c>
      <c r="B155" s="2">
        <f>IFERROR(__xludf.DUMMYFUNCTION("""COMPUTED_VALUE"""),0.128)</f>
        <v>0.128</v>
      </c>
      <c r="C155" s="1" t="str">
        <f>IFERROR(__xludf.DUMMYFUNCTION("""COMPUTED_VALUE"""),"$ 9.49 million")</f>
        <v>$ 9.49 million</v>
      </c>
      <c r="D155" s="1" t="str">
        <f>IFERROR(__xludf.DUMMYFUNCTION("""COMPUTED_VALUE"""),"$ 9.49M 
$ 0.128")</f>
        <v>$ 9.49M 
$ 0.128</v>
      </c>
      <c r="E155" s="1"/>
      <c r="F155" s="1"/>
    </row>
    <row r="156" ht="15.75" customHeight="1">
      <c r="A156" s="1" t="str">
        <f>IFERROR(__xludf.DUMMYFUNCTION("""COMPUTED_VALUE"""),"150 KLAY/USDT Binance")</f>
        <v>150 KLAY/USDT Binance</v>
      </c>
      <c r="B156" s="2">
        <f>IFERROR(__xludf.DUMMYFUNCTION("""COMPUTED_VALUE"""),0.233)</f>
        <v>0.233</v>
      </c>
      <c r="C156" s="1" t="str">
        <f>IFERROR(__xludf.DUMMYFUNCTION("""COMPUTED_VALUE"""),"$ 9.29 million")</f>
        <v>$ 9.29 million</v>
      </c>
      <c r="D156" s="1" t="str">
        <f>IFERROR(__xludf.DUMMYFUNCTION("""COMPUTED_VALUE"""),"$ 9.29M 
$ 0.233")</f>
        <v>$ 9.29M 
$ 0.233</v>
      </c>
      <c r="E156" s="1"/>
      <c r="F156" s="1"/>
    </row>
    <row r="157" ht="15.75" customHeight="1">
      <c r="A157" s="5" t="str">
        <f>IFERROR(__xludf.DUMMYFUNCTION("IMPORTHTML(""https://coinranking.com/exchange/-zdvbieRdZ+binance/markets?tenable.test=anything&amp;sortby=desc&amp;sorton&amp;page=4"", ""table"", 1)"),"Markets")</f>
        <v>Markets</v>
      </c>
      <c r="B157" s="1" t="str">
        <f>IFERROR(__xludf.DUMMYFUNCTION("""COMPUTED_VALUE"""),"Base price")</f>
        <v>Base price</v>
      </c>
      <c r="C157" s="1" t="str">
        <f>IFERROR(__xludf.DUMMYFUNCTION("""COMPUTED_VALUE"""),"24h trade volume")</f>
        <v>24h trade volume</v>
      </c>
      <c r="D157" s="1" t="str">
        <f>IFERROR(__xludf.DUMMYFUNCTION("""COMPUTED_VALUE"""),"24h volume")</f>
        <v>24h volume</v>
      </c>
      <c r="E157" s="1" t="str">
        <f>IFERROR(__xludf.DUMMYFUNCTION("""COMPUTED_VALUE"""),"Recommended")</f>
        <v>Recommended</v>
      </c>
      <c r="F157" s="1"/>
    </row>
    <row r="158" ht="15.75" customHeight="1">
      <c r="A158" s="1" t="str">
        <f>IFERROR(__xludf.DUMMYFUNCTION("""COMPUTED_VALUE"""),"151 MOVR/USDT Binance")</f>
        <v>151 MOVR/USDT Binance</v>
      </c>
      <c r="B158" s="2">
        <f>IFERROR(__xludf.DUMMYFUNCTION("""COMPUTED_VALUE"""),23.27)</f>
        <v>23.27</v>
      </c>
      <c r="C158" s="1" t="str">
        <f>IFERROR(__xludf.DUMMYFUNCTION("""COMPUTED_VALUE"""),"$ 9.27 million")</f>
        <v>$ 9.27 million</v>
      </c>
      <c r="D158" s="1" t="str">
        <f>IFERROR(__xludf.DUMMYFUNCTION("""COMPUTED_VALUE"""),"$ 9.27M 
$ 23.27")</f>
        <v>$ 9.27M 
$ 23.27</v>
      </c>
      <c r="E158" s="1"/>
      <c r="F158" s="1"/>
    </row>
    <row r="159" ht="15.75" customHeight="1">
      <c r="A159" s="1" t="str">
        <f>IFERROR(__xludf.DUMMYFUNCTION("""COMPUTED_VALUE"""),"152 STX/BTC Binance")</f>
        <v>152 STX/BTC Binance</v>
      </c>
      <c r="B159" s="2">
        <f>IFERROR(__xludf.DUMMYFUNCTION("""COMPUTED_VALUE"""),2.62)</f>
        <v>2.62</v>
      </c>
      <c r="C159" s="1" t="str">
        <f>IFERROR(__xludf.DUMMYFUNCTION("""COMPUTED_VALUE"""),"$ 9.08 million")</f>
        <v>$ 9.08 million</v>
      </c>
      <c r="D159" s="1" t="str">
        <f>IFERROR(__xludf.DUMMYFUNCTION("""COMPUTED_VALUE"""),"$ 9.08M 
$ 2.62")</f>
        <v>$ 9.08M 
$ 2.62</v>
      </c>
      <c r="E159" s="1"/>
      <c r="F159" s="1"/>
    </row>
    <row r="160" ht="15.75" customHeight="1">
      <c r="A160" s="1" t="str">
        <f>IFERROR(__xludf.DUMMYFUNCTION("""COMPUTED_VALUE"""),"153 ARKM/USDT Binance")</f>
        <v>153 ARKM/USDT Binance</v>
      </c>
      <c r="B160" s="2">
        <f>IFERROR(__xludf.DUMMYFUNCTION("""COMPUTED_VALUE"""),0.666)</f>
        <v>0.666</v>
      </c>
      <c r="C160" s="1" t="str">
        <f>IFERROR(__xludf.DUMMYFUNCTION("""COMPUTED_VALUE"""),"$ 8.83 million")</f>
        <v>$ 8.83 million</v>
      </c>
      <c r="D160" s="1" t="str">
        <f>IFERROR(__xludf.DUMMYFUNCTION("""COMPUTED_VALUE"""),"$ 8.83M 
$ 0.666")</f>
        <v>$ 8.83M 
$ 0.666</v>
      </c>
      <c r="E160" s="1"/>
      <c r="F160" s="1"/>
    </row>
    <row r="161" ht="15.75" customHeight="1">
      <c r="A161" s="1" t="str">
        <f>IFERROR(__xludf.DUMMYFUNCTION("""COMPUTED_VALUE"""),"154 PHA/USDT Binance")</f>
        <v>154 PHA/USDT Binance</v>
      </c>
      <c r="B161" s="2">
        <f>IFERROR(__xludf.DUMMYFUNCTION("""COMPUTED_VALUE"""),0.12)</f>
        <v>0.12</v>
      </c>
      <c r="C161" s="1" t="str">
        <f>IFERROR(__xludf.DUMMYFUNCTION("""COMPUTED_VALUE"""),"$ 8.69 million")</f>
        <v>$ 8.69 million</v>
      </c>
      <c r="D161" s="1" t="str">
        <f>IFERROR(__xludf.DUMMYFUNCTION("""COMPUTED_VALUE"""),"$ 8.69M 
$ 0.120")</f>
        <v>$ 8.69M 
$ 0.120</v>
      </c>
      <c r="E161" s="1"/>
      <c r="F161" s="1"/>
    </row>
    <row r="162" ht="15.75" customHeight="1">
      <c r="A162" s="1" t="str">
        <f>IFERROR(__xludf.DUMMYFUNCTION("""COMPUTED_VALUE"""),"155 FTT/USDT Binance")</f>
        <v>155 FTT/USDT Binance</v>
      </c>
      <c r="B162" s="2">
        <f>IFERROR(__xludf.DUMMYFUNCTION("""COMPUTED_VALUE"""),1.81)</f>
        <v>1.81</v>
      </c>
      <c r="C162" s="1" t="str">
        <f>IFERROR(__xludf.DUMMYFUNCTION("""COMPUTED_VALUE"""),"$ 8.59 million")</f>
        <v>$ 8.59 million</v>
      </c>
      <c r="D162" s="1" t="str">
        <f>IFERROR(__xludf.DUMMYFUNCTION("""COMPUTED_VALUE"""),"$ 8.59M 
$ 1.81")</f>
        <v>$ 8.59M 
$ 1.81</v>
      </c>
      <c r="E162" s="1"/>
      <c r="F162" s="1"/>
    </row>
    <row r="163" ht="15.75" customHeight="1">
      <c r="A163" s="1" t="str">
        <f>IFERROR(__xludf.DUMMYFUNCTION("""COMPUTED_VALUE"""),"156 ALGO/USDT Binance")</f>
        <v>156 ALGO/USDT Binance</v>
      </c>
      <c r="B163" s="2">
        <f>IFERROR(__xludf.DUMMYFUNCTION("""COMPUTED_VALUE"""),0.188)</f>
        <v>0.188</v>
      </c>
      <c r="C163" s="1" t="str">
        <f>IFERROR(__xludf.DUMMYFUNCTION("""COMPUTED_VALUE"""),"$ 8.54 million")</f>
        <v>$ 8.54 million</v>
      </c>
      <c r="D163" s="1" t="str">
        <f>IFERROR(__xludf.DUMMYFUNCTION("""COMPUTED_VALUE"""),"$ 8.54M 
$ 0.188")</f>
        <v>$ 8.54M 
$ 0.188</v>
      </c>
      <c r="E163" s="1"/>
      <c r="F163" s="1"/>
    </row>
    <row r="164" ht="15.75" customHeight="1">
      <c r="A164" s="1" t="str">
        <f>IFERROR(__xludf.DUMMYFUNCTION("""COMPUTED_VALUE"""),"157 SSV/USDT Binance")</f>
        <v>157 SSV/USDT Binance</v>
      </c>
      <c r="B164" s="2">
        <f>IFERROR(__xludf.DUMMYFUNCTION("""COMPUTED_VALUE"""),32.28)</f>
        <v>32.28</v>
      </c>
      <c r="C164" s="1" t="str">
        <f>IFERROR(__xludf.DUMMYFUNCTION("""COMPUTED_VALUE"""),"$ 8.41 million")</f>
        <v>$ 8.41 million</v>
      </c>
      <c r="D164" s="1" t="str">
        <f>IFERROR(__xludf.DUMMYFUNCTION("""COMPUTED_VALUE"""),"$ 8.41M 
$ 32.28")</f>
        <v>$ 8.41M 
$ 32.28</v>
      </c>
      <c r="E164" s="1"/>
      <c r="F164" s="1"/>
    </row>
    <row r="165" ht="15.75" customHeight="1">
      <c r="A165" s="1" t="str">
        <f>IFERROR(__xludf.DUMMYFUNCTION("""COMPUTED_VALUE"""),"158 1INCH/USDT Binance")</f>
        <v>158 1INCH/USDT Binance</v>
      </c>
      <c r="B165" s="2">
        <f>IFERROR(__xludf.DUMMYFUNCTION("""COMPUTED_VALUE"""),0.453)</f>
        <v>0.453</v>
      </c>
      <c r="C165" s="1" t="str">
        <f>IFERROR(__xludf.DUMMYFUNCTION("""COMPUTED_VALUE"""),"$ 8.28 million")</f>
        <v>$ 8.28 million</v>
      </c>
      <c r="D165" s="1" t="str">
        <f>IFERROR(__xludf.DUMMYFUNCTION("""COMPUTED_VALUE"""),"$ 8.28M 
$ 0.453")</f>
        <v>$ 8.28M 
$ 0.453</v>
      </c>
      <c r="E165" s="1"/>
      <c r="F165" s="1"/>
    </row>
    <row r="166" ht="15.75" customHeight="1">
      <c r="A166" s="1" t="str">
        <f>IFERROR(__xludf.DUMMYFUNCTION("""COMPUTED_VALUE"""),"159 YGG/USDT Binance")</f>
        <v>159 YGG/USDT Binance</v>
      </c>
      <c r="B166" s="2">
        <f>IFERROR(__xludf.DUMMYFUNCTION("""COMPUTED_VALUE"""),0.496)</f>
        <v>0.496</v>
      </c>
      <c r="C166" s="1" t="str">
        <f>IFERROR(__xludf.DUMMYFUNCTION("""COMPUTED_VALUE"""),"$ 8.19 million")</f>
        <v>$ 8.19 million</v>
      </c>
      <c r="D166" s="1" t="str">
        <f>IFERROR(__xludf.DUMMYFUNCTION("""COMPUTED_VALUE"""),"$ 8.19M 
$ 0.496")</f>
        <v>$ 8.19M 
$ 0.496</v>
      </c>
      <c r="E166" s="1"/>
      <c r="F166" s="1"/>
    </row>
    <row r="167" ht="15.75" customHeight="1">
      <c r="A167" s="1" t="str">
        <f>IFERROR(__xludf.DUMMYFUNCTION("""COMPUTED_VALUE"""),"160 LINK/BTC Binance")</f>
        <v>160 LINK/BTC Binance</v>
      </c>
      <c r="B167" s="2">
        <f>IFERROR(__xludf.DUMMYFUNCTION("""COMPUTED_VALUE"""),20.0)</f>
        <v>20</v>
      </c>
      <c r="C167" s="1" t="str">
        <f>IFERROR(__xludf.DUMMYFUNCTION("""COMPUTED_VALUE"""),"$ 8.07 million")</f>
        <v>$ 8.07 million</v>
      </c>
      <c r="D167" s="1" t="str">
        <f>IFERROR(__xludf.DUMMYFUNCTION("""COMPUTED_VALUE"""),"$ 8.07M 
$ 20.00")</f>
        <v>$ 8.07M 
$ 20.00</v>
      </c>
      <c r="E167" s="1"/>
      <c r="F167" s="1"/>
    </row>
    <row r="168" ht="15.75" customHeight="1">
      <c r="A168" s="1"/>
      <c r="B168" s="1"/>
      <c r="C168" s="1"/>
      <c r="D168" s="1"/>
      <c r="E168" s="1"/>
      <c r="F168" s="1"/>
    </row>
    <row r="169" ht="15.75" customHeight="1">
      <c r="A169" s="1" t="str">
        <f>IFERROR(__xludf.DUMMYFUNCTION("""COMPUTED_VALUE"""),"161 RDNT/USDT Binance")</f>
        <v>161 RDNT/USDT Binance</v>
      </c>
      <c r="B169" s="2">
        <f>IFERROR(__xludf.DUMMYFUNCTION("""COMPUTED_VALUE"""),0.312)</f>
        <v>0.312</v>
      </c>
      <c r="C169" s="1" t="str">
        <f>IFERROR(__xludf.DUMMYFUNCTION("""COMPUTED_VALUE"""),"$ 8.02 million")</f>
        <v>$ 8.02 million</v>
      </c>
      <c r="D169" s="1" t="str">
        <f>IFERROR(__xludf.DUMMYFUNCTION("""COMPUTED_VALUE"""),"$ 8.02M 
$ 0.312")</f>
        <v>$ 8.02M 
$ 0.312</v>
      </c>
      <c r="E169" s="1"/>
      <c r="F169" s="1"/>
    </row>
    <row r="170" ht="15.75" customHeight="1">
      <c r="A170" s="1" t="str">
        <f>IFERROR(__xludf.DUMMYFUNCTION("""COMPUTED_VALUE"""),"162 FXS/USDT Binance")</f>
        <v>162 FXS/USDT Binance</v>
      </c>
      <c r="B170" s="2">
        <f>IFERROR(__xludf.DUMMYFUNCTION("""COMPUTED_VALUE"""),8.98)</f>
        <v>8.98</v>
      </c>
      <c r="C170" s="1" t="str">
        <f>IFERROR(__xludf.DUMMYFUNCTION("""COMPUTED_VALUE"""),"$ 8.01 million")</f>
        <v>$ 8.01 million</v>
      </c>
      <c r="D170" s="1" t="str">
        <f>IFERROR(__xludf.DUMMYFUNCTION("""COMPUTED_VALUE"""),"$ 8.01M 
$ 8.98")</f>
        <v>$ 8.01M 
$ 8.98</v>
      </c>
      <c r="E170" s="1"/>
      <c r="F170" s="1"/>
    </row>
    <row r="171" ht="15.75" customHeight="1">
      <c r="A171" s="1" t="str">
        <f>IFERROR(__xludf.DUMMYFUNCTION("""COMPUTED_VALUE"""),"163 SUSHI/USDT Binance")</f>
        <v>163 SUSHI/USDT Binance</v>
      </c>
      <c r="B171" s="2">
        <f>IFERROR(__xludf.DUMMYFUNCTION("""COMPUTED_VALUE"""),1.21)</f>
        <v>1.21</v>
      </c>
      <c r="C171" s="1" t="str">
        <f>IFERROR(__xludf.DUMMYFUNCTION("""COMPUTED_VALUE"""),"$ 7.97 million")</f>
        <v>$ 7.97 million</v>
      </c>
      <c r="D171" s="1" t="str">
        <f>IFERROR(__xludf.DUMMYFUNCTION("""COMPUTED_VALUE"""),"$ 7.97M 
$ 1.21")</f>
        <v>$ 7.97M 
$ 1.21</v>
      </c>
      <c r="E171" s="1"/>
      <c r="F171" s="1"/>
    </row>
    <row r="172" ht="15.75" customHeight="1">
      <c r="A172" s="1" t="str">
        <f>IFERROR(__xludf.DUMMYFUNCTION("""COMPUTED_VALUE"""),"164 MANA/USDT Binance")</f>
        <v>164 MANA/USDT Binance</v>
      </c>
      <c r="B172" s="2">
        <f>IFERROR(__xludf.DUMMYFUNCTION("""COMPUTED_VALUE"""),0.498)</f>
        <v>0.498</v>
      </c>
      <c r="C172" s="1" t="str">
        <f>IFERROR(__xludf.DUMMYFUNCTION("""COMPUTED_VALUE"""),"$ 7.90 million")</f>
        <v>$ 7.90 million</v>
      </c>
      <c r="D172" s="1" t="str">
        <f>IFERROR(__xludf.DUMMYFUNCTION("""COMPUTED_VALUE"""),"$ 7.90M 
$ 0.498")</f>
        <v>$ 7.90M 
$ 0.498</v>
      </c>
      <c r="E172" s="1"/>
      <c r="F172" s="1"/>
    </row>
    <row r="173" ht="15.75" customHeight="1">
      <c r="A173" s="1" t="str">
        <f>IFERROR(__xludf.DUMMYFUNCTION("""COMPUTED_VALUE"""),"165 MANTA/TRY Binance")</f>
        <v>165 MANTA/TRY Binance</v>
      </c>
      <c r="B173" s="2">
        <f>IFERROR(__xludf.DUMMYFUNCTION("""COMPUTED_VALUE"""),3.07)</f>
        <v>3.07</v>
      </c>
      <c r="C173" s="1" t="str">
        <f>IFERROR(__xludf.DUMMYFUNCTION("""COMPUTED_VALUE"""),"$ 7.87 million")</f>
        <v>$ 7.87 million</v>
      </c>
      <c r="D173" s="1" t="str">
        <f>IFERROR(__xludf.DUMMYFUNCTION("""COMPUTED_VALUE"""),"$ 7.87M 
$ 3.07")</f>
        <v>$ 7.87M 
$ 3.07</v>
      </c>
      <c r="E173" s="1"/>
      <c r="F173" s="1"/>
    </row>
    <row r="174" ht="15.75" customHeight="1">
      <c r="A174" s="1" t="str">
        <f>IFERROR(__xludf.DUMMYFUNCTION("""COMPUTED_VALUE"""),"166 SEI/FDUSD Binance")</f>
        <v>166 SEI/FDUSD Binance</v>
      </c>
      <c r="B174" s="2">
        <f>IFERROR(__xludf.DUMMYFUNCTION("""COMPUTED_VALUE"""),0.967)</f>
        <v>0.967</v>
      </c>
      <c r="C174" s="1" t="str">
        <f>IFERROR(__xludf.DUMMYFUNCTION("""COMPUTED_VALUE"""),"$ 7.85 million")</f>
        <v>$ 7.85 million</v>
      </c>
      <c r="D174" s="1" t="str">
        <f>IFERROR(__xludf.DUMMYFUNCTION("""COMPUTED_VALUE"""),"$ 7.85M 
$ 0.967")</f>
        <v>$ 7.85M 
$ 0.967</v>
      </c>
      <c r="E174" s="1"/>
      <c r="F174" s="1"/>
    </row>
    <row r="175" ht="15.75" customHeight="1">
      <c r="A175" s="1" t="str">
        <f>IFERROR(__xludf.DUMMYFUNCTION("""COMPUTED_VALUE"""),"167 ACH/USDT Binance")</f>
        <v>167 ACH/USDT Binance</v>
      </c>
      <c r="B175" s="2">
        <f>IFERROR(__xludf.DUMMYFUNCTION("""COMPUTED_VALUE"""),0.0213)</f>
        <v>0.0213</v>
      </c>
      <c r="C175" s="1" t="str">
        <f>IFERROR(__xludf.DUMMYFUNCTION("""COMPUTED_VALUE"""),"$ 7.83 million")</f>
        <v>$ 7.83 million</v>
      </c>
      <c r="D175" s="1" t="str">
        <f>IFERROR(__xludf.DUMMYFUNCTION("""COMPUTED_VALUE"""),"$ 7.83M 
$ 0.0213")</f>
        <v>$ 7.83M 
$ 0.0213</v>
      </c>
      <c r="E175" s="1"/>
      <c r="F175" s="1"/>
    </row>
    <row r="176" ht="15.75" customHeight="1">
      <c r="A176" s="1" t="str">
        <f>IFERROR(__xludf.DUMMYFUNCTION("""COMPUTED_VALUE"""),"168 SLP/USDT Binance")</f>
        <v>168 SLP/USDT Binance</v>
      </c>
      <c r="B176" s="2">
        <f>IFERROR(__xludf.DUMMYFUNCTION("""COMPUTED_VALUE"""),0.00387)</f>
        <v>0.00387</v>
      </c>
      <c r="C176" s="1" t="str">
        <f>IFERROR(__xludf.DUMMYFUNCTION("""COMPUTED_VALUE"""),"$ 7.59 million")</f>
        <v>$ 7.59 million</v>
      </c>
      <c r="D176" s="1" t="str">
        <f>IFERROR(__xludf.DUMMYFUNCTION("""COMPUTED_VALUE"""),"$ 7.59M 
$ 0.00387")</f>
        <v>$ 7.59M 
$ 0.00387</v>
      </c>
      <c r="E176" s="1"/>
      <c r="F176" s="1"/>
    </row>
    <row r="177" ht="15.75" customHeight="1">
      <c r="A177" s="1" t="str">
        <f>IFERROR(__xludf.DUMMYFUNCTION("""COMPUTED_VALUE"""),"169 MKR/USDT Binance")</f>
        <v>169 MKR/USDT Binance</v>
      </c>
      <c r="B177" s="2">
        <f>IFERROR(__xludf.DUMMYFUNCTION("""COMPUTED_VALUE"""),2059.0)</f>
        <v>2059</v>
      </c>
      <c r="C177" s="1" t="str">
        <f>IFERROR(__xludf.DUMMYFUNCTION("""COMPUTED_VALUE"""),"$ 7.42 million")</f>
        <v>$ 7.42 million</v>
      </c>
      <c r="D177" s="1" t="str">
        <f>IFERROR(__xludf.DUMMYFUNCTION("""COMPUTED_VALUE"""),"$ 7.42M 
$ 2,059")</f>
        <v>$ 7.42M 
$ 2,059</v>
      </c>
      <c r="E177" s="1"/>
      <c r="F177" s="1"/>
    </row>
    <row r="178" ht="15.75" customHeight="1">
      <c r="A178" s="1" t="str">
        <f>IFERROR(__xludf.DUMMYFUNCTION("""COMPUTED_VALUE"""),"170 CRV/USDT Binance")</f>
        <v>170 CRV/USDT Binance</v>
      </c>
      <c r="B178" s="3">
        <f>IFERROR(__xludf.DUMMYFUNCTION("""COMPUTED_VALUE"""),0.529)</f>
        <v>0.529</v>
      </c>
      <c r="C178" s="1" t="str">
        <f>IFERROR(__xludf.DUMMYFUNCTION("""COMPUTED_VALUE"""),"$ 7.24 million")</f>
        <v>$ 7.24 million</v>
      </c>
      <c r="D178" s="1" t="str">
        <f>IFERROR(__xludf.DUMMYFUNCTION("""COMPUTED_VALUE"""),"$ 7.24M 
$ 0.529")</f>
        <v>$ 7.24M 
$ 0.529</v>
      </c>
      <c r="E178" s="1"/>
      <c r="F178" s="1"/>
    </row>
    <row r="179" ht="15.75" customHeight="1">
      <c r="A179" s="1" t="str">
        <f>IFERROR(__xludf.DUMMYFUNCTION("""COMPUTED_VALUE"""),"171 ZIL/USDT Binance")</f>
        <v>171 ZIL/USDT Binance</v>
      </c>
      <c r="B179" s="2">
        <f>IFERROR(__xludf.DUMMYFUNCTION("""COMPUTED_VALUE"""),0.0229)</f>
        <v>0.0229</v>
      </c>
      <c r="C179" s="1" t="str">
        <f>IFERROR(__xludf.DUMMYFUNCTION("""COMPUTED_VALUE"""),"$ 7.22 million")</f>
        <v>$ 7.22 million</v>
      </c>
      <c r="D179" s="1" t="str">
        <f>IFERROR(__xludf.DUMMYFUNCTION("""COMPUTED_VALUE"""),"$ 7.22M 
$ 0.0229")</f>
        <v>$ 7.22M 
$ 0.0229</v>
      </c>
      <c r="E179" s="1"/>
      <c r="F179" s="1"/>
    </row>
    <row r="180" ht="15.75" customHeight="1">
      <c r="A180" s="1" t="str">
        <f>IFERROR(__xludf.DUMMYFUNCTION("""COMPUTED_VALUE"""),"172 RAY/USDT Binance")</f>
        <v>172 RAY/USDT Binance</v>
      </c>
      <c r="B180" s="2">
        <f>IFERROR(__xludf.DUMMYFUNCTION("""COMPUTED_VALUE"""),1.09)</f>
        <v>1.09</v>
      </c>
      <c r="C180" s="1" t="str">
        <f>IFERROR(__xludf.DUMMYFUNCTION("""COMPUTED_VALUE"""),"$ 7.04 million")</f>
        <v>$ 7.04 million</v>
      </c>
      <c r="D180" s="1" t="str">
        <f>IFERROR(__xludf.DUMMYFUNCTION("""COMPUTED_VALUE"""),"$ 7.04M 
$ 1.09")</f>
        <v>$ 7.04M 
$ 1.09</v>
      </c>
      <c r="E180" s="1"/>
      <c r="F180" s="1"/>
    </row>
    <row r="181" ht="15.75" customHeight="1">
      <c r="A181" s="1" t="str">
        <f>IFERROR(__xludf.DUMMYFUNCTION("""COMPUTED_VALUE"""),"173 LINK/FDUSD Binance")</f>
        <v>173 LINK/FDUSD Binance</v>
      </c>
      <c r="B181" s="2">
        <f>IFERROR(__xludf.DUMMYFUNCTION("""COMPUTED_VALUE"""),20.0)</f>
        <v>20</v>
      </c>
      <c r="C181" s="1" t="str">
        <f>IFERROR(__xludf.DUMMYFUNCTION("""COMPUTED_VALUE"""),"$ 6.97 million")</f>
        <v>$ 6.97 million</v>
      </c>
      <c r="D181" s="1" t="str">
        <f>IFERROR(__xludf.DUMMYFUNCTION("""COMPUTED_VALUE"""),"$ 6.97M 
$ 20.00")</f>
        <v>$ 6.97M 
$ 20.00</v>
      </c>
      <c r="E181" s="1"/>
      <c r="F181" s="1"/>
    </row>
    <row r="182" ht="15.75" customHeight="1">
      <c r="A182" s="1" t="str">
        <f>IFERROR(__xludf.DUMMYFUNCTION("""COMPUTED_VALUE"""),"174 AVAX/FDUSD Binance")</f>
        <v>174 AVAX/FDUSD Binance</v>
      </c>
      <c r="B182" s="2">
        <f>IFERROR(__xludf.DUMMYFUNCTION("""COMPUTED_VALUE"""),42.53)</f>
        <v>42.53</v>
      </c>
      <c r="C182" s="1" t="str">
        <f>IFERROR(__xludf.DUMMYFUNCTION("""COMPUTED_VALUE"""),"$ 6.81 million")</f>
        <v>$ 6.81 million</v>
      </c>
      <c r="D182" s="1" t="str">
        <f>IFERROR(__xludf.DUMMYFUNCTION("""COMPUTED_VALUE"""),"$ 6.81M 
$ 42.53")</f>
        <v>$ 6.81M 
$ 42.53</v>
      </c>
      <c r="E182" s="1"/>
      <c r="F182" s="1"/>
    </row>
    <row r="183" ht="15.75" customHeight="1">
      <c r="A183" s="1" t="str">
        <f>IFERROR(__xludf.DUMMYFUNCTION("""COMPUTED_VALUE"""),"175 NMR/USDT Binance")</f>
        <v>175 NMR/USDT Binance</v>
      </c>
      <c r="B183" s="2">
        <f>IFERROR(__xludf.DUMMYFUNCTION("""COMPUTED_VALUE"""),27.31)</f>
        <v>27.31</v>
      </c>
      <c r="C183" s="1" t="str">
        <f>IFERROR(__xludf.DUMMYFUNCTION("""COMPUTED_VALUE"""),"$ 6.62 million")</f>
        <v>$ 6.62 million</v>
      </c>
      <c r="D183" s="1" t="str">
        <f>IFERROR(__xludf.DUMMYFUNCTION("""COMPUTED_VALUE"""),"$ 6.62M 
$ 27.31")</f>
        <v>$ 6.62M 
$ 27.31</v>
      </c>
      <c r="E183" s="1"/>
      <c r="F183" s="1"/>
    </row>
    <row r="184" ht="15.75" customHeight="1">
      <c r="A184" s="1" t="str">
        <f>IFERROR(__xludf.DUMMYFUNCTION("""COMPUTED_VALUE"""),"176 AVAX/TRY Binance")</f>
        <v>176 AVAX/TRY Binance</v>
      </c>
      <c r="B184" s="2">
        <f>IFERROR(__xludf.DUMMYFUNCTION("""COMPUTED_VALUE"""),42.75)</f>
        <v>42.75</v>
      </c>
      <c r="C184" s="1" t="str">
        <f>IFERROR(__xludf.DUMMYFUNCTION("""COMPUTED_VALUE"""),"$ 6.59 million")</f>
        <v>$ 6.59 million</v>
      </c>
      <c r="D184" s="1" t="str">
        <f>IFERROR(__xludf.DUMMYFUNCTION("""COMPUTED_VALUE"""),"$ 6.59M 
$ 42.75")</f>
        <v>$ 6.59M 
$ 42.75</v>
      </c>
      <c r="E184" s="1"/>
      <c r="F184" s="1"/>
    </row>
    <row r="185" ht="15.75" customHeight="1">
      <c r="A185" s="1" t="str">
        <f>IFERROR(__xludf.DUMMYFUNCTION("""COMPUTED_VALUE"""),"177 DENT/USDT Binance")</f>
        <v>177 DENT/USDT Binance</v>
      </c>
      <c r="B185" s="2">
        <f>IFERROR(__xludf.DUMMYFUNCTION("""COMPUTED_VALUE"""),0.00125)</f>
        <v>0.00125</v>
      </c>
      <c r="C185" s="1" t="str">
        <f>IFERROR(__xludf.DUMMYFUNCTION("""COMPUTED_VALUE"""),"$ 6.51 million")</f>
        <v>$ 6.51 million</v>
      </c>
      <c r="D185" s="1" t="str">
        <f>IFERROR(__xludf.DUMMYFUNCTION("""COMPUTED_VALUE"""),"$ 6.51M 
$ 0.00125")</f>
        <v>$ 6.51M 
$ 0.00125</v>
      </c>
      <c r="E185" s="1"/>
      <c r="F185" s="1"/>
    </row>
    <row r="186" ht="15.75" customHeight="1">
      <c r="A186" s="1" t="str">
        <f>IFERROR(__xludf.DUMMYFUNCTION("""COMPUTED_VALUE"""),"178 NULS/USDT Binance")</f>
        <v>178 NULS/USDT Binance</v>
      </c>
      <c r="B186" s="2">
        <f>IFERROR(__xludf.DUMMYFUNCTION("""COMPUTED_VALUE"""),0.292)</f>
        <v>0.292</v>
      </c>
      <c r="C186" s="1" t="str">
        <f>IFERROR(__xludf.DUMMYFUNCTION("""COMPUTED_VALUE"""),"$ 6.50 million")</f>
        <v>$ 6.50 million</v>
      </c>
      <c r="D186" s="1" t="str">
        <f>IFERROR(__xludf.DUMMYFUNCTION("""COMPUTED_VALUE"""),"$ 6.50M 
$ 0.292")</f>
        <v>$ 6.50M 
$ 0.292</v>
      </c>
      <c r="E186" s="1"/>
      <c r="F186" s="1"/>
    </row>
    <row r="187" ht="15.75" customHeight="1">
      <c r="A187" s="1" t="str">
        <f>IFERROR(__xludf.DUMMYFUNCTION("""COMPUTED_VALUE"""),"179 LUNC/TRY Binance")</f>
        <v>179 LUNC/TRY Binance</v>
      </c>
      <c r="B187" s="2">
        <f>IFERROR(__xludf.DUMMYFUNCTION("""COMPUTED_VALUE"""),1.24E-4)</f>
        <v>0.000124</v>
      </c>
      <c r="C187" s="1" t="str">
        <f>IFERROR(__xludf.DUMMYFUNCTION("""COMPUTED_VALUE"""),"$ 6.47 million")</f>
        <v>$ 6.47 million</v>
      </c>
      <c r="D187" s="1" t="str">
        <f>IFERROR(__xludf.DUMMYFUNCTION("""COMPUTED_VALUE"""),"$ 6.47M 
$ 0.000124")</f>
        <v>$ 6.47M 
$ 0.000124</v>
      </c>
      <c r="E187" s="1"/>
      <c r="F187" s="1"/>
    </row>
    <row r="188" ht="15.75" customHeight="1">
      <c r="A188" s="1" t="str">
        <f>IFERROR(__xludf.DUMMYFUNCTION("""COMPUTED_VALUE"""),"180 GMX/USDT Binance")</f>
        <v>180 GMX/USDT Binance</v>
      </c>
      <c r="B188" s="2">
        <f>IFERROR(__xludf.DUMMYFUNCTION("""COMPUTED_VALUE"""),44.15)</f>
        <v>44.15</v>
      </c>
      <c r="C188" s="1" t="str">
        <f>IFERROR(__xludf.DUMMYFUNCTION("""COMPUTED_VALUE"""),"$ 6.38 million")</f>
        <v>$ 6.38 million</v>
      </c>
      <c r="D188" s="1" t="str">
        <f>IFERROR(__xludf.DUMMYFUNCTION("""COMPUTED_VALUE"""),"$ 6.38M 
$ 44.15")</f>
        <v>$ 6.38M 
$ 44.15</v>
      </c>
      <c r="E188" s="1"/>
      <c r="F188" s="1"/>
    </row>
    <row r="189" ht="15.75" customHeight="1">
      <c r="A189" s="1" t="str">
        <f>IFERROR(__xludf.DUMMYFUNCTION("""COMPUTED_VALUE"""),"181 GAL/USDT Binance")</f>
        <v>181 GAL/USDT Binance</v>
      </c>
      <c r="B189" s="2">
        <f>IFERROR(__xludf.DUMMYFUNCTION("""COMPUTED_VALUE"""),2.57)</f>
        <v>2.57</v>
      </c>
      <c r="C189" s="1" t="str">
        <f>IFERROR(__xludf.DUMMYFUNCTION("""COMPUTED_VALUE"""),"$ 6.32 million")</f>
        <v>$ 6.32 million</v>
      </c>
      <c r="D189" s="1" t="str">
        <f>IFERROR(__xludf.DUMMYFUNCTION("""COMPUTED_VALUE"""),"$ 6.32M 
$ 2.57")</f>
        <v>$ 6.32M 
$ 2.57</v>
      </c>
      <c r="E189" s="1"/>
      <c r="F189" s="1"/>
    </row>
    <row r="190" ht="15.75" customHeight="1">
      <c r="A190" s="1" t="str">
        <f>IFERROR(__xludf.DUMMYFUNCTION("""COMPUTED_VALUE"""),"182 GLMR/USDT Binance")</f>
        <v>182 GLMR/USDT Binance</v>
      </c>
      <c r="B190" s="2">
        <f>IFERROR(__xludf.DUMMYFUNCTION("""COMPUTED_VALUE"""),0.429)</f>
        <v>0.429</v>
      </c>
      <c r="C190" s="1" t="str">
        <f>IFERROR(__xludf.DUMMYFUNCTION("""COMPUTED_VALUE"""),"$ 6.25 million")</f>
        <v>$ 6.25 million</v>
      </c>
      <c r="D190" s="1" t="str">
        <f>IFERROR(__xludf.DUMMYFUNCTION("""COMPUTED_VALUE"""),"$ 6.25M 
$ 0.429")</f>
        <v>$ 6.25M 
$ 0.429</v>
      </c>
      <c r="E190" s="1"/>
      <c r="F190" s="1"/>
    </row>
    <row r="191" ht="15.75" customHeight="1">
      <c r="A191" s="1" t="str">
        <f>IFERROR(__xludf.DUMMYFUNCTION("""COMPUTED_VALUE"""),"183 AGIX/USDT Binance")</f>
        <v>183 AGIX/USDT Binance</v>
      </c>
      <c r="B191" s="2">
        <f>IFERROR(__xludf.DUMMYFUNCTION("""COMPUTED_VALUE"""),0.32)</f>
        <v>0.32</v>
      </c>
      <c r="C191" s="1" t="str">
        <f>IFERROR(__xludf.DUMMYFUNCTION("""COMPUTED_VALUE"""),"$ 6.25 million")</f>
        <v>$ 6.25 million</v>
      </c>
      <c r="D191" s="1" t="str">
        <f>IFERROR(__xludf.DUMMYFUNCTION("""COMPUTED_VALUE"""),"$ 6.25M 
$ 0.320")</f>
        <v>$ 6.25M 
$ 0.320</v>
      </c>
      <c r="E191" s="1"/>
      <c r="F191" s="1"/>
    </row>
    <row r="192" ht="15.75" customHeight="1">
      <c r="A192" s="1" t="str">
        <f>IFERROR(__xludf.DUMMYFUNCTION("""COMPUTED_VALUE"""),"184 WAVES/USDT Binance")</f>
        <v>184 WAVES/USDT Binance</v>
      </c>
      <c r="B192" s="2">
        <f>IFERROR(__xludf.DUMMYFUNCTION("""COMPUTED_VALUE"""),2.31)</f>
        <v>2.31</v>
      </c>
      <c r="C192" s="1" t="str">
        <f>IFERROR(__xludf.DUMMYFUNCTION("""COMPUTED_VALUE"""),"$ 6.14 million")</f>
        <v>$ 6.14 million</v>
      </c>
      <c r="D192" s="1" t="str">
        <f>IFERROR(__xludf.DUMMYFUNCTION("""COMPUTED_VALUE"""),"$ 6.14M 
$ 2.31")</f>
        <v>$ 6.14M 
$ 2.31</v>
      </c>
      <c r="E192" s="1"/>
      <c r="F192" s="1"/>
    </row>
    <row r="193" ht="15.75" customHeight="1">
      <c r="A193" s="1" t="str">
        <f>IFERROR(__xludf.DUMMYFUNCTION("""COMPUTED_VALUE"""),"185 MIOTA/USDT Binance")</f>
        <v>185 MIOTA/USDT Binance</v>
      </c>
      <c r="B193" s="2">
        <f>IFERROR(__xludf.DUMMYFUNCTION("""COMPUTED_VALUE"""),0.277)</f>
        <v>0.277</v>
      </c>
      <c r="C193" s="1" t="str">
        <f>IFERROR(__xludf.DUMMYFUNCTION("""COMPUTED_VALUE"""),"$ 6.11 million")</f>
        <v>$ 6.11 million</v>
      </c>
      <c r="D193" s="1" t="str">
        <f>IFERROR(__xludf.DUMMYFUNCTION("""COMPUTED_VALUE"""),"$ 6.11M 
$ 0.277")</f>
        <v>$ 6.11M 
$ 0.277</v>
      </c>
      <c r="E193" s="1"/>
      <c r="F193" s="1"/>
    </row>
    <row r="194" ht="15.75" customHeight="1">
      <c r="A194" s="1" t="str">
        <f>IFERROR(__xludf.DUMMYFUNCTION("""COMPUTED_VALUE"""),"186 TKO/USDT Binance")</f>
        <v>186 TKO/USDT Binance</v>
      </c>
      <c r="B194" s="2">
        <f>IFERROR(__xludf.DUMMYFUNCTION("""COMPUTED_VALUE"""),0.382)</f>
        <v>0.382</v>
      </c>
      <c r="C194" s="1" t="str">
        <f>IFERROR(__xludf.DUMMYFUNCTION("""COMPUTED_VALUE"""),"$ 6.08 million")</f>
        <v>$ 6.08 million</v>
      </c>
      <c r="D194" s="1" t="str">
        <f>IFERROR(__xludf.DUMMYFUNCTION("""COMPUTED_VALUE"""),"$ 6.08M 
$ 0.382")</f>
        <v>$ 6.08M 
$ 0.382</v>
      </c>
      <c r="E194" s="1"/>
      <c r="F194" s="1"/>
    </row>
    <row r="195" ht="15.75" customHeight="1">
      <c r="A195" s="1" t="str">
        <f>IFERROR(__xludf.DUMMYFUNCTION("""COMPUTED_VALUE"""),"187 CELO/USDT Binance")</f>
        <v>187 CELO/USDT Binance</v>
      </c>
      <c r="B195" s="2">
        <f>IFERROR(__xludf.DUMMYFUNCTION("""COMPUTED_VALUE"""),0.767)</f>
        <v>0.767</v>
      </c>
      <c r="C195" s="1" t="str">
        <f>IFERROR(__xludf.DUMMYFUNCTION("""COMPUTED_VALUE"""),"$ 5.99 million")</f>
        <v>$ 5.99 million</v>
      </c>
      <c r="D195" s="1" t="str">
        <f>IFERROR(__xludf.DUMMYFUNCTION("""COMPUTED_VALUE"""),"$ 5.99M 
$ 0.767")</f>
        <v>$ 5.99M 
$ 0.767</v>
      </c>
      <c r="E195" s="1"/>
      <c r="F195" s="1"/>
    </row>
    <row r="196" ht="15.75" customHeight="1">
      <c r="A196" s="1" t="str">
        <f>IFERROR(__xludf.DUMMYFUNCTION("""COMPUTED_VALUE"""),"188 ETH/TUSD Binance")</f>
        <v>188 ETH/TUSD Binance</v>
      </c>
      <c r="B196" s="2">
        <f>IFERROR(__xludf.DUMMYFUNCTION("""COMPUTED_VALUE"""),2794.38)</f>
        <v>2794.38</v>
      </c>
      <c r="C196" s="1" t="str">
        <f>IFERROR(__xludf.DUMMYFUNCTION("""COMPUTED_VALUE"""),"$ 5.81 million")</f>
        <v>$ 5.81 million</v>
      </c>
      <c r="D196" s="1" t="str">
        <f>IFERROR(__xludf.DUMMYFUNCTION("""COMPUTED_VALUE"""),"$ 5.81M 
$ 2,794.38")</f>
        <v>$ 5.81M 
$ 2,794.38</v>
      </c>
      <c r="E196" s="1"/>
      <c r="F196" s="1"/>
    </row>
    <row r="197" ht="15.75" customHeight="1">
      <c r="A197" s="1" t="str">
        <f>IFERROR(__xludf.DUMMYFUNCTION("""COMPUTED_VALUE"""),"189 HFT/USDT Binance")</f>
        <v>189 HFT/USDT Binance</v>
      </c>
      <c r="B197" s="2">
        <f>IFERROR(__xludf.DUMMYFUNCTION("""COMPUTED_VALUE"""),0.376)</f>
        <v>0.376</v>
      </c>
      <c r="C197" s="1" t="str">
        <f>IFERROR(__xludf.DUMMYFUNCTION("""COMPUTED_VALUE"""),"$ 5.80 million")</f>
        <v>$ 5.80 million</v>
      </c>
      <c r="D197" s="1" t="str">
        <f>IFERROR(__xludf.DUMMYFUNCTION("""COMPUTED_VALUE"""),"$ 5.80M 
$ 0.376")</f>
        <v>$ 5.80M 
$ 0.376</v>
      </c>
      <c r="E197" s="1"/>
      <c r="F197" s="1"/>
    </row>
    <row r="198" ht="15.75" customHeight="1">
      <c r="A198" s="1" t="str">
        <f>IFERROR(__xludf.DUMMYFUNCTION("""COMPUTED_VALUE"""),"190 STG/USDT Binance")</f>
        <v>190 STG/USDT Binance</v>
      </c>
      <c r="B198" s="2">
        <f>IFERROR(__xludf.DUMMYFUNCTION("""COMPUTED_VALUE"""),0.623)</f>
        <v>0.623</v>
      </c>
      <c r="C198" s="1" t="str">
        <f>IFERROR(__xludf.DUMMYFUNCTION("""COMPUTED_VALUE"""),"$ 5.74 million")</f>
        <v>$ 5.74 million</v>
      </c>
      <c r="D198" s="1" t="str">
        <f>IFERROR(__xludf.DUMMYFUNCTION("""COMPUTED_VALUE"""),"$ 5.74M 
$ 0.623")</f>
        <v>$ 5.74M 
$ 0.623</v>
      </c>
      <c r="E198" s="1"/>
      <c r="F198" s="1"/>
    </row>
    <row r="199" ht="15.75" customHeight="1">
      <c r="A199" s="1" t="str">
        <f>IFERROR(__xludf.DUMMYFUNCTION("""COMPUTED_VALUE"""),"191 VET/BTC Binance")</f>
        <v>191 VET/BTC Binance</v>
      </c>
      <c r="B199" s="2">
        <f>IFERROR(__xludf.DUMMYFUNCTION("""COMPUTED_VALUE"""),0.0461)</f>
        <v>0.0461</v>
      </c>
      <c r="C199" s="1" t="str">
        <f>IFERROR(__xludf.DUMMYFUNCTION("""COMPUTED_VALUE"""),"$ 5.70 million")</f>
        <v>$ 5.70 million</v>
      </c>
      <c r="D199" s="1" t="str">
        <f>IFERROR(__xludf.DUMMYFUNCTION("""COMPUTED_VALUE"""),"$ 5.70M 
$ 0.0461")</f>
        <v>$ 5.70M 
$ 0.0461</v>
      </c>
      <c r="E199" s="1"/>
      <c r="F199" s="1"/>
    </row>
    <row r="200" ht="15.75" customHeight="1">
      <c r="A200" s="1" t="str">
        <f>IFERROR(__xludf.DUMMYFUNCTION("""COMPUTED_VALUE"""),"192 UMA/TRY Binance")</f>
        <v>192 UMA/TRY Binance</v>
      </c>
      <c r="B200" s="2">
        <f>IFERROR(__xludf.DUMMYFUNCTION("""COMPUTED_VALUE"""),4.46)</f>
        <v>4.46</v>
      </c>
      <c r="C200" s="1" t="str">
        <f>IFERROR(__xludf.DUMMYFUNCTION("""COMPUTED_VALUE"""),"$ 5.67 million")</f>
        <v>$ 5.67 million</v>
      </c>
      <c r="D200" s="1" t="str">
        <f>IFERROR(__xludf.DUMMYFUNCTION("""COMPUTED_VALUE"""),"$ 5.67M 
$ 4.46")</f>
        <v>$ 5.67M 
$ 4.46</v>
      </c>
      <c r="E200" s="1"/>
      <c r="F200" s="1"/>
    </row>
    <row r="201" ht="15.75" customHeight="1">
      <c r="A201" s="1" t="str">
        <f>IFERROR(__xludf.DUMMYFUNCTION("""COMPUTED_VALUE"""),"193 HOOK/USDT Binance")</f>
        <v>193 HOOK/USDT Binance</v>
      </c>
      <c r="B201" s="2">
        <f>IFERROR(__xludf.DUMMYFUNCTION("""COMPUTED_VALUE"""),0.967)</f>
        <v>0.967</v>
      </c>
      <c r="C201" s="1" t="str">
        <f>IFERROR(__xludf.DUMMYFUNCTION("""COMPUTED_VALUE"""),"$ 5.67 million")</f>
        <v>$ 5.67 million</v>
      </c>
      <c r="D201" s="1" t="str">
        <f>IFERROR(__xludf.DUMMYFUNCTION("""COMPUTED_VALUE"""),"$ 5.67M 
$ 0.967")</f>
        <v>$ 5.67M 
$ 0.967</v>
      </c>
      <c r="E201" s="1"/>
      <c r="F201" s="1"/>
    </row>
    <row r="202" ht="15.75" customHeight="1">
      <c r="A202" s="1" t="str">
        <f>IFERROR(__xludf.DUMMYFUNCTION("""COMPUTED_VALUE"""),"194 OSMO/USDT Binance")</f>
        <v>194 OSMO/USDT Binance</v>
      </c>
      <c r="B202" s="2">
        <f>IFERROR(__xludf.DUMMYFUNCTION("""COMPUTED_VALUE"""),1.63)</f>
        <v>1.63</v>
      </c>
      <c r="C202" s="1" t="str">
        <f>IFERROR(__xludf.DUMMYFUNCTION("""COMPUTED_VALUE"""),"$ 5.61 million")</f>
        <v>$ 5.61 million</v>
      </c>
      <c r="D202" s="1" t="str">
        <f>IFERROR(__xludf.DUMMYFUNCTION("""COMPUTED_VALUE"""),"$ 5.61M 
$ 1.63")</f>
        <v>$ 5.61M 
$ 1.63</v>
      </c>
      <c r="E202" s="1"/>
      <c r="F202" s="1"/>
    </row>
    <row r="203" ht="15.75" customHeight="1">
      <c r="A203" s="1" t="str">
        <f>IFERROR(__xludf.DUMMYFUNCTION("""COMPUTED_VALUE"""),"195 REEF/USDT Binance")</f>
        <v>195 REEF/USDT Binance</v>
      </c>
      <c r="B203" s="2">
        <f>IFERROR(__xludf.DUMMYFUNCTION("""COMPUTED_VALUE"""),0.00171)</f>
        <v>0.00171</v>
      </c>
      <c r="C203" s="1" t="str">
        <f>IFERROR(__xludf.DUMMYFUNCTION("""COMPUTED_VALUE"""),"$ 5.59 million")</f>
        <v>$ 5.59 million</v>
      </c>
      <c r="D203" s="1" t="str">
        <f>IFERROR(__xludf.DUMMYFUNCTION("""COMPUTED_VALUE"""),"$ 5.59M 
$ 0.00171")</f>
        <v>$ 5.59M 
$ 0.00171</v>
      </c>
      <c r="E203" s="1"/>
      <c r="F203" s="1"/>
    </row>
    <row r="204" ht="15.75" customHeight="1">
      <c r="A204" s="1" t="str">
        <f>IFERROR(__xludf.DUMMYFUNCTION("""COMPUTED_VALUE"""),"196 AR/USDT Binance")</f>
        <v>196 AR/USDT Binance</v>
      </c>
      <c r="B204" s="2">
        <f>IFERROR(__xludf.DUMMYFUNCTION("""COMPUTED_VALUE"""),10.4)</f>
        <v>10.4</v>
      </c>
      <c r="C204" s="1" t="str">
        <f>IFERROR(__xludf.DUMMYFUNCTION("""COMPUTED_VALUE"""),"$ 5.55 million")</f>
        <v>$ 5.55 million</v>
      </c>
      <c r="D204" s="1" t="str">
        <f>IFERROR(__xludf.DUMMYFUNCTION("""COMPUTED_VALUE"""),"$ 5.55M 
$ 10.40")</f>
        <v>$ 5.55M 
$ 10.40</v>
      </c>
      <c r="E204" s="1"/>
      <c r="F204" s="1"/>
    </row>
    <row r="205" ht="15.75" customHeight="1">
      <c r="A205" s="1" t="str">
        <f>IFERROR(__xludf.DUMMYFUNCTION("""COMPUTED_VALUE"""),"197 PERP/USDT Binance")</f>
        <v>197 PERP/USDT Binance</v>
      </c>
      <c r="B205" s="2">
        <f>IFERROR(__xludf.DUMMYFUNCTION("""COMPUTED_VALUE"""),1.25)</f>
        <v>1.25</v>
      </c>
      <c r="C205" s="1" t="str">
        <f>IFERROR(__xludf.DUMMYFUNCTION("""COMPUTED_VALUE"""),"$ 5.54 million")</f>
        <v>$ 5.54 million</v>
      </c>
      <c r="D205" s="1" t="str">
        <f>IFERROR(__xludf.DUMMYFUNCTION("""COMPUTED_VALUE"""),"$ 5.54M 
$ 1.25")</f>
        <v>$ 5.54M 
$ 1.25</v>
      </c>
      <c r="E205" s="1"/>
      <c r="F205" s="1"/>
    </row>
    <row r="206" ht="15.75" customHeight="1">
      <c r="A206" s="1" t="str">
        <f>IFERROR(__xludf.DUMMYFUNCTION("""COMPUTED_VALUE"""),"198 ADA/BTC Binance")</f>
        <v>198 ADA/BTC Binance</v>
      </c>
      <c r="B206" s="2">
        <f>IFERROR(__xludf.DUMMYFUNCTION("""COMPUTED_VALUE"""),0.593)</f>
        <v>0.593</v>
      </c>
      <c r="C206" s="1" t="str">
        <f>IFERROR(__xludf.DUMMYFUNCTION("""COMPUTED_VALUE"""),"$ 5.49 million")</f>
        <v>$ 5.49 million</v>
      </c>
      <c r="D206" s="1" t="str">
        <f>IFERROR(__xludf.DUMMYFUNCTION("""COMPUTED_VALUE"""),"$ 5.49M 
$ 0.593")</f>
        <v>$ 5.49M 
$ 0.593</v>
      </c>
      <c r="E206" s="1"/>
      <c r="F206" s="1"/>
    </row>
    <row r="207" ht="15.75" customHeight="1">
      <c r="A207" s="1" t="str">
        <f>IFERROR(__xludf.DUMMYFUNCTION("""COMPUTED_VALUE"""),"199 EDU/USDT Binance")</f>
        <v>199 EDU/USDT Binance</v>
      </c>
      <c r="B207" s="2">
        <f>IFERROR(__xludf.DUMMYFUNCTION("""COMPUTED_VALUE"""),0.761)</f>
        <v>0.761</v>
      </c>
      <c r="C207" s="1" t="str">
        <f>IFERROR(__xludf.DUMMYFUNCTION("""COMPUTED_VALUE"""),"$ 5.46 million")</f>
        <v>$ 5.46 million</v>
      </c>
      <c r="D207" s="1" t="str">
        <f>IFERROR(__xludf.DUMMYFUNCTION("""COMPUTED_VALUE"""),"$ 5.46M 
$ 0.761")</f>
        <v>$ 5.46M 
$ 0.761</v>
      </c>
      <c r="E207" s="1"/>
      <c r="F207" s="1"/>
    </row>
    <row r="208" ht="15.75" customHeight="1">
      <c r="A208" s="1" t="str">
        <f>IFERROR(__xludf.DUMMYFUNCTION("""COMPUTED_VALUE"""),"200 MTL/USDT Binance")</f>
        <v>200 MTL/USDT Binance</v>
      </c>
      <c r="B208" s="2">
        <f>IFERROR(__xludf.DUMMYFUNCTION("""COMPUTED_VALUE"""),1.6)</f>
        <v>1.6</v>
      </c>
      <c r="C208" s="1" t="str">
        <f>IFERROR(__xludf.DUMMYFUNCTION("""COMPUTED_VALUE"""),"$ 5.44 million")</f>
        <v>$ 5.44 million</v>
      </c>
      <c r="D208" s="1" t="str">
        <f>IFERROR(__xludf.DUMMYFUNCTION("""COMPUTED_VALUE"""),"$ 5.44M 
$ 1.60")</f>
        <v>$ 5.44M 
$ 1.60</v>
      </c>
      <c r="E208" s="1"/>
      <c r="F208" s="1"/>
    </row>
    <row r="209" ht="15.75" customHeight="1">
      <c r="A209" s="5" t="str">
        <f>IFERROR(__xludf.DUMMYFUNCTION("IMPORTHTML(""https://coinranking.com/exchange/-zdvbieRdZ+binance/markets?tenable.test=anything&amp;sortby=desc&amp;sorton&amp;page=5"", ""table"", 1)"),"Markets")</f>
        <v>Markets</v>
      </c>
      <c r="B209" s="1" t="str">
        <f>IFERROR(__xludf.DUMMYFUNCTION("""COMPUTED_VALUE"""),"Base price")</f>
        <v>Base price</v>
      </c>
      <c r="C209" s="1" t="str">
        <f>IFERROR(__xludf.DUMMYFUNCTION("""COMPUTED_VALUE"""),"24h trade volume")</f>
        <v>24h trade volume</v>
      </c>
      <c r="D209" s="1" t="str">
        <f>IFERROR(__xludf.DUMMYFUNCTION("""COMPUTED_VALUE"""),"24h volume")</f>
        <v>24h volume</v>
      </c>
      <c r="E209" s="1" t="str">
        <f>IFERROR(__xludf.DUMMYFUNCTION("""COMPUTED_VALUE"""),"Recommended")</f>
        <v>Recommended</v>
      </c>
      <c r="F209" s="1"/>
    </row>
    <row r="210" ht="15.75" customHeight="1">
      <c r="A210" s="1" t="str">
        <f>IFERROR(__xludf.DUMMYFUNCTION("""COMPUTED_VALUE"""),"201 VET/TRY Binance")</f>
        <v>201 VET/TRY Binance</v>
      </c>
      <c r="B210" s="2">
        <f>IFERROR(__xludf.DUMMYFUNCTION("""COMPUTED_VALUE"""),0.0463)</f>
        <v>0.0463</v>
      </c>
      <c r="C210" s="1" t="str">
        <f>IFERROR(__xludf.DUMMYFUNCTION("""COMPUTED_VALUE"""),"$ 5.39 million")</f>
        <v>$ 5.39 million</v>
      </c>
      <c r="D210" s="1" t="str">
        <f>IFERROR(__xludf.DUMMYFUNCTION("""COMPUTED_VALUE"""),"$ 5.39M 
$ 0.0463")</f>
        <v>$ 5.39M 
$ 0.0463</v>
      </c>
      <c r="E210" s="1"/>
      <c r="F210" s="1"/>
    </row>
    <row r="211" ht="15.75" customHeight="1">
      <c r="A211" s="1" t="str">
        <f>IFERROR(__xludf.DUMMYFUNCTION("""COMPUTED_VALUE"""),"202 MEME/TRY Binance")</f>
        <v>202 MEME/TRY Binance</v>
      </c>
      <c r="B211" s="2">
        <f>IFERROR(__xludf.DUMMYFUNCTION("""COMPUTED_VALUE"""),0.027)</f>
        <v>0.027</v>
      </c>
      <c r="C211" s="1" t="str">
        <f>IFERROR(__xludf.DUMMYFUNCTION("""COMPUTED_VALUE"""),"$ 5.38 million")</f>
        <v>$ 5.38 million</v>
      </c>
      <c r="D211" s="1" t="str">
        <f>IFERROR(__xludf.DUMMYFUNCTION("""COMPUTED_VALUE"""),"$ 5.38M 
$ 0.0270")</f>
        <v>$ 5.38M 
$ 0.0270</v>
      </c>
      <c r="E211" s="1"/>
      <c r="F211" s="1"/>
    </row>
    <row r="212" ht="15.75" customHeight="1">
      <c r="A212" s="1" t="str">
        <f>IFERROR(__xludf.DUMMYFUNCTION("""COMPUTED_VALUE"""),"203 THETA/USDT Binance")</f>
        <v>203 THETA/USDT Binance</v>
      </c>
      <c r="B212" s="2">
        <f>IFERROR(__xludf.DUMMYFUNCTION("""COMPUTED_VALUE"""),1.12)</f>
        <v>1.12</v>
      </c>
      <c r="C212" s="1" t="str">
        <f>IFERROR(__xludf.DUMMYFUNCTION("""COMPUTED_VALUE"""),"$ 5.37 million")</f>
        <v>$ 5.37 million</v>
      </c>
      <c r="D212" s="1" t="str">
        <f>IFERROR(__xludf.DUMMYFUNCTION("""COMPUTED_VALUE"""),"$ 5.37M 
$ 1.12")</f>
        <v>$ 5.37M 
$ 1.12</v>
      </c>
      <c r="E212" s="1"/>
      <c r="F212" s="1"/>
    </row>
    <row r="213" ht="15.75" customHeight="1">
      <c r="A213" s="1" t="str">
        <f>IFERROR(__xludf.DUMMYFUNCTION("""COMPUTED_VALUE"""),"204 DODO/USDT Binance")</f>
        <v>204 DODO/USDT Binance</v>
      </c>
      <c r="B213" s="2">
        <f>IFERROR(__xludf.DUMMYFUNCTION("""COMPUTED_VALUE"""),0.188)</f>
        <v>0.188</v>
      </c>
      <c r="C213" s="1" t="str">
        <f>IFERROR(__xludf.DUMMYFUNCTION("""COMPUTED_VALUE"""),"$ 5.15 million")</f>
        <v>$ 5.15 million</v>
      </c>
      <c r="D213" s="1" t="str">
        <f>IFERROR(__xludf.DUMMYFUNCTION("""COMPUTED_VALUE"""),"$ 5.15M 
$ 0.188")</f>
        <v>$ 5.15M 
$ 0.188</v>
      </c>
      <c r="E213" s="1"/>
      <c r="F213" s="1"/>
    </row>
    <row r="214" ht="15.75" customHeight="1">
      <c r="A214" s="1" t="str">
        <f>IFERROR(__xludf.DUMMYFUNCTION("""COMPUTED_VALUE"""),"205 USTC/TRY Binance")</f>
        <v>205 USTC/TRY Binance</v>
      </c>
      <c r="B214" s="2">
        <f>IFERROR(__xludf.DUMMYFUNCTION("""COMPUTED_VALUE"""),0.0329)</f>
        <v>0.0329</v>
      </c>
      <c r="C214" s="1" t="str">
        <f>IFERROR(__xludf.DUMMYFUNCTION("""COMPUTED_VALUE"""),"$ 5.13 million")</f>
        <v>$ 5.13 million</v>
      </c>
      <c r="D214" s="1" t="str">
        <f>IFERROR(__xludf.DUMMYFUNCTION("""COMPUTED_VALUE"""),"$ 5.13M 
$ 0.0329")</f>
        <v>$ 5.13M 
$ 0.0329</v>
      </c>
      <c r="E214" s="1"/>
      <c r="F214" s="1"/>
    </row>
    <row r="215" ht="15.75" customHeight="1">
      <c r="A215" s="1" t="str">
        <f>IFERROR(__xludf.DUMMYFUNCTION("""COMPUTED_VALUE"""),"206 AI/TRY Binance")</f>
        <v>206 AI/TRY Binance</v>
      </c>
      <c r="B215" s="2">
        <f>IFERROR(__xludf.DUMMYFUNCTION("""COMPUTED_VALUE"""),1.59)</f>
        <v>1.59</v>
      </c>
      <c r="C215" s="1" t="str">
        <f>IFERROR(__xludf.DUMMYFUNCTION("""COMPUTED_VALUE"""),"$ 5.10 million")</f>
        <v>$ 5.10 million</v>
      </c>
      <c r="D215" s="1" t="str">
        <f>IFERROR(__xludf.DUMMYFUNCTION("""COMPUTED_VALUE"""),"$ 5.10M 
$ 1.59")</f>
        <v>$ 5.10M 
$ 1.59</v>
      </c>
      <c r="E215" s="1"/>
      <c r="F215" s="1"/>
    </row>
    <row r="216" ht="15.75" customHeight="1">
      <c r="A216" s="1" t="str">
        <f>IFERROR(__xludf.DUMMYFUNCTION("""COMPUTED_VALUE"""),"207 WOO/USDT Binance")</f>
        <v>207 WOO/USDT Binance</v>
      </c>
      <c r="B216" s="2">
        <f>IFERROR(__xludf.DUMMYFUNCTION("""COMPUTED_VALUE"""),0.417)</f>
        <v>0.417</v>
      </c>
      <c r="C216" s="1" t="str">
        <f>IFERROR(__xludf.DUMMYFUNCTION("""COMPUTED_VALUE"""),"$ 5.09 million")</f>
        <v>$ 5.09 million</v>
      </c>
      <c r="D216" s="1" t="str">
        <f>IFERROR(__xludf.DUMMYFUNCTION("""COMPUTED_VALUE"""),"$ 5.09M 
$ 0.417")</f>
        <v>$ 5.09M 
$ 0.417</v>
      </c>
      <c r="E216" s="1"/>
      <c r="F216" s="1"/>
    </row>
    <row r="217" ht="15.75" customHeight="1">
      <c r="A217" s="1" t="str">
        <f>IFERROR(__xludf.DUMMYFUNCTION("""COMPUTED_VALUE"""),"208 HIGH/USDT Binance")</f>
        <v>208 HIGH/USDT Binance</v>
      </c>
      <c r="B217" s="2">
        <f>IFERROR(__xludf.DUMMYFUNCTION("""COMPUTED_VALUE"""),1.63)</f>
        <v>1.63</v>
      </c>
      <c r="C217" s="1" t="str">
        <f>IFERROR(__xludf.DUMMYFUNCTION("""COMPUTED_VALUE"""),"$ 5.08 million")</f>
        <v>$ 5.08 million</v>
      </c>
      <c r="D217" s="1" t="str">
        <f>IFERROR(__xludf.DUMMYFUNCTION("""COMPUTED_VALUE"""),"$ 5.08M 
$ 1.63")</f>
        <v>$ 5.08M 
$ 1.63</v>
      </c>
      <c r="E217" s="1"/>
      <c r="F217" s="1"/>
    </row>
    <row r="218" ht="15.75" customHeight="1">
      <c r="A218" s="1" t="str">
        <f>IFERROR(__xludf.DUMMYFUNCTION("""COMPUTED_VALUE"""),"209 SEI/TRY Binance")</f>
        <v>209 SEI/TRY Binance</v>
      </c>
      <c r="B218" s="2">
        <f>IFERROR(__xludf.DUMMYFUNCTION("""COMPUTED_VALUE"""),0.972)</f>
        <v>0.972</v>
      </c>
      <c r="C218" s="1" t="str">
        <f>IFERROR(__xludf.DUMMYFUNCTION("""COMPUTED_VALUE"""),"$ 5.03 million")</f>
        <v>$ 5.03 million</v>
      </c>
      <c r="D218" s="1" t="str">
        <f>IFERROR(__xludf.DUMMYFUNCTION("""COMPUTED_VALUE"""),"$ 5.03M 
$ 0.972")</f>
        <v>$ 5.03M 
$ 0.972</v>
      </c>
      <c r="E218" s="1"/>
      <c r="F218" s="1"/>
    </row>
    <row r="219" ht="15.75" customHeight="1">
      <c r="A219" s="1" t="str">
        <f>IFERROR(__xludf.DUMMYFUNCTION("""COMPUTED_VALUE"""),"210 REN/USDT Binance")</f>
        <v>210 REN/USDT Binance</v>
      </c>
      <c r="B219" s="2">
        <f>IFERROR(__xludf.DUMMYFUNCTION("""COMPUTED_VALUE"""),0.0665)</f>
        <v>0.0665</v>
      </c>
      <c r="C219" s="1" t="str">
        <f>IFERROR(__xludf.DUMMYFUNCTION("""COMPUTED_VALUE"""),"$ 5.01 million")</f>
        <v>$ 5.01 million</v>
      </c>
      <c r="D219" s="1" t="str">
        <f>IFERROR(__xludf.DUMMYFUNCTION("""COMPUTED_VALUE"""),"$ 5.01M 
$ 0.0665")</f>
        <v>$ 5.01M 
$ 0.0665</v>
      </c>
      <c r="E219" s="1"/>
      <c r="F219" s="1"/>
    </row>
    <row r="220" ht="15.75" customHeight="1">
      <c r="A220" s="1"/>
      <c r="B220" s="1"/>
      <c r="C220" s="1"/>
      <c r="D220" s="1"/>
      <c r="E220" s="1"/>
      <c r="F220" s="1"/>
    </row>
    <row r="221" ht="15.75" customHeight="1">
      <c r="A221" s="1" t="str">
        <f>IFERROR(__xludf.DUMMYFUNCTION("""COMPUTED_VALUE"""),"211 RLC/USDT Binance")</f>
        <v>211 RLC/USDT Binance</v>
      </c>
      <c r="B221" s="2">
        <f>IFERROR(__xludf.DUMMYFUNCTION("""COMPUTED_VALUE"""),2.37)</f>
        <v>2.37</v>
      </c>
      <c r="C221" s="1" t="str">
        <f>IFERROR(__xludf.DUMMYFUNCTION("""COMPUTED_VALUE"""),"$ 4.97 million")</f>
        <v>$ 4.97 million</v>
      </c>
      <c r="D221" s="1" t="str">
        <f>IFERROR(__xludf.DUMMYFUNCTION("""COMPUTED_VALUE"""),"$ 4.97M 
$ 2.37")</f>
        <v>$ 4.97M 
$ 2.37</v>
      </c>
      <c r="E221" s="1"/>
      <c r="F221" s="1"/>
    </row>
    <row r="222" ht="15.75" customHeight="1">
      <c r="A222" s="1" t="str">
        <f>IFERROR(__xludf.DUMMYFUNCTION("""COMPUTED_VALUE"""),"212 MDT/USDT Binance")</f>
        <v>212 MDT/USDT Binance</v>
      </c>
      <c r="B222" s="2">
        <f>IFERROR(__xludf.DUMMYFUNCTION("""COMPUTED_VALUE"""),0.0601)</f>
        <v>0.0601</v>
      </c>
      <c r="C222" s="1" t="str">
        <f>IFERROR(__xludf.DUMMYFUNCTION("""COMPUTED_VALUE"""),"$ 4.91 million")</f>
        <v>$ 4.91 million</v>
      </c>
      <c r="D222" s="1" t="str">
        <f>IFERROR(__xludf.DUMMYFUNCTION("""COMPUTED_VALUE"""),"$ 4.91M 
$ 0.0601")</f>
        <v>$ 4.91M 
$ 0.0601</v>
      </c>
      <c r="E222" s="1"/>
      <c r="F222" s="1"/>
    </row>
    <row r="223" ht="15.75" customHeight="1">
      <c r="A223" s="1" t="str">
        <f>IFERROR(__xludf.DUMMYFUNCTION("""COMPUTED_VALUE"""),"213 DAR/USDT Binance")</f>
        <v>213 DAR/USDT Binance</v>
      </c>
      <c r="B223" s="2">
        <f>IFERROR(__xludf.DUMMYFUNCTION("""COMPUTED_VALUE"""),0.143)</f>
        <v>0.143</v>
      </c>
      <c r="C223" s="1" t="str">
        <f>IFERROR(__xludf.DUMMYFUNCTION("""COMPUTED_VALUE"""),"$ 4.83 million")</f>
        <v>$ 4.83 million</v>
      </c>
      <c r="D223" s="1" t="str">
        <f>IFERROR(__xludf.DUMMYFUNCTION("""COMPUTED_VALUE"""),"$ 4.83M 
$ 0.143")</f>
        <v>$ 4.83M 
$ 0.143</v>
      </c>
      <c r="E223" s="1"/>
      <c r="F223" s="1"/>
    </row>
    <row r="224" ht="15.75" customHeight="1">
      <c r="A224" s="1" t="str">
        <f>IFERROR(__xludf.DUMMYFUNCTION("""COMPUTED_VALUE"""),"214 FLOKI/USDT Binance")</f>
        <v>214 FLOKI/USDT Binance</v>
      </c>
      <c r="B224" s="2">
        <f>IFERROR(__xludf.DUMMYFUNCTION("""COMPUTED_VALUE"""),3.41E-5)</f>
        <v>0.0000341</v>
      </c>
      <c r="C224" s="1" t="str">
        <f>IFERROR(__xludf.DUMMYFUNCTION("""COMPUTED_VALUE"""),"$ 4.80 million")</f>
        <v>$ 4.80 million</v>
      </c>
      <c r="D224" s="1" t="str">
        <f>IFERROR(__xludf.DUMMYFUNCTION("""COMPUTED_VALUE"""),"$ 4.80M 
$ 0.0000341")</f>
        <v>$ 4.80M 
$ 0.0000341</v>
      </c>
      <c r="E224" s="1"/>
      <c r="F224" s="1"/>
    </row>
    <row r="225" ht="15.75" customHeight="1">
      <c r="A225" s="1" t="str">
        <f>IFERROR(__xludf.DUMMYFUNCTION("""COMPUTED_VALUE"""),"215 COMP/USDT Binance")</f>
        <v>215 COMP/USDT Binance</v>
      </c>
      <c r="B225" s="2">
        <f>IFERROR(__xludf.DUMMYFUNCTION("""COMPUTED_VALUE"""),57.82)</f>
        <v>57.82</v>
      </c>
      <c r="C225" s="1" t="str">
        <f>IFERROR(__xludf.DUMMYFUNCTION("""COMPUTED_VALUE"""),"$ 4.76 million")</f>
        <v>$ 4.76 million</v>
      </c>
      <c r="D225" s="1" t="str">
        <f>IFERROR(__xludf.DUMMYFUNCTION("""COMPUTED_VALUE"""),"$ 4.76M 
$ 57.82")</f>
        <v>$ 4.76M 
$ 57.82</v>
      </c>
      <c r="E225" s="1"/>
      <c r="F225" s="1"/>
    </row>
    <row r="226" ht="15.75" customHeight="1">
      <c r="A226" s="1" t="str">
        <f>IFERROR(__xludf.DUMMYFUNCTION("""COMPUTED_VALUE"""),"216 BTT/TRY Binance")</f>
        <v>216 BTT/TRY Binance</v>
      </c>
      <c r="B226" s="2" t="str">
        <f>IFERROR(__xludf.DUMMYFUNCTION("""COMPUTED_VALUE"""),"$ 0.0₃0107")</f>
        <v>$ 0.0₃0107</v>
      </c>
      <c r="C226" s="1" t="str">
        <f>IFERROR(__xludf.DUMMYFUNCTION("""COMPUTED_VALUE"""),"$ 4.73 million")</f>
        <v>$ 4.73 million</v>
      </c>
      <c r="D226" s="1" t="str">
        <f>IFERROR(__xludf.DUMMYFUNCTION("""COMPUTED_VALUE"""),"$ 4.73M 
$ 0.0₃0107")</f>
        <v>$ 4.73M 
$ 0.0₃0107</v>
      </c>
      <c r="E226" s="1"/>
      <c r="F226" s="1"/>
    </row>
    <row r="227" ht="15.75" customHeight="1">
      <c r="A227" s="1" t="str">
        <f>IFERROR(__xludf.DUMMYFUNCTION("""COMPUTED_VALUE"""),"217 SOL/TRY Binance")</f>
        <v>217 SOL/TRY Binance</v>
      </c>
      <c r="B227" s="2">
        <f>IFERROR(__xludf.DUMMYFUNCTION("""COMPUTED_VALUE"""),116.5)</f>
        <v>116.5</v>
      </c>
      <c r="C227" s="1" t="str">
        <f>IFERROR(__xludf.DUMMYFUNCTION("""COMPUTED_VALUE"""),"$ 4.69 million")</f>
        <v>$ 4.69 million</v>
      </c>
      <c r="D227" s="1" t="str">
        <f>IFERROR(__xludf.DUMMYFUNCTION("""COMPUTED_VALUE"""),"$ 4.69M 
$ 116.50")</f>
        <v>$ 4.69M 
$ 116.50</v>
      </c>
      <c r="E227" s="1"/>
      <c r="F227" s="1"/>
    </row>
    <row r="228" ht="15.75" customHeight="1">
      <c r="A228" s="1" t="str">
        <f>IFERROR(__xludf.DUMMYFUNCTION("""COMPUTED_VALUE"""),"218 HOT/USDT Binance")</f>
        <v>218 HOT/USDT Binance</v>
      </c>
      <c r="B228" s="2">
        <f>IFERROR(__xludf.DUMMYFUNCTION("""COMPUTED_VALUE"""),0.00212)</f>
        <v>0.00212</v>
      </c>
      <c r="C228" s="1" t="str">
        <f>IFERROR(__xludf.DUMMYFUNCTION("""COMPUTED_VALUE"""),"$ 4.67 million")</f>
        <v>$ 4.67 million</v>
      </c>
      <c r="D228" s="1" t="str">
        <f>IFERROR(__xludf.DUMMYFUNCTION("""COMPUTED_VALUE"""),"$ 4.67M 
$ 0.00212")</f>
        <v>$ 4.67M 
$ 0.00212</v>
      </c>
      <c r="E228" s="1"/>
      <c r="F228" s="1"/>
    </row>
    <row r="229" ht="15.75" customHeight="1">
      <c r="A229" s="1" t="str">
        <f>IFERROR(__xludf.DUMMYFUNCTION("""COMPUTED_VALUE"""),"219 ARPA/USDT Binance")</f>
        <v>219 ARPA/USDT Binance</v>
      </c>
      <c r="B229" s="2">
        <f>IFERROR(__xludf.DUMMYFUNCTION("""COMPUTED_VALUE"""),0.0641)</f>
        <v>0.0641</v>
      </c>
      <c r="C229" s="1" t="str">
        <f>IFERROR(__xludf.DUMMYFUNCTION("""COMPUTED_VALUE"""),"$ 4.63 million")</f>
        <v>$ 4.63 million</v>
      </c>
      <c r="D229" s="1" t="str">
        <f>IFERROR(__xludf.DUMMYFUNCTION("""COMPUTED_VALUE"""),"$ 4.63M 
$ 0.0641")</f>
        <v>$ 4.63M 
$ 0.0641</v>
      </c>
      <c r="E229" s="1"/>
      <c r="F229" s="1"/>
    </row>
    <row r="230" ht="15.75" customHeight="1">
      <c r="A230" s="1" t="str">
        <f>IFERROR(__xludf.DUMMYFUNCTION("""COMPUTED_VALUE"""),"220 HIFI/USDT Binance")</f>
        <v>220 HIFI/USDT Binance</v>
      </c>
      <c r="B230" s="2">
        <f>IFERROR(__xludf.DUMMYFUNCTION("""COMPUTED_VALUE"""),0.631)</f>
        <v>0.631</v>
      </c>
      <c r="C230" s="1" t="str">
        <f>IFERROR(__xludf.DUMMYFUNCTION("""COMPUTED_VALUE"""),"$ 4.62 million")</f>
        <v>$ 4.62 million</v>
      </c>
      <c r="D230" s="1" t="str">
        <f>IFERROR(__xludf.DUMMYFUNCTION("""COMPUTED_VALUE"""),"$ 4.62M 
$ 0.631")</f>
        <v>$ 4.62M 
$ 0.631</v>
      </c>
      <c r="E230" s="1"/>
      <c r="F230" s="1"/>
    </row>
    <row r="231" ht="15.75" customHeight="1">
      <c r="A231" s="1" t="str">
        <f>IFERROR(__xludf.DUMMYFUNCTION("""COMPUTED_VALUE"""),"221 FRONT/USDT Binance")</f>
        <v>221 FRONT/USDT Binance</v>
      </c>
      <c r="B231" s="2">
        <f>IFERROR(__xludf.DUMMYFUNCTION("""COMPUTED_VALUE"""),0.528)</f>
        <v>0.528</v>
      </c>
      <c r="C231" s="1" t="str">
        <f>IFERROR(__xludf.DUMMYFUNCTION("""COMPUTED_VALUE"""),"$ 4.61 million")</f>
        <v>$ 4.61 million</v>
      </c>
      <c r="D231" s="1" t="str">
        <f>IFERROR(__xludf.DUMMYFUNCTION("""COMPUTED_VALUE"""),"$ 4.61M 
$ 0.528")</f>
        <v>$ 4.61M 
$ 0.528</v>
      </c>
      <c r="E231" s="1"/>
      <c r="F231" s="1"/>
    </row>
    <row r="232" ht="15.75" customHeight="1">
      <c r="A232" s="1" t="str">
        <f>IFERROR(__xludf.DUMMYFUNCTION("""COMPUTED_VALUE"""),"222 LEVER/TRY Binance")</f>
        <v>222 LEVER/TRY Binance</v>
      </c>
      <c r="B232" s="2">
        <f>IFERROR(__xludf.DUMMYFUNCTION("""COMPUTED_VALUE"""),0.00178)</f>
        <v>0.00178</v>
      </c>
      <c r="C232" s="1" t="str">
        <f>IFERROR(__xludf.DUMMYFUNCTION("""COMPUTED_VALUE"""),"$ 4.60 million")</f>
        <v>$ 4.60 million</v>
      </c>
      <c r="D232" s="1" t="str">
        <f>IFERROR(__xludf.DUMMYFUNCTION("""COMPUTED_VALUE"""),"$ 4.60M 
$ 0.00178")</f>
        <v>$ 4.60M 
$ 0.00178</v>
      </c>
      <c r="E232" s="1"/>
      <c r="F232" s="1"/>
    </row>
    <row r="233" ht="15.75" customHeight="1">
      <c r="A233" s="1" t="str">
        <f>IFERROR(__xludf.DUMMYFUNCTION("""COMPUTED_VALUE"""),"223 QNT/USDT Binance")</f>
        <v>223 QNT/USDT Binance</v>
      </c>
      <c r="B233" s="2">
        <f>IFERROR(__xludf.DUMMYFUNCTION("""COMPUTED_VALUE"""),108.3)</f>
        <v>108.3</v>
      </c>
      <c r="C233" s="1" t="str">
        <f>IFERROR(__xludf.DUMMYFUNCTION("""COMPUTED_VALUE"""),"$ 4.50 million")</f>
        <v>$ 4.50 million</v>
      </c>
      <c r="D233" s="1" t="str">
        <f>IFERROR(__xludf.DUMMYFUNCTION("""COMPUTED_VALUE"""),"$ 4.50M 
$ 108.30")</f>
        <v>$ 4.50M 
$ 108.30</v>
      </c>
      <c r="E233" s="1"/>
      <c r="F233" s="1"/>
    </row>
    <row r="234" ht="15.75" customHeight="1">
      <c r="A234" s="1" t="str">
        <f>IFERROR(__xludf.DUMMYFUNCTION("""COMPUTED_VALUE"""),"224 C98/USDT Binance")</f>
        <v>224 C98/USDT Binance</v>
      </c>
      <c r="B234" s="2">
        <f>IFERROR(__xludf.DUMMYFUNCTION("""COMPUTED_VALUE"""),0.281)</f>
        <v>0.281</v>
      </c>
      <c r="C234" s="1" t="str">
        <f>IFERROR(__xludf.DUMMYFUNCTION("""COMPUTED_VALUE"""),"$ 4.48 million")</f>
        <v>$ 4.48 million</v>
      </c>
      <c r="D234" s="1" t="str">
        <f>IFERROR(__xludf.DUMMYFUNCTION("""COMPUTED_VALUE"""),"$ 4.48M 
$ 0.281")</f>
        <v>$ 4.48M 
$ 0.281</v>
      </c>
      <c r="E234" s="1"/>
      <c r="F234" s="1"/>
    </row>
    <row r="235" ht="15.75" customHeight="1">
      <c r="A235" s="1" t="str">
        <f>IFERROR(__xludf.DUMMYFUNCTION("""COMPUTED_VALUE"""),"225 ALT/TRY Binance")</f>
        <v>225 ALT/TRY Binance</v>
      </c>
      <c r="B235" s="2">
        <f>IFERROR(__xludf.DUMMYFUNCTION("""COMPUTED_VALUE"""),0.402)</f>
        <v>0.402</v>
      </c>
      <c r="C235" s="1" t="str">
        <f>IFERROR(__xludf.DUMMYFUNCTION("""COMPUTED_VALUE"""),"$ 4.42 million")</f>
        <v>$ 4.42 million</v>
      </c>
      <c r="D235" s="1" t="str">
        <f>IFERROR(__xludf.DUMMYFUNCTION("""COMPUTED_VALUE"""),"$ 4.42M 
$ 0.402")</f>
        <v>$ 4.42M 
$ 0.402</v>
      </c>
      <c r="E235" s="1"/>
      <c r="F235" s="1"/>
    </row>
    <row r="236" ht="15.75" customHeight="1">
      <c r="A236" s="1" t="str">
        <f>IFERROR(__xludf.DUMMYFUNCTION("""COMPUTED_VALUE"""),"226 TIA/TRY Binance")</f>
        <v>226 TIA/TRY Binance</v>
      </c>
      <c r="B236" s="2">
        <f>IFERROR(__xludf.DUMMYFUNCTION("""COMPUTED_VALUE"""),18.77)</f>
        <v>18.77</v>
      </c>
      <c r="C236" s="1" t="str">
        <f>IFERROR(__xludf.DUMMYFUNCTION("""COMPUTED_VALUE"""),"$ 4.41 million")</f>
        <v>$ 4.41 million</v>
      </c>
      <c r="D236" s="1" t="str">
        <f>IFERROR(__xludf.DUMMYFUNCTION("""COMPUTED_VALUE"""),"$ 4.41M 
$ 18.77")</f>
        <v>$ 4.41M 
$ 18.77</v>
      </c>
      <c r="E236" s="1"/>
      <c r="F236" s="1"/>
    </row>
    <row r="237" ht="15.75" customHeight="1">
      <c r="A237" s="1" t="str">
        <f>IFERROR(__xludf.DUMMYFUNCTION("""COMPUTED_VALUE"""),"227 DUSK/USDT Binance")</f>
        <v>227 DUSK/USDT Binance</v>
      </c>
      <c r="B237" s="2">
        <f>IFERROR(__xludf.DUMMYFUNCTION("""COMPUTED_VALUE"""),0.329)</f>
        <v>0.329</v>
      </c>
      <c r="C237" s="1" t="str">
        <f>IFERROR(__xludf.DUMMYFUNCTION("""COMPUTED_VALUE"""),"$ 4.33 million")</f>
        <v>$ 4.33 million</v>
      </c>
      <c r="D237" s="1" t="str">
        <f>IFERROR(__xludf.DUMMYFUNCTION("""COMPUTED_VALUE"""),"$ 4.33M 
$ 0.329")</f>
        <v>$ 4.33M 
$ 0.329</v>
      </c>
      <c r="E237" s="1"/>
      <c r="F237" s="1"/>
    </row>
    <row r="238" ht="15.75" customHeight="1">
      <c r="A238" s="1" t="str">
        <f>IFERROR(__xludf.DUMMYFUNCTION("""COMPUTED_VALUE"""),"228 JASMY/USDT Binance")</f>
        <v>228 JASMY/USDT Binance</v>
      </c>
      <c r="B238" s="2">
        <f>IFERROR(__xludf.DUMMYFUNCTION("""COMPUTED_VALUE"""),0.00619)</f>
        <v>0.00619</v>
      </c>
      <c r="C238" s="1" t="str">
        <f>IFERROR(__xludf.DUMMYFUNCTION("""COMPUTED_VALUE"""),"$ 4.30 million")</f>
        <v>$ 4.30 million</v>
      </c>
      <c r="D238" s="1" t="str">
        <f>IFERROR(__xludf.DUMMYFUNCTION("""COMPUTED_VALUE"""),"$ 4.30M 
$ 0.00619")</f>
        <v>$ 4.30M 
$ 0.00619</v>
      </c>
      <c r="E238" s="1"/>
      <c r="F238" s="1"/>
    </row>
    <row r="239" ht="15.75" customHeight="1">
      <c r="A239" s="1" t="str">
        <f>IFERROR(__xludf.DUMMYFUNCTION("""COMPUTED_VALUE"""),"229 FDUSD/TRY Binance")</f>
        <v>229 FDUSD/TRY Binance</v>
      </c>
      <c r="B239" s="2">
        <f>IFERROR(__xludf.DUMMYFUNCTION("""COMPUTED_VALUE"""),1.01)</f>
        <v>1.01</v>
      </c>
      <c r="C239" s="1" t="str">
        <f>IFERROR(__xludf.DUMMYFUNCTION("""COMPUTED_VALUE"""),"$ 4.25 million")</f>
        <v>$ 4.25 million</v>
      </c>
      <c r="D239" s="1" t="str">
        <f>IFERROR(__xludf.DUMMYFUNCTION("""COMPUTED_VALUE"""),"$ 4.25M 
$ 1.01")</f>
        <v>$ 4.25M 
$ 1.01</v>
      </c>
      <c r="E239" s="1"/>
      <c r="F239" s="1"/>
    </row>
    <row r="240" ht="15.75" customHeight="1">
      <c r="A240" s="1" t="str">
        <f>IFERROR(__xludf.DUMMYFUNCTION("""COMPUTED_VALUE"""),"230 MBOX/USDT Binance")</f>
        <v>230 MBOX/USDT Binance</v>
      </c>
      <c r="B240" s="2">
        <f>IFERROR(__xludf.DUMMYFUNCTION("""COMPUTED_VALUE"""),0.341)</f>
        <v>0.341</v>
      </c>
      <c r="C240" s="1" t="str">
        <f>IFERROR(__xludf.DUMMYFUNCTION("""COMPUTED_VALUE"""),"$ 4.20 million")</f>
        <v>$ 4.20 million</v>
      </c>
      <c r="D240" s="1" t="str">
        <f>IFERROR(__xludf.DUMMYFUNCTION("""COMPUTED_VALUE"""),"$ 4.20M 
$ 0.341")</f>
        <v>$ 4.20M 
$ 0.341</v>
      </c>
      <c r="E240" s="1"/>
      <c r="F240" s="1"/>
    </row>
    <row r="241" ht="15.75" customHeight="1">
      <c r="A241" s="1" t="str">
        <f>IFERROR(__xludf.DUMMYFUNCTION("""COMPUTED_VALUE"""),"231 KDA/USDT Binance")</f>
        <v>231 KDA/USDT Binance</v>
      </c>
      <c r="B241" s="2">
        <f>IFERROR(__xludf.DUMMYFUNCTION("""COMPUTED_VALUE"""),1.13)</f>
        <v>1.13</v>
      </c>
      <c r="C241" s="1" t="str">
        <f>IFERROR(__xludf.DUMMYFUNCTION("""COMPUTED_VALUE"""),"$ 4.15 million")</f>
        <v>$ 4.15 million</v>
      </c>
      <c r="D241" s="1" t="str">
        <f>IFERROR(__xludf.DUMMYFUNCTION("""COMPUTED_VALUE"""),"$ 4.15M 
$ 1.13")</f>
        <v>$ 4.15M 
$ 1.13</v>
      </c>
      <c r="E241" s="1"/>
      <c r="F241" s="1"/>
    </row>
    <row r="242" ht="15.75" customHeight="1">
      <c r="A242" s="1" t="str">
        <f>IFERROR(__xludf.DUMMYFUNCTION("""COMPUTED_VALUE"""),"232 LRC/USDT Binance")</f>
        <v>232 LRC/USDT Binance</v>
      </c>
      <c r="B242" s="2">
        <f>IFERROR(__xludf.DUMMYFUNCTION("""COMPUTED_VALUE"""),0.252)</f>
        <v>0.252</v>
      </c>
      <c r="C242" s="1" t="str">
        <f>IFERROR(__xludf.DUMMYFUNCTION("""COMPUTED_VALUE"""),"$ 4.13 million")</f>
        <v>$ 4.13 million</v>
      </c>
      <c r="D242" s="1" t="str">
        <f>IFERROR(__xludf.DUMMYFUNCTION("""COMPUTED_VALUE"""),"$ 4.13M 
$ 0.252")</f>
        <v>$ 4.13M 
$ 0.252</v>
      </c>
      <c r="E242" s="1"/>
      <c r="F242" s="1"/>
    </row>
    <row r="243" ht="15.75" customHeight="1">
      <c r="A243" s="1" t="str">
        <f>IFERROR(__xludf.DUMMYFUNCTION("""COMPUTED_VALUE"""),"233 PYR/USDT Binance")</f>
        <v>233 PYR/USDT Binance</v>
      </c>
      <c r="B243" s="2">
        <f>IFERROR(__xludf.DUMMYFUNCTION("""COMPUTED_VALUE"""),6.96)</f>
        <v>6.96</v>
      </c>
      <c r="C243" s="1" t="str">
        <f>IFERROR(__xludf.DUMMYFUNCTION("""COMPUTED_VALUE"""),"$ 4.11 million")</f>
        <v>$ 4.11 million</v>
      </c>
      <c r="D243" s="1" t="str">
        <f>IFERROR(__xludf.DUMMYFUNCTION("""COMPUTED_VALUE"""),"$ 4.11M 
$ 6.96")</f>
        <v>$ 4.11M 
$ 6.96</v>
      </c>
      <c r="E243" s="1"/>
      <c r="F243" s="1"/>
    </row>
    <row r="244" ht="15.75" customHeight="1">
      <c r="A244" s="1" t="str">
        <f>IFERROR(__xludf.DUMMYFUNCTION("""COMPUTED_VALUE"""),"234 BCH/BTC Binance")</f>
        <v>234 BCH/BTC Binance</v>
      </c>
      <c r="B244" s="2">
        <f>IFERROR(__xludf.DUMMYFUNCTION("""COMPUTED_VALUE"""),269.67)</f>
        <v>269.67</v>
      </c>
      <c r="C244" s="1" t="str">
        <f>IFERROR(__xludf.DUMMYFUNCTION("""COMPUTED_VALUE"""),"$ 4.08 million")</f>
        <v>$ 4.08 million</v>
      </c>
      <c r="D244" s="1" t="str">
        <f>IFERROR(__xludf.DUMMYFUNCTION("""COMPUTED_VALUE"""),"$ 4.08M 
$ 269.67")</f>
        <v>$ 4.08M 
$ 269.67</v>
      </c>
      <c r="E244" s="1"/>
      <c r="F244" s="1"/>
    </row>
    <row r="245" ht="15.75" customHeight="1">
      <c r="A245" s="1" t="str">
        <f>IFERROR(__xludf.DUMMYFUNCTION("""COMPUTED_VALUE"""),"235 KSM/USDT Binance")</f>
        <v>235 KSM/USDT Binance</v>
      </c>
      <c r="B245" s="2">
        <f>IFERROR(__xludf.DUMMYFUNCTION("""COMPUTED_VALUE"""),46.27)</f>
        <v>46.27</v>
      </c>
      <c r="C245" s="1" t="str">
        <f>IFERROR(__xludf.DUMMYFUNCTION("""COMPUTED_VALUE"""),"$ 4.06 million")</f>
        <v>$ 4.06 million</v>
      </c>
      <c r="D245" s="1" t="str">
        <f>IFERROR(__xludf.DUMMYFUNCTION("""COMPUTED_VALUE"""),"$ 4.06M 
$ 46.27")</f>
        <v>$ 4.06M 
$ 46.27</v>
      </c>
      <c r="E245" s="1"/>
      <c r="F245" s="1"/>
    </row>
    <row r="246" ht="15.75" customHeight="1">
      <c r="A246" s="1" t="str">
        <f>IFERROR(__xludf.DUMMYFUNCTION("""COMPUTED_VALUE"""),"236 LINA/USDT Binance")</f>
        <v>236 LINA/USDT Binance</v>
      </c>
      <c r="B246" s="2">
        <f>IFERROR(__xludf.DUMMYFUNCTION("""COMPUTED_VALUE"""),0.00896)</f>
        <v>0.00896</v>
      </c>
      <c r="C246" s="1" t="str">
        <f>IFERROR(__xludf.DUMMYFUNCTION("""COMPUTED_VALUE"""),"$ 4.04 million")</f>
        <v>$ 4.04 million</v>
      </c>
      <c r="D246" s="1" t="str">
        <f>IFERROR(__xludf.DUMMYFUNCTION("""COMPUTED_VALUE"""),"$ 4.04M 
$ 0.00896")</f>
        <v>$ 4.04M 
$ 0.00896</v>
      </c>
      <c r="E246" s="1"/>
      <c r="F246" s="1"/>
    </row>
    <row r="247" ht="15.75" customHeight="1">
      <c r="A247" s="1" t="str">
        <f>IFERROR(__xludf.DUMMYFUNCTION("""COMPUTED_VALUE"""),"237 REI/USDT Binance")</f>
        <v>237 REI/USDT Binance</v>
      </c>
      <c r="B247" s="2">
        <f>IFERROR(__xludf.DUMMYFUNCTION("""COMPUTED_VALUE"""),0.0332)</f>
        <v>0.0332</v>
      </c>
      <c r="C247" s="1" t="str">
        <f>IFERROR(__xludf.DUMMYFUNCTION("""COMPUTED_VALUE"""),"$ 4.04 million")</f>
        <v>$ 4.04 million</v>
      </c>
      <c r="D247" s="1" t="str">
        <f>IFERROR(__xludf.DUMMYFUNCTION("""COMPUTED_VALUE"""),"$ 4.04M 
$ 0.0332")</f>
        <v>$ 4.04M 
$ 0.0332</v>
      </c>
      <c r="E247" s="1"/>
      <c r="F247" s="1"/>
    </row>
    <row r="248" ht="15.75" customHeight="1">
      <c r="A248" s="1" t="str">
        <f>IFERROR(__xludf.DUMMYFUNCTION("""COMPUTED_VALUE"""),"238 QI/USDT Binance")</f>
        <v>238 QI/USDT Binance</v>
      </c>
      <c r="B248" s="4">
        <f>IFERROR(__xludf.DUMMYFUNCTION("""COMPUTED_VALUE"""),0.0184)</f>
        <v>0.0184</v>
      </c>
      <c r="C248" s="1" t="str">
        <f>IFERROR(__xludf.DUMMYFUNCTION("""COMPUTED_VALUE"""),"$ 4.04 million")</f>
        <v>$ 4.04 million</v>
      </c>
      <c r="D248" s="1" t="str">
        <f>IFERROR(__xludf.DUMMYFUNCTION("""COMPUTED_VALUE"""),"$ 4.04M 
$ 0.0184")</f>
        <v>$ 4.04M 
$ 0.0184</v>
      </c>
      <c r="E248" s="1"/>
      <c r="F248" s="1"/>
    </row>
    <row r="249" ht="15.75" customHeight="1">
      <c r="A249" s="1" t="str">
        <f>IFERROR(__xludf.DUMMYFUNCTION("""COMPUTED_VALUE"""),"239 DOGE/BTC Binance")</f>
        <v>239 DOGE/BTC Binance</v>
      </c>
      <c r="B249" s="2">
        <f>IFERROR(__xludf.DUMMYFUNCTION("""COMPUTED_VALUE"""),0.0858)</f>
        <v>0.0858</v>
      </c>
      <c r="C249" s="1" t="str">
        <f>IFERROR(__xludf.DUMMYFUNCTION("""COMPUTED_VALUE"""),"$ 4.01 million")</f>
        <v>$ 4.01 million</v>
      </c>
      <c r="D249" s="1" t="str">
        <f>IFERROR(__xludf.DUMMYFUNCTION("""COMPUTED_VALUE"""),"$ 4.01M 
$ 0.0858")</f>
        <v>$ 4.01M 
$ 0.0858</v>
      </c>
      <c r="E249" s="1"/>
      <c r="F249" s="1"/>
    </row>
    <row r="250" ht="15.75" customHeight="1">
      <c r="A250" s="1" t="str">
        <f>IFERROR(__xludf.DUMMYFUNCTION("""COMPUTED_VALUE"""),"240 BAND/USDT Binance")</f>
        <v>240 BAND/USDT Binance</v>
      </c>
      <c r="B250" s="2">
        <f>IFERROR(__xludf.DUMMYFUNCTION("""COMPUTED_VALUE"""),2.02)</f>
        <v>2.02</v>
      </c>
      <c r="C250" s="1" t="str">
        <f>IFERROR(__xludf.DUMMYFUNCTION("""COMPUTED_VALUE"""),"$ 4.01 million")</f>
        <v>$ 4.01 million</v>
      </c>
      <c r="D250" s="1" t="str">
        <f>IFERROR(__xludf.DUMMYFUNCTION("""COMPUTED_VALUE"""),"$ 4.01M 
$ 2.02")</f>
        <v>$ 4.01M 
$ 2.02</v>
      </c>
      <c r="E250" s="1"/>
      <c r="F250" s="1"/>
    </row>
    <row r="251" ht="15.75" customHeight="1">
      <c r="A251" s="1" t="str">
        <f>IFERROR(__xludf.DUMMYFUNCTION("""COMPUTED_VALUE"""),"241 ENJ/USDT Binance")</f>
        <v>241 ENJ/USDT Binance</v>
      </c>
      <c r="B251" s="2">
        <f>IFERROR(__xludf.DUMMYFUNCTION("""COMPUTED_VALUE"""),0.328)</f>
        <v>0.328</v>
      </c>
      <c r="C251" s="1" t="str">
        <f>IFERROR(__xludf.DUMMYFUNCTION("""COMPUTED_VALUE"""),"$ 3.99 million")</f>
        <v>$ 3.99 million</v>
      </c>
      <c r="D251" s="1" t="str">
        <f>IFERROR(__xludf.DUMMYFUNCTION("""COMPUTED_VALUE"""),"$ 3.99M 
$ 0.328")</f>
        <v>$ 3.99M 
$ 0.328</v>
      </c>
      <c r="E251" s="1"/>
      <c r="F251" s="1"/>
    </row>
    <row r="252" ht="15.75" customHeight="1">
      <c r="A252" s="1" t="str">
        <f>IFERROR(__xludf.DUMMYFUNCTION("""COMPUTED_VALUE"""),"242 SOL/ETH Binance")</f>
        <v>242 SOL/ETH Binance</v>
      </c>
      <c r="B252" s="2">
        <f>IFERROR(__xludf.DUMMYFUNCTION("""COMPUTED_VALUE"""),115.87)</f>
        <v>115.87</v>
      </c>
      <c r="C252" s="1" t="str">
        <f>IFERROR(__xludf.DUMMYFUNCTION("""COMPUTED_VALUE"""),"$ 3.98 million")</f>
        <v>$ 3.98 million</v>
      </c>
      <c r="D252" s="1" t="str">
        <f>IFERROR(__xludf.DUMMYFUNCTION("""COMPUTED_VALUE"""),"$ 3.98M 
$ 115.87")</f>
        <v>$ 3.98M 
$ 115.87</v>
      </c>
      <c r="E252" s="1"/>
      <c r="F252" s="1"/>
    </row>
    <row r="253" ht="15.75" customHeight="1">
      <c r="A253" s="1" t="str">
        <f>IFERROR(__xludf.DUMMYFUNCTION("""COMPUTED_VALUE"""),"243 LPT/USDT Binance")</f>
        <v>243 LPT/USDT Binance</v>
      </c>
      <c r="B253" s="2">
        <f>IFERROR(__xludf.DUMMYFUNCTION("""COMPUTED_VALUE"""),8.12)</f>
        <v>8.12</v>
      </c>
      <c r="C253" s="1" t="str">
        <f>IFERROR(__xludf.DUMMYFUNCTION("""COMPUTED_VALUE"""),"$ 3.97 million")</f>
        <v>$ 3.97 million</v>
      </c>
      <c r="D253" s="1" t="str">
        <f>IFERROR(__xludf.DUMMYFUNCTION("""COMPUTED_VALUE"""),"$ 3.97M 
$ 8.12")</f>
        <v>$ 3.97M 
$ 8.12</v>
      </c>
      <c r="E253" s="1"/>
      <c r="F253" s="1"/>
    </row>
    <row r="254" ht="15.75" customHeight="1">
      <c r="A254" s="1" t="str">
        <f>IFERROR(__xludf.DUMMYFUNCTION("""COMPUTED_VALUE"""),"244 TRU/USDT Binance")</f>
        <v>244 TRU/USDT Binance</v>
      </c>
      <c r="B254" s="2">
        <f>IFERROR(__xludf.DUMMYFUNCTION("""COMPUTED_VALUE"""),0.0584)</f>
        <v>0.0584</v>
      </c>
      <c r="C254" s="1" t="str">
        <f>IFERROR(__xludf.DUMMYFUNCTION("""COMPUTED_VALUE"""),"$ 3.95 million")</f>
        <v>$ 3.95 million</v>
      </c>
      <c r="D254" s="1" t="str">
        <f>IFERROR(__xludf.DUMMYFUNCTION("""COMPUTED_VALUE"""),"$ 3.95M 
$ 0.0584")</f>
        <v>$ 3.95M 
$ 0.0584</v>
      </c>
      <c r="E254" s="1"/>
      <c r="F254" s="1"/>
    </row>
    <row r="255" ht="15.75" customHeight="1">
      <c r="A255" s="1" t="str">
        <f>IFERROR(__xludf.DUMMYFUNCTION("""COMPUTED_VALUE"""),"245 LSK/USDT Binance")</f>
        <v>245 LSK/USDT Binance</v>
      </c>
      <c r="B255" s="2">
        <f>IFERROR(__xludf.DUMMYFUNCTION("""COMPUTED_VALUE"""),1.37)</f>
        <v>1.37</v>
      </c>
      <c r="C255" s="1" t="str">
        <f>IFERROR(__xludf.DUMMYFUNCTION("""COMPUTED_VALUE"""),"$ 3.94 million")</f>
        <v>$ 3.94 million</v>
      </c>
      <c r="D255" s="1" t="str">
        <f>IFERROR(__xludf.DUMMYFUNCTION("""COMPUTED_VALUE"""),"$ 3.94M 
$ 1.37")</f>
        <v>$ 3.94M 
$ 1.37</v>
      </c>
      <c r="E255" s="1"/>
      <c r="F255" s="1"/>
    </row>
    <row r="256" ht="15.75" customHeight="1">
      <c r="A256" s="1" t="str">
        <f>IFERROR(__xludf.DUMMYFUNCTION("""COMPUTED_VALUE"""),"246 LTC/BTC Binance")</f>
        <v>246 LTC/BTC Binance</v>
      </c>
      <c r="B256" s="2">
        <f>IFERROR(__xludf.DUMMYFUNCTION("""COMPUTED_VALUE"""),70.04)</f>
        <v>70.04</v>
      </c>
      <c r="C256" s="1" t="str">
        <f>IFERROR(__xludf.DUMMYFUNCTION("""COMPUTED_VALUE"""),"$ 3.90 million")</f>
        <v>$ 3.90 million</v>
      </c>
      <c r="D256" s="1" t="str">
        <f>IFERROR(__xludf.DUMMYFUNCTION("""COMPUTED_VALUE"""),"$ 3.90M 
$ 70.04")</f>
        <v>$ 3.90M 
$ 70.04</v>
      </c>
      <c r="E256" s="1"/>
      <c r="F256" s="1"/>
    </row>
    <row r="257" ht="15.75" customHeight="1">
      <c r="A257" s="1" t="str">
        <f>IFERROR(__xludf.DUMMYFUNCTION("""COMPUTED_VALUE"""),"247 UNFI/USDT Binance")</f>
        <v>247 UNFI/USDT Binance</v>
      </c>
      <c r="B257" s="2">
        <f>IFERROR(__xludf.DUMMYFUNCTION("""COMPUTED_VALUE"""),6.52)</f>
        <v>6.52</v>
      </c>
      <c r="C257" s="1" t="str">
        <f>IFERROR(__xludf.DUMMYFUNCTION("""COMPUTED_VALUE"""),"$ 3.88 million")</f>
        <v>$ 3.88 million</v>
      </c>
      <c r="D257" s="1" t="str">
        <f>IFERROR(__xludf.DUMMYFUNCTION("""COMPUTED_VALUE"""),"$ 3.88M 
$ 6.52")</f>
        <v>$ 3.88M 
$ 6.52</v>
      </c>
      <c r="E257" s="1"/>
      <c r="F257" s="1"/>
    </row>
    <row r="258" ht="15.75" customHeight="1">
      <c r="A258" s="1" t="str">
        <f>IFERROR(__xludf.DUMMYFUNCTION("""COMPUTED_VALUE"""),"248 ACA/USDT Binance")</f>
        <v>248 ACA/USDT Binance</v>
      </c>
      <c r="B258" s="2">
        <f>IFERROR(__xludf.DUMMYFUNCTION("""COMPUTED_VALUE"""),0.117)</f>
        <v>0.117</v>
      </c>
      <c r="C258" s="1" t="str">
        <f>IFERROR(__xludf.DUMMYFUNCTION("""COMPUTED_VALUE"""),"$ 3.88 million")</f>
        <v>$ 3.88 million</v>
      </c>
      <c r="D258" s="1" t="str">
        <f>IFERROR(__xludf.DUMMYFUNCTION("""COMPUTED_VALUE"""),"$ 3.88M 
$ 0.117")</f>
        <v>$ 3.88M 
$ 0.117</v>
      </c>
      <c r="E258" s="1"/>
      <c r="F258" s="1"/>
    </row>
    <row r="259" ht="15.75" customHeight="1">
      <c r="A259" s="1" t="str">
        <f>IFERROR(__xludf.DUMMYFUNCTION("""COMPUTED_VALUE"""),"249 STRAX/USDT Binance")</f>
        <v>249 STRAX/USDT Binance</v>
      </c>
      <c r="B259" s="2">
        <f>IFERROR(__xludf.DUMMYFUNCTION("""COMPUTED_VALUE"""),0.992)</f>
        <v>0.992</v>
      </c>
      <c r="C259" s="1" t="str">
        <f>IFERROR(__xludf.DUMMYFUNCTION("""COMPUTED_VALUE"""),"$ 3.86 million")</f>
        <v>$ 3.86 million</v>
      </c>
      <c r="D259" s="1" t="str">
        <f>IFERROR(__xludf.DUMMYFUNCTION("""COMPUTED_VALUE"""),"$ 3.86M 
$ 0.992")</f>
        <v>$ 3.86M 
$ 0.992</v>
      </c>
      <c r="E259" s="1"/>
      <c r="F259" s="1"/>
    </row>
    <row r="260" ht="15.75" customHeight="1">
      <c r="A260" s="1" t="str">
        <f>IFERROR(__xludf.DUMMYFUNCTION("""COMPUTED_VALUE"""),"250 SOL/EUR Binance")</f>
        <v>250 SOL/EUR Binance</v>
      </c>
      <c r="B260" s="2">
        <f>IFERROR(__xludf.DUMMYFUNCTION("""COMPUTED_VALUE"""),116.06)</f>
        <v>116.06</v>
      </c>
      <c r="C260" s="1" t="str">
        <f>IFERROR(__xludf.DUMMYFUNCTION("""COMPUTED_VALUE"""),"$ 3.85 million")</f>
        <v>$ 3.85 million</v>
      </c>
      <c r="D260" s="1" t="str">
        <f>IFERROR(__xludf.DUMMYFUNCTION("""COMPUTED_VALUE"""),"$ 3.85M 
$ 116.06")</f>
        <v>$ 3.85M 
$ 116.06</v>
      </c>
      <c r="E260" s="1"/>
      <c r="F260" s="1"/>
    </row>
    <row r="261" ht="15.75" customHeight="1">
      <c r="A261" s="5" t="str">
        <f>IFERROR(__xludf.DUMMYFUNCTION("IMPORTHTML(""https://coinranking.com/exchange/-zdvbieRdZ+binance/markets?tenable.test=anything&amp;sortby=desc&amp;sorton&amp;page=6"", ""table"", 1)"),"Markets")</f>
        <v>Markets</v>
      </c>
      <c r="B261" s="1" t="str">
        <f>IFERROR(__xludf.DUMMYFUNCTION("""COMPUTED_VALUE"""),"Base price")</f>
        <v>Base price</v>
      </c>
      <c r="C261" s="1" t="str">
        <f>IFERROR(__xludf.DUMMYFUNCTION("""COMPUTED_VALUE"""),"24h trade volume")</f>
        <v>24h trade volume</v>
      </c>
      <c r="D261" s="1" t="str">
        <f>IFERROR(__xludf.DUMMYFUNCTION("""COMPUTED_VALUE"""),"24h volume")</f>
        <v>24h volume</v>
      </c>
      <c r="E261" s="1" t="str">
        <f>IFERROR(__xludf.DUMMYFUNCTION("""COMPUTED_VALUE"""),"Recommended")</f>
        <v>Recommended</v>
      </c>
      <c r="F261" s="1"/>
    </row>
    <row r="262" ht="15.75" customHeight="1">
      <c r="A262" s="1" t="str">
        <f>IFERROR(__xludf.DUMMYFUNCTION("""COMPUTED_VALUE"""),"251 REQ/USDT Binance")</f>
        <v>251 REQ/USDT Binance</v>
      </c>
      <c r="B262" s="2">
        <f>IFERROR(__xludf.DUMMYFUNCTION("""COMPUTED_VALUE"""),0.113)</f>
        <v>0.113</v>
      </c>
      <c r="C262" s="1" t="str">
        <f>IFERROR(__xludf.DUMMYFUNCTION("""COMPUTED_VALUE"""),"$ 3.85 million")</f>
        <v>$ 3.85 million</v>
      </c>
      <c r="D262" s="1" t="str">
        <f>IFERROR(__xludf.DUMMYFUNCTION("""COMPUTED_VALUE"""),"$ 3.85M 
$ 0.113")</f>
        <v>$ 3.85M 
$ 0.113</v>
      </c>
      <c r="E262" s="1"/>
      <c r="F262" s="1"/>
    </row>
    <row r="263" ht="15.75" customHeight="1">
      <c r="A263" s="1" t="str">
        <f>IFERROR(__xludf.DUMMYFUNCTION("""COMPUTED_VALUE"""),"252 XTZ/USDT Binance")</f>
        <v>252 XTZ/USDT Binance</v>
      </c>
      <c r="B263" s="2">
        <f>IFERROR(__xludf.DUMMYFUNCTION("""COMPUTED_VALUE"""),1.09)</f>
        <v>1.09</v>
      </c>
      <c r="C263" s="1" t="str">
        <f>IFERROR(__xludf.DUMMYFUNCTION("""COMPUTED_VALUE"""),"$ 3.84 million")</f>
        <v>$ 3.84 million</v>
      </c>
      <c r="D263" s="1" t="str">
        <f>IFERROR(__xludf.DUMMYFUNCTION("""COMPUTED_VALUE"""),"$ 3.84M 
$ 1.09")</f>
        <v>$ 3.84M 
$ 1.09</v>
      </c>
      <c r="E263" s="1"/>
      <c r="F263" s="1"/>
    </row>
    <row r="264" ht="15.75" customHeight="1">
      <c r="A264" s="1" t="str">
        <f>IFERROR(__xludf.DUMMYFUNCTION("""COMPUTED_VALUE"""),"253 ORDI/BTC Binance")</f>
        <v>253 ORDI/BTC Binance</v>
      </c>
      <c r="B264" s="2">
        <f>IFERROR(__xludf.DUMMYFUNCTION("""COMPUTED_VALUE"""),70.46)</f>
        <v>70.46</v>
      </c>
      <c r="C264" s="1" t="str">
        <f>IFERROR(__xludf.DUMMYFUNCTION("""COMPUTED_VALUE"""),"$ 3.84 million")</f>
        <v>$ 3.84 million</v>
      </c>
      <c r="D264" s="1" t="str">
        <f>IFERROR(__xludf.DUMMYFUNCTION("""COMPUTED_VALUE"""),"$ 3.84M 
$ 70.46")</f>
        <v>$ 3.84M 
$ 70.46</v>
      </c>
      <c r="E264" s="1"/>
      <c r="F264" s="1"/>
    </row>
    <row r="265" ht="15.75" customHeight="1">
      <c r="A265" s="1" t="str">
        <f>IFERROR(__xludf.DUMMYFUNCTION("""COMPUTED_VALUE"""),"254 POLYX/USDT Binance")</f>
        <v>254 POLYX/USDT Binance</v>
      </c>
      <c r="B265" s="2">
        <f>IFERROR(__xludf.DUMMYFUNCTION("""COMPUTED_VALUE"""),0.174)</f>
        <v>0.174</v>
      </c>
      <c r="C265" s="1" t="str">
        <f>IFERROR(__xludf.DUMMYFUNCTION("""COMPUTED_VALUE"""),"$ 3.80 million")</f>
        <v>$ 3.80 million</v>
      </c>
      <c r="D265" s="1" t="str">
        <f>IFERROR(__xludf.DUMMYFUNCTION("""COMPUTED_VALUE"""),"$ 3.80M 
$ 0.174")</f>
        <v>$ 3.80M 
$ 0.174</v>
      </c>
      <c r="E265" s="1"/>
      <c r="F265" s="1"/>
    </row>
    <row r="266" ht="15.75" customHeight="1">
      <c r="A266" s="1" t="str">
        <f>IFERROR(__xludf.DUMMYFUNCTION("""COMPUTED_VALUE"""),"255 TLM/USDT Binance")</f>
        <v>255 TLM/USDT Binance</v>
      </c>
      <c r="B266" s="2">
        <f>IFERROR(__xludf.DUMMYFUNCTION("""COMPUTED_VALUE"""),0.0157)</f>
        <v>0.0157</v>
      </c>
      <c r="C266" s="1" t="str">
        <f>IFERROR(__xludf.DUMMYFUNCTION("""COMPUTED_VALUE"""),"$ 3.73 million")</f>
        <v>$ 3.73 million</v>
      </c>
      <c r="D266" s="1" t="str">
        <f>IFERROR(__xludf.DUMMYFUNCTION("""COMPUTED_VALUE"""),"$ 3.73M 
$ 0.0157")</f>
        <v>$ 3.73M 
$ 0.0157</v>
      </c>
      <c r="E266" s="1"/>
      <c r="F266" s="1"/>
    </row>
    <row r="267" ht="15.75" customHeight="1">
      <c r="A267" s="1" t="str">
        <f>IFERROR(__xludf.DUMMYFUNCTION("""COMPUTED_VALUE"""),"256 ETH/TRY Binance")</f>
        <v>256 ETH/TRY Binance</v>
      </c>
      <c r="B267" s="2">
        <f>IFERROR(__xludf.DUMMYFUNCTION("""COMPUTED_VALUE"""),2808.21)</f>
        <v>2808.21</v>
      </c>
      <c r="C267" s="1" t="str">
        <f>IFERROR(__xludf.DUMMYFUNCTION("""COMPUTED_VALUE"""),"$ 3.71 million")</f>
        <v>$ 3.71 million</v>
      </c>
      <c r="D267" s="1" t="str">
        <f>IFERROR(__xludf.DUMMYFUNCTION("""COMPUTED_VALUE"""),"$ 3.71M 
$ 2,808.21")</f>
        <v>$ 3.71M 
$ 2,808.21</v>
      </c>
      <c r="E267" s="1"/>
      <c r="F267" s="1"/>
    </row>
    <row r="268" ht="15.75" customHeight="1">
      <c r="A268" s="1" t="str">
        <f>IFERROR(__xludf.DUMMYFUNCTION("""COMPUTED_VALUE"""),"257 TWT/USDT Binance")</f>
        <v>257 TWT/USDT Binance</v>
      </c>
      <c r="B268" s="2">
        <f>IFERROR(__xludf.DUMMYFUNCTION("""COMPUTED_VALUE"""),1.21)</f>
        <v>1.21</v>
      </c>
      <c r="C268" s="1" t="str">
        <f>IFERROR(__xludf.DUMMYFUNCTION("""COMPUTED_VALUE"""),"$ 3.67 million")</f>
        <v>$ 3.67 million</v>
      </c>
      <c r="D268" s="1" t="str">
        <f>IFERROR(__xludf.DUMMYFUNCTION("""COMPUTED_VALUE"""),"$ 3.67M 
$ 1.21")</f>
        <v>$ 3.67M 
$ 1.21</v>
      </c>
      <c r="E268" s="1"/>
      <c r="F268" s="1"/>
    </row>
    <row r="269" ht="15.75" customHeight="1">
      <c r="A269" s="1" t="str">
        <f>IFERROR(__xludf.DUMMYFUNCTION("""COMPUTED_VALUE"""),"258 LQTY/USDT Binance")</f>
        <v>258 LQTY/USDT Binance</v>
      </c>
      <c r="B269" s="2">
        <f>IFERROR(__xludf.DUMMYFUNCTION("""COMPUTED_VALUE"""),1.51)</f>
        <v>1.51</v>
      </c>
      <c r="C269" s="1" t="str">
        <f>IFERROR(__xludf.DUMMYFUNCTION("""COMPUTED_VALUE"""),"$ 3.65 million")</f>
        <v>$ 3.65 million</v>
      </c>
      <c r="D269" s="1" t="str">
        <f>IFERROR(__xludf.DUMMYFUNCTION("""COMPUTED_VALUE"""),"$ 3.65M 
$ 1.51")</f>
        <v>$ 3.65M 
$ 1.51</v>
      </c>
      <c r="E269" s="1"/>
      <c r="F269" s="1"/>
    </row>
    <row r="270" ht="15.75" customHeight="1">
      <c r="A270" s="1" t="str">
        <f>IFERROR(__xludf.DUMMYFUNCTION("""COMPUTED_VALUE"""),"259 ONE/USDT Binance")</f>
        <v>259 ONE/USDT Binance</v>
      </c>
      <c r="B270" s="2">
        <f>IFERROR(__xludf.DUMMYFUNCTION("""COMPUTED_VALUE"""),0.0168)</f>
        <v>0.0168</v>
      </c>
      <c r="C270" s="1" t="str">
        <f>IFERROR(__xludf.DUMMYFUNCTION("""COMPUTED_VALUE"""),"$ 3.64 million")</f>
        <v>$ 3.64 million</v>
      </c>
      <c r="D270" s="1" t="str">
        <f>IFERROR(__xludf.DUMMYFUNCTION("""COMPUTED_VALUE"""),"$ 3.64M 
$ 0.0168")</f>
        <v>$ 3.64M 
$ 0.0168</v>
      </c>
      <c r="E270" s="1"/>
      <c r="F270" s="1"/>
    </row>
    <row r="271" ht="15.75" customHeight="1">
      <c r="A271" s="1" t="str">
        <f>IFERROR(__xludf.DUMMYFUNCTION("""COMPUTED_VALUE"""),"260 ONT/USDT Binance")</f>
        <v>260 ONT/USDT Binance</v>
      </c>
      <c r="B271" s="2">
        <f>IFERROR(__xludf.DUMMYFUNCTION("""COMPUTED_VALUE"""),0.259)</f>
        <v>0.259</v>
      </c>
      <c r="C271" s="1" t="str">
        <f>IFERROR(__xludf.DUMMYFUNCTION("""COMPUTED_VALUE"""),"$ 3.58 million")</f>
        <v>$ 3.58 million</v>
      </c>
      <c r="D271" s="1" t="str">
        <f>IFERROR(__xludf.DUMMYFUNCTION("""COMPUTED_VALUE"""),"$ 3.58M 
$ 0.259")</f>
        <v>$ 3.58M 
$ 0.259</v>
      </c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 t="str">
        <f>IFERROR(__xludf.DUMMYFUNCTION("""COMPUTED_VALUE"""),"261 VANRY/USDT Binance")</f>
        <v>261 VANRY/USDT Binance</v>
      </c>
      <c r="B273" s="2">
        <f>IFERROR(__xludf.DUMMYFUNCTION("""COMPUTED_VALUE"""),0.0638)</f>
        <v>0.0638</v>
      </c>
      <c r="C273" s="1" t="str">
        <f>IFERROR(__xludf.DUMMYFUNCTION("""COMPUTED_VALUE"""),"$ 3.56 million")</f>
        <v>$ 3.56 million</v>
      </c>
      <c r="D273" s="1" t="str">
        <f>IFERROR(__xludf.DUMMYFUNCTION("""COMPUTED_VALUE"""),"$ 3.56M 
$ 0.0638")</f>
        <v>$ 3.56M 
$ 0.0638</v>
      </c>
      <c r="E273" s="1"/>
      <c r="F273" s="1"/>
    </row>
    <row r="274" ht="15.75" customHeight="1">
      <c r="A274" s="1" t="str">
        <f>IFERROR(__xludf.DUMMYFUNCTION("""COMPUTED_VALUE"""),"262 STMX/USDT Binance")</f>
        <v>262 STMX/USDT Binance</v>
      </c>
      <c r="B274" s="2">
        <f>IFERROR(__xludf.DUMMYFUNCTION("""COMPUTED_VALUE"""),0.00725)</f>
        <v>0.00725</v>
      </c>
      <c r="C274" s="1" t="str">
        <f>IFERROR(__xludf.DUMMYFUNCTION("""COMPUTED_VALUE"""),"$ 3.47 million")</f>
        <v>$ 3.47 million</v>
      </c>
      <c r="D274" s="1" t="str">
        <f>IFERROR(__xludf.DUMMYFUNCTION("""COMPUTED_VALUE"""),"$ 3.47M 
$ 0.00725")</f>
        <v>$ 3.47M 
$ 0.00725</v>
      </c>
      <c r="E274" s="1"/>
      <c r="F274" s="1"/>
    </row>
    <row r="275" ht="15.75" customHeight="1">
      <c r="A275" s="1" t="str">
        <f>IFERROR(__xludf.DUMMYFUNCTION("""COMPUTED_VALUE"""),"263 ETH/BRL Binance")</f>
        <v>263 ETH/BRL Binance</v>
      </c>
      <c r="B275" s="2">
        <f>IFERROR(__xludf.DUMMYFUNCTION("""COMPUTED_VALUE"""),2814.6)</f>
        <v>2814.6</v>
      </c>
      <c r="C275" s="1" t="str">
        <f>IFERROR(__xludf.DUMMYFUNCTION("""COMPUTED_VALUE"""),"$ 3.41 million")</f>
        <v>$ 3.41 million</v>
      </c>
      <c r="D275" s="1" t="str">
        <f>IFERROR(__xludf.DUMMYFUNCTION("""COMPUTED_VALUE"""),"$ 3.41M 
$ 2,814.60")</f>
        <v>$ 3.41M 
$ 2,814.60</v>
      </c>
      <c r="E275" s="1"/>
      <c r="F275" s="1"/>
    </row>
    <row r="276" ht="15.75" customHeight="1">
      <c r="A276" s="1" t="str">
        <f>IFERROR(__xludf.DUMMYFUNCTION("""COMPUTED_VALUE"""),"264 IOTX/USDT Binance")</f>
        <v>264 IOTX/USDT Binance</v>
      </c>
      <c r="B276" s="2">
        <f>IFERROR(__xludf.DUMMYFUNCTION("""COMPUTED_VALUE"""),0.0476)</f>
        <v>0.0476</v>
      </c>
      <c r="C276" s="1" t="str">
        <f>IFERROR(__xludf.DUMMYFUNCTION("""COMPUTED_VALUE"""),"$ 3.39 million")</f>
        <v>$ 3.39 million</v>
      </c>
      <c r="D276" s="1" t="str">
        <f>IFERROR(__xludf.DUMMYFUNCTION("""COMPUTED_VALUE"""),"$ 3.39M 
$ 0.0476")</f>
        <v>$ 3.39M 
$ 0.0476</v>
      </c>
      <c r="E276" s="1"/>
      <c r="F276" s="1"/>
    </row>
    <row r="277" ht="15.75" customHeight="1">
      <c r="A277" s="1" t="str">
        <f>IFERROR(__xludf.DUMMYFUNCTION("""COMPUTED_VALUE"""),"265 AVAX/USDC Binance")</f>
        <v>265 AVAX/USDC Binance</v>
      </c>
      <c r="B277" s="2">
        <f>IFERROR(__xludf.DUMMYFUNCTION("""COMPUTED_VALUE"""),42.55)</f>
        <v>42.55</v>
      </c>
      <c r="C277" s="1" t="str">
        <f>IFERROR(__xludf.DUMMYFUNCTION("""COMPUTED_VALUE"""),"$ 3.37 million")</f>
        <v>$ 3.37 million</v>
      </c>
      <c r="D277" s="1" t="str">
        <f>IFERROR(__xludf.DUMMYFUNCTION("""COMPUTED_VALUE"""),"$ 3.37M 
$ 42.55")</f>
        <v>$ 3.37M 
$ 42.55</v>
      </c>
      <c r="E277" s="1"/>
      <c r="F277" s="1"/>
    </row>
    <row r="278" ht="15.75" customHeight="1">
      <c r="A278" s="1" t="str">
        <f>IFERROR(__xludf.DUMMYFUNCTION("""COMPUTED_VALUE"""),"266 BLZ/USDT Binance")</f>
        <v>266 BLZ/USDT Binance</v>
      </c>
      <c r="B278" s="2">
        <f>IFERROR(__xludf.DUMMYFUNCTION("""COMPUTED_VALUE"""),0.335)</f>
        <v>0.335</v>
      </c>
      <c r="C278" s="1" t="str">
        <f>IFERROR(__xludf.DUMMYFUNCTION("""COMPUTED_VALUE"""),"$ 3.34 million")</f>
        <v>$ 3.34 million</v>
      </c>
      <c r="D278" s="1" t="str">
        <f>IFERROR(__xludf.DUMMYFUNCTION("""COMPUTED_VALUE"""),"$ 3.34M 
$ 0.335")</f>
        <v>$ 3.34M 
$ 0.335</v>
      </c>
      <c r="E278" s="1"/>
      <c r="F278" s="1"/>
    </row>
    <row r="279" ht="15.75" customHeight="1">
      <c r="A279" s="1" t="str">
        <f>IFERROR(__xludf.DUMMYFUNCTION("""COMPUTED_VALUE"""),"267 QKC/USDT Binance")</f>
        <v>267 QKC/USDT Binance</v>
      </c>
      <c r="B279" s="2">
        <f>IFERROR(__xludf.DUMMYFUNCTION("""COMPUTED_VALUE"""),0.0103)</f>
        <v>0.0103</v>
      </c>
      <c r="C279" s="1" t="str">
        <f>IFERROR(__xludf.DUMMYFUNCTION("""COMPUTED_VALUE"""),"$ 3.34 million")</f>
        <v>$ 3.34 million</v>
      </c>
      <c r="D279" s="1" t="str">
        <f>IFERROR(__xludf.DUMMYFUNCTION("""COMPUTED_VALUE"""),"$ 3.34M 
$ 0.0103")</f>
        <v>$ 3.34M 
$ 0.0103</v>
      </c>
      <c r="E279" s="1"/>
      <c r="F279" s="1"/>
    </row>
    <row r="280" ht="15.75" customHeight="1">
      <c r="A280" s="1" t="str">
        <f>IFERROR(__xludf.DUMMYFUNCTION("""COMPUTED_VALUE"""),"268 CLV/USDT Binance")</f>
        <v>268 CLV/USDT Binance</v>
      </c>
      <c r="B280" s="2">
        <f>IFERROR(__xludf.DUMMYFUNCTION("""COMPUTED_VALUE"""),0.0577)</f>
        <v>0.0577</v>
      </c>
      <c r="C280" s="1" t="str">
        <f>IFERROR(__xludf.DUMMYFUNCTION("""COMPUTED_VALUE"""),"$ 3.31 million")</f>
        <v>$ 3.31 million</v>
      </c>
      <c r="D280" s="1" t="str">
        <f>IFERROR(__xludf.DUMMYFUNCTION("""COMPUTED_VALUE"""),"$ 3.31M 
$ 0.0577")</f>
        <v>$ 3.31M 
$ 0.0577</v>
      </c>
      <c r="E280" s="1"/>
      <c r="F280" s="1"/>
    </row>
    <row r="281" ht="15.75" customHeight="1">
      <c r="A281" s="1" t="str">
        <f>IFERROR(__xludf.DUMMYFUNCTION("""COMPUTED_VALUE"""),"269 ARK/USDT Binance")</f>
        <v>269 ARK/USDT Binance</v>
      </c>
      <c r="B281" s="2">
        <f>IFERROR(__xludf.DUMMYFUNCTION("""COMPUTED_VALUE"""),0.89)</f>
        <v>0.89</v>
      </c>
      <c r="C281" s="1" t="str">
        <f>IFERROR(__xludf.DUMMYFUNCTION("""COMPUTED_VALUE"""),"$ 3.31 million")</f>
        <v>$ 3.31 million</v>
      </c>
      <c r="D281" s="1" t="str">
        <f>IFERROR(__xludf.DUMMYFUNCTION("""COMPUTED_VALUE"""),"$ 3.31M 
$ 0.890")</f>
        <v>$ 3.31M 
$ 0.890</v>
      </c>
      <c r="E281" s="1"/>
      <c r="F281" s="1"/>
    </row>
    <row r="282" ht="15.75" customHeight="1">
      <c r="A282" s="1" t="str">
        <f>IFERROR(__xludf.DUMMYFUNCTION("""COMPUTED_VALUE"""),"270 AMB/USDT Binance")</f>
        <v>270 AMB/USDT Binance</v>
      </c>
      <c r="B282" s="2">
        <f>IFERROR(__xludf.DUMMYFUNCTION("""COMPUTED_VALUE"""),0.0086)</f>
        <v>0.0086</v>
      </c>
      <c r="C282" s="1" t="str">
        <f>IFERROR(__xludf.DUMMYFUNCTION("""COMPUTED_VALUE"""),"$ 3.30 million")</f>
        <v>$ 3.30 million</v>
      </c>
      <c r="D282" s="1" t="str">
        <f>IFERROR(__xludf.DUMMYFUNCTION("""COMPUTED_VALUE"""),"$ 3.30M 
$ 0.00860")</f>
        <v>$ 3.30M 
$ 0.00860</v>
      </c>
      <c r="E282" s="1"/>
      <c r="F282" s="1"/>
    </row>
    <row r="283" ht="15.75" customHeight="1">
      <c r="A283" s="1" t="str">
        <f>IFERROR(__xludf.DUMMYFUNCTION("""COMPUTED_VALUE"""),"271 PHB/USDT Binance")</f>
        <v>271 PHB/USDT Binance</v>
      </c>
      <c r="B283" s="2">
        <f>IFERROR(__xludf.DUMMYFUNCTION("""COMPUTED_VALUE"""),1.12)</f>
        <v>1.12</v>
      </c>
      <c r="C283" s="1" t="str">
        <f>IFERROR(__xludf.DUMMYFUNCTION("""COMPUTED_VALUE"""),"$ 3.30 million")</f>
        <v>$ 3.30 million</v>
      </c>
      <c r="D283" s="1" t="str">
        <f>IFERROR(__xludf.DUMMYFUNCTION("""COMPUTED_VALUE"""),"$ 3.30M 
$ 1.12")</f>
        <v>$ 3.30M 
$ 1.12</v>
      </c>
      <c r="E283" s="1"/>
      <c r="F283" s="1"/>
    </row>
    <row r="284" ht="15.75" customHeight="1">
      <c r="A284" s="1" t="str">
        <f>IFERROR(__xludf.DUMMYFUNCTION("""COMPUTED_VALUE"""),"272 CVP/USDT Binance")</f>
        <v>272 CVP/USDT Binance</v>
      </c>
      <c r="B284" s="2">
        <f>IFERROR(__xludf.DUMMYFUNCTION("""COMPUTED_VALUE"""),0.459)</f>
        <v>0.459</v>
      </c>
      <c r="C284" s="1" t="str">
        <f>IFERROR(__xludf.DUMMYFUNCTION("""COMPUTED_VALUE"""),"$ 3.29 million")</f>
        <v>$ 3.29 million</v>
      </c>
      <c r="D284" s="1" t="str">
        <f>IFERROR(__xludf.DUMMYFUNCTION("""COMPUTED_VALUE"""),"$ 3.29M 
$ 0.459")</f>
        <v>$ 3.29M 
$ 0.459</v>
      </c>
      <c r="E284" s="1"/>
      <c r="F284" s="1"/>
    </row>
    <row r="285" ht="15.75" customHeight="1">
      <c r="A285" s="1" t="str">
        <f>IFERROR(__xludf.DUMMYFUNCTION("""COMPUTED_VALUE"""),"273 XMR/BTC Binance")</f>
        <v>273 XMR/BTC Binance</v>
      </c>
      <c r="B285" s="2">
        <f>IFERROR(__xludf.DUMMYFUNCTION("""COMPUTED_VALUE"""),126.93)</f>
        <v>126.93</v>
      </c>
      <c r="C285" s="1" t="str">
        <f>IFERROR(__xludf.DUMMYFUNCTION("""COMPUTED_VALUE"""),"$ 3.27 million")</f>
        <v>$ 3.27 million</v>
      </c>
      <c r="D285" s="1" t="str">
        <f>IFERROR(__xludf.DUMMYFUNCTION("""COMPUTED_VALUE"""),"$ 3.27M 
$ 126.93")</f>
        <v>$ 3.27M 
$ 126.93</v>
      </c>
      <c r="E285" s="1"/>
      <c r="F285" s="1"/>
    </row>
    <row r="286" ht="15.75" customHeight="1">
      <c r="A286" s="1" t="str">
        <f>IFERROR(__xludf.DUMMYFUNCTION("""COMPUTED_VALUE"""),"274 SHIB/TRY Binance")</f>
        <v>274 SHIB/TRY Binance</v>
      </c>
      <c r="B286" s="1" t="str">
        <f>IFERROR(__xludf.DUMMYFUNCTION("""COMPUTED_VALUE"""),"$ 0.0₃0986")</f>
        <v>$ 0.0₃0986</v>
      </c>
      <c r="C286" s="1" t="str">
        <f>IFERROR(__xludf.DUMMYFUNCTION("""COMPUTED_VALUE"""),"$ 3.27 million")</f>
        <v>$ 3.27 million</v>
      </c>
      <c r="D286" s="1" t="str">
        <f>IFERROR(__xludf.DUMMYFUNCTION("""COMPUTED_VALUE"""),"$ 3.27M 
$ 0.0₃0986")</f>
        <v>$ 3.27M 
$ 0.0₃0986</v>
      </c>
      <c r="E286" s="1"/>
      <c r="F286" s="1"/>
    </row>
    <row r="287" ht="15.75" customHeight="1">
      <c r="A287" s="1" t="str">
        <f>IFERROR(__xludf.DUMMYFUNCTION("""COMPUTED_VALUE"""),"275 FIO/USDT Binance")</f>
        <v>275 FIO/USDT Binance</v>
      </c>
      <c r="B287" s="2">
        <f>IFERROR(__xludf.DUMMYFUNCTION("""COMPUTED_VALUE"""),0.036)</f>
        <v>0.036</v>
      </c>
      <c r="C287" s="1" t="str">
        <f>IFERROR(__xludf.DUMMYFUNCTION("""COMPUTED_VALUE"""),"$ 3.24 million")</f>
        <v>$ 3.24 million</v>
      </c>
      <c r="D287" s="1" t="str">
        <f>IFERROR(__xludf.DUMMYFUNCTION("""COMPUTED_VALUE"""),"$ 3.24M 
$ 0.0360")</f>
        <v>$ 3.24M 
$ 0.0360</v>
      </c>
      <c r="E287" s="1"/>
      <c r="F287" s="1"/>
    </row>
    <row r="288" ht="15.75" customHeight="1">
      <c r="A288" s="1" t="str">
        <f>IFERROR(__xludf.DUMMYFUNCTION("""COMPUTED_VALUE"""),"276 SUI/BTC Binance")</f>
        <v>276 SUI/BTC Binance</v>
      </c>
      <c r="B288" s="2">
        <f>IFERROR(__xludf.DUMMYFUNCTION("""COMPUTED_VALUE"""),1.89)</f>
        <v>1.89</v>
      </c>
      <c r="C288" s="1" t="str">
        <f>IFERROR(__xludf.DUMMYFUNCTION("""COMPUTED_VALUE"""),"$ 3.21 million")</f>
        <v>$ 3.21 million</v>
      </c>
      <c r="D288" s="1" t="str">
        <f>IFERROR(__xludf.DUMMYFUNCTION("""COMPUTED_VALUE"""),"$ 3.21M 
$ 1.89")</f>
        <v>$ 3.21M 
$ 1.89</v>
      </c>
      <c r="E288" s="1"/>
      <c r="F288" s="1"/>
    </row>
    <row r="289" ht="15.75" customHeight="1">
      <c r="A289" s="1" t="str">
        <f>IFERROR(__xludf.DUMMYFUNCTION("""COMPUTED_VALUE"""),"277 JST/USDT Binance")</f>
        <v>277 JST/USDT Binance</v>
      </c>
      <c r="B289" s="2">
        <f>IFERROR(__xludf.DUMMYFUNCTION("""COMPUTED_VALUE"""),0.034)</f>
        <v>0.034</v>
      </c>
      <c r="C289" s="1" t="str">
        <f>IFERROR(__xludf.DUMMYFUNCTION("""COMPUTED_VALUE"""),"$ 3.20 million")</f>
        <v>$ 3.20 million</v>
      </c>
      <c r="D289" s="1" t="str">
        <f>IFERROR(__xludf.DUMMYFUNCTION("""COMPUTED_VALUE"""),"$ 3.20M 
$ 0.0340")</f>
        <v>$ 3.20M 
$ 0.0340</v>
      </c>
      <c r="E289" s="1"/>
      <c r="F289" s="1"/>
    </row>
    <row r="290" ht="15.75" customHeight="1">
      <c r="A290" s="1" t="str">
        <f>IFERROR(__xludf.DUMMYFUNCTION("""COMPUTED_VALUE"""),"278 WING/USDT Binance")</f>
        <v>278 WING/USDT Binance</v>
      </c>
      <c r="B290" s="2">
        <f>IFERROR(__xludf.DUMMYFUNCTION("""COMPUTED_VALUE"""),8.89)</f>
        <v>8.89</v>
      </c>
      <c r="C290" s="1" t="str">
        <f>IFERROR(__xludf.DUMMYFUNCTION("""COMPUTED_VALUE"""),"$ 3.17 million")</f>
        <v>$ 3.17 million</v>
      </c>
      <c r="D290" s="1" t="str">
        <f>IFERROR(__xludf.DUMMYFUNCTION("""COMPUTED_VALUE"""),"$ 3.17M 
$ 8.89")</f>
        <v>$ 3.17M 
$ 8.89</v>
      </c>
      <c r="E290" s="1"/>
      <c r="F290" s="1"/>
    </row>
    <row r="291" ht="15.75" customHeight="1">
      <c r="A291" s="1" t="str">
        <f>IFERROR(__xludf.DUMMYFUNCTION("""COMPUTED_VALUE"""),"279 XRP/TRY Binance")</f>
        <v>279 XRP/TRY Binance</v>
      </c>
      <c r="B291" s="2">
        <f>IFERROR(__xludf.DUMMYFUNCTION("""COMPUTED_VALUE"""),0.553)</f>
        <v>0.553</v>
      </c>
      <c r="C291" s="1" t="str">
        <f>IFERROR(__xludf.DUMMYFUNCTION("""COMPUTED_VALUE"""),"$ 3.14 million")</f>
        <v>$ 3.14 million</v>
      </c>
      <c r="D291" s="1" t="str">
        <f>IFERROR(__xludf.DUMMYFUNCTION("""COMPUTED_VALUE"""),"$ 3.14M 
$ 0.553")</f>
        <v>$ 3.14M 
$ 0.553</v>
      </c>
      <c r="E291" s="1"/>
      <c r="F291" s="1"/>
    </row>
    <row r="292" ht="15.75" customHeight="1">
      <c r="A292" s="1" t="str">
        <f>IFERROR(__xludf.DUMMYFUNCTION("""COMPUTED_VALUE"""),"280 SXP/USDT Binance")</f>
        <v>280 SXP/USDT Binance</v>
      </c>
      <c r="B292" s="2">
        <f>IFERROR(__xludf.DUMMYFUNCTION("""COMPUTED_VALUE"""),0.341)</f>
        <v>0.341</v>
      </c>
      <c r="C292" s="1" t="str">
        <f>IFERROR(__xludf.DUMMYFUNCTION("""COMPUTED_VALUE"""),"$ 3.13 million")</f>
        <v>$ 3.13 million</v>
      </c>
      <c r="D292" s="1" t="str">
        <f>IFERROR(__xludf.DUMMYFUNCTION("""COMPUTED_VALUE"""),"$ 3.13M 
$ 0.341")</f>
        <v>$ 3.13M 
$ 0.341</v>
      </c>
      <c r="E292" s="1"/>
      <c r="F292" s="1"/>
    </row>
    <row r="293" ht="15.75" customHeight="1">
      <c r="A293" s="1" t="str">
        <f>IFERROR(__xludf.DUMMYFUNCTION("""COMPUTED_VALUE"""),"281 TRX/BTC Binance")</f>
        <v>281 TRX/BTC Binance</v>
      </c>
      <c r="B293" s="2">
        <f>IFERROR(__xludf.DUMMYFUNCTION("""COMPUTED_VALUE"""),0.131)</f>
        <v>0.131</v>
      </c>
      <c r="C293" s="1" t="str">
        <f>IFERROR(__xludf.DUMMYFUNCTION("""COMPUTED_VALUE"""),"$ 3.08 million")</f>
        <v>$ 3.08 million</v>
      </c>
      <c r="D293" s="1" t="str">
        <f>IFERROR(__xludf.DUMMYFUNCTION("""COMPUTED_VALUE"""),"$ 3.08M 
$ 0.131")</f>
        <v>$ 3.08M 
$ 0.131</v>
      </c>
      <c r="E293" s="1"/>
      <c r="F293" s="1"/>
    </row>
    <row r="294" ht="15.75" customHeight="1">
      <c r="A294" s="1" t="str">
        <f>IFERROR(__xludf.DUMMYFUNCTION("""COMPUTED_VALUE"""),"282 ZEC/USDT Binance")</f>
        <v>282 ZEC/USDT Binance</v>
      </c>
      <c r="B294" s="2">
        <f>IFERROR(__xludf.DUMMYFUNCTION("""COMPUTED_VALUE"""),21.89)</f>
        <v>21.89</v>
      </c>
      <c r="C294" s="1" t="str">
        <f>IFERROR(__xludf.DUMMYFUNCTION("""COMPUTED_VALUE"""),"$ 3.07 million")</f>
        <v>$ 3.07 million</v>
      </c>
      <c r="D294" s="1" t="str">
        <f>IFERROR(__xludf.DUMMYFUNCTION("""COMPUTED_VALUE"""),"$ 3.07M 
$ 21.89")</f>
        <v>$ 3.07M 
$ 21.89</v>
      </c>
      <c r="E294" s="1"/>
      <c r="F294" s="1"/>
    </row>
    <row r="295" ht="15.75" customHeight="1">
      <c r="A295" s="1" t="str">
        <f>IFERROR(__xludf.DUMMYFUNCTION("""COMPUTED_VALUE"""),"283 ZRX/USDT Binance")</f>
        <v>283 ZRX/USDT Binance</v>
      </c>
      <c r="B295" s="2">
        <f>IFERROR(__xludf.DUMMYFUNCTION("""COMPUTED_VALUE"""),0.339)</f>
        <v>0.339</v>
      </c>
      <c r="C295" s="1" t="str">
        <f>IFERROR(__xludf.DUMMYFUNCTION("""COMPUTED_VALUE"""),"$ 3.03 million")</f>
        <v>$ 3.03 million</v>
      </c>
      <c r="D295" s="1" t="str">
        <f>IFERROR(__xludf.DUMMYFUNCTION("""COMPUTED_VALUE"""),"$ 3.03M 
$ 0.339")</f>
        <v>$ 3.03M 
$ 0.339</v>
      </c>
      <c r="E295" s="1"/>
      <c r="F295" s="1"/>
    </row>
    <row r="296" ht="15.75" customHeight="1">
      <c r="A296" s="1" t="str">
        <f>IFERROR(__xludf.DUMMYFUNCTION("""COMPUTED_VALUE"""),"284 DASH/USDT Binance")</f>
        <v>284 DASH/USDT Binance</v>
      </c>
      <c r="B296" s="2">
        <f>IFERROR(__xludf.DUMMYFUNCTION("""COMPUTED_VALUE"""),28.77)</f>
        <v>28.77</v>
      </c>
      <c r="C296" s="1" t="str">
        <f>IFERROR(__xludf.DUMMYFUNCTION("""COMPUTED_VALUE"""),"$ 3 million")</f>
        <v>$ 3 million</v>
      </c>
      <c r="D296" s="1" t="str">
        <f>IFERROR(__xludf.DUMMYFUNCTION("""COMPUTED_VALUE"""),"$ 3M 
$ 28.77")</f>
        <v>$ 3M 
$ 28.77</v>
      </c>
      <c r="E296" s="1"/>
      <c r="F296" s="1"/>
    </row>
    <row r="297" ht="15.75" customHeight="1">
      <c r="A297" s="1" t="str">
        <f>IFERROR(__xludf.DUMMYFUNCTION("""COMPUTED_VALUE"""),"285 ZEN/USDT Binance")</f>
        <v>285 ZEN/USDT Binance</v>
      </c>
      <c r="B297" s="2">
        <f>IFERROR(__xludf.DUMMYFUNCTION("""COMPUTED_VALUE"""),8.39)</f>
        <v>8.39</v>
      </c>
      <c r="C297" s="1" t="str">
        <f>IFERROR(__xludf.DUMMYFUNCTION("""COMPUTED_VALUE"""),"$ 2.97 million")</f>
        <v>$ 2.97 million</v>
      </c>
      <c r="D297" s="1" t="str">
        <f>IFERROR(__xludf.DUMMYFUNCTION("""COMPUTED_VALUE"""),"$ 2.97M 
$ 8.39")</f>
        <v>$ 2.97M 
$ 8.39</v>
      </c>
      <c r="E297" s="1"/>
      <c r="F297" s="1"/>
    </row>
    <row r="298" ht="15.75" customHeight="1">
      <c r="A298" s="1" t="str">
        <f>IFERROR(__xludf.DUMMYFUNCTION("""COMPUTED_VALUE"""),"286 DOGE/TRY Binance")</f>
        <v>286 DOGE/TRY Binance</v>
      </c>
      <c r="B298" s="2">
        <f>IFERROR(__xludf.DUMMYFUNCTION("""COMPUTED_VALUE"""),0.0866)</f>
        <v>0.0866</v>
      </c>
      <c r="C298" s="1" t="str">
        <f>IFERROR(__xludf.DUMMYFUNCTION("""COMPUTED_VALUE"""),"$ 2.92 million")</f>
        <v>$ 2.92 million</v>
      </c>
      <c r="D298" s="1" t="str">
        <f>IFERROR(__xludf.DUMMYFUNCTION("""COMPUTED_VALUE"""),"$ 2.92M 
$ 0.0866")</f>
        <v>$ 2.92M 
$ 0.0866</v>
      </c>
      <c r="E298" s="1"/>
      <c r="F298" s="1"/>
    </row>
    <row r="299" ht="15.75" customHeight="1">
      <c r="A299" s="1" t="str">
        <f>IFERROR(__xludf.DUMMYFUNCTION("""COMPUTED_VALUE"""),"287 SYS/USDT Binance")</f>
        <v>287 SYS/USDT Binance</v>
      </c>
      <c r="B299" s="2">
        <f>IFERROR(__xludf.DUMMYFUNCTION("""COMPUTED_VALUE"""),0.14)</f>
        <v>0.14</v>
      </c>
      <c r="C299" s="1" t="str">
        <f>IFERROR(__xludf.DUMMYFUNCTION("""COMPUTED_VALUE"""),"$ 2.92 million")</f>
        <v>$ 2.92 million</v>
      </c>
      <c r="D299" s="1" t="str">
        <f>IFERROR(__xludf.DUMMYFUNCTION("""COMPUTED_VALUE"""),"$ 2.92M 
$ 0.140")</f>
        <v>$ 2.92M 
$ 0.140</v>
      </c>
      <c r="E299" s="1"/>
      <c r="F299" s="1"/>
    </row>
    <row r="300" ht="15.75" customHeight="1">
      <c r="A300" s="1" t="str">
        <f>IFERROR(__xludf.DUMMYFUNCTION("""COMPUTED_VALUE"""),"288 PYTH/TRY Binance")</f>
        <v>288 PYTH/TRY Binance</v>
      </c>
      <c r="B300" s="2">
        <f>IFERROR(__xludf.DUMMYFUNCTION("""COMPUTED_VALUE"""),0.639)</f>
        <v>0.639</v>
      </c>
      <c r="C300" s="1" t="str">
        <f>IFERROR(__xludf.DUMMYFUNCTION("""COMPUTED_VALUE"""),"$ 2.89 million")</f>
        <v>$ 2.89 million</v>
      </c>
      <c r="D300" s="1" t="str">
        <f>IFERROR(__xludf.DUMMYFUNCTION("""COMPUTED_VALUE"""),"$ 2.89M 
$ 0.639")</f>
        <v>$ 2.89M 
$ 0.639</v>
      </c>
      <c r="E300" s="1"/>
      <c r="F300" s="1"/>
    </row>
    <row r="301" ht="15.75" customHeight="1">
      <c r="A301" s="1" t="str">
        <f>IFERROR(__xludf.DUMMYFUNCTION("""COMPUTED_VALUE"""),"289 DOT/BTC Binance")</f>
        <v>289 DOT/BTC Binance</v>
      </c>
      <c r="B301" s="2">
        <f>IFERROR(__xludf.DUMMYFUNCTION("""COMPUTED_VALUE"""),7.89)</f>
        <v>7.89</v>
      </c>
      <c r="C301" s="1" t="str">
        <f>IFERROR(__xludf.DUMMYFUNCTION("""COMPUTED_VALUE"""),"$ 2.89 million")</f>
        <v>$ 2.89 million</v>
      </c>
      <c r="D301" s="1" t="str">
        <f>IFERROR(__xludf.DUMMYFUNCTION("""COMPUTED_VALUE"""),"$ 2.89M 
$ 7.89")</f>
        <v>$ 2.89M 
$ 7.89</v>
      </c>
      <c r="E301" s="1"/>
      <c r="F301" s="1"/>
    </row>
    <row r="302" ht="15.75" customHeight="1">
      <c r="A302" s="1" t="str">
        <f>IFERROR(__xludf.DUMMYFUNCTION("""COMPUTED_VALUE"""),"290 BNT/USDT Binance")</f>
        <v>290 BNT/USDT Binance</v>
      </c>
      <c r="B302" s="2">
        <f>IFERROR(__xludf.DUMMYFUNCTION("""COMPUTED_VALUE"""),0.839)</f>
        <v>0.839</v>
      </c>
      <c r="C302" s="1" t="str">
        <f>IFERROR(__xludf.DUMMYFUNCTION("""COMPUTED_VALUE"""),"$ 2.85 million")</f>
        <v>$ 2.85 million</v>
      </c>
      <c r="D302" s="1" t="str">
        <f>IFERROR(__xludf.DUMMYFUNCTION("""COMPUTED_VALUE"""),"$ 2.85M 
$ 0.839")</f>
        <v>$ 2.85M 
$ 0.839</v>
      </c>
      <c r="E302" s="1"/>
      <c r="F302" s="1"/>
    </row>
    <row r="303" ht="15.75" customHeight="1">
      <c r="A303" s="1" t="str">
        <f>IFERROR(__xludf.DUMMYFUNCTION("""COMPUTED_VALUE"""),"291 JOE/USDT Binance")</f>
        <v>291 JOE/USDT Binance</v>
      </c>
      <c r="B303" s="2">
        <f>IFERROR(__xludf.DUMMYFUNCTION("""COMPUTED_VALUE"""),0.546)</f>
        <v>0.546</v>
      </c>
      <c r="C303" s="1" t="str">
        <f>IFERROR(__xludf.DUMMYFUNCTION("""COMPUTED_VALUE"""),"$ 2.83 million")</f>
        <v>$ 2.83 million</v>
      </c>
      <c r="D303" s="1" t="str">
        <f>IFERROR(__xludf.DUMMYFUNCTION("""COMPUTED_VALUE"""),"$ 2.83M 
$ 0.546")</f>
        <v>$ 2.83M 
$ 0.546</v>
      </c>
      <c r="E303" s="1"/>
      <c r="F303" s="1"/>
    </row>
    <row r="304" ht="15.75" customHeight="1">
      <c r="A304" s="1" t="str">
        <f>IFERROR(__xludf.DUMMYFUNCTION("""COMPUTED_VALUE"""),"292 BNB/ETH Binance")</f>
        <v>292 BNB/ETH Binance</v>
      </c>
      <c r="B304" s="2">
        <f>IFERROR(__xludf.DUMMYFUNCTION("""COMPUTED_VALUE"""),347.23)</f>
        <v>347.23</v>
      </c>
      <c r="C304" s="1" t="str">
        <f>IFERROR(__xludf.DUMMYFUNCTION("""COMPUTED_VALUE"""),"$ 2.82 million")</f>
        <v>$ 2.82 million</v>
      </c>
      <c r="D304" s="1" t="str">
        <f>IFERROR(__xludf.DUMMYFUNCTION("""COMPUTED_VALUE"""),"$ 2.82M 
$ 347.23")</f>
        <v>$ 2.82M 
$ 347.23</v>
      </c>
      <c r="E304" s="1"/>
      <c r="F304" s="1"/>
    </row>
    <row r="305" ht="15.75" customHeight="1">
      <c r="A305" s="1" t="str">
        <f>IFERROR(__xludf.DUMMYFUNCTION("""COMPUTED_VALUE"""),"293 USDP/USDT Binance")</f>
        <v>293 USDP/USDT Binance</v>
      </c>
      <c r="B305" s="2">
        <f>IFERROR(__xludf.DUMMYFUNCTION("""COMPUTED_VALUE"""),0.999)</f>
        <v>0.999</v>
      </c>
      <c r="C305" s="1" t="str">
        <f>IFERROR(__xludf.DUMMYFUNCTION("""COMPUTED_VALUE"""),"$ 2.80 million")</f>
        <v>$ 2.80 million</v>
      </c>
      <c r="D305" s="1" t="str">
        <f>IFERROR(__xludf.DUMMYFUNCTION("""COMPUTED_VALUE"""),"$ 2.80M 
$ 0.999")</f>
        <v>$ 2.80M 
$ 0.999</v>
      </c>
      <c r="E305" s="1"/>
      <c r="F305" s="1"/>
    </row>
    <row r="306" ht="15.75" customHeight="1">
      <c r="A306" s="1" t="str">
        <f>IFERROR(__xludf.DUMMYFUNCTION("""COMPUTED_VALUE"""),"294 XEC/USDT Binance")</f>
        <v>294 XEC/USDT Binance</v>
      </c>
      <c r="B306" s="2">
        <f>IFERROR(__xludf.DUMMYFUNCTION("""COMPUTED_VALUE"""),3.43E-5)</f>
        <v>0.0000343</v>
      </c>
      <c r="C306" s="1" t="str">
        <f>IFERROR(__xludf.DUMMYFUNCTION("""COMPUTED_VALUE"""),"$ 2.80 million")</f>
        <v>$ 2.80 million</v>
      </c>
      <c r="D306" s="1" t="str">
        <f>IFERROR(__xludf.DUMMYFUNCTION("""COMPUTED_VALUE"""),"$ 2.80M 
$ 0.0000343")</f>
        <v>$ 2.80M 
$ 0.0000343</v>
      </c>
      <c r="E306" s="1"/>
      <c r="F306" s="1"/>
    </row>
    <row r="307" ht="15.75" customHeight="1">
      <c r="A307" s="1" t="str">
        <f>IFERROR(__xludf.DUMMYFUNCTION("""COMPUTED_VALUE"""),"295 MATIC/BTC Binance")</f>
        <v>295 MATIC/BTC Binance</v>
      </c>
      <c r="B307" s="2">
        <f>IFERROR(__xludf.DUMMYFUNCTION("""COMPUTED_VALUE"""),0.892)</f>
        <v>0.892</v>
      </c>
      <c r="C307" s="1" t="str">
        <f>IFERROR(__xludf.DUMMYFUNCTION("""COMPUTED_VALUE"""),"$ 2.78 million")</f>
        <v>$ 2.78 million</v>
      </c>
      <c r="D307" s="1" t="str">
        <f>IFERROR(__xludf.DUMMYFUNCTION("""COMPUTED_VALUE"""),"$ 2.78M 
$ 0.892")</f>
        <v>$ 2.78M 
$ 0.892</v>
      </c>
      <c r="E307" s="1"/>
      <c r="F307" s="1"/>
    </row>
    <row r="308" ht="15.75" customHeight="1">
      <c r="A308" s="1" t="str">
        <f>IFERROR(__xludf.DUMMYFUNCTION("""COMPUTED_VALUE"""),"296 SOL/USDC Binance")</f>
        <v>296 SOL/USDC Binance</v>
      </c>
      <c r="B308" s="2">
        <f>IFERROR(__xludf.DUMMYFUNCTION("""COMPUTED_VALUE"""),116.07)</f>
        <v>116.07</v>
      </c>
      <c r="C308" s="1" t="str">
        <f>IFERROR(__xludf.DUMMYFUNCTION("""COMPUTED_VALUE"""),"$ 2.78 million")</f>
        <v>$ 2.78 million</v>
      </c>
      <c r="D308" s="1" t="str">
        <f>IFERROR(__xludf.DUMMYFUNCTION("""COMPUTED_VALUE"""),"$ 2.78M 
$ 116.07")</f>
        <v>$ 2.78M 
$ 116.07</v>
      </c>
      <c r="E308" s="1"/>
      <c r="F308" s="1"/>
    </row>
    <row r="309" ht="15.75" customHeight="1">
      <c r="A309" s="1" t="str">
        <f>IFERROR(__xludf.DUMMYFUNCTION("""COMPUTED_VALUE"""),"297 BURGER/USDT Binance")</f>
        <v>297 BURGER/USDT Binance</v>
      </c>
      <c r="B309" s="2">
        <f>IFERROR(__xludf.DUMMYFUNCTION("""COMPUTED_VALUE"""),0.537)</f>
        <v>0.537</v>
      </c>
      <c r="C309" s="1" t="str">
        <f>IFERROR(__xludf.DUMMYFUNCTION("""COMPUTED_VALUE"""),"$ 2.77 million")</f>
        <v>$ 2.77 million</v>
      </c>
      <c r="D309" s="1" t="str">
        <f>IFERROR(__xludf.DUMMYFUNCTION("""COMPUTED_VALUE"""),"$ 2.77M 
$ 0.537")</f>
        <v>$ 2.77M 
$ 0.537</v>
      </c>
      <c r="E309" s="1"/>
      <c r="F309" s="1"/>
    </row>
    <row r="310" ht="15.75" customHeight="1">
      <c r="A310" s="1" t="str">
        <f>IFERROR(__xludf.DUMMYFUNCTION("""COMPUTED_VALUE"""),"298 ARB/FDUSD Binance")</f>
        <v>298 ARB/FDUSD Binance</v>
      </c>
      <c r="B310" s="2">
        <f>IFERROR(__xludf.DUMMYFUNCTION("""COMPUTED_VALUE"""),2.11)</f>
        <v>2.11</v>
      </c>
      <c r="C310" s="1" t="str">
        <f>IFERROR(__xludf.DUMMYFUNCTION("""COMPUTED_VALUE"""),"$ 2.77 million")</f>
        <v>$ 2.77 million</v>
      </c>
      <c r="D310" s="1" t="str">
        <f>IFERROR(__xludf.DUMMYFUNCTION("""COMPUTED_VALUE"""),"$ 2.77M 
$ 2.11")</f>
        <v>$ 2.77M 
$ 2.11</v>
      </c>
      <c r="E310" s="1"/>
      <c r="F310" s="1"/>
    </row>
    <row r="311" ht="15.75" customHeight="1">
      <c r="A311" s="1" t="str">
        <f>IFERROR(__xludf.DUMMYFUNCTION("""COMPUTED_VALUE"""),"299 LIT/USDT Binance")</f>
        <v>299 LIT/USDT Binance</v>
      </c>
      <c r="B311" s="2">
        <f>IFERROR(__xludf.DUMMYFUNCTION("""COMPUTED_VALUE"""),0.972)</f>
        <v>0.972</v>
      </c>
      <c r="C311" s="1" t="str">
        <f>IFERROR(__xludf.DUMMYFUNCTION("""COMPUTED_VALUE"""),"$ 2.71 million")</f>
        <v>$ 2.71 million</v>
      </c>
      <c r="D311" s="1" t="str">
        <f>IFERROR(__xludf.DUMMYFUNCTION("""COMPUTED_VALUE"""),"$ 2.71M 
$ 0.972")</f>
        <v>$ 2.71M 
$ 0.972</v>
      </c>
      <c r="E311" s="1"/>
      <c r="F311" s="1"/>
    </row>
    <row r="312" ht="15.75" customHeight="1">
      <c r="A312" s="1" t="str">
        <f>IFERROR(__xludf.DUMMYFUNCTION("""COMPUTED_VALUE"""),"300 OGN/USDT Binance")</f>
        <v>300 OGN/USDT Binance</v>
      </c>
      <c r="B312" s="2">
        <f>IFERROR(__xludf.DUMMYFUNCTION("""COMPUTED_VALUE"""),0.173)</f>
        <v>0.173</v>
      </c>
      <c r="C312" s="1" t="str">
        <f>IFERROR(__xludf.DUMMYFUNCTION("""COMPUTED_VALUE"""),"$ 2.71 million")</f>
        <v>$ 2.71 million</v>
      </c>
      <c r="D312" s="1" t="str">
        <f>IFERROR(__xludf.DUMMYFUNCTION("""COMPUTED_VALUE"""),"$ 2.71M 
$ 0.173")</f>
        <v>$ 2.71M 
$ 0.173</v>
      </c>
      <c r="E312" s="1"/>
      <c r="F312" s="1"/>
    </row>
    <row r="313" ht="15.75" customHeight="1">
      <c r="A313" s="5" t="str">
        <f>IFERROR(__xludf.DUMMYFUNCTION("IMPORTHTML(""https://coinranking.com/exchange/-zdvbieRdZ+binance/markets?tenable.test=anything&amp;sortby=desc&amp;sorton&amp;page=7"", ""table"", 1)"),"Markets")</f>
        <v>Markets</v>
      </c>
      <c r="B313" s="1" t="str">
        <f>IFERROR(__xludf.DUMMYFUNCTION("""COMPUTED_VALUE"""),"Base price")</f>
        <v>Base price</v>
      </c>
      <c r="C313" s="1" t="str">
        <f>IFERROR(__xludf.DUMMYFUNCTION("""COMPUTED_VALUE"""),"24h trade volume")</f>
        <v>24h trade volume</v>
      </c>
      <c r="D313" s="1" t="str">
        <f>IFERROR(__xludf.DUMMYFUNCTION("""COMPUTED_VALUE"""),"24h volume")</f>
        <v>24h volume</v>
      </c>
      <c r="E313" s="1" t="str">
        <f>IFERROR(__xludf.DUMMYFUNCTION("""COMPUTED_VALUE"""),"Recommended")</f>
        <v>Recommended</v>
      </c>
      <c r="F313" s="1"/>
    </row>
    <row r="314" ht="15.75" customHeight="1">
      <c r="A314" s="1" t="str">
        <f>IFERROR(__xludf.DUMMYFUNCTION("""COMPUTED_VALUE"""),"301 XAI/TRY Binance")</f>
        <v>301 XAI/TRY Binance</v>
      </c>
      <c r="B314" s="3">
        <f>IFERROR(__xludf.DUMMYFUNCTION("""COMPUTED_VALUE"""),1.05)</f>
        <v>1.05</v>
      </c>
      <c r="C314" s="1" t="str">
        <f>IFERROR(__xludf.DUMMYFUNCTION("""COMPUTED_VALUE"""),"$ 2.70 million")</f>
        <v>$ 2.70 million</v>
      </c>
      <c r="D314" s="1" t="str">
        <f>IFERROR(__xludf.DUMMYFUNCTION("""COMPUTED_VALUE"""),"$ 2.70M 
$ 1.05")</f>
        <v>$ 2.70M 
$ 1.05</v>
      </c>
      <c r="E314" s="1"/>
      <c r="F314" s="1"/>
    </row>
    <row r="315" ht="15.75" customHeight="1">
      <c r="A315" s="1" t="str">
        <f>IFERROR(__xludf.DUMMYFUNCTION("""COMPUTED_VALUE"""),"302 GTC/USDT Binance")</f>
        <v>302 GTC/USDT Binance</v>
      </c>
      <c r="B315" s="2">
        <f>IFERROR(__xludf.DUMMYFUNCTION("""COMPUTED_VALUE"""),1.39)</f>
        <v>1.39</v>
      </c>
      <c r="C315" s="1" t="str">
        <f>IFERROR(__xludf.DUMMYFUNCTION("""COMPUTED_VALUE"""),"$ 2.68 million")</f>
        <v>$ 2.68 million</v>
      </c>
      <c r="D315" s="1" t="str">
        <f>IFERROR(__xludf.DUMMYFUNCTION("""COMPUTED_VALUE"""),"$ 2.68M 
$ 1.39")</f>
        <v>$ 2.68M 
$ 1.39</v>
      </c>
      <c r="E315" s="1"/>
      <c r="F315" s="1"/>
    </row>
    <row r="316" ht="15.75" customHeight="1">
      <c r="A316" s="1" t="str">
        <f>IFERROR(__xludf.DUMMYFUNCTION("""COMPUTED_VALUE"""),"303 BAT/USDT Binance")</f>
        <v>303 BAT/USDT Binance</v>
      </c>
      <c r="B316" s="2">
        <f>IFERROR(__xludf.DUMMYFUNCTION("""COMPUTED_VALUE"""),0.24)</f>
        <v>0.24</v>
      </c>
      <c r="C316" s="1" t="str">
        <f>IFERROR(__xludf.DUMMYFUNCTION("""COMPUTED_VALUE"""),"$ 2.67 million")</f>
        <v>$ 2.67 million</v>
      </c>
      <c r="D316" s="1" t="str">
        <f>IFERROR(__xludf.DUMMYFUNCTION("""COMPUTED_VALUE"""),"$ 2.67M 
$ 0.240")</f>
        <v>$ 2.67M 
$ 0.240</v>
      </c>
      <c r="E316" s="1"/>
      <c r="F316" s="1"/>
    </row>
    <row r="317" ht="15.75" customHeight="1">
      <c r="A317" s="1" t="str">
        <f>IFERROR(__xludf.DUMMYFUNCTION("""COMPUTED_VALUE"""),"304 PAXG/USDT Binance")</f>
        <v>304 PAXG/USDT Binance</v>
      </c>
      <c r="B317" s="2">
        <f>IFERROR(__xludf.DUMMYFUNCTION("""COMPUTED_VALUE"""),1982.0)</f>
        <v>1982</v>
      </c>
      <c r="C317" s="1" t="str">
        <f>IFERROR(__xludf.DUMMYFUNCTION("""COMPUTED_VALUE"""),"$ 2.58 million")</f>
        <v>$ 2.58 million</v>
      </c>
      <c r="D317" s="1" t="str">
        <f>IFERROR(__xludf.DUMMYFUNCTION("""COMPUTED_VALUE"""),"$ 2.58M 
$ 1,982")</f>
        <v>$ 2.58M 
$ 1,982</v>
      </c>
      <c r="E317" s="1"/>
      <c r="F317" s="1"/>
    </row>
    <row r="318" ht="15.75" customHeight="1">
      <c r="A318" s="1" t="str">
        <f>IFERROR(__xludf.DUMMYFUNCTION("""COMPUTED_VALUE"""),"305 RAD/USDT Binance")</f>
        <v>305 RAD/USDT Binance</v>
      </c>
      <c r="B318" s="2">
        <f>IFERROR(__xludf.DUMMYFUNCTION("""COMPUTED_VALUE"""),1.98)</f>
        <v>1.98</v>
      </c>
      <c r="C318" s="1" t="str">
        <f>IFERROR(__xludf.DUMMYFUNCTION("""COMPUTED_VALUE"""),"$ 2.56 million")</f>
        <v>$ 2.56 million</v>
      </c>
      <c r="D318" s="1" t="str">
        <f>IFERROR(__xludf.DUMMYFUNCTION("""COMPUTED_VALUE"""),"$ 2.56M 
$ 1.98")</f>
        <v>$ 2.56M 
$ 1.98</v>
      </c>
      <c r="E318" s="1"/>
      <c r="F318" s="1"/>
    </row>
    <row r="319" ht="15.75" customHeight="1">
      <c r="A319" s="1" t="str">
        <f>IFERROR(__xludf.DUMMYFUNCTION("""COMPUTED_VALUE"""),"306 YFI/USDT Binance")</f>
        <v>306 YFI/USDT Binance</v>
      </c>
      <c r="B319" s="2">
        <f>IFERROR(__xludf.DUMMYFUNCTION("""COMPUTED_VALUE"""),7767.0)</f>
        <v>7767</v>
      </c>
      <c r="C319" s="1" t="str">
        <f>IFERROR(__xludf.DUMMYFUNCTION("""COMPUTED_VALUE"""),"$ 2.53 million")</f>
        <v>$ 2.53 million</v>
      </c>
      <c r="D319" s="1" t="str">
        <f>IFERROR(__xludf.DUMMYFUNCTION("""COMPUTED_VALUE"""),"$ 2.53M 
$ 7,767")</f>
        <v>$ 2.53M 
$ 7,767</v>
      </c>
      <c r="E319" s="1"/>
      <c r="F319" s="1"/>
    </row>
    <row r="320" ht="15.75" customHeight="1">
      <c r="A320" s="1" t="str">
        <f>IFERROR(__xludf.DUMMYFUNCTION("""COMPUTED_VALUE"""),"307 TFUEL/USDT Binance")</f>
        <v>307 TFUEL/USDT Binance</v>
      </c>
      <c r="B320" s="2">
        <f>IFERROR(__xludf.DUMMYFUNCTION("""COMPUTED_VALUE"""),0.0451)</f>
        <v>0.0451</v>
      </c>
      <c r="C320" s="1" t="str">
        <f>IFERROR(__xludf.DUMMYFUNCTION("""COMPUTED_VALUE"""),"$ 2.52 million")</f>
        <v>$ 2.52 million</v>
      </c>
      <c r="D320" s="1" t="str">
        <f>IFERROR(__xludf.DUMMYFUNCTION("""COMPUTED_VALUE"""),"$ 2.52M 
$ 0.0451")</f>
        <v>$ 2.52M 
$ 0.0451</v>
      </c>
      <c r="E320" s="1"/>
      <c r="F320" s="1"/>
    </row>
    <row r="321" ht="15.75" customHeight="1">
      <c r="A321" s="1" t="str">
        <f>IFERROR(__xludf.DUMMYFUNCTION("""COMPUTED_VALUE"""),"308 RVN/USDT Binance")</f>
        <v>308 RVN/USDT Binance</v>
      </c>
      <c r="B321" s="2">
        <f>IFERROR(__xludf.DUMMYFUNCTION("""COMPUTED_VALUE"""),0.021)</f>
        <v>0.021</v>
      </c>
      <c r="C321" s="1" t="str">
        <f>IFERROR(__xludf.DUMMYFUNCTION("""COMPUTED_VALUE"""),"$ 2.51 million")</f>
        <v>$ 2.51 million</v>
      </c>
      <c r="D321" s="1" t="str">
        <f>IFERROR(__xludf.DUMMYFUNCTION("""COMPUTED_VALUE"""),"$ 2.51M 
$ 0.0210")</f>
        <v>$ 2.51M 
$ 0.0210</v>
      </c>
      <c r="E321" s="1"/>
      <c r="F321" s="1"/>
    </row>
    <row r="322" ht="15.75" customHeight="1">
      <c r="A322" s="1" t="str">
        <f>IFERROR(__xludf.DUMMYFUNCTION("""COMPUTED_VALUE"""),"309 IDEX/USDT Binance")</f>
        <v>309 IDEX/USDT Binance</v>
      </c>
      <c r="B322" s="2">
        <f>IFERROR(__xludf.DUMMYFUNCTION("""COMPUTED_VALUE"""),0.0577)</f>
        <v>0.0577</v>
      </c>
      <c r="C322" s="1" t="str">
        <f>IFERROR(__xludf.DUMMYFUNCTION("""COMPUTED_VALUE"""),"$ 2.51 million")</f>
        <v>$ 2.51 million</v>
      </c>
      <c r="D322" s="1" t="str">
        <f>IFERROR(__xludf.DUMMYFUNCTION("""COMPUTED_VALUE"""),"$ 2.51M 
$ 0.0577")</f>
        <v>$ 2.51M 
$ 0.0577</v>
      </c>
      <c r="E322" s="1"/>
      <c r="F322" s="1"/>
    </row>
    <row r="323" ht="15.75" customHeight="1">
      <c r="A323" s="1" t="str">
        <f>IFERROR(__xludf.DUMMYFUNCTION("""COMPUTED_VALUE"""),"310 RSR/USDT Binance")</f>
        <v>310 RSR/USDT Binance</v>
      </c>
      <c r="B323" s="2">
        <f>IFERROR(__xludf.DUMMYFUNCTION("""COMPUTED_VALUE"""),0.00262)</f>
        <v>0.00262</v>
      </c>
      <c r="C323" s="1" t="str">
        <f>IFERROR(__xludf.DUMMYFUNCTION("""COMPUTED_VALUE"""),"$ 2.46 million")</f>
        <v>$ 2.46 million</v>
      </c>
      <c r="D323" s="1" t="str">
        <f>IFERROR(__xludf.DUMMYFUNCTION("""COMPUTED_VALUE"""),"$ 2.46M 
$ 0.00262")</f>
        <v>$ 2.46M 
$ 0.00262</v>
      </c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 t="str">
        <f>IFERROR(__xludf.DUMMYFUNCTION("""COMPUTED_VALUE"""),"311 ADA/FDUSD Binance")</f>
        <v>311 ADA/FDUSD Binance</v>
      </c>
      <c r="B325" s="2">
        <f>IFERROR(__xludf.DUMMYFUNCTION("""COMPUTED_VALUE"""),0.593)</f>
        <v>0.593</v>
      </c>
      <c r="C325" s="1" t="str">
        <f>IFERROR(__xludf.DUMMYFUNCTION("""COMPUTED_VALUE"""),"$ 2.43 million")</f>
        <v>$ 2.43 million</v>
      </c>
      <c r="D325" s="1" t="str">
        <f>IFERROR(__xludf.DUMMYFUNCTION("""COMPUTED_VALUE"""),"$ 2.43M 
$ 0.593")</f>
        <v>$ 2.43M 
$ 0.593</v>
      </c>
      <c r="E325" s="1"/>
      <c r="F325" s="1"/>
    </row>
    <row r="326" ht="15.75" customHeight="1">
      <c r="A326" s="1" t="str">
        <f>IFERROR(__xludf.DUMMYFUNCTION("""COMPUTED_VALUE"""),"312 RIF/BTC Binance")</f>
        <v>312 RIF/BTC Binance</v>
      </c>
      <c r="B326" s="3">
        <f>IFERROR(__xludf.DUMMYFUNCTION("""COMPUTED_VALUE"""),0.236)</f>
        <v>0.236</v>
      </c>
      <c r="C326" s="1" t="str">
        <f>IFERROR(__xludf.DUMMYFUNCTION("""COMPUTED_VALUE"""),"$ 2.40 million")</f>
        <v>$ 2.40 million</v>
      </c>
      <c r="D326" s="1" t="str">
        <f>IFERROR(__xludf.DUMMYFUNCTION("""COMPUTED_VALUE"""),"$ 2.40M 
$ 0.236")</f>
        <v>$ 2.40M 
$ 0.236</v>
      </c>
      <c r="E326" s="1"/>
      <c r="F326" s="1"/>
    </row>
    <row r="327" ht="15.75" customHeight="1">
      <c r="A327" s="1" t="str">
        <f>IFERROR(__xludf.DUMMYFUNCTION("""COMPUTED_VALUE"""),"313 VET/ETH Binance")</f>
        <v>313 VET/ETH Binance</v>
      </c>
      <c r="B327" s="2">
        <f>IFERROR(__xludf.DUMMYFUNCTION("""COMPUTED_VALUE"""),0.0461)</f>
        <v>0.0461</v>
      </c>
      <c r="C327" s="1" t="str">
        <f>IFERROR(__xludf.DUMMYFUNCTION("""COMPUTED_VALUE"""),"$ 2.38 million")</f>
        <v>$ 2.38 million</v>
      </c>
      <c r="D327" s="1" t="str">
        <f>IFERROR(__xludf.DUMMYFUNCTION("""COMPUTED_VALUE"""),"$ 2.38M 
$ 0.0461")</f>
        <v>$ 2.38M 
$ 0.0461</v>
      </c>
      <c r="E327" s="1"/>
      <c r="F327" s="1"/>
    </row>
    <row r="328" ht="15.75" customHeight="1">
      <c r="A328" s="1" t="str">
        <f>IFERROR(__xludf.DUMMYFUNCTION("""COMPUTED_VALUE"""),"314 USDT/DAI Binance")</f>
        <v>314 USDT/DAI Binance</v>
      </c>
      <c r="B328" s="2">
        <f>IFERROR(__xludf.DUMMYFUNCTION("""COMPUTED_VALUE"""),1.0)</f>
        <v>1</v>
      </c>
      <c r="C328" s="1" t="str">
        <f>IFERROR(__xludf.DUMMYFUNCTION("""COMPUTED_VALUE"""),"$ 2.38 million")</f>
        <v>$ 2.38 million</v>
      </c>
      <c r="D328" s="1" t="str">
        <f>IFERROR(__xludf.DUMMYFUNCTION("""COMPUTED_VALUE"""),"$ 2.38M 
$ 1.00")</f>
        <v>$ 2.38M 
$ 1.00</v>
      </c>
      <c r="E328" s="1"/>
      <c r="F328" s="1"/>
    </row>
    <row r="329" ht="15.75" customHeight="1">
      <c r="A329" s="1" t="str">
        <f>IFERROR(__xludf.DUMMYFUNCTION("""COMPUTED_VALUE"""),"315 VOXEL/USDT Binance")</f>
        <v>315 VOXEL/USDT Binance</v>
      </c>
      <c r="B329" s="2">
        <f>IFERROR(__xludf.DUMMYFUNCTION("""COMPUTED_VALUE"""),0.236)</f>
        <v>0.236</v>
      </c>
      <c r="C329" s="1" t="str">
        <f>IFERROR(__xludf.DUMMYFUNCTION("""COMPUTED_VALUE"""),"$ 2.38 million")</f>
        <v>$ 2.38 million</v>
      </c>
      <c r="D329" s="1" t="str">
        <f>IFERROR(__xludf.DUMMYFUNCTION("""COMPUTED_VALUE"""),"$ 2.38M 
$ 0.236")</f>
        <v>$ 2.38M 
$ 0.236</v>
      </c>
      <c r="E329" s="1"/>
      <c r="F329" s="1"/>
    </row>
    <row r="330" ht="15.75" customHeight="1">
      <c r="A330" s="1" t="str">
        <f>IFERROR(__xludf.DUMMYFUNCTION("""COMPUTED_VALUE"""),"316 BNB/TRY Binance")</f>
        <v>316 BNB/TRY Binance</v>
      </c>
      <c r="B330" s="2">
        <f>IFERROR(__xludf.DUMMYFUNCTION("""COMPUTED_VALUE"""),349.05)</f>
        <v>349.05</v>
      </c>
      <c r="C330" s="1" t="str">
        <f>IFERROR(__xludf.DUMMYFUNCTION("""COMPUTED_VALUE"""),"$ 2.38 million")</f>
        <v>$ 2.38 million</v>
      </c>
      <c r="D330" s="1" t="str">
        <f>IFERROR(__xludf.DUMMYFUNCTION("""COMPUTED_VALUE"""),"$ 2.38M 
$ 349.05")</f>
        <v>$ 2.38M 
$ 349.05</v>
      </c>
      <c r="E330" s="1"/>
      <c r="F330" s="1"/>
    </row>
    <row r="331" ht="15.75" customHeight="1">
      <c r="A331" s="1" t="str">
        <f>IFERROR(__xludf.DUMMYFUNCTION("""COMPUTED_VALUE"""),"317 IOST/USDT Binance")</f>
        <v>317 IOST/USDT Binance</v>
      </c>
      <c r="B331" s="2">
        <f>IFERROR(__xludf.DUMMYFUNCTION("""COMPUTED_VALUE"""),0.00898)</f>
        <v>0.00898</v>
      </c>
      <c r="C331" s="1" t="str">
        <f>IFERROR(__xludf.DUMMYFUNCTION("""COMPUTED_VALUE"""),"$ 2.37 million")</f>
        <v>$ 2.37 million</v>
      </c>
      <c r="D331" s="1" t="str">
        <f>IFERROR(__xludf.DUMMYFUNCTION("""COMPUTED_VALUE"""),"$ 2.37M 
$ 0.00898")</f>
        <v>$ 2.37M 
$ 0.00898</v>
      </c>
      <c r="E331" s="1"/>
      <c r="F331" s="1"/>
    </row>
    <row r="332" ht="15.75" customHeight="1">
      <c r="A332" s="1" t="str">
        <f>IFERROR(__xludf.DUMMYFUNCTION("""COMPUTED_VALUE"""),"318 BSW/USDT Binance")</f>
        <v>318 BSW/USDT Binance</v>
      </c>
      <c r="B332" s="2">
        <f>IFERROR(__xludf.DUMMYFUNCTION("""COMPUTED_VALUE"""),0.105)</f>
        <v>0.105</v>
      </c>
      <c r="C332" s="1" t="str">
        <f>IFERROR(__xludf.DUMMYFUNCTION("""COMPUTED_VALUE"""),"$ 2.35 million")</f>
        <v>$ 2.35 million</v>
      </c>
      <c r="D332" s="1" t="str">
        <f>IFERROR(__xludf.DUMMYFUNCTION("""COMPUTED_VALUE"""),"$ 2.35M 
$ 0.105")</f>
        <v>$ 2.35M 
$ 0.105</v>
      </c>
      <c r="E332" s="1"/>
      <c r="F332" s="1"/>
    </row>
    <row r="333" ht="15.75" customHeight="1">
      <c r="A333" s="1" t="str">
        <f>IFERROR(__xludf.DUMMYFUNCTION("""COMPUTED_VALUE"""),"319 QUICK/USDT Binance")</f>
        <v>319 QUICK/USDT Binance</v>
      </c>
      <c r="B333" s="2">
        <f>IFERROR(__xludf.DUMMYFUNCTION("""COMPUTED_VALUE"""),0.0584)</f>
        <v>0.0584</v>
      </c>
      <c r="C333" s="1" t="str">
        <f>IFERROR(__xludf.DUMMYFUNCTION("""COMPUTED_VALUE"""),"$ 2.34 million")</f>
        <v>$ 2.34 million</v>
      </c>
      <c r="D333" s="1" t="str">
        <f>IFERROR(__xludf.DUMMYFUNCTION("""COMPUTED_VALUE"""),"$ 2.34M 
$ 0.0584")</f>
        <v>$ 2.34M 
$ 0.0584</v>
      </c>
      <c r="E333" s="1"/>
      <c r="F333" s="1"/>
    </row>
    <row r="334" ht="15.75" customHeight="1">
      <c r="A334" s="1" t="str">
        <f>IFERROR(__xludf.DUMMYFUNCTION("""COMPUTED_VALUE"""),"320 CYBER/TRY Binance")</f>
        <v>320 CYBER/TRY Binance</v>
      </c>
      <c r="B334" s="2">
        <f>IFERROR(__xludf.DUMMYFUNCTION("""COMPUTED_VALUE"""),8.29)</f>
        <v>8.29</v>
      </c>
      <c r="C334" s="1" t="str">
        <f>IFERROR(__xludf.DUMMYFUNCTION("""COMPUTED_VALUE"""),"$ 2.30 million")</f>
        <v>$ 2.30 million</v>
      </c>
      <c r="D334" s="1" t="str">
        <f>IFERROR(__xludf.DUMMYFUNCTION("""COMPUTED_VALUE"""),"$ 2.30M 
$ 8.29")</f>
        <v>$ 2.30M 
$ 8.29</v>
      </c>
      <c r="E334" s="1"/>
      <c r="F334" s="1"/>
    </row>
    <row r="335" ht="15.75" customHeight="1">
      <c r="A335" s="1" t="str">
        <f>IFERROR(__xludf.DUMMYFUNCTION("""COMPUTED_VALUE"""),"321 AKRO/USDT Binance")</f>
        <v>321 AKRO/USDT Binance</v>
      </c>
      <c r="B335" s="2">
        <f>IFERROR(__xludf.DUMMYFUNCTION("""COMPUTED_VALUE"""),0.00538)</f>
        <v>0.00538</v>
      </c>
      <c r="C335" s="1" t="str">
        <f>IFERROR(__xludf.DUMMYFUNCTION("""COMPUTED_VALUE"""),"$ 2.28 million")</f>
        <v>$ 2.28 million</v>
      </c>
      <c r="D335" s="1" t="str">
        <f>IFERROR(__xludf.DUMMYFUNCTION("""COMPUTED_VALUE"""),"$ 2.28M 
$ 0.00538")</f>
        <v>$ 2.28M 
$ 0.00538</v>
      </c>
      <c r="E335" s="1"/>
      <c r="F335" s="1"/>
    </row>
    <row r="336" ht="15.75" customHeight="1">
      <c r="A336" s="1" t="str">
        <f>IFERROR(__xludf.DUMMYFUNCTION("""COMPUTED_VALUE"""),"322 OCEAN/USDT Binance")</f>
        <v>322 OCEAN/USDT Binance</v>
      </c>
      <c r="B336" s="2">
        <f>IFERROR(__xludf.DUMMYFUNCTION("""COMPUTED_VALUE"""),0.509)</f>
        <v>0.509</v>
      </c>
      <c r="C336" s="1" t="str">
        <f>IFERROR(__xludf.DUMMYFUNCTION("""COMPUTED_VALUE"""),"$ 2.27 million")</f>
        <v>$ 2.27 million</v>
      </c>
      <c r="D336" s="1" t="str">
        <f>IFERROR(__xludf.DUMMYFUNCTION("""COMPUTED_VALUE"""),"$ 2.27M 
$ 0.509")</f>
        <v>$ 2.27M 
$ 0.509</v>
      </c>
      <c r="E336" s="1"/>
      <c r="F336" s="1"/>
    </row>
    <row r="337" ht="15.75" customHeight="1">
      <c r="A337" s="1" t="str">
        <f>IFERROR(__xludf.DUMMYFUNCTION("""COMPUTED_VALUE"""),"323 SNT/USDT Binance")</f>
        <v>323 SNT/USDT Binance</v>
      </c>
      <c r="B337" s="2">
        <f>IFERROR(__xludf.DUMMYFUNCTION("""COMPUTED_VALUE"""),0.0411)</f>
        <v>0.0411</v>
      </c>
      <c r="C337" s="1" t="str">
        <f>IFERROR(__xludf.DUMMYFUNCTION("""COMPUTED_VALUE"""),"$ 2.26 million")</f>
        <v>$ 2.26 million</v>
      </c>
      <c r="D337" s="1" t="str">
        <f>IFERROR(__xludf.DUMMYFUNCTION("""COMPUTED_VALUE"""),"$ 2.26M 
$ 0.0411")</f>
        <v>$ 2.26M 
$ 0.0411</v>
      </c>
      <c r="E337" s="1"/>
      <c r="F337" s="1"/>
    </row>
    <row r="338" ht="15.75" customHeight="1">
      <c r="A338" s="1" t="str">
        <f>IFERROR(__xludf.DUMMYFUNCTION("""COMPUTED_VALUE"""),"324 DEGO/USDT Binance")</f>
        <v>324 DEGO/USDT Binance</v>
      </c>
      <c r="B338" s="2">
        <f>IFERROR(__xludf.DUMMYFUNCTION("""COMPUTED_VALUE"""),2.32)</f>
        <v>2.32</v>
      </c>
      <c r="C338" s="1" t="str">
        <f>IFERROR(__xludf.DUMMYFUNCTION("""COMPUTED_VALUE"""),"$ 2.25 million")</f>
        <v>$ 2.25 million</v>
      </c>
      <c r="D338" s="1" t="str">
        <f>IFERROR(__xludf.DUMMYFUNCTION("""COMPUTED_VALUE"""),"$ 2.25M 
$ 2.32")</f>
        <v>$ 2.25M 
$ 2.32</v>
      </c>
      <c r="E338" s="1"/>
      <c r="F338" s="1"/>
    </row>
    <row r="339" ht="15.75" customHeight="1">
      <c r="A339" s="1" t="str">
        <f>IFERROR(__xludf.DUMMYFUNCTION("""COMPUTED_VALUE"""),"325 STX/TRY Binance")</f>
        <v>325 STX/TRY Binance</v>
      </c>
      <c r="B339" s="2">
        <f>IFERROR(__xludf.DUMMYFUNCTION("""COMPUTED_VALUE"""),2.63)</f>
        <v>2.63</v>
      </c>
      <c r="C339" s="1" t="str">
        <f>IFERROR(__xludf.DUMMYFUNCTION("""COMPUTED_VALUE"""),"$ 2.24 million")</f>
        <v>$ 2.24 million</v>
      </c>
      <c r="D339" s="1" t="str">
        <f>IFERROR(__xludf.DUMMYFUNCTION("""COMPUTED_VALUE"""),"$ 2.24M 
$ 2.63")</f>
        <v>$ 2.24M 
$ 2.63</v>
      </c>
      <c r="E339" s="1"/>
      <c r="F339" s="1"/>
    </row>
    <row r="340" ht="15.75" customHeight="1">
      <c r="A340" s="1" t="str">
        <f>IFERROR(__xludf.DUMMYFUNCTION("""COMPUTED_VALUE"""),"326 ALPHA/USDT Binance")</f>
        <v>326 ALPHA/USDT Binance</v>
      </c>
      <c r="B340" s="2">
        <f>IFERROR(__xludf.DUMMYFUNCTION("""COMPUTED_VALUE"""),0.107)</f>
        <v>0.107</v>
      </c>
      <c r="C340" s="1" t="str">
        <f>IFERROR(__xludf.DUMMYFUNCTION("""COMPUTED_VALUE"""),"$ 2.23 million")</f>
        <v>$ 2.23 million</v>
      </c>
      <c r="D340" s="1" t="str">
        <f>IFERROR(__xludf.DUMMYFUNCTION("""COMPUTED_VALUE"""),"$ 2.23M 
$ 0.107")</f>
        <v>$ 2.23M 
$ 0.107</v>
      </c>
      <c r="E340" s="1"/>
      <c r="F340" s="1"/>
    </row>
    <row r="341" ht="15.75" customHeight="1">
      <c r="A341" s="1" t="str">
        <f>IFERROR(__xludf.DUMMYFUNCTION("""COMPUTED_VALUE"""),"327 ACE/TRY Binance")</f>
        <v>327 ACE/TRY Binance</v>
      </c>
      <c r="B341" s="2">
        <f>IFERROR(__xludf.DUMMYFUNCTION("""COMPUTED_VALUE"""),10.61)</f>
        <v>10.61</v>
      </c>
      <c r="C341" s="1" t="str">
        <f>IFERROR(__xludf.DUMMYFUNCTION("""COMPUTED_VALUE"""),"$ 2.22 million")</f>
        <v>$ 2.22 million</v>
      </c>
      <c r="D341" s="1" t="str">
        <f>IFERROR(__xludf.DUMMYFUNCTION("""COMPUTED_VALUE"""),"$ 2.22M 
$ 10.61")</f>
        <v>$ 2.22M 
$ 10.61</v>
      </c>
      <c r="E341" s="1"/>
      <c r="F341" s="1"/>
    </row>
    <row r="342" ht="15.75" customHeight="1">
      <c r="A342" s="1" t="str">
        <f>IFERROR(__xludf.DUMMYFUNCTION("""COMPUTED_VALUE"""),"328 RARE/USDT Binance")</f>
        <v>328 RARE/USDT Binance</v>
      </c>
      <c r="B342" s="2">
        <f>IFERROR(__xludf.DUMMYFUNCTION("""COMPUTED_VALUE"""),0.117)</f>
        <v>0.117</v>
      </c>
      <c r="C342" s="1" t="str">
        <f>IFERROR(__xludf.DUMMYFUNCTION("""COMPUTED_VALUE"""),"$ 2.17 million")</f>
        <v>$ 2.17 million</v>
      </c>
      <c r="D342" s="1" t="str">
        <f>IFERROR(__xludf.DUMMYFUNCTION("""COMPUTED_VALUE"""),"$ 2.17M 
$ 0.117")</f>
        <v>$ 2.17M 
$ 0.117</v>
      </c>
      <c r="E342" s="1"/>
      <c r="F342" s="1"/>
    </row>
    <row r="343" ht="15.75" customHeight="1">
      <c r="A343" s="1" t="str">
        <f>IFERROR(__xludf.DUMMYFUNCTION("""COMPUTED_VALUE"""),"329 DGB/USDT Binance")</f>
        <v>329 DGB/USDT Binance</v>
      </c>
      <c r="B343" s="2">
        <f>IFERROR(__xludf.DUMMYFUNCTION("""COMPUTED_VALUE"""),0.00873)</f>
        <v>0.00873</v>
      </c>
      <c r="C343" s="1" t="str">
        <f>IFERROR(__xludf.DUMMYFUNCTION("""COMPUTED_VALUE"""),"$ 2.12 million")</f>
        <v>$ 2.12 million</v>
      </c>
      <c r="D343" s="1" t="str">
        <f>IFERROR(__xludf.DUMMYFUNCTION("""COMPUTED_VALUE"""),"$ 2.12M 
$ 0.00873")</f>
        <v>$ 2.12M 
$ 0.00873</v>
      </c>
      <c r="E343" s="1"/>
      <c r="F343" s="1"/>
    </row>
    <row r="344" ht="15.75" customHeight="1">
      <c r="A344" s="1" t="str">
        <f>IFERROR(__xludf.DUMMYFUNCTION("""COMPUTED_VALUE"""),"330 FIDA/USDT Binance")</f>
        <v>330 FIDA/USDT Binance</v>
      </c>
      <c r="B344" s="2">
        <f>IFERROR(__xludf.DUMMYFUNCTION("""COMPUTED_VALUE"""),0.313)</f>
        <v>0.313</v>
      </c>
      <c r="C344" s="1" t="str">
        <f>IFERROR(__xludf.DUMMYFUNCTION("""COMPUTED_VALUE"""),"$ 2.11 million")</f>
        <v>$ 2.11 million</v>
      </c>
      <c r="D344" s="1" t="str">
        <f>IFERROR(__xludf.DUMMYFUNCTION("""COMPUTED_VALUE"""),"$ 2.11M 
$ 0.313")</f>
        <v>$ 2.11M 
$ 0.313</v>
      </c>
      <c r="E344" s="1"/>
      <c r="F344" s="1"/>
    </row>
    <row r="345" ht="15.75" customHeight="1">
      <c r="A345" s="1" t="str">
        <f>IFERROR(__xludf.DUMMYFUNCTION("""COMPUTED_VALUE"""),"331 ICX/USDT Binance")</f>
        <v>331 ICX/USDT Binance</v>
      </c>
      <c r="B345" s="2">
        <f>IFERROR(__xludf.DUMMYFUNCTION("""COMPUTED_VALUE"""),0.236)</f>
        <v>0.236</v>
      </c>
      <c r="C345" s="1" t="str">
        <f>IFERROR(__xludf.DUMMYFUNCTION("""COMPUTED_VALUE"""),"$ 2.08 million")</f>
        <v>$ 2.08 million</v>
      </c>
      <c r="D345" s="1" t="str">
        <f>IFERROR(__xludf.DUMMYFUNCTION("""COMPUTED_VALUE"""),"$ 2.08M 
$ 0.236")</f>
        <v>$ 2.08M 
$ 0.236</v>
      </c>
      <c r="E345" s="1"/>
      <c r="F345" s="1"/>
    </row>
    <row r="346" ht="15.75" customHeight="1">
      <c r="A346" s="1" t="str">
        <f>IFERROR(__xludf.DUMMYFUNCTION("""COMPUTED_VALUE"""),"332 AGLD/USDT Binance")</f>
        <v>332 AGLD/USDT Binance</v>
      </c>
      <c r="B346" s="2">
        <f>IFERROR(__xludf.DUMMYFUNCTION("""COMPUTED_VALUE"""),1.35)</f>
        <v>1.35</v>
      </c>
      <c r="C346" s="1" t="str">
        <f>IFERROR(__xludf.DUMMYFUNCTION("""COMPUTED_VALUE"""),"$ 2.07 million")</f>
        <v>$ 2.07 million</v>
      </c>
      <c r="D346" s="1" t="str">
        <f>IFERROR(__xludf.DUMMYFUNCTION("""COMPUTED_VALUE"""),"$ 2.07M 
$ 1.35")</f>
        <v>$ 2.07M 
$ 1.35</v>
      </c>
      <c r="E346" s="1"/>
      <c r="F346" s="1"/>
    </row>
    <row r="347" ht="15.75" customHeight="1">
      <c r="A347" s="1" t="str">
        <f>IFERROR(__xludf.DUMMYFUNCTION("""COMPUTED_VALUE"""),"333 MULTI/USDT Binance")</f>
        <v>333 MULTI/USDT Binance</v>
      </c>
      <c r="B347" s="2">
        <f>IFERROR(__xludf.DUMMYFUNCTION("""COMPUTED_VALUE"""),1.27)</f>
        <v>1.27</v>
      </c>
      <c r="C347" s="1" t="str">
        <f>IFERROR(__xludf.DUMMYFUNCTION("""COMPUTED_VALUE"""),"$ 2.06 million")</f>
        <v>$ 2.06 million</v>
      </c>
      <c r="D347" s="1" t="str">
        <f>IFERROR(__xludf.DUMMYFUNCTION("""COMPUTED_VALUE"""),"$ 2.06M 
$ 1.27")</f>
        <v>$ 2.06M 
$ 1.27</v>
      </c>
      <c r="E347" s="1"/>
      <c r="F347" s="1"/>
    </row>
    <row r="348" ht="15.75" customHeight="1">
      <c r="A348" s="1" t="str">
        <f>IFERROR(__xludf.DUMMYFUNCTION("""COMPUTED_VALUE"""),"334 API3/BTC Binance")</f>
        <v>334 API3/BTC Binance</v>
      </c>
      <c r="B348" s="2">
        <f>IFERROR(__xludf.DUMMYFUNCTION("""COMPUTED_VALUE"""),4.64)</f>
        <v>4.64</v>
      </c>
      <c r="C348" s="1" t="str">
        <f>IFERROR(__xludf.DUMMYFUNCTION("""COMPUTED_VALUE"""),"$ 2.06 million")</f>
        <v>$ 2.06 million</v>
      </c>
      <c r="D348" s="1" t="str">
        <f>IFERROR(__xludf.DUMMYFUNCTION("""COMPUTED_VALUE"""),"$ 2.06M 
$ 4.64")</f>
        <v>$ 2.06M 
$ 4.64</v>
      </c>
      <c r="E348" s="1"/>
      <c r="F348" s="1"/>
    </row>
    <row r="349" ht="15.75" customHeight="1">
      <c r="A349" s="1" t="str">
        <f>IFERROR(__xludf.DUMMYFUNCTION("""COMPUTED_VALUE"""),"335 TRB/TRY Binance")</f>
        <v>335 TRB/TRY Binance</v>
      </c>
      <c r="B349" s="2">
        <f>IFERROR(__xludf.DUMMYFUNCTION("""COMPUTED_VALUE"""),127.51)</f>
        <v>127.51</v>
      </c>
      <c r="C349" s="1" t="str">
        <f>IFERROR(__xludf.DUMMYFUNCTION("""COMPUTED_VALUE"""),"$ 2.06 million")</f>
        <v>$ 2.06 million</v>
      </c>
      <c r="D349" s="1" t="str">
        <f>IFERROR(__xludf.DUMMYFUNCTION("""COMPUTED_VALUE"""),"$ 2.06M 
$ 127.51")</f>
        <v>$ 2.06M 
$ 127.51</v>
      </c>
      <c r="E349" s="1"/>
      <c r="F349" s="1"/>
    </row>
    <row r="350" ht="15.75" customHeight="1">
      <c r="A350" s="1" t="str">
        <f>IFERROR(__xludf.DUMMYFUNCTION("""COMPUTED_VALUE"""),"336 ARB/BTC Binance")</f>
        <v>336 ARB/BTC Binance</v>
      </c>
      <c r="B350" s="2">
        <f>IFERROR(__xludf.DUMMYFUNCTION("""COMPUTED_VALUE"""),2.11)</f>
        <v>2.11</v>
      </c>
      <c r="C350" s="1" t="str">
        <f>IFERROR(__xludf.DUMMYFUNCTION("""COMPUTED_VALUE"""),"$ 2.02 million")</f>
        <v>$ 2.02 million</v>
      </c>
      <c r="D350" s="1" t="str">
        <f>IFERROR(__xludf.DUMMYFUNCTION("""COMPUTED_VALUE"""),"$ 2.02M 
$ 2.11")</f>
        <v>$ 2.02M 
$ 2.11</v>
      </c>
      <c r="E350" s="1"/>
      <c r="F350" s="1"/>
    </row>
    <row r="351" ht="15.75" customHeight="1">
      <c r="A351" s="1" t="str">
        <f>IFERROR(__xludf.DUMMYFUNCTION("""COMPUTED_VALUE"""),"337 ALCX/USDT Binance")</f>
        <v>337 ALCX/USDT Binance</v>
      </c>
      <c r="B351" s="2">
        <f>IFERROR(__xludf.DUMMYFUNCTION("""COMPUTED_VALUE"""),27.2)</f>
        <v>27.2</v>
      </c>
      <c r="C351" s="1" t="str">
        <f>IFERROR(__xludf.DUMMYFUNCTION("""COMPUTED_VALUE"""),"$ 2.02 million")</f>
        <v>$ 2.02 million</v>
      </c>
      <c r="D351" s="1" t="str">
        <f>IFERROR(__xludf.DUMMYFUNCTION("""COMPUTED_VALUE"""),"$ 2.02M 
$ 27.20")</f>
        <v>$ 2.02M 
$ 27.20</v>
      </c>
      <c r="E351" s="1"/>
      <c r="F351" s="1"/>
    </row>
    <row r="352" ht="15.75" customHeight="1">
      <c r="A352" s="1" t="str">
        <f>IFERROR(__xludf.DUMMYFUNCTION("""COMPUTED_VALUE"""),"338 ARB/TRY Binance")</f>
        <v>338 ARB/TRY Binance</v>
      </c>
      <c r="B352" s="2">
        <f>IFERROR(__xludf.DUMMYFUNCTION("""COMPUTED_VALUE"""),2.12)</f>
        <v>2.12</v>
      </c>
      <c r="C352" s="1" t="str">
        <f>IFERROR(__xludf.DUMMYFUNCTION("""COMPUTED_VALUE"""),"$ 2.01 million")</f>
        <v>$ 2.01 million</v>
      </c>
      <c r="D352" s="1" t="str">
        <f>IFERROR(__xludf.DUMMYFUNCTION("""COMPUTED_VALUE"""),"$ 2.01M 
$ 2.12")</f>
        <v>$ 2.01M 
$ 2.12</v>
      </c>
      <c r="E352" s="1"/>
      <c r="F352" s="1"/>
    </row>
    <row r="353" ht="15.75" customHeight="1">
      <c r="A353" s="1" t="str">
        <f>IFERROR(__xludf.DUMMYFUNCTION("""COMPUTED_VALUE"""),"339 OXT/USDT Binance")</f>
        <v>339 OXT/USDT Binance</v>
      </c>
      <c r="B353" s="2">
        <f>IFERROR(__xludf.DUMMYFUNCTION("""COMPUTED_VALUE"""),0.107)</f>
        <v>0.107</v>
      </c>
      <c r="C353" s="1" t="str">
        <f>IFERROR(__xludf.DUMMYFUNCTION("""COMPUTED_VALUE"""),"$ 1.99 million")</f>
        <v>$ 1.99 million</v>
      </c>
      <c r="D353" s="1" t="str">
        <f>IFERROR(__xludf.DUMMYFUNCTION("""COMPUTED_VALUE"""),"$ 1.99M 
$ 0.107")</f>
        <v>$ 1.99M 
$ 0.107</v>
      </c>
      <c r="E353" s="1"/>
      <c r="F353" s="1"/>
    </row>
    <row r="354" ht="15.75" customHeight="1">
      <c r="A354" s="1" t="str">
        <f>IFERROR(__xludf.DUMMYFUNCTION("""COMPUTED_VALUE"""),"340 NTRN/BTC Binance")</f>
        <v>340 NTRN/BTC Binance</v>
      </c>
      <c r="B354" s="2">
        <f>IFERROR(__xludf.DUMMYFUNCTION("""COMPUTED_VALUE"""),1.7)</f>
        <v>1.7</v>
      </c>
      <c r="C354" s="1" t="str">
        <f>IFERROR(__xludf.DUMMYFUNCTION("""COMPUTED_VALUE"""),"$ 1.97 million")</f>
        <v>$ 1.97 million</v>
      </c>
      <c r="D354" s="1" t="str">
        <f>IFERROR(__xludf.DUMMYFUNCTION("""COMPUTED_VALUE"""),"$ 1.97M 
$ 1.70")</f>
        <v>$ 1.97M 
$ 1.70</v>
      </c>
      <c r="E354" s="1"/>
      <c r="F354" s="1"/>
    </row>
    <row r="355" ht="15.75" customHeight="1">
      <c r="A355" s="1" t="str">
        <f>IFERROR(__xludf.DUMMYFUNCTION("""COMPUTED_VALUE"""),"341 POND/USDT Binance")</f>
        <v>341 POND/USDT Binance</v>
      </c>
      <c r="B355" s="2">
        <f>IFERROR(__xludf.DUMMYFUNCTION("""COMPUTED_VALUE"""),0.0231)</f>
        <v>0.0231</v>
      </c>
      <c r="C355" s="1" t="str">
        <f>IFERROR(__xludf.DUMMYFUNCTION("""COMPUTED_VALUE"""),"$ 1.96 million")</f>
        <v>$ 1.96 million</v>
      </c>
      <c r="D355" s="1" t="str">
        <f>IFERROR(__xludf.DUMMYFUNCTION("""COMPUTED_VALUE"""),"$ 1.96M 
$ 0.0231")</f>
        <v>$ 1.96M 
$ 0.0231</v>
      </c>
      <c r="E355" s="1"/>
      <c r="F355" s="1"/>
    </row>
    <row r="356" ht="15.75" customHeight="1">
      <c r="A356" s="1" t="str">
        <f>IFERROR(__xludf.DUMMYFUNCTION("""COMPUTED_VALUE"""),"342 SOL/BNB Binance")</f>
        <v>342 SOL/BNB Binance</v>
      </c>
      <c r="B356" s="2">
        <f>IFERROR(__xludf.DUMMYFUNCTION("""COMPUTED_VALUE"""),115.75)</f>
        <v>115.75</v>
      </c>
      <c r="C356" s="1" t="str">
        <f>IFERROR(__xludf.DUMMYFUNCTION("""COMPUTED_VALUE"""),"$ 1.94 million")</f>
        <v>$ 1.94 million</v>
      </c>
      <c r="D356" s="1" t="str">
        <f>IFERROR(__xludf.DUMMYFUNCTION("""COMPUTED_VALUE"""),"$ 1.94M 
$ 115.75")</f>
        <v>$ 1.94M 
$ 115.75</v>
      </c>
      <c r="E356" s="1"/>
      <c r="F356" s="1"/>
    </row>
    <row r="357" ht="15.75" customHeight="1">
      <c r="A357" s="1" t="str">
        <f>IFERROR(__xludf.DUMMYFUNCTION("""COMPUTED_VALUE"""),"343 ONG/USDT Binance")</f>
        <v>343 ONG/USDT Binance</v>
      </c>
      <c r="B357" s="2">
        <f>IFERROR(__xludf.DUMMYFUNCTION("""COMPUTED_VALUE"""),0.344)</f>
        <v>0.344</v>
      </c>
      <c r="C357" s="1" t="str">
        <f>IFERROR(__xludf.DUMMYFUNCTION("""COMPUTED_VALUE"""),"$ 1.94 million")</f>
        <v>$ 1.94 million</v>
      </c>
      <c r="D357" s="1" t="str">
        <f>IFERROR(__xludf.DUMMYFUNCTION("""COMPUTED_VALUE"""),"$ 1.94M 
$ 0.344")</f>
        <v>$ 1.94M 
$ 0.344</v>
      </c>
      <c r="E357" s="1"/>
      <c r="F357" s="1"/>
    </row>
    <row r="358" ht="15.75" customHeight="1">
      <c r="A358" s="1" t="str">
        <f>IFERROR(__xludf.DUMMYFUNCTION("""COMPUTED_VALUE"""),"344 ALT/FDUSD Binance")</f>
        <v>344 ALT/FDUSD Binance</v>
      </c>
      <c r="B358" s="2">
        <f>IFERROR(__xludf.DUMMYFUNCTION("""COMPUTED_VALUE"""),0.4)</f>
        <v>0.4</v>
      </c>
      <c r="C358" s="1" t="str">
        <f>IFERROR(__xludf.DUMMYFUNCTION("""COMPUTED_VALUE"""),"$ 1.93 million")</f>
        <v>$ 1.93 million</v>
      </c>
      <c r="D358" s="1" t="str">
        <f>IFERROR(__xludf.DUMMYFUNCTION("""COMPUTED_VALUE"""),"$ 1.93M 
$ 0.400")</f>
        <v>$ 1.93M 
$ 0.400</v>
      </c>
      <c r="E358" s="1"/>
      <c r="F358" s="1"/>
    </row>
    <row r="359" ht="15.75" customHeight="1">
      <c r="A359" s="1" t="str">
        <f>IFERROR(__xludf.DUMMYFUNCTION("""COMPUTED_VALUE"""),"345 APT/TRY Binance")</f>
        <v>345 APT/TRY Binance</v>
      </c>
      <c r="B359" s="2">
        <f>IFERROR(__xludf.DUMMYFUNCTION("""COMPUTED_VALUE"""),10.23)</f>
        <v>10.23</v>
      </c>
      <c r="C359" s="1" t="str">
        <f>IFERROR(__xludf.DUMMYFUNCTION("""COMPUTED_VALUE"""),"$ 1.93 million")</f>
        <v>$ 1.93 million</v>
      </c>
      <c r="D359" s="1" t="str">
        <f>IFERROR(__xludf.DUMMYFUNCTION("""COMPUTED_VALUE"""),"$ 1.93M 
$ 10.23")</f>
        <v>$ 1.93M 
$ 10.23</v>
      </c>
      <c r="E359" s="1"/>
      <c r="F359" s="1"/>
    </row>
    <row r="360" ht="15.75" customHeight="1">
      <c r="A360" s="1" t="str">
        <f>IFERROR(__xludf.DUMMYFUNCTION("""COMPUTED_VALUE"""),"346 OMG/USDT Binance")</f>
        <v>346 OMG/USDT Binance</v>
      </c>
      <c r="B360" s="2">
        <f>IFERROR(__xludf.DUMMYFUNCTION("""COMPUTED_VALUE"""),0.693)</f>
        <v>0.693</v>
      </c>
      <c r="C360" s="1" t="str">
        <f>IFERROR(__xludf.DUMMYFUNCTION("""COMPUTED_VALUE"""),"$ 1.91 million")</f>
        <v>$ 1.91 million</v>
      </c>
      <c r="D360" s="1" t="str">
        <f>IFERROR(__xludf.DUMMYFUNCTION("""COMPUTED_VALUE"""),"$ 1.91M 
$ 0.693")</f>
        <v>$ 1.91M 
$ 0.693</v>
      </c>
      <c r="E360" s="1"/>
      <c r="F360" s="1"/>
    </row>
    <row r="361" ht="15.75" customHeight="1">
      <c r="A361" s="1" t="str">
        <f>IFERROR(__xludf.DUMMYFUNCTION("""COMPUTED_VALUE"""),"347 BEAM/TRY Binance")</f>
        <v>347 BEAM/TRY Binance</v>
      </c>
      <c r="B361" s="2">
        <f>IFERROR(__xludf.DUMMYFUNCTION("""COMPUTED_VALUE"""),0.0306)</f>
        <v>0.0306</v>
      </c>
      <c r="C361" s="1" t="str">
        <f>IFERROR(__xludf.DUMMYFUNCTION("""COMPUTED_VALUE"""),"$ 1.90 million")</f>
        <v>$ 1.90 million</v>
      </c>
      <c r="D361" s="1" t="str">
        <f>IFERROR(__xludf.DUMMYFUNCTION("""COMPUTED_VALUE"""),"$ 1.90M 
$ 0.0306")</f>
        <v>$ 1.90M 
$ 0.0306</v>
      </c>
      <c r="E361" s="1"/>
      <c r="F361" s="1"/>
    </row>
    <row r="362" ht="15.75" customHeight="1">
      <c r="A362" s="1" t="str">
        <f>IFERROR(__xludf.DUMMYFUNCTION("""COMPUTED_VALUE"""),"348 WLD/BTC Binance")</f>
        <v>348 WLD/BTC Binance</v>
      </c>
      <c r="B362" s="2">
        <f>IFERROR(__xludf.DUMMYFUNCTION("""COMPUTED_VALUE"""),3.22)</f>
        <v>3.22</v>
      </c>
      <c r="C362" s="1" t="str">
        <f>IFERROR(__xludf.DUMMYFUNCTION("""COMPUTED_VALUE"""),"$ 1.89 million")</f>
        <v>$ 1.89 million</v>
      </c>
      <c r="D362" s="1" t="str">
        <f>IFERROR(__xludf.DUMMYFUNCTION("""COMPUTED_VALUE"""),"$ 1.89M 
$ 3.22")</f>
        <v>$ 1.89M 
$ 3.22</v>
      </c>
      <c r="E362" s="1"/>
      <c r="F362" s="1"/>
    </row>
    <row r="363" ht="15.75" customHeight="1">
      <c r="A363" s="1" t="str">
        <f>IFERROR(__xludf.DUMMYFUNCTION("""COMPUTED_VALUE"""),"349 TRX/TRY Binance")</f>
        <v>349 TRX/TRY Binance</v>
      </c>
      <c r="B363" s="2">
        <f>IFERROR(__xludf.DUMMYFUNCTION("""COMPUTED_VALUE"""),0.132)</f>
        <v>0.132</v>
      </c>
      <c r="C363" s="1" t="str">
        <f>IFERROR(__xludf.DUMMYFUNCTION("""COMPUTED_VALUE"""),"$ 1.89 million")</f>
        <v>$ 1.89 million</v>
      </c>
      <c r="D363" s="1" t="str">
        <f>IFERROR(__xludf.DUMMYFUNCTION("""COMPUTED_VALUE"""),"$ 1.89M 
$ 0.132")</f>
        <v>$ 1.89M 
$ 0.132</v>
      </c>
      <c r="E363" s="1"/>
      <c r="F363" s="1"/>
    </row>
    <row r="364" ht="15.75" customHeight="1">
      <c r="A364" s="1" t="str">
        <f>IFERROR(__xludf.DUMMYFUNCTION("""COMPUTED_VALUE"""),"350 XRP/EUR Binance")</f>
        <v>350 XRP/EUR Binance</v>
      </c>
      <c r="B364" s="2">
        <f>IFERROR(__xludf.DUMMYFUNCTION("""COMPUTED_VALUE"""),0.551)</f>
        <v>0.551</v>
      </c>
      <c r="C364" s="1" t="str">
        <f>IFERROR(__xludf.DUMMYFUNCTION("""COMPUTED_VALUE"""),"$ 1.88 million")</f>
        <v>$ 1.88 million</v>
      </c>
      <c r="D364" s="1" t="str">
        <f>IFERROR(__xludf.DUMMYFUNCTION("""COMPUTED_VALUE"""),"$ 1.88M 
$ 0.551")</f>
        <v>$ 1.88M 
$ 0.551</v>
      </c>
      <c r="E364" s="1"/>
      <c r="F364" s="1"/>
    </row>
    <row r="365" ht="15.75" customHeight="1">
      <c r="A365" s="5" t="str">
        <f>IFERROR(__xludf.DUMMYFUNCTION("IMPORTHTML(""https://coinranking.com/exchange/-zdvbieRdZ+binance/markets?tenable.test=anything&amp;sortby=desc&amp;sorton&amp;page=8"", ""table"", 1)"),"Markets")</f>
        <v>Markets</v>
      </c>
      <c r="B365" s="1" t="str">
        <f>IFERROR(__xludf.DUMMYFUNCTION("""COMPUTED_VALUE"""),"Base price")</f>
        <v>Base price</v>
      </c>
      <c r="C365" s="1" t="str">
        <f>IFERROR(__xludf.DUMMYFUNCTION("""COMPUTED_VALUE"""),"24h trade volume")</f>
        <v>24h trade volume</v>
      </c>
      <c r="D365" s="1" t="str">
        <f>IFERROR(__xludf.DUMMYFUNCTION("""COMPUTED_VALUE"""),"24h volume")</f>
        <v>24h volume</v>
      </c>
      <c r="E365" s="1" t="str">
        <f>IFERROR(__xludf.DUMMYFUNCTION("""COMPUTED_VALUE"""),"Recommended")</f>
        <v>Recommended</v>
      </c>
      <c r="F365" s="1"/>
    </row>
    <row r="366" ht="15.75" customHeight="1">
      <c r="A366" s="1" t="str">
        <f>IFERROR(__xludf.DUMMYFUNCTION("""COMPUTED_VALUE"""),"351 SYN/USDT Binance")</f>
        <v>351 SYN/USDT Binance</v>
      </c>
      <c r="B366" s="2">
        <f>IFERROR(__xludf.DUMMYFUNCTION("""COMPUTED_VALUE"""),0.732)</f>
        <v>0.732</v>
      </c>
      <c r="C366" s="1" t="str">
        <f>IFERROR(__xludf.DUMMYFUNCTION("""COMPUTED_VALUE"""),"$ 1.87 million")</f>
        <v>$ 1.87 million</v>
      </c>
      <c r="D366" s="1" t="str">
        <f>IFERROR(__xludf.DUMMYFUNCTION("""COMPUTED_VALUE"""),"$ 1.87M 
$ 0.732")</f>
        <v>$ 1.87M 
$ 0.732</v>
      </c>
      <c r="E366" s="1"/>
      <c r="F366" s="1"/>
    </row>
    <row r="367" ht="15.75" customHeight="1">
      <c r="A367" s="1" t="str">
        <f>IFERROR(__xludf.DUMMYFUNCTION("""COMPUTED_VALUE"""),"352 CHZ/TRY Binance")</f>
        <v>352 CHZ/TRY Binance</v>
      </c>
      <c r="B367" s="2">
        <f>IFERROR(__xludf.DUMMYFUNCTION("""COMPUTED_VALUE"""),0.108)</f>
        <v>0.108</v>
      </c>
      <c r="C367" s="1" t="str">
        <f>IFERROR(__xludf.DUMMYFUNCTION("""COMPUTED_VALUE"""),"$ 1.84 million")</f>
        <v>$ 1.84 million</v>
      </c>
      <c r="D367" s="1" t="str">
        <f>IFERROR(__xludf.DUMMYFUNCTION("""COMPUTED_VALUE"""),"$ 1.84M 
$ 0.108")</f>
        <v>$ 1.84M 
$ 0.108</v>
      </c>
      <c r="E367" s="1"/>
      <c r="F367" s="1"/>
    </row>
    <row r="368" ht="15.75" customHeight="1">
      <c r="A368" s="1" t="str">
        <f>IFERROR(__xludf.DUMMYFUNCTION("""COMPUTED_VALUE"""),"353 OP/USDC Binance")</f>
        <v>353 OP/USDC Binance</v>
      </c>
      <c r="B368" s="2">
        <f>IFERROR(__xludf.DUMMYFUNCTION("""COMPUTED_VALUE"""),3.85)</f>
        <v>3.85</v>
      </c>
      <c r="C368" s="1" t="str">
        <f>IFERROR(__xludf.DUMMYFUNCTION("""COMPUTED_VALUE"""),"$ 1.84 million")</f>
        <v>$ 1.84 million</v>
      </c>
      <c r="D368" s="1" t="str">
        <f>IFERROR(__xludf.DUMMYFUNCTION("""COMPUTED_VALUE"""),"$ 1.84M 
$ 3.85")</f>
        <v>$ 1.84M 
$ 3.85</v>
      </c>
      <c r="E368" s="1"/>
      <c r="F368" s="1"/>
    </row>
    <row r="369" ht="15.75" customHeight="1">
      <c r="A369" s="1" t="str">
        <f>IFERROR(__xludf.DUMMYFUNCTION("""COMPUTED_VALUE"""),"354 ALICE/USDT Binance")</f>
        <v>354 ALICE/USDT Binance</v>
      </c>
      <c r="B369" s="2">
        <f>IFERROR(__xludf.DUMMYFUNCTION("""COMPUTED_VALUE"""),1.3)</f>
        <v>1.3</v>
      </c>
      <c r="C369" s="1" t="str">
        <f>IFERROR(__xludf.DUMMYFUNCTION("""COMPUTED_VALUE"""),"$ 1.81 million")</f>
        <v>$ 1.81 million</v>
      </c>
      <c r="D369" s="1" t="str">
        <f>IFERROR(__xludf.DUMMYFUNCTION("""COMPUTED_VALUE"""),"$ 1.81M 
$ 1.30")</f>
        <v>$ 1.81M 
$ 1.30</v>
      </c>
      <c r="E369" s="1"/>
      <c r="F369" s="1"/>
    </row>
    <row r="370" ht="15.75" customHeight="1">
      <c r="A370" s="1" t="str">
        <f>IFERROR(__xludf.DUMMYFUNCTION("""COMPUTED_VALUE"""),"355 ALT/BTC Binance")</f>
        <v>355 ALT/BTC Binance</v>
      </c>
      <c r="B370" s="2">
        <f>IFERROR(__xludf.DUMMYFUNCTION("""COMPUTED_VALUE"""),0.399)</f>
        <v>0.399</v>
      </c>
      <c r="C370" s="1" t="str">
        <f>IFERROR(__xludf.DUMMYFUNCTION("""COMPUTED_VALUE"""),"$ 1.81 million")</f>
        <v>$ 1.81 million</v>
      </c>
      <c r="D370" s="1" t="str">
        <f>IFERROR(__xludf.DUMMYFUNCTION("""COMPUTED_VALUE"""),"$ 1.81M 
$ 0.399")</f>
        <v>$ 1.81M 
$ 0.399</v>
      </c>
      <c r="E370" s="1"/>
      <c r="F370" s="1"/>
    </row>
    <row r="371" ht="15.75" customHeight="1">
      <c r="A371" s="1" t="str">
        <f>IFERROR(__xludf.DUMMYFUNCTION("""COMPUTED_VALUE"""),"356 CTXC/USDT Binance")</f>
        <v>356 CTXC/USDT Binance</v>
      </c>
      <c r="B371" s="2">
        <f>IFERROR(__xludf.DUMMYFUNCTION("""COMPUTED_VALUE"""),0.551)</f>
        <v>0.551</v>
      </c>
      <c r="C371" s="1" t="str">
        <f>IFERROR(__xludf.DUMMYFUNCTION("""COMPUTED_VALUE"""),"$ 1.81 million")</f>
        <v>$ 1.81 million</v>
      </c>
      <c r="D371" s="1" t="str">
        <f>IFERROR(__xludf.DUMMYFUNCTION("""COMPUTED_VALUE"""),"$ 1.81M 
$ 0.551")</f>
        <v>$ 1.81M 
$ 0.551</v>
      </c>
      <c r="E371" s="1"/>
      <c r="F371" s="1"/>
    </row>
    <row r="372" ht="15.75" customHeight="1">
      <c r="A372" s="1" t="str">
        <f>IFERROR(__xludf.DUMMYFUNCTION("""COMPUTED_VALUE"""),"357 ATOM/BTC Binance")</f>
        <v>357 ATOM/BTC Binance</v>
      </c>
      <c r="B372" s="2">
        <f>IFERROR(__xludf.DUMMYFUNCTION("""COMPUTED_VALUE"""),10.22)</f>
        <v>10.22</v>
      </c>
      <c r="C372" s="1" t="str">
        <f>IFERROR(__xludf.DUMMYFUNCTION("""COMPUTED_VALUE"""),"$ 1.79 million")</f>
        <v>$ 1.79 million</v>
      </c>
      <c r="D372" s="1" t="str">
        <f>IFERROR(__xludf.DUMMYFUNCTION("""COMPUTED_VALUE"""),"$ 1.79M 
$ 10.22")</f>
        <v>$ 1.79M 
$ 10.22</v>
      </c>
      <c r="E372" s="1"/>
      <c r="F372" s="1"/>
    </row>
    <row r="373" ht="15.75" customHeight="1">
      <c r="A373" s="1" t="str">
        <f>IFERROR(__xludf.DUMMYFUNCTION("""COMPUTED_VALUE"""),"358 INJ/BTC Binance")</f>
        <v>358 INJ/BTC Binance</v>
      </c>
      <c r="B373" s="2">
        <f>IFERROR(__xludf.DUMMYFUNCTION("""COMPUTED_VALUE"""),34.69)</f>
        <v>34.69</v>
      </c>
      <c r="C373" s="1" t="str">
        <f>IFERROR(__xludf.DUMMYFUNCTION("""COMPUTED_VALUE"""),"$ 1.78 million")</f>
        <v>$ 1.78 million</v>
      </c>
      <c r="D373" s="1" t="str">
        <f>IFERROR(__xludf.DUMMYFUNCTION("""COMPUTED_VALUE"""),"$ 1.78M 
$ 34.69")</f>
        <v>$ 1.78M 
$ 34.69</v>
      </c>
      <c r="E373" s="1"/>
      <c r="F373" s="1"/>
    </row>
    <row r="374" ht="15.75" customHeight="1">
      <c r="A374" s="1" t="str">
        <f>IFERROR(__xludf.DUMMYFUNCTION("""COMPUTED_VALUE"""),"359 APT/BTC Binance")</f>
        <v>359 APT/BTC Binance</v>
      </c>
      <c r="B374" s="2">
        <f>IFERROR(__xludf.DUMMYFUNCTION("""COMPUTED_VALUE"""),10.14)</f>
        <v>10.14</v>
      </c>
      <c r="C374" s="1" t="str">
        <f>IFERROR(__xludf.DUMMYFUNCTION("""COMPUTED_VALUE"""),"$ 1.77 million")</f>
        <v>$ 1.77 million</v>
      </c>
      <c r="D374" s="1" t="str">
        <f>IFERROR(__xludf.DUMMYFUNCTION("""COMPUTED_VALUE"""),"$ 1.77M 
$ 10.14")</f>
        <v>$ 1.77M 
$ 10.14</v>
      </c>
      <c r="E374" s="1"/>
      <c r="F374" s="1"/>
    </row>
    <row r="375" ht="15.75" customHeight="1">
      <c r="A375" s="1" t="str">
        <f>IFERROR(__xludf.DUMMYFUNCTION("""COMPUTED_VALUE"""),"360 DYM/BTC Binance")</f>
        <v>360 DYM/BTC Binance</v>
      </c>
      <c r="B375" s="2">
        <f>IFERROR(__xludf.DUMMYFUNCTION("""COMPUTED_VALUE"""),8.22)</f>
        <v>8.22</v>
      </c>
      <c r="C375" s="1" t="str">
        <f>IFERROR(__xludf.DUMMYFUNCTION("""COMPUTED_VALUE"""),"$ 1.77 million")</f>
        <v>$ 1.77 million</v>
      </c>
      <c r="D375" s="1" t="str">
        <f>IFERROR(__xludf.DUMMYFUNCTION("""COMPUTED_VALUE"""),"$ 1.77M 
$ 8.22")</f>
        <v>$ 1.77M 
$ 8.22</v>
      </c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 t="str">
        <f>IFERROR(__xludf.DUMMYFUNCTION("""COMPUTED_VALUE"""),"361 WLD/TRY Binance")</f>
        <v>361 WLD/TRY Binance</v>
      </c>
      <c r="B377" s="2">
        <f>IFERROR(__xludf.DUMMYFUNCTION("""COMPUTED_VALUE"""),3.24)</f>
        <v>3.24</v>
      </c>
      <c r="C377" s="1" t="str">
        <f>IFERROR(__xludf.DUMMYFUNCTION("""COMPUTED_VALUE"""),"$ 1.77 million")</f>
        <v>$ 1.77 million</v>
      </c>
      <c r="D377" s="1" t="str">
        <f>IFERROR(__xludf.DUMMYFUNCTION("""COMPUTED_VALUE"""),"$ 1.77M 
$ 3.24")</f>
        <v>$ 1.77M 
$ 3.24</v>
      </c>
      <c r="E377" s="1"/>
      <c r="F377" s="1"/>
    </row>
    <row r="378" ht="15.75" customHeight="1">
      <c r="A378" s="1" t="str">
        <f>IFERROR(__xludf.DUMMYFUNCTION("""COMPUTED_VALUE"""),"362 INJ/TRY Binance")</f>
        <v>362 INJ/TRY Binance</v>
      </c>
      <c r="B378" s="2">
        <f>IFERROR(__xludf.DUMMYFUNCTION("""COMPUTED_VALUE"""),34.87)</f>
        <v>34.87</v>
      </c>
      <c r="C378" s="1" t="str">
        <f>IFERROR(__xludf.DUMMYFUNCTION("""COMPUTED_VALUE"""),"$ 1.74 million")</f>
        <v>$ 1.74 million</v>
      </c>
      <c r="D378" s="1" t="str">
        <f>IFERROR(__xludf.DUMMYFUNCTION("""COMPUTED_VALUE"""),"$ 1.74M 
$ 34.87")</f>
        <v>$ 1.74M 
$ 34.87</v>
      </c>
      <c r="E378" s="1"/>
      <c r="F378" s="1"/>
    </row>
    <row r="379" ht="15.75" customHeight="1">
      <c r="A379" s="1" t="str">
        <f>IFERROR(__xludf.DUMMYFUNCTION("""COMPUTED_VALUE"""),"363 AUDIO/USDT Binance")</f>
        <v>363 AUDIO/USDT Binance</v>
      </c>
      <c r="B379" s="2">
        <f>IFERROR(__xludf.DUMMYFUNCTION("""COMPUTED_VALUE"""),0.209)</f>
        <v>0.209</v>
      </c>
      <c r="C379" s="1" t="str">
        <f>IFERROR(__xludf.DUMMYFUNCTION("""COMPUTED_VALUE"""),"$ 1.74 million")</f>
        <v>$ 1.74 million</v>
      </c>
      <c r="D379" s="1" t="str">
        <f>IFERROR(__xludf.DUMMYFUNCTION("""COMPUTED_VALUE"""),"$ 1.74M 
$ 0.209")</f>
        <v>$ 1.74M 
$ 0.209</v>
      </c>
      <c r="E379" s="1"/>
      <c r="F379" s="1"/>
    </row>
    <row r="380" ht="15.75" customHeight="1">
      <c r="A380" s="1" t="str">
        <f>IFERROR(__xludf.DUMMYFUNCTION("""COMPUTED_VALUE"""),"364 EPX/USDT Binance")</f>
        <v>364 EPX/USDT Binance</v>
      </c>
      <c r="B380" s="2">
        <f>IFERROR(__xludf.DUMMYFUNCTION("""COMPUTED_VALUE"""),2.36E-4)</f>
        <v>0.000236</v>
      </c>
      <c r="C380" s="1" t="str">
        <f>IFERROR(__xludf.DUMMYFUNCTION("""COMPUTED_VALUE"""),"$ 1.73 million")</f>
        <v>$ 1.73 million</v>
      </c>
      <c r="D380" s="1" t="str">
        <f>IFERROR(__xludf.DUMMYFUNCTION("""COMPUTED_VALUE"""),"$ 1.73M 
$ 0.000236")</f>
        <v>$ 1.73M 
$ 0.000236</v>
      </c>
      <c r="E380" s="1"/>
      <c r="F380" s="1"/>
    </row>
    <row r="381" ht="15.75" customHeight="1">
      <c r="A381" s="1" t="str">
        <f>IFERROR(__xludf.DUMMYFUNCTION("""COMPUTED_VALUE"""),"365 SUN/USDT Binance")</f>
        <v>365 SUN/USDT Binance</v>
      </c>
      <c r="B381" s="2">
        <f>IFERROR(__xludf.DUMMYFUNCTION("""COMPUTED_VALUE"""),0.00798)</f>
        <v>0.00798</v>
      </c>
      <c r="C381" s="1" t="str">
        <f>IFERROR(__xludf.DUMMYFUNCTION("""COMPUTED_VALUE"""),"$ 1.72 million")</f>
        <v>$ 1.72 million</v>
      </c>
      <c r="D381" s="1" t="str">
        <f>IFERROR(__xludf.DUMMYFUNCTION("""COMPUTED_VALUE"""),"$ 1.72M 
$ 0.00798")</f>
        <v>$ 1.72M 
$ 0.00798</v>
      </c>
      <c r="E381" s="1"/>
      <c r="F381" s="1"/>
    </row>
    <row r="382" ht="15.75" customHeight="1">
      <c r="A382" s="1" t="str">
        <f>IFERROR(__xludf.DUMMYFUNCTION("""COMPUTED_VALUE"""),"366 BTC/DAI Binance")</f>
        <v>366 BTC/DAI Binance</v>
      </c>
      <c r="B382" s="2">
        <f>IFERROR(__xludf.DUMMYFUNCTION("""COMPUTED_VALUE"""),52441.77)</f>
        <v>52441.77</v>
      </c>
      <c r="C382" s="1" t="str">
        <f>IFERROR(__xludf.DUMMYFUNCTION("""COMPUTED_VALUE"""),"$ 1.71 million")</f>
        <v>$ 1.71 million</v>
      </c>
      <c r="D382" s="1" t="str">
        <f>IFERROR(__xludf.DUMMYFUNCTION("""COMPUTED_VALUE"""),"$ 1.71M 
$ 52,441.77")</f>
        <v>$ 1.71M 
$ 52,441.77</v>
      </c>
      <c r="E382" s="1"/>
      <c r="F382" s="1"/>
    </row>
    <row r="383" ht="15.75" customHeight="1">
      <c r="A383" s="1" t="str">
        <f>IFERROR(__xludf.DUMMYFUNCTION("""COMPUTED_VALUE"""),"367 SKL/TRY Binance")</f>
        <v>367 SKL/TRY Binance</v>
      </c>
      <c r="B383" s="2">
        <f>IFERROR(__xludf.DUMMYFUNCTION("""COMPUTED_VALUE"""),0.0921)</f>
        <v>0.0921</v>
      </c>
      <c r="C383" s="1" t="str">
        <f>IFERROR(__xludf.DUMMYFUNCTION("""COMPUTED_VALUE"""),"$ 1.69 million")</f>
        <v>$ 1.69 million</v>
      </c>
      <c r="D383" s="1" t="str">
        <f>IFERROR(__xludf.DUMMYFUNCTION("""COMPUTED_VALUE"""),"$ 1.69M 
$ 0.0921")</f>
        <v>$ 1.69M 
$ 0.0921</v>
      </c>
      <c r="E383" s="1"/>
      <c r="F383" s="1"/>
    </row>
    <row r="384" ht="15.75" customHeight="1">
      <c r="A384" s="1" t="str">
        <f>IFERROR(__xludf.DUMMYFUNCTION("""COMPUTED_VALUE"""),"368 FLM/USDT Binance")</f>
        <v>368 FLM/USDT Binance</v>
      </c>
      <c r="B384" s="2">
        <f>IFERROR(__xludf.DUMMYFUNCTION("""COMPUTED_VALUE"""),0.0875)</f>
        <v>0.0875</v>
      </c>
      <c r="C384" s="1" t="str">
        <f>IFERROR(__xludf.DUMMYFUNCTION("""COMPUTED_VALUE"""),"$ 1.69 million")</f>
        <v>$ 1.69 million</v>
      </c>
      <c r="D384" s="1" t="str">
        <f>IFERROR(__xludf.DUMMYFUNCTION("""COMPUTED_VALUE"""),"$ 1.69M 
$ 0.0875")</f>
        <v>$ 1.69M 
$ 0.0875</v>
      </c>
      <c r="E384" s="1"/>
      <c r="F384" s="1"/>
    </row>
    <row r="385" ht="15.75" customHeight="1">
      <c r="A385" s="1" t="str">
        <f>IFERROR(__xludf.DUMMYFUNCTION("""COMPUTED_VALUE"""),"369 DATA/BTC Binance")</f>
        <v>369 DATA/BTC Binance</v>
      </c>
      <c r="B385" s="2">
        <f>IFERROR(__xludf.DUMMYFUNCTION("""COMPUTED_VALUE"""),0.068)</f>
        <v>0.068</v>
      </c>
      <c r="C385" s="1" t="str">
        <f>IFERROR(__xludf.DUMMYFUNCTION("""COMPUTED_VALUE"""),"$ 1.68 million")</f>
        <v>$ 1.68 million</v>
      </c>
      <c r="D385" s="1" t="str">
        <f>IFERROR(__xludf.DUMMYFUNCTION("""COMPUTED_VALUE"""),"$ 1.68M 
$ 0.0680")</f>
        <v>$ 1.68M 
$ 0.0680</v>
      </c>
      <c r="E385" s="1"/>
      <c r="F385" s="1"/>
    </row>
    <row r="386" ht="15.75" customHeight="1">
      <c r="A386" s="1" t="str">
        <f>IFERROR(__xludf.DUMMYFUNCTION("""COMPUTED_VALUE"""),"370 SANTOS/USDT Binance")</f>
        <v>370 SANTOS/USDT Binance</v>
      </c>
      <c r="B386" s="2">
        <f>IFERROR(__xludf.DUMMYFUNCTION("""COMPUTED_VALUE"""),4.55)</f>
        <v>4.55</v>
      </c>
      <c r="C386" s="1" t="str">
        <f>IFERROR(__xludf.DUMMYFUNCTION("""COMPUTED_VALUE"""),"$ 1.68 million")</f>
        <v>$ 1.68 million</v>
      </c>
      <c r="D386" s="1" t="str">
        <f>IFERROR(__xludf.DUMMYFUNCTION("""COMPUTED_VALUE"""),"$ 1.68M 
$ 4.55")</f>
        <v>$ 1.68M 
$ 4.55</v>
      </c>
      <c r="E386" s="1"/>
      <c r="F386" s="1"/>
    </row>
    <row r="387" ht="15.75" customHeight="1">
      <c r="A387" s="1" t="str">
        <f>IFERROR(__xludf.DUMMYFUNCTION("""COMPUTED_VALUE"""),"371 NFP/TRY Binance")</f>
        <v>371 NFP/TRY Binance</v>
      </c>
      <c r="B387" s="2">
        <f>IFERROR(__xludf.DUMMYFUNCTION("""COMPUTED_VALUE"""),0.654)</f>
        <v>0.654</v>
      </c>
      <c r="C387" s="1" t="str">
        <f>IFERROR(__xludf.DUMMYFUNCTION("""COMPUTED_VALUE"""),"$ 1.68 million")</f>
        <v>$ 1.68 million</v>
      </c>
      <c r="D387" s="1" t="str">
        <f>IFERROR(__xludf.DUMMYFUNCTION("""COMPUTED_VALUE"""),"$ 1.68M 
$ 0.654")</f>
        <v>$ 1.68M 
$ 0.654</v>
      </c>
      <c r="E387" s="1"/>
      <c r="F387" s="1"/>
    </row>
    <row r="388" ht="15.75" customHeight="1">
      <c r="A388" s="1" t="str">
        <f>IFERROR(__xludf.DUMMYFUNCTION("""COMPUTED_VALUE"""),"372 SUPER/TRY Binance")</f>
        <v>372 SUPER/TRY Binance</v>
      </c>
      <c r="B388" s="2">
        <f>IFERROR(__xludf.DUMMYFUNCTION("""COMPUTED_VALUE"""),1.14)</f>
        <v>1.14</v>
      </c>
      <c r="C388" s="1" t="str">
        <f>IFERROR(__xludf.DUMMYFUNCTION("""COMPUTED_VALUE"""),"$ 1.67 million")</f>
        <v>$ 1.67 million</v>
      </c>
      <c r="D388" s="1" t="str">
        <f>IFERROR(__xludf.DUMMYFUNCTION("""COMPUTED_VALUE"""),"$ 1.67M 
$ 1.14")</f>
        <v>$ 1.67M 
$ 1.14</v>
      </c>
      <c r="E388" s="1"/>
      <c r="F388" s="1"/>
    </row>
    <row r="389" ht="15.75" customHeight="1">
      <c r="A389" s="1" t="str">
        <f>IFERROR(__xludf.DUMMYFUNCTION("""COMPUTED_VALUE"""),"373 FLUX/USDT Binance")</f>
        <v>373 FLUX/USDT Binance</v>
      </c>
      <c r="B389" s="2">
        <f>IFERROR(__xludf.DUMMYFUNCTION("""COMPUTED_VALUE"""),0.656)</f>
        <v>0.656</v>
      </c>
      <c r="C389" s="1" t="str">
        <f>IFERROR(__xludf.DUMMYFUNCTION("""COMPUTED_VALUE"""),"$ 1.67 million")</f>
        <v>$ 1.67 million</v>
      </c>
      <c r="D389" s="1" t="str">
        <f>IFERROR(__xludf.DUMMYFUNCTION("""COMPUTED_VALUE"""),"$ 1.67M 
$ 0.656")</f>
        <v>$ 1.67M 
$ 0.656</v>
      </c>
      <c r="E389" s="1"/>
      <c r="F389" s="1"/>
    </row>
    <row r="390" ht="15.75" customHeight="1">
      <c r="A390" s="1" t="str">
        <f>IFERROR(__xludf.DUMMYFUNCTION("""COMPUTED_VALUE"""),"374 AUCTION/BTC Binance")</f>
        <v>374 AUCTION/BTC Binance</v>
      </c>
      <c r="B390" s="2">
        <f>IFERROR(__xludf.DUMMYFUNCTION("""COMPUTED_VALUE"""),33.92)</f>
        <v>33.92</v>
      </c>
      <c r="C390" s="1" t="str">
        <f>IFERROR(__xludf.DUMMYFUNCTION("""COMPUTED_VALUE"""),"$ 1.67 million")</f>
        <v>$ 1.67 million</v>
      </c>
      <c r="D390" s="1" t="str">
        <f>IFERROR(__xludf.DUMMYFUNCTION("""COMPUTED_VALUE"""),"$ 1.67M 
$ 33.92")</f>
        <v>$ 1.67M 
$ 33.92</v>
      </c>
      <c r="E390" s="1"/>
      <c r="F390" s="1"/>
    </row>
    <row r="391" ht="15.75" customHeight="1">
      <c r="A391" s="1" t="str">
        <f>IFERROR(__xludf.DUMMYFUNCTION("""COMPUTED_VALUE"""),"375 ATA/USDT Binance")</f>
        <v>375 ATA/USDT Binance</v>
      </c>
      <c r="B391" s="2">
        <f>IFERROR(__xludf.DUMMYFUNCTION("""COMPUTED_VALUE"""),0.0982)</f>
        <v>0.0982</v>
      </c>
      <c r="C391" s="1" t="str">
        <f>IFERROR(__xludf.DUMMYFUNCTION("""COMPUTED_VALUE"""),"$ 1.66 million")</f>
        <v>$ 1.66 million</v>
      </c>
      <c r="D391" s="1" t="str">
        <f>IFERROR(__xludf.DUMMYFUNCTION("""COMPUTED_VALUE"""),"$ 1.66M 
$ 0.0982")</f>
        <v>$ 1.66M 
$ 0.0982</v>
      </c>
      <c r="E391" s="1"/>
      <c r="F391" s="1"/>
    </row>
    <row r="392" ht="15.75" customHeight="1">
      <c r="A392" s="1" t="str">
        <f>IFERROR(__xludf.DUMMYFUNCTION("""COMPUTED_VALUE"""),"376 MANTA/FDUSD Binance")</f>
        <v>376 MANTA/FDUSD Binance</v>
      </c>
      <c r="B392" s="2">
        <f>IFERROR(__xludf.DUMMYFUNCTION("""COMPUTED_VALUE"""),3.05)</f>
        <v>3.05</v>
      </c>
      <c r="C392" s="1" t="str">
        <f>IFERROR(__xludf.DUMMYFUNCTION("""COMPUTED_VALUE"""),"$ 1.66 million")</f>
        <v>$ 1.66 million</v>
      </c>
      <c r="D392" s="1" t="str">
        <f>IFERROR(__xludf.DUMMYFUNCTION("""COMPUTED_VALUE"""),"$ 1.66M 
$ 3.05")</f>
        <v>$ 1.66M 
$ 3.05</v>
      </c>
      <c r="E392" s="1"/>
      <c r="F392" s="1"/>
    </row>
    <row r="393" ht="15.75" customHeight="1">
      <c r="A393" s="1" t="str">
        <f>IFERROR(__xludf.DUMMYFUNCTION("""COMPUTED_VALUE"""),"377 ARB/USDC Binance")</f>
        <v>377 ARB/USDC Binance</v>
      </c>
      <c r="B393" s="2">
        <f>IFERROR(__xludf.DUMMYFUNCTION("""COMPUTED_VALUE"""),2.11)</f>
        <v>2.11</v>
      </c>
      <c r="C393" s="1" t="str">
        <f>IFERROR(__xludf.DUMMYFUNCTION("""COMPUTED_VALUE"""),"$ 1.66 million")</f>
        <v>$ 1.66 million</v>
      </c>
      <c r="D393" s="1" t="str">
        <f>IFERROR(__xludf.DUMMYFUNCTION("""COMPUTED_VALUE"""),"$ 1.66M 
$ 2.11")</f>
        <v>$ 1.66M 
$ 2.11</v>
      </c>
      <c r="E393" s="1"/>
      <c r="F393" s="1"/>
    </row>
    <row r="394" ht="15.75" customHeight="1">
      <c r="A394" s="1" t="str">
        <f>IFERROR(__xludf.DUMMYFUNCTION("""COMPUTED_VALUE"""),"378 KP3R/USDT Binance")</f>
        <v>378 KP3R/USDT Binance</v>
      </c>
      <c r="B394" s="2">
        <f>IFERROR(__xludf.DUMMYFUNCTION("""COMPUTED_VALUE"""),74.97)</f>
        <v>74.97</v>
      </c>
      <c r="C394" s="1" t="str">
        <f>IFERROR(__xludf.DUMMYFUNCTION("""COMPUTED_VALUE"""),"$ 1.65 million")</f>
        <v>$ 1.65 million</v>
      </c>
      <c r="D394" s="1" t="str">
        <f>IFERROR(__xludf.DUMMYFUNCTION("""COMPUTED_VALUE"""),"$ 1.65M 
$ 74.97")</f>
        <v>$ 1.65M 
$ 74.97</v>
      </c>
      <c r="E394" s="1"/>
      <c r="F394" s="1"/>
    </row>
    <row r="395" ht="15.75" customHeight="1">
      <c r="A395" s="1" t="str">
        <f>IFERROR(__xludf.DUMMYFUNCTION("""COMPUTED_VALUE"""),"379 PROM/BTC Binance")</f>
        <v>379 PROM/BTC Binance</v>
      </c>
      <c r="B395" s="2">
        <f>IFERROR(__xludf.DUMMYFUNCTION("""COMPUTED_VALUE"""),11.32)</f>
        <v>11.32</v>
      </c>
      <c r="C395" s="1" t="str">
        <f>IFERROR(__xludf.DUMMYFUNCTION("""COMPUTED_VALUE"""),"$ 1.62 million")</f>
        <v>$ 1.62 million</v>
      </c>
      <c r="D395" s="1" t="str">
        <f>IFERROR(__xludf.DUMMYFUNCTION("""COMPUTED_VALUE"""),"$ 1.62M 
$ 11.32")</f>
        <v>$ 1.62M 
$ 11.32</v>
      </c>
      <c r="E395" s="1"/>
      <c r="F395" s="1"/>
    </row>
    <row r="396" ht="15.75" customHeight="1">
      <c r="A396" s="1" t="str">
        <f>IFERROR(__xludf.DUMMYFUNCTION("""COMPUTED_VALUE"""),"380 VET/EUR Binance")</f>
        <v>380 VET/EUR Binance</v>
      </c>
      <c r="B396" s="2">
        <f>IFERROR(__xludf.DUMMYFUNCTION("""COMPUTED_VALUE"""),0.0462)</f>
        <v>0.0462</v>
      </c>
      <c r="C396" s="1" t="str">
        <f>IFERROR(__xludf.DUMMYFUNCTION("""COMPUTED_VALUE"""),"$ 1.62 million")</f>
        <v>$ 1.62 million</v>
      </c>
      <c r="D396" s="1" t="str">
        <f>IFERROR(__xludf.DUMMYFUNCTION("""COMPUTED_VALUE"""),"$ 1.62M 
$ 0.0462")</f>
        <v>$ 1.62M 
$ 0.0462</v>
      </c>
      <c r="E396" s="1"/>
      <c r="F396" s="1"/>
    </row>
    <row r="397" ht="15.75" customHeight="1">
      <c r="A397" s="1" t="str">
        <f>IFERROR(__xludf.DUMMYFUNCTION("""COMPUTED_VALUE"""),"381 GNO/USDT Binance")</f>
        <v>381 GNO/USDT Binance</v>
      </c>
      <c r="B397" s="2">
        <f>IFERROR(__xludf.DUMMYFUNCTION("""COMPUTED_VALUE"""),282.4)</f>
        <v>282.4</v>
      </c>
      <c r="C397" s="1" t="str">
        <f>IFERROR(__xludf.DUMMYFUNCTION("""COMPUTED_VALUE"""),"$ 1.59 million")</f>
        <v>$ 1.59 million</v>
      </c>
      <c r="D397" s="1" t="str">
        <f>IFERROR(__xludf.DUMMYFUNCTION("""COMPUTED_VALUE"""),"$ 1.59M 
$ 282.40")</f>
        <v>$ 1.59M 
$ 282.40</v>
      </c>
      <c r="E397" s="1"/>
      <c r="F397" s="1"/>
    </row>
    <row r="398" ht="15.75" customHeight="1">
      <c r="A398" s="1" t="str">
        <f>IFERROR(__xludf.DUMMYFUNCTION("""COMPUTED_VALUE"""),"382 RNDR/BTC Binance")</f>
        <v>382 RNDR/BTC Binance</v>
      </c>
      <c r="B398" s="2">
        <f>IFERROR(__xludf.DUMMYFUNCTION("""COMPUTED_VALUE"""),4.95)</f>
        <v>4.95</v>
      </c>
      <c r="C398" s="1" t="str">
        <f>IFERROR(__xludf.DUMMYFUNCTION("""COMPUTED_VALUE"""),"$ 1.58 million")</f>
        <v>$ 1.58 million</v>
      </c>
      <c r="D398" s="1" t="str">
        <f>IFERROR(__xludf.DUMMYFUNCTION("""COMPUTED_VALUE"""),"$ 1.58M 
$ 4.95")</f>
        <v>$ 1.58M 
$ 4.95</v>
      </c>
      <c r="E398" s="1"/>
      <c r="F398" s="1"/>
    </row>
    <row r="399" ht="15.75" customHeight="1">
      <c r="A399" s="1" t="str">
        <f>IFERROR(__xludf.DUMMYFUNCTION("""COMPUTED_VALUE"""),"383 JTO/TRY Binance")</f>
        <v>383 JTO/TRY Binance</v>
      </c>
      <c r="B399" s="2">
        <f>IFERROR(__xludf.DUMMYFUNCTION("""COMPUTED_VALUE"""),2.22)</f>
        <v>2.22</v>
      </c>
      <c r="C399" s="1" t="str">
        <f>IFERROR(__xludf.DUMMYFUNCTION("""COMPUTED_VALUE"""),"$ 1.58 million")</f>
        <v>$ 1.58 million</v>
      </c>
      <c r="D399" s="1" t="str">
        <f>IFERROR(__xludf.DUMMYFUNCTION("""COMPUTED_VALUE"""),"$ 1.58M 
$ 2.22")</f>
        <v>$ 1.58M 
$ 2.22</v>
      </c>
      <c r="E399" s="1"/>
      <c r="F399" s="1"/>
    </row>
    <row r="400" ht="15.75" customHeight="1">
      <c r="A400" s="1" t="str">
        <f>IFERROR(__xludf.DUMMYFUNCTION("""COMPUTED_VALUE"""),"384 DAR/TRY Binance")</f>
        <v>384 DAR/TRY Binance</v>
      </c>
      <c r="B400" s="2">
        <f>IFERROR(__xludf.DUMMYFUNCTION("""COMPUTED_VALUE"""),0.144)</f>
        <v>0.144</v>
      </c>
      <c r="C400" s="1" t="str">
        <f>IFERROR(__xludf.DUMMYFUNCTION("""COMPUTED_VALUE"""),"$ 1.54 million")</f>
        <v>$ 1.54 million</v>
      </c>
      <c r="D400" s="1" t="str">
        <f>IFERROR(__xludf.DUMMYFUNCTION("""COMPUTED_VALUE"""),"$ 1.54M 
$ 0.144")</f>
        <v>$ 1.54M 
$ 0.144</v>
      </c>
      <c r="E400" s="1"/>
      <c r="F400" s="1"/>
    </row>
    <row r="401" ht="15.75" customHeight="1">
      <c r="A401" s="1" t="str">
        <f>IFERROR(__xludf.DUMMYFUNCTION("""COMPUTED_VALUE"""),"385 AMP/USDT Binance")</f>
        <v>385 AMP/USDT Binance</v>
      </c>
      <c r="B401" s="2">
        <f>IFERROR(__xludf.DUMMYFUNCTION("""COMPUTED_VALUE"""),0.00373)</f>
        <v>0.00373</v>
      </c>
      <c r="C401" s="1" t="str">
        <f>IFERROR(__xludf.DUMMYFUNCTION("""COMPUTED_VALUE"""),"$ 1.54 million")</f>
        <v>$ 1.54 million</v>
      </c>
      <c r="D401" s="1" t="str">
        <f>IFERROR(__xludf.DUMMYFUNCTION("""COMPUTED_VALUE"""),"$ 1.54M 
$ 0.00373")</f>
        <v>$ 1.54M 
$ 0.00373</v>
      </c>
      <c r="E401" s="1"/>
      <c r="F401" s="1"/>
    </row>
    <row r="402" ht="15.75" customHeight="1">
      <c r="A402" s="1" t="str">
        <f>IFERROR(__xludf.DUMMYFUNCTION("""COMPUTED_VALUE"""),"386 XVS/USDT Binance")</f>
        <v>386 XVS/USDT Binance</v>
      </c>
      <c r="B402" s="2">
        <f>IFERROR(__xludf.DUMMYFUNCTION("""COMPUTED_VALUE"""),11.31)</f>
        <v>11.31</v>
      </c>
      <c r="C402" s="1" t="str">
        <f>IFERROR(__xludf.DUMMYFUNCTION("""COMPUTED_VALUE"""),"$ 1.54 million")</f>
        <v>$ 1.54 million</v>
      </c>
      <c r="D402" s="1" t="str">
        <f>IFERROR(__xludf.DUMMYFUNCTION("""COMPUTED_VALUE"""),"$ 1.54M 
$ 11.31")</f>
        <v>$ 1.54M 
$ 11.31</v>
      </c>
      <c r="E402" s="1"/>
      <c r="F402" s="1"/>
    </row>
    <row r="403" ht="15.75" customHeight="1">
      <c r="A403" s="1" t="str">
        <f>IFERROR(__xludf.DUMMYFUNCTION("""COMPUTED_VALUE"""),"387 BNB/TUSD Binance")</f>
        <v>387 BNB/TUSD Binance</v>
      </c>
      <c r="B403" s="2">
        <f>IFERROR(__xludf.DUMMYFUNCTION("""COMPUTED_VALUE"""),347.57)</f>
        <v>347.57</v>
      </c>
      <c r="C403" s="1" t="str">
        <f>IFERROR(__xludf.DUMMYFUNCTION("""COMPUTED_VALUE"""),"$ 1.53 million")</f>
        <v>$ 1.53 million</v>
      </c>
      <c r="D403" s="1" t="str">
        <f>IFERROR(__xludf.DUMMYFUNCTION("""COMPUTED_VALUE"""),"$ 1.53M 
$ 347.57")</f>
        <v>$ 1.53M 
$ 347.57</v>
      </c>
      <c r="E403" s="1"/>
      <c r="F403" s="1"/>
    </row>
    <row r="404" ht="15.75" customHeight="1">
      <c r="A404" s="1" t="str">
        <f>IFERROR(__xludf.DUMMYFUNCTION("""COMPUTED_VALUE"""),"388 ERN/USDT Binance")</f>
        <v>388 ERN/USDT Binance</v>
      </c>
      <c r="B404" s="2">
        <f>IFERROR(__xludf.DUMMYFUNCTION("""COMPUTED_VALUE"""),2.36)</f>
        <v>2.36</v>
      </c>
      <c r="C404" s="1" t="str">
        <f>IFERROR(__xludf.DUMMYFUNCTION("""COMPUTED_VALUE"""),"$ 1.53 million")</f>
        <v>$ 1.53 million</v>
      </c>
      <c r="D404" s="1" t="str">
        <f>IFERROR(__xludf.DUMMYFUNCTION("""COMPUTED_VALUE"""),"$ 1.53M 
$ 2.36")</f>
        <v>$ 1.53M 
$ 2.36</v>
      </c>
      <c r="E404" s="1"/>
      <c r="F404" s="1"/>
    </row>
    <row r="405" ht="15.75" customHeight="1">
      <c r="A405" s="1" t="str">
        <f>IFERROR(__xludf.DUMMYFUNCTION("""COMPUTED_VALUE"""),"389 DIA/USDT Binance")</f>
        <v>389 DIA/USDT Binance</v>
      </c>
      <c r="B405" s="2">
        <f>IFERROR(__xludf.DUMMYFUNCTION("""COMPUTED_VALUE"""),0.476)</f>
        <v>0.476</v>
      </c>
      <c r="C405" s="1" t="str">
        <f>IFERROR(__xludf.DUMMYFUNCTION("""COMPUTED_VALUE"""),"$ 1.53 million")</f>
        <v>$ 1.53 million</v>
      </c>
      <c r="D405" s="1" t="str">
        <f>IFERROR(__xludf.DUMMYFUNCTION("""COMPUTED_VALUE"""),"$ 1.53M 
$ 0.476")</f>
        <v>$ 1.53M 
$ 0.476</v>
      </c>
      <c r="E405" s="1"/>
      <c r="F405" s="1"/>
    </row>
    <row r="406" ht="15.75" customHeight="1">
      <c r="A406" s="1" t="str">
        <f>IFERROR(__xludf.DUMMYFUNCTION("""COMPUTED_VALUE"""),"390 ADA/USDC Binance")</f>
        <v>390 ADA/USDC Binance</v>
      </c>
      <c r="B406" s="2">
        <f>IFERROR(__xludf.DUMMYFUNCTION("""COMPUTED_VALUE"""),0.594)</f>
        <v>0.594</v>
      </c>
      <c r="C406" s="1" t="str">
        <f>IFERROR(__xludf.DUMMYFUNCTION("""COMPUTED_VALUE"""),"$ 1.52 million")</f>
        <v>$ 1.52 million</v>
      </c>
      <c r="D406" s="1" t="str">
        <f>IFERROR(__xludf.DUMMYFUNCTION("""COMPUTED_VALUE"""),"$ 1.52M 
$ 0.594")</f>
        <v>$ 1.52M 
$ 0.594</v>
      </c>
      <c r="E406" s="1"/>
      <c r="F406" s="1"/>
    </row>
    <row r="407" ht="15.75" customHeight="1">
      <c r="A407" s="1" t="str">
        <f>IFERROR(__xludf.DUMMYFUNCTION("""COMPUTED_VALUE"""),"391 COMBO/USDT Binance")</f>
        <v>391 COMBO/USDT Binance</v>
      </c>
      <c r="B407" s="2">
        <f>IFERROR(__xludf.DUMMYFUNCTION("""COMPUTED_VALUE"""),0.813)</f>
        <v>0.813</v>
      </c>
      <c r="C407" s="1" t="str">
        <f>IFERROR(__xludf.DUMMYFUNCTION("""COMPUTED_VALUE"""),"$ 1.51 million")</f>
        <v>$ 1.51 million</v>
      </c>
      <c r="D407" s="1" t="str">
        <f>IFERROR(__xludf.DUMMYFUNCTION("""COMPUTED_VALUE"""),"$ 1.51M 
$ 0.813")</f>
        <v>$ 1.51M 
$ 0.813</v>
      </c>
      <c r="E407" s="1"/>
      <c r="F407" s="1"/>
    </row>
    <row r="408" ht="15.75" customHeight="1">
      <c r="A408" s="1" t="str">
        <f>IFERROR(__xludf.DUMMYFUNCTION("""COMPUTED_VALUE"""),"392 SCRT/USDT Binance")</f>
        <v>392 SCRT/USDT Binance</v>
      </c>
      <c r="B408" s="2">
        <f>IFERROR(__xludf.DUMMYFUNCTION("""COMPUTED_VALUE"""),0.436)</f>
        <v>0.436</v>
      </c>
      <c r="C408" s="1" t="str">
        <f>IFERROR(__xludf.DUMMYFUNCTION("""COMPUTED_VALUE"""),"$ 1.51 million")</f>
        <v>$ 1.51 million</v>
      </c>
      <c r="D408" s="1" t="str">
        <f>IFERROR(__xludf.DUMMYFUNCTION("""COMPUTED_VALUE"""),"$ 1.51M 
$ 0.436")</f>
        <v>$ 1.51M 
$ 0.436</v>
      </c>
      <c r="E408" s="1"/>
      <c r="F408" s="1"/>
    </row>
    <row r="409" ht="15.75" customHeight="1">
      <c r="A409" s="1" t="str">
        <f>IFERROR(__xludf.DUMMYFUNCTION("""COMPUTED_VALUE"""),"393 BAR/USDT Binance")</f>
        <v>393 BAR/USDT Binance</v>
      </c>
      <c r="B409" s="2">
        <f>IFERROR(__xludf.DUMMYFUNCTION("""COMPUTED_VALUE"""),2.55)</f>
        <v>2.55</v>
      </c>
      <c r="C409" s="1" t="str">
        <f>IFERROR(__xludf.DUMMYFUNCTION("""COMPUTED_VALUE"""),"$ 1.51 million")</f>
        <v>$ 1.51 million</v>
      </c>
      <c r="D409" s="1" t="str">
        <f>IFERROR(__xludf.DUMMYFUNCTION("""COMPUTED_VALUE"""),"$ 1.51M 
$ 2.55")</f>
        <v>$ 1.51M 
$ 2.55</v>
      </c>
      <c r="E409" s="1"/>
      <c r="F409" s="1"/>
    </row>
    <row r="410" ht="15.75" customHeight="1">
      <c r="A410" s="1" t="str">
        <f>IFERROR(__xludf.DUMMYFUNCTION("""COMPUTED_VALUE"""),"394 BNB/EUR Binance")</f>
        <v>394 BNB/EUR Binance</v>
      </c>
      <c r="B410" s="2">
        <f>IFERROR(__xludf.DUMMYFUNCTION("""COMPUTED_VALUE"""),347.68)</f>
        <v>347.68</v>
      </c>
      <c r="C410" s="1" t="str">
        <f>IFERROR(__xludf.DUMMYFUNCTION("""COMPUTED_VALUE"""),"$ 1.50 million")</f>
        <v>$ 1.50 million</v>
      </c>
      <c r="D410" s="1" t="str">
        <f>IFERROR(__xludf.DUMMYFUNCTION("""COMPUTED_VALUE"""),"$ 1.50M 
$ 347.68")</f>
        <v>$ 1.50M 
$ 347.68</v>
      </c>
      <c r="E410" s="1"/>
      <c r="F410" s="1"/>
    </row>
    <row r="411" ht="15.75" customHeight="1">
      <c r="A411" s="1" t="str">
        <f>IFERROR(__xludf.DUMMYFUNCTION("""COMPUTED_VALUE"""),"395 KNC/USDT Binance")</f>
        <v>395 KNC/USDT Binance</v>
      </c>
      <c r="B411" s="2">
        <f>IFERROR(__xludf.DUMMYFUNCTION("""COMPUTED_VALUE"""),0.648)</f>
        <v>0.648</v>
      </c>
      <c r="C411" s="1" t="str">
        <f>IFERROR(__xludf.DUMMYFUNCTION("""COMPUTED_VALUE"""),"$ 1.49 million")</f>
        <v>$ 1.49 million</v>
      </c>
      <c r="D411" s="1" t="str">
        <f>IFERROR(__xludf.DUMMYFUNCTION("""COMPUTED_VALUE"""),"$ 1.49M 
$ 0.648")</f>
        <v>$ 1.49M 
$ 0.648</v>
      </c>
      <c r="E411" s="1"/>
      <c r="F411" s="1"/>
    </row>
    <row r="412" ht="15.75" customHeight="1">
      <c r="A412" s="1" t="str">
        <f>IFERROR(__xludf.DUMMYFUNCTION("""COMPUTED_VALUE"""),"396 STORJ/TRY Binance")</f>
        <v>396 STORJ/TRY Binance</v>
      </c>
      <c r="B412" s="2">
        <f>IFERROR(__xludf.DUMMYFUNCTION("""COMPUTED_VALUE"""),0.666)</f>
        <v>0.666</v>
      </c>
      <c r="C412" s="1" t="str">
        <f>IFERROR(__xludf.DUMMYFUNCTION("""COMPUTED_VALUE"""),"$ 1.48 million")</f>
        <v>$ 1.48 million</v>
      </c>
      <c r="D412" s="1" t="str">
        <f>IFERROR(__xludf.DUMMYFUNCTION("""COMPUTED_VALUE"""),"$ 1.48M 
$ 0.666")</f>
        <v>$ 1.48M 
$ 0.666</v>
      </c>
      <c r="E412" s="1"/>
      <c r="F412" s="1"/>
    </row>
    <row r="413" ht="15.75" customHeight="1">
      <c r="A413" s="1" t="str">
        <f>IFERROR(__xludf.DUMMYFUNCTION("""COMPUTED_VALUE"""),"397 USDT/PLN Binance")</f>
        <v>397 USDT/PLN Binance</v>
      </c>
      <c r="B413" s="2">
        <f>IFERROR(__xludf.DUMMYFUNCTION("""COMPUTED_VALUE"""),1.0)</f>
        <v>1</v>
      </c>
      <c r="C413" s="1" t="str">
        <f>IFERROR(__xludf.DUMMYFUNCTION("""COMPUTED_VALUE"""),"$ 1.47 million")</f>
        <v>$ 1.47 million</v>
      </c>
      <c r="D413" s="1" t="str">
        <f>IFERROR(__xludf.DUMMYFUNCTION("""COMPUTED_VALUE"""),"$ 1.47M 
$ 1.00")</f>
        <v>$ 1.47M 
$ 1.00</v>
      </c>
      <c r="E413" s="1"/>
      <c r="F413" s="1"/>
    </row>
    <row r="414" ht="15.75" customHeight="1">
      <c r="A414" s="1" t="str">
        <f>IFERROR(__xludf.DUMMYFUNCTION("""COMPUTED_VALUE"""),"398 NTRN/TRY Binance")</f>
        <v>398 NTRN/TRY Binance</v>
      </c>
      <c r="B414" s="2">
        <f>IFERROR(__xludf.DUMMYFUNCTION("""COMPUTED_VALUE"""),1.71)</f>
        <v>1.71</v>
      </c>
      <c r="C414" s="1" t="str">
        <f>IFERROR(__xludf.DUMMYFUNCTION("""COMPUTED_VALUE"""),"$ 1.47 million")</f>
        <v>$ 1.47 million</v>
      </c>
      <c r="D414" s="1" t="str">
        <f>IFERROR(__xludf.DUMMYFUNCTION("""COMPUTED_VALUE"""),"$ 1.47M 
$ 1.71")</f>
        <v>$ 1.47M 
$ 1.71</v>
      </c>
      <c r="E414" s="1"/>
      <c r="F414" s="1"/>
    </row>
    <row r="415" ht="15.75" customHeight="1">
      <c r="A415" s="1" t="str">
        <f>IFERROR(__xludf.DUMMYFUNCTION("""COMPUTED_VALUE"""),"399 MATIC/FDUSD Binance")</f>
        <v>399 MATIC/FDUSD Binance</v>
      </c>
      <c r="B415" s="2">
        <f>IFERROR(__xludf.DUMMYFUNCTION("""COMPUTED_VALUE"""),0.893)</f>
        <v>0.893</v>
      </c>
      <c r="C415" s="1" t="str">
        <f>IFERROR(__xludf.DUMMYFUNCTION("""COMPUTED_VALUE"""),"$ 1.47 million")</f>
        <v>$ 1.47 million</v>
      </c>
      <c r="D415" s="1" t="str">
        <f>IFERROR(__xludf.DUMMYFUNCTION("""COMPUTED_VALUE"""),"$ 1.47M 
$ 0.893")</f>
        <v>$ 1.47M 
$ 0.893</v>
      </c>
      <c r="E415" s="1"/>
      <c r="F415" s="1"/>
    </row>
    <row r="416" ht="15.75" customHeight="1">
      <c r="A416" s="1" t="str">
        <f>IFERROR(__xludf.DUMMYFUNCTION("""COMPUTED_VALUE"""),"400 OG/USDT Binance")</f>
        <v>400 OG/USDT Binance</v>
      </c>
      <c r="B416" s="2">
        <f>IFERROR(__xludf.DUMMYFUNCTION("""COMPUTED_VALUE"""),4.9)</f>
        <v>4.9</v>
      </c>
      <c r="C416" s="1" t="str">
        <f>IFERROR(__xludf.DUMMYFUNCTION("""COMPUTED_VALUE"""),"$ 1.46 million")</f>
        <v>$ 1.46 million</v>
      </c>
      <c r="D416" s="1" t="str">
        <f>IFERROR(__xludf.DUMMYFUNCTION("""COMPUTED_VALUE"""),"$ 1.46M 
$ 4.90")</f>
        <v>$ 1.46M 
$ 4.90</v>
      </c>
      <c r="E416" s="1"/>
      <c r="F416" s="1"/>
    </row>
    <row r="417" ht="15.75" customHeight="1">
      <c r="A417" s="5" t="str">
        <f>IFERROR(__xludf.DUMMYFUNCTION("IMPORTHTML(""https://coinranking.com/exchange/-zdvbieRdZ+binance/markets?tenable.test=anything&amp;sortby=desc&amp;sorton&amp;page=9"", ""table"", 1)"),"Markets")</f>
        <v>Markets</v>
      </c>
      <c r="B417" s="1" t="str">
        <f>IFERROR(__xludf.DUMMYFUNCTION("""COMPUTED_VALUE"""),"Base price")</f>
        <v>Base price</v>
      </c>
      <c r="C417" s="1" t="str">
        <f>IFERROR(__xludf.DUMMYFUNCTION("""COMPUTED_VALUE"""),"24h trade volume")</f>
        <v>24h trade volume</v>
      </c>
      <c r="D417" s="1" t="str">
        <f>IFERROR(__xludf.DUMMYFUNCTION("""COMPUTED_VALUE"""),"24h volume")</f>
        <v>24h volume</v>
      </c>
      <c r="E417" s="1" t="str">
        <f>IFERROR(__xludf.DUMMYFUNCTION("""COMPUTED_VALUE"""),"Recommended")</f>
        <v>Recommended</v>
      </c>
      <c r="F417" s="1"/>
    </row>
    <row r="418" ht="15.75" customHeight="1">
      <c r="A418" s="1" t="str">
        <f>IFERROR(__xludf.DUMMYFUNCTION("""COMPUTED_VALUE"""),"401 WIN/USDT Binance")</f>
        <v>401 WIN/USDT Binance</v>
      </c>
      <c r="B418" s="2">
        <f>IFERROR(__xludf.DUMMYFUNCTION("""COMPUTED_VALUE"""),1.05E-4)</f>
        <v>0.000105</v>
      </c>
      <c r="C418" s="1" t="str">
        <f>IFERROR(__xludf.DUMMYFUNCTION("""COMPUTED_VALUE"""),"$ 1.46 million")</f>
        <v>$ 1.46 million</v>
      </c>
      <c r="D418" s="1" t="str">
        <f>IFERROR(__xludf.DUMMYFUNCTION("""COMPUTED_VALUE"""),"$ 1.46M 
$ 0.000105")</f>
        <v>$ 1.46M 
$ 0.000105</v>
      </c>
      <c r="E418" s="1"/>
      <c r="F418" s="1"/>
    </row>
    <row r="419" ht="15.75" customHeight="1">
      <c r="A419" s="1" t="str">
        <f>IFERROR(__xludf.DUMMYFUNCTION("""COMPUTED_VALUE"""),"402 OOKI/USDT Binance")</f>
        <v>402 OOKI/USDT Binance</v>
      </c>
      <c r="B419" s="2">
        <f>IFERROR(__xludf.DUMMYFUNCTION("""COMPUTED_VALUE"""),0.00199)</f>
        <v>0.00199</v>
      </c>
      <c r="C419" s="1" t="str">
        <f>IFERROR(__xludf.DUMMYFUNCTION("""COMPUTED_VALUE"""),"$ 1.45 million")</f>
        <v>$ 1.45 million</v>
      </c>
      <c r="D419" s="1" t="str">
        <f>IFERROR(__xludf.DUMMYFUNCTION("""COMPUTED_VALUE"""),"$ 1.45M 
$ 0.00199")</f>
        <v>$ 1.45M 
$ 0.00199</v>
      </c>
      <c r="E419" s="1"/>
      <c r="F419" s="1"/>
    </row>
    <row r="420" ht="15.75" customHeight="1">
      <c r="A420" s="1" t="str">
        <f>IFERROR(__xludf.DUMMYFUNCTION("""COMPUTED_VALUE"""),"403 XRP/USDC Binance")</f>
        <v>403 XRP/USDC Binance</v>
      </c>
      <c r="B420" s="2">
        <f>IFERROR(__xludf.DUMMYFUNCTION("""COMPUTED_VALUE"""),0.551)</f>
        <v>0.551</v>
      </c>
      <c r="C420" s="1" t="str">
        <f>IFERROR(__xludf.DUMMYFUNCTION("""COMPUTED_VALUE"""),"$ 1.45 million")</f>
        <v>$ 1.45 million</v>
      </c>
      <c r="D420" s="1" t="str">
        <f>IFERROR(__xludf.DUMMYFUNCTION("""COMPUTED_VALUE"""),"$ 1.45M 
$ 0.551")</f>
        <v>$ 1.45M 
$ 0.551</v>
      </c>
      <c r="E420" s="1"/>
      <c r="F420" s="1"/>
    </row>
    <row r="421" ht="15.75" customHeight="1">
      <c r="A421" s="1" t="str">
        <f>IFERROR(__xludf.DUMMYFUNCTION("""COMPUTED_VALUE"""),"404 FIS/USDT Binance")</f>
        <v>404 FIS/USDT Binance</v>
      </c>
      <c r="B421" s="2">
        <f>IFERROR(__xludf.DUMMYFUNCTION("""COMPUTED_VALUE"""),0.429)</f>
        <v>0.429</v>
      </c>
      <c r="C421" s="1" t="str">
        <f>IFERROR(__xludf.DUMMYFUNCTION("""COMPUTED_VALUE"""),"$ 1.45 million")</f>
        <v>$ 1.45 million</v>
      </c>
      <c r="D421" s="1" t="str">
        <f>IFERROR(__xludf.DUMMYFUNCTION("""COMPUTED_VALUE"""),"$ 1.45M 
$ 0.429")</f>
        <v>$ 1.45M 
$ 0.429</v>
      </c>
      <c r="E421" s="1"/>
      <c r="F421" s="1"/>
    </row>
    <row r="422" ht="15.75" customHeight="1">
      <c r="A422" s="1" t="str">
        <f>IFERROR(__xludf.DUMMYFUNCTION("""COMPUTED_VALUE"""),"405 MBL/USDT Binance")</f>
        <v>405 MBL/USDT Binance</v>
      </c>
      <c r="B422" s="2">
        <f>IFERROR(__xludf.DUMMYFUNCTION("""COMPUTED_VALUE"""),0.00441)</f>
        <v>0.00441</v>
      </c>
      <c r="C422" s="1" t="str">
        <f>IFERROR(__xludf.DUMMYFUNCTION("""COMPUTED_VALUE"""),"$ 1.43 million")</f>
        <v>$ 1.43 million</v>
      </c>
      <c r="D422" s="1" t="str">
        <f>IFERROR(__xludf.DUMMYFUNCTION("""COMPUTED_VALUE"""),"$ 1.43M 
$ 0.00441")</f>
        <v>$ 1.43M 
$ 0.00441</v>
      </c>
      <c r="E422" s="1"/>
      <c r="F422" s="1"/>
    </row>
    <row r="423" ht="15.75" customHeight="1">
      <c r="A423" s="1" t="str">
        <f>IFERROR(__xludf.DUMMYFUNCTION("""COMPUTED_VALUE"""),"406 SOL/TUSD Binance")</f>
        <v>406 SOL/TUSD Binance</v>
      </c>
      <c r="B423" s="2">
        <f>IFERROR(__xludf.DUMMYFUNCTION("""COMPUTED_VALUE"""),116.01)</f>
        <v>116.01</v>
      </c>
      <c r="C423" s="1" t="str">
        <f>IFERROR(__xludf.DUMMYFUNCTION("""COMPUTED_VALUE"""),"$ 1.42 million")</f>
        <v>$ 1.42 million</v>
      </c>
      <c r="D423" s="1" t="str">
        <f>IFERROR(__xludf.DUMMYFUNCTION("""COMPUTED_VALUE"""),"$ 1.42M 
$ 116.01")</f>
        <v>$ 1.42M 
$ 116.01</v>
      </c>
      <c r="E423" s="1"/>
      <c r="F423" s="1"/>
    </row>
    <row r="424" ht="15.75" customHeight="1">
      <c r="A424" s="1" t="str">
        <f>IFERROR(__xludf.DUMMYFUNCTION("""COMPUTED_VALUE"""),"407 TROY/USDT Binance")</f>
        <v>407 TROY/USDT Binance</v>
      </c>
      <c r="B424" s="2">
        <f>IFERROR(__xludf.DUMMYFUNCTION("""COMPUTED_VALUE"""),0.00249)</f>
        <v>0.00249</v>
      </c>
      <c r="C424" s="1" t="str">
        <f>IFERROR(__xludf.DUMMYFUNCTION("""COMPUTED_VALUE"""),"$ 1.42 million")</f>
        <v>$ 1.42 million</v>
      </c>
      <c r="D424" s="1" t="str">
        <f>IFERROR(__xludf.DUMMYFUNCTION("""COMPUTED_VALUE"""),"$ 1.42M 
$ 0.00249")</f>
        <v>$ 1.42M 
$ 0.00249</v>
      </c>
      <c r="E424" s="1"/>
      <c r="F424" s="1"/>
    </row>
    <row r="425" ht="15.75" customHeight="1">
      <c r="A425" s="1" t="str">
        <f>IFERROR(__xludf.DUMMYFUNCTION("""COMPUTED_VALUE"""),"408 APE/TRY Binance")</f>
        <v>408 APE/TRY Binance</v>
      </c>
      <c r="B425" s="2">
        <f>IFERROR(__xludf.DUMMYFUNCTION("""COMPUTED_VALUE"""),1.63)</f>
        <v>1.63</v>
      </c>
      <c r="C425" s="1" t="str">
        <f>IFERROR(__xludf.DUMMYFUNCTION("""COMPUTED_VALUE"""),"$ 1.42 million")</f>
        <v>$ 1.42 million</v>
      </c>
      <c r="D425" s="1" t="str">
        <f>IFERROR(__xludf.DUMMYFUNCTION("""COMPUTED_VALUE"""),"$ 1.42M 
$ 1.63")</f>
        <v>$ 1.42M 
$ 1.63</v>
      </c>
      <c r="E425" s="1"/>
      <c r="F425" s="1"/>
    </row>
    <row r="426" ht="15.75" customHeight="1">
      <c r="A426" s="1" t="str">
        <f>IFERROR(__xludf.DUMMYFUNCTION("""COMPUTED_VALUE"""),"409 ACA/TRY Binance")</f>
        <v>409 ACA/TRY Binance</v>
      </c>
      <c r="B426" s="2">
        <f>IFERROR(__xludf.DUMMYFUNCTION("""COMPUTED_VALUE"""),0.117)</f>
        <v>0.117</v>
      </c>
      <c r="C426" s="1" t="str">
        <f>IFERROR(__xludf.DUMMYFUNCTION("""COMPUTED_VALUE"""),"$ 1.42 million")</f>
        <v>$ 1.42 million</v>
      </c>
      <c r="D426" s="1" t="str">
        <f>IFERROR(__xludf.DUMMYFUNCTION("""COMPUTED_VALUE"""),"$ 1.42M 
$ 0.117")</f>
        <v>$ 1.42M 
$ 0.117</v>
      </c>
      <c r="E426" s="1"/>
      <c r="F426" s="1"/>
    </row>
    <row r="427" ht="15.75" customHeight="1">
      <c r="A427" s="1" t="str">
        <f>IFERROR(__xludf.DUMMYFUNCTION("""COMPUTED_VALUE"""),"410 NEXO/USDT Binance")</f>
        <v>410 NEXO/USDT Binance</v>
      </c>
      <c r="B427" s="2">
        <f>IFERROR(__xludf.DUMMYFUNCTION("""COMPUTED_VALUE"""),1.06)</f>
        <v>1.06</v>
      </c>
      <c r="C427" s="1" t="str">
        <f>IFERROR(__xludf.DUMMYFUNCTION("""COMPUTED_VALUE"""),"$ 1.42 million")</f>
        <v>$ 1.42 million</v>
      </c>
      <c r="D427" s="1" t="str">
        <f>IFERROR(__xludf.DUMMYFUNCTION("""COMPUTED_VALUE"""),"$ 1.42M 
$ 1.06")</f>
        <v>$ 1.42M 
$ 1.06</v>
      </c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 t="str">
        <f>IFERROR(__xludf.DUMMYFUNCTION("""COMPUTED_VALUE"""),"411 INJ/USDC Binance")</f>
        <v>411 INJ/USDC Binance</v>
      </c>
      <c r="B429" s="2">
        <f>IFERROR(__xludf.DUMMYFUNCTION("""COMPUTED_VALUE"""),34.74)</f>
        <v>34.74</v>
      </c>
      <c r="C429" s="1" t="str">
        <f>IFERROR(__xludf.DUMMYFUNCTION("""COMPUTED_VALUE"""),"$ 1.42 million")</f>
        <v>$ 1.42 million</v>
      </c>
      <c r="D429" s="1" t="str">
        <f>IFERROR(__xludf.DUMMYFUNCTION("""COMPUTED_VALUE"""),"$ 1.42M 
$ 34.74")</f>
        <v>$ 1.42M 
$ 34.74</v>
      </c>
      <c r="E429" s="1"/>
      <c r="F429" s="1"/>
    </row>
    <row r="430" ht="15.75" customHeight="1">
      <c r="A430" s="1" t="str">
        <f>IFERROR(__xludf.DUMMYFUNCTION("""COMPUTED_VALUE"""),"412 CELR/USDT Binance")</f>
        <v>412 CELR/USDT Binance</v>
      </c>
      <c r="B430" s="2">
        <f>IFERROR(__xludf.DUMMYFUNCTION("""COMPUTED_VALUE"""),0.0202)</f>
        <v>0.0202</v>
      </c>
      <c r="C430" s="1" t="str">
        <f>IFERROR(__xludf.DUMMYFUNCTION("""COMPUTED_VALUE"""),"$ 1.39 million")</f>
        <v>$ 1.39 million</v>
      </c>
      <c r="D430" s="1" t="str">
        <f>IFERROR(__xludf.DUMMYFUNCTION("""COMPUTED_VALUE"""),"$ 1.39M 
$ 0.0202")</f>
        <v>$ 1.39M 
$ 0.0202</v>
      </c>
      <c r="E430" s="1"/>
      <c r="F430" s="1"/>
    </row>
    <row r="431" ht="15.75" customHeight="1">
      <c r="A431" s="1" t="str">
        <f>IFERROR(__xludf.DUMMYFUNCTION("""COMPUTED_VALUE"""),"413 SUI/TRY Binance")</f>
        <v>413 SUI/TRY Binance</v>
      </c>
      <c r="B431" s="2">
        <f>IFERROR(__xludf.DUMMYFUNCTION("""COMPUTED_VALUE"""),1.9)</f>
        <v>1.9</v>
      </c>
      <c r="C431" s="1" t="str">
        <f>IFERROR(__xludf.DUMMYFUNCTION("""COMPUTED_VALUE"""),"$ 1.39 million")</f>
        <v>$ 1.39 million</v>
      </c>
      <c r="D431" s="1" t="str">
        <f>IFERROR(__xludf.DUMMYFUNCTION("""COMPUTED_VALUE"""),"$ 1.39M 
$ 1.90")</f>
        <v>$ 1.39M 
$ 1.90</v>
      </c>
      <c r="E431" s="1"/>
      <c r="F431" s="1"/>
    </row>
    <row r="432" ht="15.75" customHeight="1">
      <c r="A432" s="1" t="str">
        <f>IFERROR(__xludf.DUMMYFUNCTION("""COMPUTED_VALUE"""),"414 XVG/USDT Binance")</f>
        <v>414 XVG/USDT Binance</v>
      </c>
      <c r="B432" s="2">
        <f>IFERROR(__xludf.DUMMYFUNCTION("""COMPUTED_VALUE"""),0.00373)</f>
        <v>0.00373</v>
      </c>
      <c r="C432" s="1" t="str">
        <f>IFERROR(__xludf.DUMMYFUNCTION("""COMPUTED_VALUE"""),"$ 1.38 million")</f>
        <v>$ 1.38 million</v>
      </c>
      <c r="D432" s="1" t="str">
        <f>IFERROR(__xludf.DUMMYFUNCTION("""COMPUTED_VALUE"""),"$ 1.38M 
$ 0.00373")</f>
        <v>$ 1.38M 
$ 0.00373</v>
      </c>
      <c r="E432" s="1"/>
      <c r="F432" s="1"/>
    </row>
    <row r="433" ht="15.75" customHeight="1">
      <c r="A433" s="1" t="str">
        <f>IFERROR(__xludf.DUMMYFUNCTION("""COMPUTED_VALUE"""),"415 WAXP/USDT Binance")</f>
        <v>415 WAXP/USDT Binance</v>
      </c>
      <c r="B433" s="2">
        <f>IFERROR(__xludf.DUMMYFUNCTION("""COMPUTED_VALUE"""),0.0592)</f>
        <v>0.0592</v>
      </c>
      <c r="C433" s="1" t="str">
        <f>IFERROR(__xludf.DUMMYFUNCTION("""COMPUTED_VALUE"""),"$ 1.37 million")</f>
        <v>$ 1.37 million</v>
      </c>
      <c r="D433" s="1" t="str">
        <f>IFERROR(__xludf.DUMMYFUNCTION("""COMPUTED_VALUE"""),"$ 1.37M 
$ 0.0592")</f>
        <v>$ 1.37M 
$ 0.0592</v>
      </c>
      <c r="E433" s="1"/>
      <c r="F433" s="1"/>
    </row>
    <row r="434" ht="15.75" customHeight="1">
      <c r="A434" s="1" t="str">
        <f>IFERROR(__xludf.DUMMYFUNCTION("""COMPUTED_VALUE"""),"416 MINA/TRY Binance")</f>
        <v>416 MINA/TRY Binance</v>
      </c>
      <c r="B434" s="2">
        <f>IFERROR(__xludf.DUMMYFUNCTION("""COMPUTED_VALUE"""),1.48)</f>
        <v>1.48</v>
      </c>
      <c r="C434" s="1" t="str">
        <f>IFERROR(__xludf.DUMMYFUNCTION("""COMPUTED_VALUE"""),"$ 1.37 million")</f>
        <v>$ 1.37 million</v>
      </c>
      <c r="D434" s="1" t="str">
        <f>IFERROR(__xludf.DUMMYFUNCTION("""COMPUTED_VALUE"""),"$ 1.37M 
$ 1.48")</f>
        <v>$ 1.37M 
$ 1.48</v>
      </c>
      <c r="E434" s="1"/>
      <c r="F434" s="1"/>
    </row>
    <row r="435" ht="15.75" customHeight="1">
      <c r="A435" s="1" t="str">
        <f>IFERROR(__xludf.DUMMYFUNCTION("""COMPUTED_VALUE"""),"417 LOKA/USDT Binance")</f>
        <v>417 LOKA/USDT Binance</v>
      </c>
      <c r="B435" s="2">
        <f>IFERROR(__xludf.DUMMYFUNCTION("""COMPUTED_VALUE"""),0.259)</f>
        <v>0.259</v>
      </c>
      <c r="C435" s="1" t="str">
        <f>IFERROR(__xludf.DUMMYFUNCTION("""COMPUTED_VALUE"""),"$ 1.36 million")</f>
        <v>$ 1.36 million</v>
      </c>
      <c r="D435" s="1" t="str">
        <f>IFERROR(__xludf.DUMMYFUNCTION("""COMPUTED_VALUE"""),"$ 1.36M 
$ 0.259")</f>
        <v>$ 1.36M 
$ 0.259</v>
      </c>
      <c r="E435" s="1"/>
      <c r="F435" s="1"/>
    </row>
    <row r="436" ht="15.75" customHeight="1">
      <c r="A436" s="1" t="str">
        <f>IFERROR(__xludf.DUMMYFUNCTION("""COMPUTED_VALUE"""),"418 DYM/FDUSD Binance")</f>
        <v>418 DYM/FDUSD Binance</v>
      </c>
      <c r="B436" s="2">
        <f>IFERROR(__xludf.DUMMYFUNCTION("""COMPUTED_VALUE"""),8.19)</f>
        <v>8.19</v>
      </c>
      <c r="C436" s="1" t="str">
        <f>IFERROR(__xludf.DUMMYFUNCTION("""COMPUTED_VALUE"""),"$ 1.35 million")</f>
        <v>$ 1.35 million</v>
      </c>
      <c r="D436" s="1" t="str">
        <f>IFERROR(__xludf.DUMMYFUNCTION("""COMPUTED_VALUE"""),"$ 1.35M 
$ 8.19")</f>
        <v>$ 1.35M 
$ 8.19</v>
      </c>
      <c r="E436" s="1"/>
      <c r="F436" s="1"/>
    </row>
    <row r="437" ht="15.75" customHeight="1">
      <c r="A437" s="1" t="str">
        <f>IFERROR(__xludf.DUMMYFUNCTION("""COMPUTED_VALUE"""),"419 ADA/EUR Binance")</f>
        <v>419 ADA/EUR Binance</v>
      </c>
      <c r="B437" s="2">
        <f>IFERROR(__xludf.DUMMYFUNCTION("""COMPUTED_VALUE"""),0.594)</f>
        <v>0.594</v>
      </c>
      <c r="C437" s="1" t="str">
        <f>IFERROR(__xludf.DUMMYFUNCTION("""COMPUTED_VALUE"""),"$ 1.35 million")</f>
        <v>$ 1.35 million</v>
      </c>
      <c r="D437" s="1" t="str">
        <f>IFERROR(__xludf.DUMMYFUNCTION("""COMPUTED_VALUE"""),"$ 1.35M 
$ 0.594")</f>
        <v>$ 1.35M 
$ 0.594</v>
      </c>
      <c r="E437" s="1"/>
      <c r="F437" s="1"/>
    </row>
    <row r="438" ht="15.75" customHeight="1">
      <c r="A438" s="1" t="str">
        <f>IFERROR(__xludf.DUMMYFUNCTION("""COMPUTED_VALUE"""),"420 WAN/USDT Binance")</f>
        <v>420 WAN/USDT Binance</v>
      </c>
      <c r="B438" s="2">
        <f>IFERROR(__xludf.DUMMYFUNCTION("""COMPUTED_VALUE"""),0.227)</f>
        <v>0.227</v>
      </c>
      <c r="C438" s="1" t="str">
        <f>IFERROR(__xludf.DUMMYFUNCTION("""COMPUTED_VALUE"""),"$ 1.34 million")</f>
        <v>$ 1.34 million</v>
      </c>
      <c r="D438" s="1" t="str">
        <f>IFERROR(__xludf.DUMMYFUNCTION("""COMPUTED_VALUE"""),"$ 1.34M 
$ 0.227")</f>
        <v>$ 1.34M 
$ 0.227</v>
      </c>
      <c r="E438" s="1"/>
      <c r="F438" s="1"/>
    </row>
    <row r="439" ht="15.75" customHeight="1">
      <c r="A439" s="1" t="str">
        <f>IFERROR(__xludf.DUMMYFUNCTION("""COMPUTED_VALUE"""),"421 ORDI/TRY Binance")</f>
        <v>421 ORDI/TRY Binance</v>
      </c>
      <c r="B439" s="2">
        <f>IFERROR(__xludf.DUMMYFUNCTION("""COMPUTED_VALUE"""),70.72)</f>
        <v>70.72</v>
      </c>
      <c r="C439" s="1" t="str">
        <f>IFERROR(__xludf.DUMMYFUNCTION("""COMPUTED_VALUE"""),"$ 1.34 million")</f>
        <v>$ 1.34 million</v>
      </c>
      <c r="D439" s="1" t="str">
        <f>IFERROR(__xludf.DUMMYFUNCTION("""COMPUTED_VALUE"""),"$ 1.34M 
$ 70.72")</f>
        <v>$ 1.34M 
$ 70.72</v>
      </c>
      <c r="E439" s="1"/>
      <c r="F439" s="1"/>
    </row>
    <row r="440" ht="15.75" customHeight="1">
      <c r="A440" s="1" t="str">
        <f>IFERROR(__xludf.DUMMYFUNCTION("""COMPUTED_VALUE"""),"422 MOB/USDT Binance")</f>
        <v>422 MOB/USDT Binance</v>
      </c>
      <c r="B440" s="2">
        <f>IFERROR(__xludf.DUMMYFUNCTION("""COMPUTED_VALUE"""),0.329)</f>
        <v>0.329</v>
      </c>
      <c r="C440" s="1" t="str">
        <f>IFERROR(__xludf.DUMMYFUNCTION("""COMPUTED_VALUE"""),"$ 1.33 million")</f>
        <v>$ 1.33 million</v>
      </c>
      <c r="D440" s="1" t="str">
        <f>IFERROR(__xludf.DUMMYFUNCTION("""COMPUTED_VALUE"""),"$ 1.33M 
$ 0.329")</f>
        <v>$ 1.33M 
$ 0.329</v>
      </c>
      <c r="E440" s="1"/>
      <c r="F440" s="1"/>
    </row>
    <row r="441" ht="15.75" customHeight="1">
      <c r="A441" s="1" t="str">
        <f>IFERROR(__xludf.DUMMYFUNCTION("""COMPUTED_VALUE"""),"423 VIC/USDT Binance")</f>
        <v>423 VIC/USDT Binance</v>
      </c>
      <c r="B441" s="2">
        <f>IFERROR(__xludf.DUMMYFUNCTION("""COMPUTED_VALUE"""),0.754)</f>
        <v>0.754</v>
      </c>
      <c r="C441" s="1" t="str">
        <f>IFERROR(__xludf.DUMMYFUNCTION("""COMPUTED_VALUE"""),"$ 1.32 million")</f>
        <v>$ 1.32 million</v>
      </c>
      <c r="D441" s="1" t="str">
        <f>IFERROR(__xludf.DUMMYFUNCTION("""COMPUTED_VALUE"""),"$ 1.32M 
$ 0.754")</f>
        <v>$ 1.32M 
$ 0.754</v>
      </c>
      <c r="E441" s="1"/>
      <c r="F441" s="1"/>
    </row>
    <row r="442" ht="15.75" customHeight="1">
      <c r="A442" s="1" t="str">
        <f>IFERROR(__xludf.DUMMYFUNCTION("""COMPUTED_VALUE"""),"424 MANTA/BTC Binance")</f>
        <v>424 MANTA/BTC Binance</v>
      </c>
      <c r="B442" s="2">
        <f>IFERROR(__xludf.DUMMYFUNCTION("""COMPUTED_VALUE"""),3.05)</f>
        <v>3.05</v>
      </c>
      <c r="C442" s="1" t="str">
        <f>IFERROR(__xludf.DUMMYFUNCTION("""COMPUTED_VALUE"""),"$ 1.32 million")</f>
        <v>$ 1.32 million</v>
      </c>
      <c r="D442" s="1" t="str">
        <f>IFERROR(__xludf.DUMMYFUNCTION("""COMPUTED_VALUE"""),"$ 1.32M 
$ 3.05")</f>
        <v>$ 1.32M 
$ 3.05</v>
      </c>
      <c r="E442" s="1"/>
      <c r="F442" s="1"/>
    </row>
    <row r="443" ht="15.75" customHeight="1">
      <c r="A443" s="1" t="str">
        <f>IFERROR(__xludf.DUMMYFUNCTION("""COMPUTED_VALUE"""),"425 MAV/TRY Binance")</f>
        <v>425 MAV/TRY Binance</v>
      </c>
      <c r="B443" s="2">
        <f>IFERROR(__xludf.DUMMYFUNCTION("""COMPUTED_VALUE"""),0.656)</f>
        <v>0.656</v>
      </c>
      <c r="C443" s="1" t="str">
        <f>IFERROR(__xludf.DUMMYFUNCTION("""COMPUTED_VALUE"""),"$ 1.32 million")</f>
        <v>$ 1.32 million</v>
      </c>
      <c r="D443" s="1" t="str">
        <f>IFERROR(__xludf.DUMMYFUNCTION("""COMPUTED_VALUE"""),"$ 1.32M 
$ 0.656")</f>
        <v>$ 1.32M 
$ 0.656</v>
      </c>
      <c r="E443" s="1"/>
      <c r="F443" s="1"/>
    </row>
    <row r="444" ht="15.75" customHeight="1">
      <c r="A444" s="1" t="str">
        <f>IFERROR(__xludf.DUMMYFUNCTION("""COMPUTED_VALUE"""),"426 STPT/USDT Binance")</f>
        <v>426 STPT/USDT Binance</v>
      </c>
      <c r="B444" s="2">
        <f>IFERROR(__xludf.DUMMYFUNCTION("""COMPUTED_VALUE"""),0.0564)</f>
        <v>0.0564</v>
      </c>
      <c r="C444" s="1" t="str">
        <f>IFERROR(__xludf.DUMMYFUNCTION("""COMPUTED_VALUE"""),"$ 1.32 million")</f>
        <v>$ 1.32 million</v>
      </c>
      <c r="D444" s="1" t="str">
        <f>IFERROR(__xludf.DUMMYFUNCTION("""COMPUTED_VALUE"""),"$ 1.32M 
$ 0.0564")</f>
        <v>$ 1.32M 
$ 0.0564</v>
      </c>
      <c r="E444" s="1"/>
      <c r="F444" s="1"/>
    </row>
    <row r="445" ht="15.75" customHeight="1">
      <c r="A445" s="1" t="str">
        <f>IFERROR(__xludf.DUMMYFUNCTION("""COMPUTED_VALUE"""),"427 ELF/USDT Binance")</f>
        <v>427 ELF/USDT Binance</v>
      </c>
      <c r="B445" s="2">
        <f>IFERROR(__xludf.DUMMYFUNCTION("""COMPUTED_VALUE"""),0.614)</f>
        <v>0.614</v>
      </c>
      <c r="C445" s="1" t="str">
        <f>IFERROR(__xludf.DUMMYFUNCTION("""COMPUTED_VALUE"""),"$ 1.31 million")</f>
        <v>$ 1.31 million</v>
      </c>
      <c r="D445" s="1" t="str">
        <f>IFERROR(__xludf.DUMMYFUNCTION("""COMPUTED_VALUE"""),"$ 1.31M 
$ 0.614")</f>
        <v>$ 1.31M 
$ 0.614</v>
      </c>
      <c r="E445" s="1"/>
      <c r="F445" s="1"/>
    </row>
    <row r="446" ht="15.75" customHeight="1">
      <c r="A446" s="1" t="str">
        <f>IFERROR(__xludf.DUMMYFUNCTION("""COMPUTED_VALUE"""),"428 TIA/BTC Binance")</f>
        <v>428 TIA/BTC Binance</v>
      </c>
      <c r="B446" s="2">
        <f>IFERROR(__xludf.DUMMYFUNCTION("""COMPUTED_VALUE"""),18.68)</f>
        <v>18.68</v>
      </c>
      <c r="C446" s="1" t="str">
        <f>IFERROR(__xludf.DUMMYFUNCTION("""COMPUTED_VALUE"""),"$ 1.30 million")</f>
        <v>$ 1.30 million</v>
      </c>
      <c r="D446" s="1" t="str">
        <f>IFERROR(__xludf.DUMMYFUNCTION("""COMPUTED_VALUE"""),"$ 1.30M 
$ 18.68")</f>
        <v>$ 1.30M 
$ 18.68</v>
      </c>
      <c r="E446" s="1"/>
      <c r="F446" s="1"/>
    </row>
    <row r="447" ht="15.75" customHeight="1">
      <c r="A447" s="1" t="str">
        <f>IFERROR(__xludf.DUMMYFUNCTION("""COMPUTED_VALUE"""),"429 BICO/USDT Binance")</f>
        <v>429 BICO/USDT Binance</v>
      </c>
      <c r="B447" s="2">
        <f>IFERROR(__xludf.DUMMYFUNCTION("""COMPUTED_VALUE"""),0.42)</f>
        <v>0.42</v>
      </c>
      <c r="C447" s="1" t="str">
        <f>IFERROR(__xludf.DUMMYFUNCTION("""COMPUTED_VALUE"""),"$ 1.29 million")</f>
        <v>$ 1.29 million</v>
      </c>
      <c r="D447" s="1" t="str">
        <f>IFERROR(__xludf.DUMMYFUNCTION("""COMPUTED_VALUE"""),"$ 1.29M 
$ 0.420")</f>
        <v>$ 1.29M 
$ 0.420</v>
      </c>
      <c r="E447" s="1"/>
      <c r="F447" s="1"/>
    </row>
    <row r="448" ht="15.75" customHeight="1">
      <c r="A448" s="1" t="str">
        <f>IFERROR(__xludf.DUMMYFUNCTION("""COMPUTED_VALUE"""),"430 BEL/USDT Binance")</f>
        <v>430 BEL/USDT Binance</v>
      </c>
      <c r="B448" s="2">
        <f>IFERROR(__xludf.DUMMYFUNCTION("""COMPUTED_VALUE"""),0.66)</f>
        <v>0.66</v>
      </c>
      <c r="C448" s="1" t="str">
        <f>IFERROR(__xludf.DUMMYFUNCTION("""COMPUTED_VALUE"""),"$ 1.29 million")</f>
        <v>$ 1.29 million</v>
      </c>
      <c r="D448" s="1" t="str">
        <f>IFERROR(__xludf.DUMMYFUNCTION("""COMPUTED_VALUE"""),"$ 1.29M 
$ 0.660")</f>
        <v>$ 1.29M 
$ 0.660</v>
      </c>
      <c r="E448" s="1"/>
      <c r="F448" s="1"/>
    </row>
    <row r="449" ht="15.75" customHeight="1">
      <c r="A449" s="1" t="str">
        <f>IFERROR(__xludf.DUMMYFUNCTION("""COMPUTED_VALUE"""),"431 XNO/USDT Binance")</f>
        <v>431 XNO/USDT Binance</v>
      </c>
      <c r="B449" s="2">
        <f>IFERROR(__xludf.DUMMYFUNCTION("""COMPUTED_VALUE"""),1.25)</f>
        <v>1.25</v>
      </c>
      <c r="C449" s="1" t="str">
        <f>IFERROR(__xludf.DUMMYFUNCTION("""COMPUTED_VALUE"""),"$ 1.28 million")</f>
        <v>$ 1.28 million</v>
      </c>
      <c r="D449" s="1" t="str">
        <f>IFERROR(__xludf.DUMMYFUNCTION("""COMPUTED_VALUE"""),"$ 1.28M 
$ 1.25")</f>
        <v>$ 1.28M 
$ 1.25</v>
      </c>
      <c r="E449" s="1"/>
      <c r="F449" s="1"/>
    </row>
    <row r="450" ht="15.75" customHeight="1">
      <c r="A450" s="1" t="str">
        <f>IFERROR(__xludf.DUMMYFUNCTION("""COMPUTED_VALUE"""),"432 NKN/USDT Binance")</f>
        <v>432 NKN/USDT Binance</v>
      </c>
      <c r="B450" s="2">
        <f>IFERROR(__xludf.DUMMYFUNCTION("""COMPUTED_VALUE"""),0.122)</f>
        <v>0.122</v>
      </c>
      <c r="C450" s="1" t="str">
        <f>IFERROR(__xludf.DUMMYFUNCTION("""COMPUTED_VALUE"""),"$ 1.26 million")</f>
        <v>$ 1.26 million</v>
      </c>
      <c r="D450" s="1" t="str">
        <f>IFERROR(__xludf.DUMMYFUNCTION("""COMPUTED_VALUE"""),"$ 1.26M 
$ 0.122")</f>
        <v>$ 1.26M 
$ 0.122</v>
      </c>
      <c r="E450" s="1"/>
      <c r="F450" s="1"/>
    </row>
    <row r="451" ht="15.75" customHeight="1">
      <c r="A451" s="1" t="str">
        <f>IFERROR(__xludf.DUMMYFUNCTION("""COMPUTED_VALUE"""),"433 VITE/USDT Binance")</f>
        <v>433 VITE/USDT Binance</v>
      </c>
      <c r="B451" s="2">
        <f>IFERROR(__xludf.DUMMYFUNCTION("""COMPUTED_VALUE"""),0.0195)</f>
        <v>0.0195</v>
      </c>
      <c r="C451" s="1" t="str">
        <f>IFERROR(__xludf.DUMMYFUNCTION("""COMPUTED_VALUE"""),"$ 1.26 million")</f>
        <v>$ 1.26 million</v>
      </c>
      <c r="D451" s="1" t="str">
        <f>IFERROR(__xludf.DUMMYFUNCTION("""COMPUTED_VALUE"""),"$ 1.26M 
$ 0.0195")</f>
        <v>$ 1.26M 
$ 0.0195</v>
      </c>
      <c r="E451" s="1"/>
      <c r="F451" s="1"/>
    </row>
    <row r="452" ht="15.75" customHeight="1">
      <c r="A452" s="1" t="str">
        <f>IFERROR(__xludf.DUMMYFUNCTION("""COMPUTED_VALUE"""),"434 SOL/BRL Binance")</f>
        <v>434 SOL/BRL Binance</v>
      </c>
      <c r="B452" s="2">
        <f>IFERROR(__xludf.DUMMYFUNCTION("""COMPUTED_VALUE"""),116.8)</f>
        <v>116.8</v>
      </c>
      <c r="C452" s="1" t="str">
        <f>IFERROR(__xludf.DUMMYFUNCTION("""COMPUTED_VALUE"""),"$ 1.25 million")</f>
        <v>$ 1.25 million</v>
      </c>
      <c r="D452" s="1" t="str">
        <f>IFERROR(__xludf.DUMMYFUNCTION("""COMPUTED_VALUE"""),"$ 1.25M 
$ 116.80")</f>
        <v>$ 1.25M 
$ 116.80</v>
      </c>
      <c r="E452" s="1"/>
      <c r="F452" s="1"/>
    </row>
    <row r="453" ht="15.75" customHeight="1">
      <c r="A453" s="1" t="str">
        <f>IFERROR(__xludf.DUMMYFUNCTION("""COMPUTED_VALUE"""),"435 WRX/USDT Binance")</f>
        <v>435 WRX/USDT Binance</v>
      </c>
      <c r="B453" s="2">
        <f>IFERROR(__xludf.DUMMYFUNCTION("""COMPUTED_VALUE"""),0.233)</f>
        <v>0.233</v>
      </c>
      <c r="C453" s="1" t="str">
        <f>IFERROR(__xludf.DUMMYFUNCTION("""COMPUTED_VALUE"""),"$ 1.24 million")</f>
        <v>$ 1.24 million</v>
      </c>
      <c r="D453" s="1" t="str">
        <f>IFERROR(__xludf.DUMMYFUNCTION("""COMPUTED_VALUE"""),"$ 1.24M 
$ 0.233")</f>
        <v>$ 1.24M 
$ 0.233</v>
      </c>
      <c r="E453" s="1"/>
      <c r="F453" s="1"/>
    </row>
    <row r="454" ht="15.75" customHeight="1">
      <c r="A454" s="1" t="str">
        <f>IFERROR(__xludf.DUMMYFUNCTION("""COMPUTED_VALUE"""),"436 USDT/NGN Binance")</f>
        <v>436 USDT/NGN Binance</v>
      </c>
      <c r="B454" s="2">
        <f>IFERROR(__xludf.DUMMYFUNCTION("""COMPUTED_VALUE"""),1.05)</f>
        <v>1.05</v>
      </c>
      <c r="C454" s="1" t="str">
        <f>IFERROR(__xludf.DUMMYFUNCTION("""COMPUTED_VALUE"""),"$ 1.24 million")</f>
        <v>$ 1.24 million</v>
      </c>
      <c r="D454" s="1" t="str">
        <f>IFERROR(__xludf.DUMMYFUNCTION("""COMPUTED_VALUE"""),"$ 1.24M 
$ 1.05")</f>
        <v>$ 1.24M 
$ 1.05</v>
      </c>
      <c r="E454" s="1"/>
      <c r="F454" s="1"/>
    </row>
    <row r="455" ht="15.75" customHeight="1">
      <c r="A455" s="1" t="str">
        <f>IFERROR(__xludf.DUMMYFUNCTION("""COMPUTED_VALUE"""),"437 RPL/USDT Binance")</f>
        <v>437 RPL/USDT Binance</v>
      </c>
      <c r="B455" s="2">
        <f>IFERROR(__xludf.DUMMYFUNCTION("""COMPUTED_VALUE"""),32.28)</f>
        <v>32.28</v>
      </c>
      <c r="C455" s="1" t="str">
        <f>IFERROR(__xludf.DUMMYFUNCTION("""COMPUTED_VALUE"""),"$ 1.22 million")</f>
        <v>$ 1.22 million</v>
      </c>
      <c r="D455" s="1" t="str">
        <f>IFERROR(__xludf.DUMMYFUNCTION("""COMPUTED_VALUE"""),"$ 1.22M 
$ 32.28")</f>
        <v>$ 1.22M 
$ 32.28</v>
      </c>
      <c r="E455" s="1"/>
      <c r="F455" s="1"/>
    </row>
    <row r="456" ht="15.75" customHeight="1">
      <c r="A456" s="1" t="str">
        <f>IFERROR(__xludf.DUMMYFUNCTION("""COMPUTED_VALUE"""),"438 VET/BNB Binance")</f>
        <v>438 VET/BNB Binance</v>
      </c>
      <c r="B456" s="2">
        <f>IFERROR(__xludf.DUMMYFUNCTION("""COMPUTED_VALUE"""),0.046)</f>
        <v>0.046</v>
      </c>
      <c r="C456" s="1" t="str">
        <f>IFERROR(__xludf.DUMMYFUNCTION("""COMPUTED_VALUE"""),"$ 1.22 million")</f>
        <v>$ 1.22 million</v>
      </c>
      <c r="D456" s="1" t="str">
        <f>IFERROR(__xludf.DUMMYFUNCTION("""COMPUTED_VALUE"""),"$ 1.22M 
$ 0.0460")</f>
        <v>$ 1.22M 
$ 0.0460</v>
      </c>
      <c r="E456" s="1"/>
      <c r="F456" s="1"/>
    </row>
    <row r="457" ht="15.75" customHeight="1">
      <c r="A457" s="1" t="str">
        <f>IFERROR(__xludf.DUMMYFUNCTION("""COMPUTED_VALUE"""),"439 SFP/USDT Binance")</f>
        <v>439 SFP/USDT Binance</v>
      </c>
      <c r="B457" s="2">
        <f>IFERROR(__xludf.DUMMYFUNCTION("""COMPUTED_VALUE"""),0.767)</f>
        <v>0.767</v>
      </c>
      <c r="C457" s="1" t="str">
        <f>IFERROR(__xludf.DUMMYFUNCTION("""COMPUTED_VALUE"""),"$ 1.18 million")</f>
        <v>$ 1.18 million</v>
      </c>
      <c r="D457" s="1" t="str">
        <f>IFERROR(__xludf.DUMMYFUNCTION("""COMPUTED_VALUE"""),"$ 1.18M 
$ 0.767")</f>
        <v>$ 1.18M 
$ 0.767</v>
      </c>
      <c r="E457" s="1"/>
      <c r="F457" s="1"/>
    </row>
    <row r="458" ht="15.75" customHeight="1">
      <c r="A458" s="1" t="str">
        <f>IFERROR(__xludf.DUMMYFUNCTION("""COMPUTED_VALUE"""),"440 FET/TRY Binance")</f>
        <v>440 FET/TRY Binance</v>
      </c>
      <c r="B458" s="2">
        <f>IFERROR(__xludf.DUMMYFUNCTION("""COMPUTED_VALUE"""),0.671)</f>
        <v>0.671</v>
      </c>
      <c r="C458" s="1" t="str">
        <f>IFERROR(__xludf.DUMMYFUNCTION("""COMPUTED_VALUE"""),"$ 1.18 million")</f>
        <v>$ 1.18 million</v>
      </c>
      <c r="D458" s="1" t="str">
        <f>IFERROR(__xludf.DUMMYFUNCTION("""COMPUTED_VALUE"""),"$ 1.18M 
$ 0.671")</f>
        <v>$ 1.18M 
$ 0.671</v>
      </c>
      <c r="E458" s="1"/>
      <c r="F458" s="1"/>
    </row>
    <row r="459" ht="15.75" customHeight="1">
      <c r="A459" s="1" t="str">
        <f>IFERROR(__xludf.DUMMYFUNCTION("""COMPUTED_VALUE"""),"441 ARPA/TRY Binance")</f>
        <v>441 ARPA/TRY Binance</v>
      </c>
      <c r="B459" s="2">
        <f>IFERROR(__xludf.DUMMYFUNCTION("""COMPUTED_VALUE"""),0.0646)</f>
        <v>0.0646</v>
      </c>
      <c r="C459" s="1" t="str">
        <f>IFERROR(__xludf.DUMMYFUNCTION("""COMPUTED_VALUE"""),"$ 1.18 million")</f>
        <v>$ 1.18 million</v>
      </c>
      <c r="D459" s="1" t="str">
        <f>IFERROR(__xludf.DUMMYFUNCTION("""COMPUTED_VALUE"""),"$ 1.18M 
$ 0.0646")</f>
        <v>$ 1.18M 
$ 0.0646</v>
      </c>
      <c r="E459" s="1"/>
      <c r="F459" s="1"/>
    </row>
    <row r="460" ht="15.75" customHeight="1">
      <c r="A460" s="1" t="str">
        <f>IFERROR(__xludf.DUMMYFUNCTION("""COMPUTED_VALUE"""),"442 CVX/USDT Binance")</f>
        <v>442 CVX/USDT Binance</v>
      </c>
      <c r="B460" s="2">
        <f>IFERROR(__xludf.DUMMYFUNCTION("""COMPUTED_VALUE"""),3.55)</f>
        <v>3.55</v>
      </c>
      <c r="C460" s="1" t="str">
        <f>IFERROR(__xludf.DUMMYFUNCTION("""COMPUTED_VALUE"""),"$ 1.17 million")</f>
        <v>$ 1.17 million</v>
      </c>
      <c r="D460" s="1" t="str">
        <f>IFERROR(__xludf.DUMMYFUNCTION("""COMPUTED_VALUE"""),"$ 1.17M 
$ 3.55")</f>
        <v>$ 1.17M 
$ 3.55</v>
      </c>
      <c r="E460" s="1"/>
      <c r="F460" s="1"/>
    </row>
    <row r="461" ht="15.75" customHeight="1">
      <c r="A461" s="1" t="str">
        <f>IFERROR(__xludf.DUMMYFUNCTION("""COMPUTED_VALUE"""),"443 COS/USDT Binance")</f>
        <v>443 COS/USDT Binance</v>
      </c>
      <c r="B461" s="2">
        <f>IFERROR(__xludf.DUMMYFUNCTION("""COMPUTED_VALUE"""),0.00653)</f>
        <v>0.00653</v>
      </c>
      <c r="C461" s="1" t="str">
        <f>IFERROR(__xludf.DUMMYFUNCTION("""COMPUTED_VALUE"""),"$ 1.17 million")</f>
        <v>$ 1.17 million</v>
      </c>
      <c r="D461" s="1" t="str">
        <f>IFERROR(__xludf.DUMMYFUNCTION("""COMPUTED_VALUE"""),"$ 1.17M 
$ 0.00653")</f>
        <v>$ 1.17M 
$ 0.00653</v>
      </c>
      <c r="E461" s="1"/>
      <c r="F461" s="1"/>
    </row>
    <row r="462" ht="15.75" customHeight="1">
      <c r="A462" s="1" t="str">
        <f>IFERROR(__xludf.DUMMYFUNCTION("""COMPUTED_VALUE"""),"444 RNDR/TRY Binance")</f>
        <v>444 RNDR/TRY Binance</v>
      </c>
      <c r="B462" s="2">
        <f>IFERROR(__xludf.DUMMYFUNCTION("""COMPUTED_VALUE"""),4.97)</f>
        <v>4.97</v>
      </c>
      <c r="C462" s="1" t="str">
        <f>IFERROR(__xludf.DUMMYFUNCTION("""COMPUTED_VALUE"""),"$ 1.16 million")</f>
        <v>$ 1.16 million</v>
      </c>
      <c r="D462" s="1" t="str">
        <f>IFERROR(__xludf.DUMMYFUNCTION("""COMPUTED_VALUE"""),"$ 1.16M 
$ 4.97")</f>
        <v>$ 1.16M 
$ 4.97</v>
      </c>
      <c r="E462" s="1"/>
      <c r="F462" s="1"/>
    </row>
    <row r="463" ht="15.75" customHeight="1">
      <c r="A463" s="1" t="str">
        <f>IFERROR(__xludf.DUMMYFUNCTION("""COMPUTED_VALUE"""),"445 CHR/BTC Binance")</f>
        <v>445 CHR/BTC Binance</v>
      </c>
      <c r="B463" s="2">
        <f>IFERROR(__xludf.DUMMYFUNCTION("""COMPUTED_VALUE"""),0.404)</f>
        <v>0.404</v>
      </c>
      <c r="C463" s="1" t="str">
        <f>IFERROR(__xludf.DUMMYFUNCTION("""COMPUTED_VALUE"""),"$ 1.14 million")</f>
        <v>$ 1.14 million</v>
      </c>
      <c r="D463" s="1" t="str">
        <f>IFERROR(__xludf.DUMMYFUNCTION("""COMPUTED_VALUE"""),"$ 1.14M 
$ 0.404")</f>
        <v>$ 1.14M 
$ 0.404</v>
      </c>
      <c r="E463" s="1"/>
      <c r="F463" s="1"/>
    </row>
    <row r="464" ht="15.75" customHeight="1">
      <c r="A464" s="1" t="str">
        <f>IFERROR(__xludf.DUMMYFUNCTION("""COMPUTED_VALUE"""),"446 MATIC/USDC Binance")</f>
        <v>446 MATIC/USDC Binance</v>
      </c>
      <c r="B464" s="2">
        <f>IFERROR(__xludf.DUMMYFUNCTION("""COMPUTED_VALUE"""),0.893)</f>
        <v>0.893</v>
      </c>
      <c r="C464" s="1" t="str">
        <f>IFERROR(__xludf.DUMMYFUNCTION("""COMPUTED_VALUE"""),"$ 1.14 million")</f>
        <v>$ 1.14 million</v>
      </c>
      <c r="D464" s="1" t="str">
        <f>IFERROR(__xludf.DUMMYFUNCTION("""COMPUTED_VALUE"""),"$ 1.14M 
$ 0.893")</f>
        <v>$ 1.14M 
$ 0.893</v>
      </c>
      <c r="E464" s="1"/>
      <c r="F464" s="1"/>
    </row>
    <row r="465" ht="15.75" customHeight="1">
      <c r="A465" s="1" t="str">
        <f>IFERROR(__xludf.DUMMYFUNCTION("""COMPUTED_VALUE"""),"447 CVC/USDT Binance")</f>
        <v>447 CVC/USDT Binance</v>
      </c>
      <c r="B465" s="2">
        <f>IFERROR(__xludf.DUMMYFUNCTION("""COMPUTED_VALUE"""),0.0997)</f>
        <v>0.0997</v>
      </c>
      <c r="C465" s="1" t="str">
        <f>IFERROR(__xludf.DUMMYFUNCTION("""COMPUTED_VALUE"""),"$ 1.14 million")</f>
        <v>$ 1.14 million</v>
      </c>
      <c r="D465" s="1" t="str">
        <f>IFERROR(__xludf.DUMMYFUNCTION("""COMPUTED_VALUE"""),"$ 1.14M 
$ 0.0997")</f>
        <v>$ 1.14M 
$ 0.0997</v>
      </c>
      <c r="E465" s="1"/>
      <c r="F465" s="1"/>
    </row>
    <row r="466" ht="15.75" customHeight="1">
      <c r="A466" s="1" t="str">
        <f>IFERROR(__xludf.DUMMYFUNCTION("""COMPUTED_VALUE"""),"448 STEEM/USDT Binance")</f>
        <v>448 STEEM/USDT Binance</v>
      </c>
      <c r="B466" s="2">
        <f>IFERROR(__xludf.DUMMYFUNCTION("""COMPUTED_VALUE"""),0.234)</f>
        <v>0.234</v>
      </c>
      <c r="C466" s="1" t="str">
        <f>IFERROR(__xludf.DUMMYFUNCTION("""COMPUTED_VALUE"""),"$ 1.14 million")</f>
        <v>$ 1.14 million</v>
      </c>
      <c r="D466" s="1" t="str">
        <f>IFERROR(__xludf.DUMMYFUNCTION("""COMPUTED_VALUE"""),"$ 1.14M 
$ 0.234")</f>
        <v>$ 1.14M 
$ 0.234</v>
      </c>
      <c r="E466" s="1"/>
      <c r="F466" s="1"/>
    </row>
    <row r="467" ht="15.75" customHeight="1">
      <c r="A467" s="1" t="str">
        <f>IFERROR(__xludf.DUMMYFUNCTION("""COMPUTED_VALUE"""),"449 VIDT/USDT Binance")</f>
        <v>449 VIDT/USDT Binance</v>
      </c>
      <c r="B467" s="2">
        <f>IFERROR(__xludf.DUMMYFUNCTION("""COMPUTED_VALUE"""),0.0338)</f>
        <v>0.0338</v>
      </c>
      <c r="C467" s="1" t="str">
        <f>IFERROR(__xludf.DUMMYFUNCTION("""COMPUTED_VALUE"""),"$ 1.12 million")</f>
        <v>$ 1.12 million</v>
      </c>
      <c r="D467" s="1" t="str">
        <f>IFERROR(__xludf.DUMMYFUNCTION("""COMPUTED_VALUE"""),"$ 1.12M 
$ 0.0338")</f>
        <v>$ 1.12M 
$ 0.0338</v>
      </c>
      <c r="E467" s="1"/>
      <c r="F467" s="1"/>
    </row>
    <row r="468" ht="15.75" customHeight="1">
      <c r="A468" s="1" t="str">
        <f>IFERROR(__xludf.DUMMYFUNCTION("""COMPUTED_VALUE"""),"450 XRP/ETH Binance")</f>
        <v>450 XRP/ETH Binance</v>
      </c>
      <c r="B468" s="2">
        <f>IFERROR(__xludf.DUMMYFUNCTION("""COMPUTED_VALUE"""),0.55)</f>
        <v>0.55</v>
      </c>
      <c r="C468" s="1" t="str">
        <f>IFERROR(__xludf.DUMMYFUNCTION("""COMPUTED_VALUE"""),"$ 1.12 million")</f>
        <v>$ 1.12 million</v>
      </c>
      <c r="D468" s="1" t="str">
        <f>IFERROR(__xludf.DUMMYFUNCTION("""COMPUTED_VALUE"""),"$ 1.12M 
$ 0.550")</f>
        <v>$ 1.12M 
$ 0.550</v>
      </c>
      <c r="E468" s="1"/>
      <c r="F468" s="1"/>
    </row>
    <row r="469" ht="15.75" customHeight="1">
      <c r="A469" s="5" t="str">
        <f>IFERROR(__xludf.DUMMYFUNCTION("IMPORTHTML(""https://coinranking.com/exchange/-zdvbieRdZ+binance/markets?tenable.test=anything&amp;sortby=desc&amp;sorton&amp;page=10"", ""table"", 1)"),"Markets")</f>
        <v>Markets</v>
      </c>
      <c r="B469" s="1" t="str">
        <f>IFERROR(__xludf.DUMMYFUNCTION("""COMPUTED_VALUE"""),"Base price")</f>
        <v>Base price</v>
      </c>
      <c r="C469" s="1" t="str">
        <f>IFERROR(__xludf.DUMMYFUNCTION("""COMPUTED_VALUE"""),"24h trade volume")</f>
        <v>24h trade volume</v>
      </c>
      <c r="D469" s="1" t="str">
        <f>IFERROR(__xludf.DUMMYFUNCTION("""COMPUTED_VALUE"""),"24h volume")</f>
        <v>24h volume</v>
      </c>
      <c r="E469" s="1" t="str">
        <f>IFERROR(__xludf.DUMMYFUNCTION("""COMPUTED_VALUE"""),"Recommended")</f>
        <v>Recommended</v>
      </c>
      <c r="F469" s="1"/>
    </row>
    <row r="470" ht="15.75" customHeight="1">
      <c r="A470" s="1" t="str">
        <f>IFERROR(__xludf.DUMMYFUNCTION("""COMPUTED_VALUE"""),"451 AVA/USDT Binance")</f>
        <v>451 AVA/USDT Binance</v>
      </c>
      <c r="B470" s="2">
        <f>IFERROR(__xludf.DUMMYFUNCTION("""COMPUTED_VALUE"""),0.582)</f>
        <v>0.582</v>
      </c>
      <c r="C470" s="1" t="str">
        <f>IFERROR(__xludf.DUMMYFUNCTION("""COMPUTED_VALUE"""),"$ 1.11 million")</f>
        <v>$ 1.11 million</v>
      </c>
      <c r="D470" s="1" t="str">
        <f>IFERROR(__xludf.DUMMYFUNCTION("""COMPUTED_VALUE"""),"$ 1.11M 
$ 0.582")</f>
        <v>$ 1.11M 
$ 0.582</v>
      </c>
      <c r="E470" s="1"/>
      <c r="F470" s="1"/>
    </row>
    <row r="471" ht="15.75" customHeight="1">
      <c r="A471" s="1" t="str">
        <f>IFERROR(__xludf.DUMMYFUNCTION("""COMPUTED_VALUE"""),"452 DCR/USDT Binance")</f>
        <v>452 DCR/USDT Binance</v>
      </c>
      <c r="B471" s="2">
        <f>IFERROR(__xludf.DUMMYFUNCTION("""COMPUTED_VALUE"""),17.05)</f>
        <v>17.05</v>
      </c>
      <c r="C471" s="1" t="str">
        <f>IFERROR(__xludf.DUMMYFUNCTION("""COMPUTED_VALUE"""),"$ 1.11 million")</f>
        <v>$ 1.11 million</v>
      </c>
      <c r="D471" s="1" t="str">
        <f>IFERROR(__xludf.DUMMYFUNCTION("""COMPUTED_VALUE"""),"$ 1.11M 
$ 17.05")</f>
        <v>$ 1.11M 
$ 17.05</v>
      </c>
      <c r="E471" s="1"/>
      <c r="F471" s="1"/>
    </row>
    <row r="472" ht="15.75" customHeight="1">
      <c r="A472" s="1" t="str">
        <f>IFERROR(__xludf.DUMMYFUNCTION("""COMPUTED_VALUE"""),"453 ANT/USDT Binance")</f>
        <v>453 ANT/USDT Binance</v>
      </c>
      <c r="B472" s="2">
        <f>IFERROR(__xludf.DUMMYFUNCTION("""COMPUTED_VALUE"""),7.08)</f>
        <v>7.08</v>
      </c>
      <c r="C472" s="1" t="str">
        <f>IFERROR(__xludf.DUMMYFUNCTION("""COMPUTED_VALUE"""),"$ 1.11 million")</f>
        <v>$ 1.11 million</v>
      </c>
      <c r="D472" s="1" t="str">
        <f>IFERROR(__xludf.DUMMYFUNCTION("""COMPUTED_VALUE"""),"$ 1.11M 
$ 7.08")</f>
        <v>$ 1.11M 
$ 7.08</v>
      </c>
      <c r="E472" s="1"/>
      <c r="F472" s="1"/>
    </row>
    <row r="473" ht="15.75" customHeight="1">
      <c r="A473" s="1" t="str">
        <f>IFERROR(__xludf.DUMMYFUNCTION("""COMPUTED_VALUE"""),"454 CTK/USDT Binance")</f>
        <v>454 CTK/USDT Binance</v>
      </c>
      <c r="B473" s="2">
        <f>IFERROR(__xludf.DUMMYFUNCTION("""COMPUTED_VALUE"""),0.735)</f>
        <v>0.735</v>
      </c>
      <c r="C473" s="1" t="str">
        <f>IFERROR(__xludf.DUMMYFUNCTION("""COMPUTED_VALUE"""),"$ 1.10 million")</f>
        <v>$ 1.10 million</v>
      </c>
      <c r="D473" s="1" t="str">
        <f>IFERROR(__xludf.DUMMYFUNCTION("""COMPUTED_VALUE"""),"$ 1.10M 
$ 0.735")</f>
        <v>$ 1.10M 
$ 0.735</v>
      </c>
      <c r="E473" s="1"/>
      <c r="F473" s="1"/>
    </row>
    <row r="474" ht="15.75" customHeight="1">
      <c r="A474" s="1" t="str">
        <f>IFERROR(__xludf.DUMMYFUNCTION("""COMPUTED_VALUE"""),"455 LAZIO/USDT Binance")</f>
        <v>455 LAZIO/USDT Binance</v>
      </c>
      <c r="B474" s="2">
        <f>IFERROR(__xludf.DUMMYFUNCTION("""COMPUTED_VALUE"""),2.56)</f>
        <v>2.56</v>
      </c>
      <c r="C474" s="1" t="str">
        <f>IFERROR(__xludf.DUMMYFUNCTION("""COMPUTED_VALUE"""),"$ 1.10 million")</f>
        <v>$ 1.10 million</v>
      </c>
      <c r="D474" s="1" t="str">
        <f>IFERROR(__xludf.DUMMYFUNCTION("""COMPUTED_VALUE"""),"$ 1.10M 
$ 2.56")</f>
        <v>$ 1.10M 
$ 2.56</v>
      </c>
      <c r="E474" s="1"/>
      <c r="F474" s="1"/>
    </row>
    <row r="475" ht="15.75" customHeight="1">
      <c r="A475" s="1" t="str">
        <f>IFERROR(__xludf.DUMMYFUNCTION("""COMPUTED_VALUE"""),"456 FUN/USDT Binance")</f>
        <v>456 FUN/USDT Binance</v>
      </c>
      <c r="B475" s="2">
        <f>IFERROR(__xludf.DUMMYFUNCTION("""COMPUTED_VALUE"""),0.00568)</f>
        <v>0.00568</v>
      </c>
      <c r="C475" s="1" t="str">
        <f>IFERROR(__xludf.DUMMYFUNCTION("""COMPUTED_VALUE"""),"$ 1.09 million")</f>
        <v>$ 1.09 million</v>
      </c>
      <c r="D475" s="1" t="str">
        <f>IFERROR(__xludf.DUMMYFUNCTION("""COMPUTED_VALUE"""),"$ 1.09M 
$ 0.00568")</f>
        <v>$ 1.09M 
$ 0.00568</v>
      </c>
      <c r="E475" s="1"/>
      <c r="F475" s="1"/>
    </row>
    <row r="476" ht="15.75" customHeight="1">
      <c r="A476" s="1" t="str">
        <f>IFERROR(__xludf.DUMMYFUNCTION("""COMPUTED_VALUE"""),"457 SANTOS/TRY Binance")</f>
        <v>457 SANTOS/TRY Binance</v>
      </c>
      <c r="B476" s="2">
        <f>IFERROR(__xludf.DUMMYFUNCTION("""COMPUTED_VALUE"""),4.57)</f>
        <v>4.57</v>
      </c>
      <c r="C476" s="1" t="str">
        <f>IFERROR(__xludf.DUMMYFUNCTION("""COMPUTED_VALUE"""),"$ 1.08 million")</f>
        <v>$ 1.08 million</v>
      </c>
      <c r="D476" s="1" t="str">
        <f>IFERROR(__xludf.DUMMYFUNCTION("""COMPUTED_VALUE"""),"$ 1.08M 
$ 4.57")</f>
        <v>$ 1.08M 
$ 4.57</v>
      </c>
      <c r="E476" s="1"/>
      <c r="F476" s="1"/>
    </row>
    <row r="477" ht="15.75" customHeight="1">
      <c r="A477" s="1" t="str">
        <f>IFERROR(__xludf.DUMMYFUNCTION("""COMPUTED_VALUE"""),"458 VGX/USDT Binance")</f>
        <v>458 VGX/USDT Binance</v>
      </c>
      <c r="B477" s="2">
        <f>IFERROR(__xludf.DUMMYFUNCTION("""COMPUTED_VALUE"""),0.103)</f>
        <v>0.103</v>
      </c>
      <c r="C477" s="1" t="str">
        <f>IFERROR(__xludf.DUMMYFUNCTION("""COMPUTED_VALUE"""),"$ 1.08 million")</f>
        <v>$ 1.08 million</v>
      </c>
      <c r="D477" s="1" t="str">
        <f>IFERROR(__xludf.DUMMYFUNCTION("""COMPUTED_VALUE"""),"$ 1.08M 
$ 0.103")</f>
        <v>$ 1.08M 
$ 0.103</v>
      </c>
      <c r="E477" s="1"/>
      <c r="F477" s="1"/>
    </row>
    <row r="478" ht="15.75" customHeight="1">
      <c r="A478" s="1" t="str">
        <f>IFERROR(__xludf.DUMMYFUNCTION("""COMPUTED_VALUE"""),"459 POLS/USDT Binance")</f>
        <v>459 POLS/USDT Binance</v>
      </c>
      <c r="B478" s="2">
        <f>IFERROR(__xludf.DUMMYFUNCTION("""COMPUTED_VALUE"""),0.897)</f>
        <v>0.897</v>
      </c>
      <c r="C478" s="1" t="str">
        <f>IFERROR(__xludf.DUMMYFUNCTION("""COMPUTED_VALUE"""),"$ 1.08 million")</f>
        <v>$ 1.08 million</v>
      </c>
      <c r="D478" s="1" t="str">
        <f>IFERROR(__xludf.DUMMYFUNCTION("""COMPUTED_VALUE"""),"$ 1.08M 
$ 0.897")</f>
        <v>$ 1.08M 
$ 0.897</v>
      </c>
      <c r="E478" s="1"/>
      <c r="F478" s="1"/>
    </row>
    <row r="479" ht="15.75" customHeight="1">
      <c r="A479" s="1" t="str">
        <f>IFERROR(__xludf.DUMMYFUNCTION("""COMPUTED_VALUE"""),"460 AI/FDUSD Binance")</f>
        <v>460 AI/FDUSD Binance</v>
      </c>
      <c r="B479" s="2">
        <f>IFERROR(__xludf.DUMMYFUNCTION("""COMPUTED_VALUE"""),1.58)</f>
        <v>1.58</v>
      </c>
      <c r="C479" s="1" t="str">
        <f>IFERROR(__xludf.DUMMYFUNCTION("""COMPUTED_VALUE"""),"$ 1.08 million")</f>
        <v>$ 1.08 million</v>
      </c>
      <c r="D479" s="1" t="str">
        <f>IFERROR(__xludf.DUMMYFUNCTION("""COMPUTED_VALUE"""),"$ 1.08M 
$ 1.58")</f>
        <v>$ 1.08M 
$ 1.58</v>
      </c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 t="str">
        <f>IFERROR(__xludf.DUMMYFUNCTION("""COMPUTED_VALUE"""),"461 FORTH/USDT Binance")</f>
        <v>461 FORTH/USDT Binance</v>
      </c>
      <c r="B481" s="2">
        <f>IFERROR(__xludf.DUMMYFUNCTION("""COMPUTED_VALUE"""),3.44)</f>
        <v>3.44</v>
      </c>
      <c r="C481" s="1" t="str">
        <f>IFERROR(__xludf.DUMMYFUNCTION("""COMPUTED_VALUE"""),"$ 1.07 million")</f>
        <v>$ 1.07 million</v>
      </c>
      <c r="D481" s="1" t="str">
        <f>IFERROR(__xludf.DUMMYFUNCTION("""COMPUTED_VALUE"""),"$ 1.07M 
$ 3.44")</f>
        <v>$ 1.07M 
$ 3.44</v>
      </c>
      <c r="E481" s="1"/>
      <c r="F481" s="1"/>
    </row>
    <row r="482" ht="15.75" customHeight="1">
      <c r="A482" s="1" t="str">
        <f>IFERROR(__xludf.DUMMYFUNCTION("""COMPUTED_VALUE"""),"462 XEM/USDT Binance")</f>
        <v>462 XEM/USDT Binance</v>
      </c>
      <c r="B482" s="2">
        <f>IFERROR(__xludf.DUMMYFUNCTION("""COMPUTED_VALUE"""),0.0371)</f>
        <v>0.0371</v>
      </c>
      <c r="C482" s="1" t="str">
        <f>IFERROR(__xludf.DUMMYFUNCTION("""COMPUTED_VALUE"""),"$ 1.07 million")</f>
        <v>$ 1.07 million</v>
      </c>
      <c r="D482" s="1" t="str">
        <f>IFERROR(__xludf.DUMMYFUNCTION("""COMPUTED_VALUE"""),"$ 1.07M 
$ 0.0371")</f>
        <v>$ 1.07M 
$ 0.0371</v>
      </c>
      <c r="E482" s="1"/>
      <c r="F482" s="1"/>
    </row>
    <row r="483" ht="15.75" customHeight="1">
      <c r="A483" s="1" t="str">
        <f>IFERROR(__xludf.DUMMYFUNCTION("""COMPUTED_VALUE"""),"463 SEI/USDC Binance")</f>
        <v>463 SEI/USDC Binance</v>
      </c>
      <c r="B483" s="2">
        <f>IFERROR(__xludf.DUMMYFUNCTION("""COMPUTED_VALUE"""),0.962)</f>
        <v>0.962</v>
      </c>
      <c r="C483" s="1" t="str">
        <f>IFERROR(__xludf.DUMMYFUNCTION("""COMPUTED_VALUE"""),"$ 1.07 million")</f>
        <v>$ 1.07 million</v>
      </c>
      <c r="D483" s="1" t="str">
        <f>IFERROR(__xludf.DUMMYFUNCTION("""COMPUTED_VALUE"""),"$ 1.07M 
$ 0.962")</f>
        <v>$ 1.07M 
$ 0.962</v>
      </c>
      <c r="E483" s="1"/>
      <c r="F483" s="1"/>
    </row>
    <row r="484" ht="15.75" customHeight="1">
      <c r="A484" s="1" t="str">
        <f>IFERROR(__xludf.DUMMYFUNCTION("""COMPUTED_VALUE"""),"464 GNS/USDT Binance")</f>
        <v>464 GNS/USDT Binance</v>
      </c>
      <c r="B484" s="2">
        <f>IFERROR(__xludf.DUMMYFUNCTION("""COMPUTED_VALUE"""),5.99)</f>
        <v>5.99</v>
      </c>
      <c r="C484" s="1" t="str">
        <f>IFERROR(__xludf.DUMMYFUNCTION("""COMPUTED_VALUE"""),"$ 1.06 million")</f>
        <v>$ 1.06 million</v>
      </c>
      <c r="D484" s="1" t="str">
        <f>IFERROR(__xludf.DUMMYFUNCTION("""COMPUTED_VALUE"""),"$ 1.06M 
$ 5.99")</f>
        <v>$ 1.06M 
$ 5.99</v>
      </c>
      <c r="E484" s="1"/>
      <c r="F484" s="1"/>
    </row>
    <row r="485" ht="15.75" customHeight="1">
      <c r="A485" s="1" t="str">
        <f>IFERROR(__xludf.DUMMYFUNCTION("""COMPUTED_VALUE"""),"465 NEAR/BTC Binance")</f>
        <v>465 NEAR/BTC Binance</v>
      </c>
      <c r="B485" s="2">
        <f>IFERROR(__xludf.DUMMYFUNCTION("""COMPUTED_VALUE"""),3.32)</f>
        <v>3.32</v>
      </c>
      <c r="C485" s="1" t="str">
        <f>IFERROR(__xludf.DUMMYFUNCTION("""COMPUTED_VALUE"""),"$ 1.05 million")</f>
        <v>$ 1.05 million</v>
      </c>
      <c r="D485" s="1" t="str">
        <f>IFERROR(__xludf.DUMMYFUNCTION("""COMPUTED_VALUE"""),"$ 1.05M 
$ 3.32")</f>
        <v>$ 1.05M 
$ 3.32</v>
      </c>
      <c r="E485" s="1"/>
      <c r="F485" s="1"/>
    </row>
    <row r="486" ht="15.75" customHeight="1">
      <c r="A486" s="1" t="str">
        <f>IFERROR(__xludf.DUMMYFUNCTION("""COMPUTED_VALUE"""),"466 UTK/USDT Binance")</f>
        <v>466 UTK/USDT Binance</v>
      </c>
      <c r="B486" s="2">
        <f>IFERROR(__xludf.DUMMYFUNCTION("""COMPUTED_VALUE"""),0.0839)</f>
        <v>0.0839</v>
      </c>
      <c r="C486" s="1" t="str">
        <f>IFERROR(__xludf.DUMMYFUNCTION("""COMPUTED_VALUE"""),"$ 1.04 million")</f>
        <v>$ 1.04 million</v>
      </c>
      <c r="D486" s="1" t="str">
        <f>IFERROR(__xludf.DUMMYFUNCTION("""COMPUTED_VALUE"""),"$ 1.04M 
$ 0.0839")</f>
        <v>$ 1.04M 
$ 0.0839</v>
      </c>
      <c r="E486" s="1"/>
      <c r="F486" s="1"/>
    </row>
    <row r="487" ht="15.75" customHeight="1">
      <c r="A487" s="1" t="str">
        <f>IFERROR(__xludf.DUMMYFUNCTION("""COMPUTED_VALUE"""),"467 DF/USDT Binance")</f>
        <v>467 DF/USDT Binance</v>
      </c>
      <c r="B487" s="2">
        <f>IFERROR(__xludf.DUMMYFUNCTION("""COMPUTED_VALUE"""),0.044)</f>
        <v>0.044</v>
      </c>
      <c r="C487" s="1" t="str">
        <f>IFERROR(__xludf.DUMMYFUNCTION("""COMPUTED_VALUE"""),"$ 1.04 million")</f>
        <v>$ 1.04 million</v>
      </c>
      <c r="D487" s="1" t="str">
        <f>IFERROR(__xludf.DUMMYFUNCTION("""COMPUTED_VALUE"""),"$ 1.04M 
$ 0.0440")</f>
        <v>$ 1.04M 
$ 0.0440</v>
      </c>
      <c r="E487" s="1"/>
      <c r="F487" s="1"/>
    </row>
    <row r="488" ht="15.75" customHeight="1">
      <c r="A488" s="1" t="str">
        <f>IFERROR(__xludf.DUMMYFUNCTION("""COMPUTED_VALUE"""),"468 USTC/FDUSD Binance")</f>
        <v>468 USTC/FDUSD Binance</v>
      </c>
      <c r="B488" s="2">
        <f>IFERROR(__xludf.DUMMYFUNCTION("""COMPUTED_VALUE"""),0.0328)</f>
        <v>0.0328</v>
      </c>
      <c r="C488" s="1" t="str">
        <f>IFERROR(__xludf.DUMMYFUNCTION("""COMPUTED_VALUE"""),"$ 1.03 million")</f>
        <v>$ 1.03 million</v>
      </c>
      <c r="D488" s="1" t="str">
        <f>IFERROR(__xludf.DUMMYFUNCTION("""COMPUTED_VALUE"""),"$ 1.03M 
$ 0.0328")</f>
        <v>$ 1.03M 
$ 0.0328</v>
      </c>
      <c r="E488" s="1"/>
      <c r="F488" s="1"/>
    </row>
    <row r="489" ht="15.75" customHeight="1">
      <c r="A489" s="1" t="str">
        <f>IFERROR(__xludf.DUMMYFUNCTION("""COMPUTED_VALUE"""),"469 XAI/FDUSD Binance")</f>
        <v>469 XAI/FDUSD Binance</v>
      </c>
      <c r="B489" s="2">
        <f>IFERROR(__xludf.DUMMYFUNCTION("""COMPUTED_VALUE"""),1.05)</f>
        <v>1.05</v>
      </c>
      <c r="C489" s="1" t="str">
        <f>IFERROR(__xludf.DUMMYFUNCTION("""COMPUTED_VALUE"""),"$ 1.03 million")</f>
        <v>$ 1.03 million</v>
      </c>
      <c r="D489" s="1" t="str">
        <f>IFERROR(__xludf.DUMMYFUNCTION("""COMPUTED_VALUE"""),"$ 1.03M 
$ 1.05")</f>
        <v>$ 1.03M 
$ 1.05</v>
      </c>
      <c r="E489" s="1"/>
      <c r="F489" s="1"/>
    </row>
    <row r="490" ht="15.75" customHeight="1">
      <c r="A490" s="1" t="str">
        <f>IFERROR(__xludf.DUMMYFUNCTION("""COMPUTED_VALUE"""),"470 PSG/USDT Binance")</f>
        <v>470 PSG/USDT Binance</v>
      </c>
      <c r="B490" s="2">
        <f>IFERROR(__xludf.DUMMYFUNCTION("""COMPUTED_VALUE"""),3.42)</f>
        <v>3.42</v>
      </c>
      <c r="C490" s="2" t="str">
        <f>IFERROR(__xludf.DUMMYFUNCTION("""COMPUTED_VALUE"""),"$ 1.01 million")</f>
        <v>$ 1.01 million</v>
      </c>
      <c r="D490" s="1" t="str">
        <f>IFERROR(__xludf.DUMMYFUNCTION("""COMPUTED_VALUE"""),"$ 1.01M 
$ 3.42")</f>
        <v>$ 1.01M 
$ 3.42</v>
      </c>
      <c r="E490" s="1"/>
      <c r="F490" s="1"/>
    </row>
    <row r="491" ht="15.75" customHeight="1">
      <c r="A491" s="1" t="str">
        <f>IFERROR(__xludf.DUMMYFUNCTION("""COMPUTED_VALUE"""),"471 DENT/TRY Binance")</f>
        <v>471 DENT/TRY Binance</v>
      </c>
      <c r="B491" s="2">
        <f>IFERROR(__xludf.DUMMYFUNCTION("""COMPUTED_VALUE"""),0.00126)</f>
        <v>0.00126</v>
      </c>
      <c r="C491" s="2" t="str">
        <f>IFERROR(__xludf.DUMMYFUNCTION("""COMPUTED_VALUE"""),"$ 1.01 million")</f>
        <v>$ 1.01 million</v>
      </c>
      <c r="D491" s="1" t="str">
        <f>IFERROR(__xludf.DUMMYFUNCTION("""COMPUTED_VALUE"""),"$ 1.01M 
$ 0.00126")</f>
        <v>$ 1.01M 
$ 0.00126</v>
      </c>
      <c r="E491" s="1"/>
      <c r="F491" s="1"/>
    </row>
    <row r="492" ht="15.75" customHeight="1">
      <c r="A492" s="1" t="str">
        <f>IFERROR(__xludf.DUMMYFUNCTION("""COMPUTED_VALUE"""),"472 GHST/USDT Binance")</f>
        <v>472 GHST/USDT Binance</v>
      </c>
      <c r="B492" s="2">
        <f>IFERROR(__xludf.DUMMYFUNCTION("""COMPUTED_VALUE"""),1.03)</f>
        <v>1.03</v>
      </c>
      <c r="C492" s="2" t="str">
        <f>IFERROR(__xludf.DUMMYFUNCTION("""COMPUTED_VALUE"""),"$ 1.01 million")</f>
        <v>$ 1.01 million</v>
      </c>
      <c r="D492" s="1" t="str">
        <f>IFERROR(__xludf.DUMMYFUNCTION("""COMPUTED_VALUE"""),"$ 1.01M 
$ 1.03")</f>
        <v>$ 1.01M 
$ 1.03</v>
      </c>
      <c r="E492" s="1"/>
      <c r="F492" s="1"/>
    </row>
    <row r="493" ht="15.75" customHeight="1">
      <c r="A493" s="1" t="str">
        <f>IFERROR(__xludf.DUMMYFUNCTION("""COMPUTED_VALUE"""),"473 ALPACA/USDT Binance")</f>
        <v>473 ALPACA/USDT Binance</v>
      </c>
      <c r="B493" s="2">
        <f>IFERROR(__xludf.DUMMYFUNCTION("""COMPUTED_VALUE"""),0.186)</f>
        <v>0.186</v>
      </c>
      <c r="C493" s="2" t="str">
        <f>IFERROR(__xludf.DUMMYFUNCTION("""COMPUTED_VALUE"""),"$ 1 million")</f>
        <v>$ 1 million</v>
      </c>
      <c r="D493" s="1" t="str">
        <f>IFERROR(__xludf.DUMMYFUNCTION("""COMPUTED_VALUE"""),"$ 1M 
$ 0.186")</f>
        <v>$ 1M 
$ 0.186</v>
      </c>
      <c r="E493" s="1"/>
      <c r="F493" s="1"/>
    </row>
    <row r="494" ht="15.75" customHeight="1">
      <c r="A494" s="1" t="str">
        <f>IFERROR(__xludf.DUMMYFUNCTION("""COMPUTED_VALUE"""),"474 CHESS/USDT Binance")</f>
        <v>474 CHESS/USDT Binance</v>
      </c>
      <c r="B494" s="2">
        <f>IFERROR(__xludf.DUMMYFUNCTION("""COMPUTED_VALUE"""),0.203)</f>
        <v>0.203</v>
      </c>
      <c r="C494" s="2" t="str">
        <f>IFERROR(__xludf.DUMMYFUNCTION("""COMPUTED_VALUE"""),"$ 1 million")</f>
        <v>$ 1 million</v>
      </c>
      <c r="D494" s="1" t="str">
        <f>IFERROR(__xludf.DUMMYFUNCTION("""COMPUTED_VALUE"""),"$ 1M 
$ 0.203")</f>
        <v>$ 1M 
$ 0.203</v>
      </c>
      <c r="E494" s="1"/>
      <c r="F494" s="1"/>
    </row>
    <row r="495" ht="15.75" customHeight="1">
      <c r="A495" s="1" t="str">
        <f>IFERROR(__xludf.DUMMYFUNCTION("""COMPUTED_VALUE"""),"475 ID/TRY Binance")</f>
        <v>475 ID/TRY Binance</v>
      </c>
      <c r="B495" s="2">
        <f>IFERROR(__xludf.DUMMYFUNCTION("""COMPUTED_VALUE"""),0.597)</f>
        <v>0.597</v>
      </c>
      <c r="C495" s="2">
        <f>IFERROR(__xludf.DUMMYFUNCTION("""COMPUTED_VALUE"""),996292.85)</f>
        <v>996292.85</v>
      </c>
      <c r="D495" s="1" t="str">
        <f>IFERROR(__xludf.DUMMYFUNCTION("""COMPUTED_VALUE"""),"$ 996,292.85 
$ 0.597")</f>
        <v>$ 996,292.85 
$ 0.597</v>
      </c>
      <c r="E495" s="1"/>
      <c r="F495" s="1"/>
    </row>
    <row r="496" ht="15.75" customHeight="1">
      <c r="A496" s="1" t="str">
        <f>IFERROR(__xludf.DUMMYFUNCTION("""COMPUTED_VALUE"""),"476 BONK/FDUSD Binance")</f>
        <v>476 BONK/FDUSD Binance</v>
      </c>
      <c r="B496" s="2">
        <f>IFERROR(__xludf.DUMMYFUNCTION("""COMPUTED_VALUE"""),1.4E-5)</f>
        <v>0.000014</v>
      </c>
      <c r="C496" s="2">
        <f>IFERROR(__xludf.DUMMYFUNCTION("""COMPUTED_VALUE"""),981582.15)</f>
        <v>981582.15</v>
      </c>
      <c r="D496" s="1" t="str">
        <f>IFERROR(__xludf.DUMMYFUNCTION("""COMPUTED_VALUE"""),"$ 981,582.15 
$ 0.0000140")</f>
        <v>$ 981,582.15 
$ 0.0000140</v>
      </c>
      <c r="E496" s="1"/>
      <c r="F496" s="1"/>
    </row>
    <row r="497" ht="15.75" customHeight="1">
      <c r="A497" s="1" t="str">
        <f>IFERROR(__xludf.DUMMYFUNCTION("""COMPUTED_VALUE"""),"477 DOT/USDC Binance")</f>
        <v>477 DOT/USDC Binance</v>
      </c>
      <c r="B497" s="2">
        <f>IFERROR(__xludf.DUMMYFUNCTION("""COMPUTED_VALUE"""),7.9)</f>
        <v>7.9</v>
      </c>
      <c r="C497" s="2">
        <f>IFERROR(__xludf.DUMMYFUNCTION("""COMPUTED_VALUE"""),970928.58)</f>
        <v>970928.58</v>
      </c>
      <c r="D497" s="1" t="str">
        <f>IFERROR(__xludf.DUMMYFUNCTION("""COMPUTED_VALUE"""),"$ 970,928.58 
$ 7.90")</f>
        <v>$ 970,928.58 
$ 7.90</v>
      </c>
      <c r="E497" s="1"/>
      <c r="F497" s="1"/>
    </row>
    <row r="498" ht="15.75" customHeight="1">
      <c r="A498" s="1" t="str">
        <f>IFERROR(__xludf.DUMMYFUNCTION("""COMPUTED_VALUE"""),"478 OP/BTC Binance")</f>
        <v>478 OP/BTC Binance</v>
      </c>
      <c r="B498" s="2">
        <f>IFERROR(__xludf.DUMMYFUNCTION("""COMPUTED_VALUE"""),3.84)</f>
        <v>3.84</v>
      </c>
      <c r="C498" s="2">
        <f>IFERROR(__xludf.DUMMYFUNCTION("""COMPUTED_VALUE"""),970264.32)</f>
        <v>970264.32</v>
      </c>
      <c r="D498" s="1" t="str">
        <f>IFERROR(__xludf.DUMMYFUNCTION("""COMPUTED_VALUE"""),"$ 970,264.32 
$ 3.84")</f>
        <v>$ 970,264.32 
$ 3.84</v>
      </c>
      <c r="E498" s="1"/>
      <c r="F498" s="1"/>
    </row>
    <row r="499" ht="15.75" customHeight="1">
      <c r="A499" s="1" t="str">
        <f>IFERROR(__xludf.DUMMYFUNCTION("""COMPUTED_VALUE"""),"479 UFT/USDT Binance")</f>
        <v>479 UFT/USDT Binance</v>
      </c>
      <c r="B499" s="2">
        <f>IFERROR(__xludf.DUMMYFUNCTION("""COMPUTED_VALUE"""),0.423)</f>
        <v>0.423</v>
      </c>
      <c r="C499" s="2">
        <f>IFERROR(__xludf.DUMMYFUNCTION("""COMPUTED_VALUE"""),966880.71)</f>
        <v>966880.71</v>
      </c>
      <c r="D499" s="1" t="str">
        <f>IFERROR(__xludf.DUMMYFUNCTION("""COMPUTED_VALUE"""),"$ 966,880.71 
$ 0.423")</f>
        <v>$ 966,880.71 
$ 0.423</v>
      </c>
      <c r="E499" s="1"/>
      <c r="F499" s="1"/>
    </row>
    <row r="500" ht="15.75" customHeight="1">
      <c r="A500" s="1" t="str">
        <f>IFERROR(__xludf.DUMMYFUNCTION("""COMPUTED_VALUE"""),"480 ACE/BTC Binance")</f>
        <v>480 ACE/BTC Binance</v>
      </c>
      <c r="B500" s="2">
        <f>IFERROR(__xludf.DUMMYFUNCTION("""COMPUTED_VALUE"""),10.59)</f>
        <v>10.59</v>
      </c>
      <c r="C500" s="2">
        <f>IFERROR(__xludf.DUMMYFUNCTION("""COMPUTED_VALUE"""),963928.87)</f>
        <v>963928.87</v>
      </c>
      <c r="D500" s="1" t="str">
        <f>IFERROR(__xludf.DUMMYFUNCTION("""COMPUTED_VALUE"""),"$ 963,928.87 
$ 10.59")</f>
        <v>$ 963,928.87 
$ 10.59</v>
      </c>
      <c r="E500" s="1"/>
      <c r="F500" s="1"/>
    </row>
    <row r="501" ht="15.75" customHeight="1">
      <c r="A501" s="1" t="str">
        <f>IFERROR(__xludf.DUMMYFUNCTION("""COMPUTED_VALUE"""),"481 ALPINE/USDT Binance")</f>
        <v>481 ALPINE/USDT Binance</v>
      </c>
      <c r="B501" s="2">
        <f>IFERROR(__xludf.DUMMYFUNCTION("""COMPUTED_VALUE"""),2.11)</f>
        <v>2.11</v>
      </c>
      <c r="C501" s="2">
        <f>IFERROR(__xludf.DUMMYFUNCTION("""COMPUTED_VALUE"""),961713.45)</f>
        <v>961713.45</v>
      </c>
      <c r="D501" s="1" t="str">
        <f>IFERROR(__xludf.DUMMYFUNCTION("""COMPUTED_VALUE"""),"$ 961,713.45 
$ 2.11")</f>
        <v>$ 961,713.45 
$ 2.11</v>
      </c>
      <c r="E501" s="1"/>
      <c r="F501" s="1"/>
    </row>
    <row r="502" ht="15.75" customHeight="1">
      <c r="A502" s="1" t="str">
        <f>IFERROR(__xludf.DUMMYFUNCTION("""COMPUTED_VALUE"""),"482 ADX/USDT Binance")</f>
        <v>482 ADX/USDT Binance</v>
      </c>
      <c r="B502" s="2">
        <f>IFERROR(__xludf.DUMMYFUNCTION("""COMPUTED_VALUE"""),0.194)</f>
        <v>0.194</v>
      </c>
      <c r="C502" s="2">
        <f>IFERROR(__xludf.DUMMYFUNCTION("""COMPUTED_VALUE"""),942177.91)</f>
        <v>942177.91</v>
      </c>
      <c r="D502" s="1" t="str">
        <f>IFERROR(__xludf.DUMMYFUNCTION("""COMPUTED_VALUE"""),"$ 942,177.91 
$ 0.194")</f>
        <v>$ 942,177.91 
$ 0.194</v>
      </c>
      <c r="E502" s="1"/>
      <c r="F502" s="1"/>
    </row>
    <row r="503" ht="15.75" customHeight="1">
      <c r="A503" s="1" t="str">
        <f>IFERROR(__xludf.DUMMYFUNCTION("""COMPUTED_VALUE"""),"483 BETA/USDT Binance")</f>
        <v>483 BETA/USDT Binance</v>
      </c>
      <c r="B503" s="2">
        <f>IFERROR(__xludf.DUMMYFUNCTION("""COMPUTED_VALUE"""),0.0726)</f>
        <v>0.0726</v>
      </c>
      <c r="C503" s="2">
        <f>IFERROR(__xludf.DUMMYFUNCTION("""COMPUTED_VALUE"""),941979.02)</f>
        <v>941979.02</v>
      </c>
      <c r="D503" s="1" t="str">
        <f>IFERROR(__xludf.DUMMYFUNCTION("""COMPUTED_VALUE"""),"$ 941,979.02 
$ 0.0726")</f>
        <v>$ 941,979.02 
$ 0.0726</v>
      </c>
      <c r="E503" s="1"/>
      <c r="F503" s="1"/>
    </row>
    <row r="504" ht="15.75" customHeight="1">
      <c r="A504" s="1" t="str">
        <f>IFERROR(__xludf.DUMMYFUNCTION("""COMPUTED_VALUE"""),"484 HIVE/USDT Binance")</f>
        <v>484 HIVE/USDT Binance</v>
      </c>
      <c r="B504" s="2">
        <f>IFERROR(__xludf.DUMMYFUNCTION("""COMPUTED_VALUE"""),0.322)</f>
        <v>0.322</v>
      </c>
      <c r="C504" s="2">
        <f>IFERROR(__xludf.DUMMYFUNCTION("""COMPUTED_VALUE"""),938377.18)</f>
        <v>938377.18</v>
      </c>
      <c r="D504" s="1" t="str">
        <f>IFERROR(__xludf.DUMMYFUNCTION("""COMPUTED_VALUE"""),"$ 938,377.18 
$ 0.322")</f>
        <v>$ 938,377.18 
$ 0.322</v>
      </c>
      <c r="E504" s="1"/>
      <c r="F504" s="1"/>
    </row>
    <row r="505" ht="15.75" customHeight="1">
      <c r="A505" s="1" t="str">
        <f>IFERROR(__xludf.DUMMYFUNCTION("""COMPUTED_VALUE"""),"485 AST/USDT Binance")</f>
        <v>485 AST/USDT Binance</v>
      </c>
      <c r="B505" s="2">
        <f>IFERROR(__xludf.DUMMYFUNCTION("""COMPUTED_VALUE"""),0.112)</f>
        <v>0.112</v>
      </c>
      <c r="C505" s="2">
        <f>IFERROR(__xludf.DUMMYFUNCTION("""COMPUTED_VALUE"""),923120.67)</f>
        <v>923120.67</v>
      </c>
      <c r="D505" s="1" t="str">
        <f>IFERROR(__xludf.DUMMYFUNCTION("""COMPUTED_VALUE"""),"$ 923,120.67 
$ 0.112")</f>
        <v>$ 923,120.67 
$ 0.112</v>
      </c>
      <c r="E505" s="1"/>
      <c r="F505" s="1"/>
    </row>
    <row r="506" ht="15.75" customHeight="1">
      <c r="A506" s="1" t="str">
        <f>IFERROR(__xludf.DUMMYFUNCTION("""COMPUTED_VALUE"""),"486 IMX/BTC Binance")</f>
        <v>486 IMX/BTC Binance</v>
      </c>
      <c r="B506" s="2">
        <f>IFERROR(__xludf.DUMMYFUNCTION("""COMPUTED_VALUE"""),3.17)</f>
        <v>3.17</v>
      </c>
      <c r="C506" s="2">
        <f>IFERROR(__xludf.DUMMYFUNCTION("""COMPUTED_VALUE"""),920260.74)</f>
        <v>920260.74</v>
      </c>
      <c r="D506" s="1" t="str">
        <f>IFERROR(__xludf.DUMMYFUNCTION("""COMPUTED_VALUE"""),"$ 920,260.74 
$ 3.17")</f>
        <v>$ 920,260.74 
$ 3.17</v>
      </c>
      <c r="E506" s="1"/>
      <c r="F506" s="1"/>
    </row>
    <row r="507" ht="15.75" customHeight="1">
      <c r="A507" s="1" t="str">
        <f>IFERROR(__xludf.DUMMYFUNCTION("""COMPUTED_VALUE"""),"487 REEF/TRY Binance")</f>
        <v>487 REEF/TRY Binance</v>
      </c>
      <c r="B507" s="2">
        <f>IFERROR(__xludf.DUMMYFUNCTION("""COMPUTED_VALUE"""),0.00172)</f>
        <v>0.00172</v>
      </c>
      <c r="C507" s="2">
        <f>IFERROR(__xludf.DUMMYFUNCTION("""COMPUTED_VALUE"""),917998.87)</f>
        <v>917998.87</v>
      </c>
      <c r="D507" s="1" t="str">
        <f>IFERROR(__xludf.DUMMYFUNCTION("""COMPUTED_VALUE"""),"$ 917,998.87 
$ 0.00172")</f>
        <v>$ 917,998.87 
$ 0.00172</v>
      </c>
      <c r="E507" s="1"/>
      <c r="F507" s="1"/>
    </row>
    <row r="508" ht="15.75" customHeight="1">
      <c r="A508" s="1" t="str">
        <f>IFERROR(__xludf.DUMMYFUNCTION("""COMPUTED_VALUE"""),"488 LINK/ETH Binance")</f>
        <v>488 LINK/ETH Binance</v>
      </c>
      <c r="B508" s="2">
        <f>IFERROR(__xludf.DUMMYFUNCTION("""COMPUTED_VALUE"""),20.0)</f>
        <v>20</v>
      </c>
      <c r="C508" s="2">
        <f>IFERROR(__xludf.DUMMYFUNCTION("""COMPUTED_VALUE"""),910895.38)</f>
        <v>910895.38</v>
      </c>
      <c r="D508" s="1" t="str">
        <f>IFERROR(__xludf.DUMMYFUNCTION("""COMPUTED_VALUE"""),"$ 910,895.38 
$ 20.00")</f>
        <v>$ 910,895.38 
$ 20.00</v>
      </c>
      <c r="E508" s="1"/>
      <c r="F508" s="1"/>
    </row>
    <row r="509" ht="15.75" customHeight="1">
      <c r="A509" s="1" t="str">
        <f>IFERROR(__xludf.DUMMYFUNCTION("""COMPUTED_VALUE"""),"489 FLOKI/TRY Binance")</f>
        <v>489 FLOKI/TRY Binance</v>
      </c>
      <c r="B509" s="2">
        <f>IFERROR(__xludf.DUMMYFUNCTION("""COMPUTED_VALUE"""),3.43E-5)</f>
        <v>0.0000343</v>
      </c>
      <c r="C509" s="2">
        <f>IFERROR(__xludf.DUMMYFUNCTION("""COMPUTED_VALUE"""),881999.15)</f>
        <v>881999.15</v>
      </c>
      <c r="D509" s="1" t="str">
        <f>IFERROR(__xludf.DUMMYFUNCTION("""COMPUTED_VALUE"""),"$ 881,999.15 
$ 0.0000343")</f>
        <v>$ 881,999.15 
$ 0.0000343</v>
      </c>
      <c r="E509" s="1"/>
      <c r="F509" s="1"/>
    </row>
    <row r="510" ht="15.75" customHeight="1">
      <c r="A510" s="1" t="str">
        <f>IFERROR(__xludf.DUMMYFUNCTION("""COMPUTED_VALUE"""),"490 MBOX/TRY Binance")</f>
        <v>490 MBOX/TRY Binance</v>
      </c>
      <c r="B510" s="2">
        <f>IFERROR(__xludf.DUMMYFUNCTION("""COMPUTED_VALUE"""),0.343)</f>
        <v>0.343</v>
      </c>
      <c r="C510" s="2">
        <f>IFERROR(__xludf.DUMMYFUNCTION("""COMPUTED_VALUE"""),867211.3)</f>
        <v>867211.3</v>
      </c>
      <c r="D510" s="1" t="str">
        <f>IFERROR(__xludf.DUMMYFUNCTION("""COMPUTED_VALUE"""),"$ 867,211.30 
$ 0.343")</f>
        <v>$ 867,211.30 
$ 0.343</v>
      </c>
      <c r="E510" s="1"/>
      <c r="F510" s="1"/>
    </row>
    <row r="511" ht="15.75" customHeight="1">
      <c r="A511" s="1" t="str">
        <f>IFERROR(__xludf.DUMMYFUNCTION("""COMPUTED_VALUE"""),"491 WLD/FDUSD Binance")</f>
        <v>491 WLD/FDUSD Binance</v>
      </c>
      <c r="B511" s="2">
        <f>IFERROR(__xludf.DUMMYFUNCTION("""COMPUTED_VALUE"""),3.22)</f>
        <v>3.22</v>
      </c>
      <c r="C511" s="2">
        <f>IFERROR(__xludf.DUMMYFUNCTION("""COMPUTED_VALUE"""),866218.62)</f>
        <v>866218.62</v>
      </c>
      <c r="D511" s="1" t="str">
        <f>IFERROR(__xludf.DUMMYFUNCTION("""COMPUTED_VALUE"""),"$ 866,218.62 
$ 3.22")</f>
        <v>$ 866,218.62 
$ 3.22</v>
      </c>
      <c r="E511" s="1"/>
      <c r="F511" s="1"/>
    </row>
    <row r="512" ht="15.75" customHeight="1">
      <c r="A512" s="1" t="str">
        <f>IFERROR(__xludf.DUMMYFUNCTION("""COMPUTED_VALUE"""),"492 BNB/USDC Binance")</f>
        <v>492 BNB/USDC Binance</v>
      </c>
      <c r="B512" s="2">
        <f>IFERROR(__xludf.DUMMYFUNCTION("""COMPUTED_VALUE"""),347.8)</f>
        <v>347.8</v>
      </c>
      <c r="C512" s="2">
        <f>IFERROR(__xludf.DUMMYFUNCTION("""COMPUTED_VALUE"""),865721.89)</f>
        <v>865721.89</v>
      </c>
      <c r="D512" s="1" t="str">
        <f>IFERROR(__xludf.DUMMYFUNCTION("""COMPUTED_VALUE"""),"$ 865,721.89 
$ 347.80")</f>
        <v>$ 865,721.89 
$ 347.80</v>
      </c>
      <c r="E512" s="1"/>
      <c r="F512" s="1"/>
    </row>
    <row r="513" ht="15.75" customHeight="1">
      <c r="A513" s="1" t="str">
        <f>IFERROR(__xludf.DUMMYFUNCTION("""COMPUTED_VALUE"""),"493 IRIS/USDT Binance")</f>
        <v>493 IRIS/USDT Binance</v>
      </c>
      <c r="B513" s="2">
        <f>IFERROR(__xludf.DUMMYFUNCTION("""COMPUTED_VALUE"""),0.0311)</f>
        <v>0.0311</v>
      </c>
      <c r="C513" s="2">
        <f>IFERROR(__xludf.DUMMYFUNCTION("""COMPUTED_VALUE"""),862647.99)</f>
        <v>862647.99</v>
      </c>
      <c r="D513" s="1" t="str">
        <f>IFERROR(__xludf.DUMMYFUNCTION("""COMPUTED_VALUE"""),"$ 862,647.99 
$ 0.0311")</f>
        <v>$ 862,647.99 
$ 0.0311</v>
      </c>
      <c r="E513" s="1"/>
      <c r="F513" s="1"/>
    </row>
    <row r="514" ht="15.75" customHeight="1">
      <c r="A514" s="1" t="str">
        <f>IFERROR(__xludf.DUMMYFUNCTION("""COMPUTED_VALUE"""),"494 DOCK/USDT Binance")</f>
        <v>494 DOCK/USDT Binance</v>
      </c>
      <c r="B514" s="2">
        <f>IFERROR(__xludf.DUMMYFUNCTION("""COMPUTED_VALUE"""),0.0314)</f>
        <v>0.0314</v>
      </c>
      <c r="C514" s="2">
        <f>IFERROR(__xludf.DUMMYFUNCTION("""COMPUTED_VALUE"""),860771.43)</f>
        <v>860771.43</v>
      </c>
      <c r="D514" s="1" t="str">
        <f>IFERROR(__xludf.DUMMYFUNCTION("""COMPUTED_VALUE"""),"$ 860,771.43 
$ 0.0314")</f>
        <v>$ 860,771.43 
$ 0.0314</v>
      </c>
      <c r="E514" s="1"/>
      <c r="F514" s="1"/>
    </row>
    <row r="515" ht="15.75" customHeight="1">
      <c r="A515" s="1" t="str">
        <f>IFERROR(__xludf.DUMMYFUNCTION("""COMPUTED_VALUE"""),"495 FTM/BTC Binance")</f>
        <v>495 FTM/BTC Binance</v>
      </c>
      <c r="B515" s="2">
        <f>IFERROR(__xludf.DUMMYFUNCTION("""COMPUTED_VALUE"""),0.411)</f>
        <v>0.411</v>
      </c>
      <c r="C515" s="2">
        <f>IFERROR(__xludf.DUMMYFUNCTION("""COMPUTED_VALUE"""),853466.34)</f>
        <v>853466.34</v>
      </c>
      <c r="D515" s="1" t="str">
        <f>IFERROR(__xludf.DUMMYFUNCTION("""COMPUTED_VALUE"""),"$ 853,466.34 
$ 0.411")</f>
        <v>$ 853,466.34 
$ 0.411</v>
      </c>
      <c r="E515" s="1"/>
      <c r="F515" s="1"/>
    </row>
    <row r="516" ht="15.75" customHeight="1">
      <c r="A516" s="1" t="str">
        <f>IFERROR(__xludf.DUMMYFUNCTION("""COMPUTED_VALUE"""),"496 OAX/USDT Binance")</f>
        <v>496 OAX/USDT Binance</v>
      </c>
      <c r="B516" s="2">
        <f>IFERROR(__xludf.DUMMYFUNCTION("""COMPUTED_VALUE"""),0.166)</f>
        <v>0.166</v>
      </c>
      <c r="C516" s="2">
        <f>IFERROR(__xludf.DUMMYFUNCTION("""COMPUTED_VALUE"""),849175.7)</f>
        <v>849175.7</v>
      </c>
      <c r="D516" s="1" t="str">
        <f>IFERROR(__xludf.DUMMYFUNCTION("""COMPUTED_VALUE"""),"$ 849,175.70 
$ 0.166")</f>
        <v>$ 849,175.70 
$ 0.166</v>
      </c>
      <c r="E516" s="1"/>
      <c r="F516" s="1"/>
    </row>
    <row r="517" ht="15.75" customHeight="1">
      <c r="A517" s="1" t="str">
        <f>IFERROR(__xludf.DUMMYFUNCTION("""COMPUTED_VALUE"""),"497 BCH/FDUSD Binance")</f>
        <v>497 BCH/FDUSD Binance</v>
      </c>
      <c r="B517" s="2">
        <f>IFERROR(__xludf.DUMMYFUNCTION("""COMPUTED_VALUE"""),269.7)</f>
        <v>269.7</v>
      </c>
      <c r="C517" s="2">
        <f>IFERROR(__xludf.DUMMYFUNCTION("""COMPUTED_VALUE"""),845269.78)</f>
        <v>845269.78</v>
      </c>
      <c r="D517" s="1" t="str">
        <f>IFERROR(__xludf.DUMMYFUNCTION("""COMPUTED_VALUE"""),"$ 845,269.78 
$ 269.70")</f>
        <v>$ 845,269.78 
$ 269.70</v>
      </c>
      <c r="E517" s="1"/>
      <c r="F517" s="1"/>
    </row>
    <row r="518" ht="15.75" customHeight="1">
      <c r="A518" s="1" t="str">
        <f>IFERROR(__xludf.DUMMYFUNCTION("""COMPUTED_VALUE"""),"498 LTO/USDT Binance")</f>
        <v>498 LTO/USDT Binance</v>
      </c>
      <c r="B518" s="2">
        <f>IFERROR(__xludf.DUMMYFUNCTION("""COMPUTED_VALUE"""),0.0886)</f>
        <v>0.0886</v>
      </c>
      <c r="C518" s="2">
        <f>IFERROR(__xludf.DUMMYFUNCTION("""COMPUTED_VALUE"""),845186.77)</f>
        <v>845186.77</v>
      </c>
      <c r="D518" s="1" t="str">
        <f>IFERROR(__xludf.DUMMYFUNCTION("""COMPUTED_VALUE"""),"$ 845,186.77 
$ 0.0886")</f>
        <v>$ 845,186.77 
$ 0.0886</v>
      </c>
      <c r="E518" s="1"/>
      <c r="F518" s="1"/>
    </row>
    <row r="519" ht="15.75" customHeight="1">
      <c r="A519" s="1" t="str">
        <f>IFERROR(__xludf.DUMMYFUNCTION("""COMPUTED_VALUE"""),"499 GAS/BTC Binance")</f>
        <v>499 GAS/BTC Binance</v>
      </c>
      <c r="B519" s="2">
        <f>IFERROR(__xludf.DUMMYFUNCTION("""COMPUTED_VALUE"""),6.88)</f>
        <v>6.88</v>
      </c>
      <c r="C519" s="2">
        <f>IFERROR(__xludf.DUMMYFUNCTION("""COMPUTED_VALUE"""),841756.31)</f>
        <v>841756.31</v>
      </c>
      <c r="D519" s="1" t="str">
        <f>IFERROR(__xludf.DUMMYFUNCTION("""COMPUTED_VALUE"""),"$ 841,756.31 
$ 6.88")</f>
        <v>$ 841,756.31 
$ 6.88</v>
      </c>
      <c r="E519" s="1"/>
      <c r="F519" s="1"/>
    </row>
    <row r="520" ht="15.75" customHeight="1">
      <c r="A520" s="1" t="str">
        <f>IFERROR(__xludf.DUMMYFUNCTION("""COMPUTED_VALUE"""),"500 CITY/USDT Binance")</f>
        <v>500 CITY/USDT Binance</v>
      </c>
      <c r="B520" s="2">
        <f>IFERROR(__xludf.DUMMYFUNCTION("""COMPUTED_VALUE"""),3.15)</f>
        <v>3.15</v>
      </c>
      <c r="C520" s="2">
        <f>IFERROR(__xludf.DUMMYFUNCTION("""COMPUTED_VALUE"""),839112.35)</f>
        <v>839112.35</v>
      </c>
      <c r="D520" s="1" t="str">
        <f>IFERROR(__xludf.DUMMYFUNCTION("""COMPUTED_VALUE"""),"$ 839,112.35 
$ 3.15")</f>
        <v>$ 839,112.35 
$ 3.15</v>
      </c>
      <c r="E520" s="1"/>
      <c r="F520" s="1"/>
    </row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25.13"/>
    <col customWidth="1" min="4" max="6" width="12.63"/>
  </cols>
  <sheetData>
    <row r="1" ht="15.75" customHeight="1">
      <c r="A1" s="1" t="str">
        <f>IFERROR(__xludf.DUMMYFUNCTION("query('trading pairs'!A:C, ""Select A,B,C  where C &lt;&gt; '24h trade volume' Order by C Desc Limit 500"")"),"Markets")</f>
        <v>Markets</v>
      </c>
      <c r="B1" s="1" t="str">
        <f>IFERROR(__xludf.DUMMYFUNCTION("""COMPUTED_VALUE"""),"Base price")</f>
        <v>Base price</v>
      </c>
      <c r="C1" s="1" t="str">
        <f>IFERROR(__xludf.DUMMYFUNCTION("""COMPUTED_VALUE"""),"24h trade volume")</f>
        <v>24h trade volume</v>
      </c>
    </row>
    <row r="2" ht="15.75" customHeight="1">
      <c r="A2" s="1" t="str">
        <f>IFERROR(__xludf.DUMMYFUNCTION("""COMPUTED_VALUE"""),"475 ID/TRY Binance")</f>
        <v>475 ID/TRY Binance</v>
      </c>
      <c r="B2" s="2">
        <f>IFERROR(__xludf.DUMMYFUNCTION("""COMPUTED_VALUE"""),0.597)</f>
        <v>0.597</v>
      </c>
      <c r="C2" s="1" t="str">
        <f>IFERROR(__xludf.DUMMYFUNCTION("""COMPUTED_VALUE"""),"$996,292.85")</f>
        <v>$996,292.85</v>
      </c>
    </row>
    <row r="3" ht="15.75" customHeight="1">
      <c r="A3" s="1" t="str">
        <f>IFERROR(__xludf.DUMMYFUNCTION("""COMPUTED_VALUE"""),"476 BONK/FDUSD Binance")</f>
        <v>476 BONK/FDUSD Binance</v>
      </c>
      <c r="B3" s="2">
        <f>IFERROR(__xludf.DUMMYFUNCTION("""COMPUTED_VALUE"""),1.4E-5)</f>
        <v>0.000014</v>
      </c>
      <c r="C3" s="1" t="str">
        <f>IFERROR(__xludf.DUMMYFUNCTION("""COMPUTED_VALUE"""),"$981,582.15")</f>
        <v>$981,582.15</v>
      </c>
    </row>
    <row r="4" ht="15.75" customHeight="1">
      <c r="A4" s="1" t="str">
        <f>IFERROR(__xludf.DUMMYFUNCTION("""COMPUTED_VALUE"""),"477 DOT/USDC Binance")</f>
        <v>477 DOT/USDC Binance</v>
      </c>
      <c r="B4" s="2">
        <f>IFERROR(__xludf.DUMMYFUNCTION("""COMPUTED_VALUE"""),7.9)</f>
        <v>7.9</v>
      </c>
      <c r="C4" s="1" t="str">
        <f>IFERROR(__xludf.DUMMYFUNCTION("""COMPUTED_VALUE"""),"$970,928.58")</f>
        <v>$970,928.58</v>
      </c>
    </row>
    <row r="5" ht="15.75" customHeight="1">
      <c r="A5" s="1" t="str">
        <f>IFERROR(__xludf.DUMMYFUNCTION("""COMPUTED_VALUE"""),"478 OP/BTC Binance")</f>
        <v>478 OP/BTC Binance</v>
      </c>
      <c r="B5" s="2">
        <f>IFERROR(__xludf.DUMMYFUNCTION("""COMPUTED_VALUE"""),3.84)</f>
        <v>3.84</v>
      </c>
      <c r="C5" s="1" t="str">
        <f>IFERROR(__xludf.DUMMYFUNCTION("""COMPUTED_VALUE"""),"$970,264.32")</f>
        <v>$970,264.32</v>
      </c>
    </row>
    <row r="6" ht="15.75" customHeight="1">
      <c r="A6" s="1" t="str">
        <f>IFERROR(__xludf.DUMMYFUNCTION("""COMPUTED_VALUE"""),"479 UFT/USDT Binance")</f>
        <v>479 UFT/USDT Binance</v>
      </c>
      <c r="B6" s="2">
        <f>IFERROR(__xludf.DUMMYFUNCTION("""COMPUTED_VALUE"""),0.423)</f>
        <v>0.423</v>
      </c>
      <c r="C6" s="1" t="str">
        <f>IFERROR(__xludf.DUMMYFUNCTION("""COMPUTED_VALUE"""),"$966,880.71")</f>
        <v>$966,880.71</v>
      </c>
    </row>
    <row r="7" ht="15.75" customHeight="1">
      <c r="A7" s="1" t="str">
        <f>IFERROR(__xludf.DUMMYFUNCTION("""COMPUTED_VALUE"""),"480 ACE/BTC Binance")</f>
        <v>480 ACE/BTC Binance</v>
      </c>
      <c r="B7" s="2">
        <f>IFERROR(__xludf.DUMMYFUNCTION("""COMPUTED_VALUE"""),10.59)</f>
        <v>10.59</v>
      </c>
      <c r="C7" s="1" t="str">
        <f>IFERROR(__xludf.DUMMYFUNCTION("""COMPUTED_VALUE"""),"$963,928.87")</f>
        <v>$963,928.87</v>
      </c>
    </row>
    <row r="8" ht="15.75" customHeight="1">
      <c r="A8" s="1" t="str">
        <f>IFERROR(__xludf.DUMMYFUNCTION("""COMPUTED_VALUE"""),"481 ALPINE/USDT Binance")</f>
        <v>481 ALPINE/USDT Binance</v>
      </c>
      <c r="B8" s="2">
        <f>IFERROR(__xludf.DUMMYFUNCTION("""COMPUTED_VALUE"""),2.11)</f>
        <v>2.11</v>
      </c>
      <c r="C8" s="1" t="str">
        <f>IFERROR(__xludf.DUMMYFUNCTION("""COMPUTED_VALUE"""),"$961,713.45")</f>
        <v>$961,713.45</v>
      </c>
    </row>
    <row r="9" ht="15.75" customHeight="1">
      <c r="A9" s="1" t="str">
        <f>IFERROR(__xludf.DUMMYFUNCTION("""COMPUTED_VALUE"""),"482 ADX/USDT Binance")</f>
        <v>482 ADX/USDT Binance</v>
      </c>
      <c r="B9" s="2">
        <f>IFERROR(__xludf.DUMMYFUNCTION("""COMPUTED_VALUE"""),0.194)</f>
        <v>0.194</v>
      </c>
      <c r="C9" s="1" t="str">
        <f>IFERROR(__xludf.DUMMYFUNCTION("""COMPUTED_VALUE"""),"$942,177.91")</f>
        <v>$942,177.91</v>
      </c>
    </row>
    <row r="10" ht="15.75" customHeight="1">
      <c r="A10" s="1" t="str">
        <f>IFERROR(__xludf.DUMMYFUNCTION("""COMPUTED_VALUE"""),"483 BETA/USDT Binance")</f>
        <v>483 BETA/USDT Binance</v>
      </c>
      <c r="B10" s="2">
        <f>IFERROR(__xludf.DUMMYFUNCTION("""COMPUTED_VALUE"""),0.0726)</f>
        <v>0.0726</v>
      </c>
      <c r="C10" s="1" t="str">
        <f>IFERROR(__xludf.DUMMYFUNCTION("""COMPUTED_VALUE"""),"$941,979.02")</f>
        <v>$941,979.02</v>
      </c>
    </row>
    <row r="11" ht="15.75" customHeight="1">
      <c r="A11" s="1" t="str">
        <f>IFERROR(__xludf.DUMMYFUNCTION("""COMPUTED_VALUE"""),"484 HIVE/USDT Binance")</f>
        <v>484 HIVE/USDT Binance</v>
      </c>
      <c r="B11" s="2">
        <f>IFERROR(__xludf.DUMMYFUNCTION("""COMPUTED_VALUE"""),0.322)</f>
        <v>0.322</v>
      </c>
      <c r="C11" s="1" t="str">
        <f>IFERROR(__xludf.DUMMYFUNCTION("""COMPUTED_VALUE"""),"$938,377.18")</f>
        <v>$938,377.18</v>
      </c>
    </row>
    <row r="12" ht="15.75" customHeight="1">
      <c r="A12" s="1" t="str">
        <f>IFERROR(__xludf.DUMMYFUNCTION("""COMPUTED_VALUE"""),"485 AST/USDT Binance")</f>
        <v>485 AST/USDT Binance</v>
      </c>
      <c r="B12" s="2">
        <f>IFERROR(__xludf.DUMMYFUNCTION("""COMPUTED_VALUE"""),0.112)</f>
        <v>0.112</v>
      </c>
      <c r="C12" s="1" t="str">
        <f>IFERROR(__xludf.DUMMYFUNCTION("""COMPUTED_VALUE"""),"$923,120.67")</f>
        <v>$923,120.67</v>
      </c>
    </row>
    <row r="13" ht="15.75" customHeight="1">
      <c r="A13" s="1" t="str">
        <f>IFERROR(__xludf.DUMMYFUNCTION("""COMPUTED_VALUE"""),"486 IMX/BTC Binance")</f>
        <v>486 IMX/BTC Binance</v>
      </c>
      <c r="B13" s="2">
        <f>IFERROR(__xludf.DUMMYFUNCTION("""COMPUTED_VALUE"""),3.17)</f>
        <v>3.17</v>
      </c>
      <c r="C13" s="1" t="str">
        <f>IFERROR(__xludf.DUMMYFUNCTION("""COMPUTED_VALUE"""),"$920,260.74")</f>
        <v>$920,260.74</v>
      </c>
    </row>
    <row r="14" ht="15.75" customHeight="1">
      <c r="A14" s="1" t="str">
        <f>IFERROR(__xludf.DUMMYFUNCTION("""COMPUTED_VALUE"""),"487 REEF/TRY Binance")</f>
        <v>487 REEF/TRY Binance</v>
      </c>
      <c r="B14" s="2">
        <f>IFERROR(__xludf.DUMMYFUNCTION("""COMPUTED_VALUE"""),0.00172)</f>
        <v>0.00172</v>
      </c>
      <c r="C14" s="1" t="str">
        <f>IFERROR(__xludf.DUMMYFUNCTION("""COMPUTED_VALUE"""),"$917,998.87")</f>
        <v>$917,998.87</v>
      </c>
    </row>
    <row r="15" ht="15.75" customHeight="1">
      <c r="A15" s="1" t="str">
        <f>IFERROR(__xludf.DUMMYFUNCTION("""COMPUTED_VALUE"""),"488 LINK/ETH Binance")</f>
        <v>488 LINK/ETH Binance</v>
      </c>
      <c r="B15" s="2">
        <f>IFERROR(__xludf.DUMMYFUNCTION("""COMPUTED_VALUE"""),20.0)</f>
        <v>20</v>
      </c>
      <c r="C15" s="1" t="str">
        <f>IFERROR(__xludf.DUMMYFUNCTION("""COMPUTED_VALUE"""),"$910,895.38")</f>
        <v>$910,895.38</v>
      </c>
    </row>
    <row r="16" ht="15.75" customHeight="1">
      <c r="A16" s="1" t="str">
        <f>IFERROR(__xludf.DUMMYFUNCTION("""COMPUTED_VALUE"""),"489 FLOKI/TRY Binance")</f>
        <v>489 FLOKI/TRY Binance</v>
      </c>
      <c r="B16" s="2">
        <f>IFERROR(__xludf.DUMMYFUNCTION("""COMPUTED_VALUE"""),3.43E-5)</f>
        <v>0.0000343</v>
      </c>
      <c r="C16" s="1" t="str">
        <f>IFERROR(__xludf.DUMMYFUNCTION("""COMPUTED_VALUE"""),"$881,999.15")</f>
        <v>$881,999.15</v>
      </c>
    </row>
    <row r="17" ht="15.75" customHeight="1">
      <c r="A17" s="1" t="str">
        <f>IFERROR(__xludf.DUMMYFUNCTION("""COMPUTED_VALUE"""),"490 MBOX/TRY Binance")</f>
        <v>490 MBOX/TRY Binance</v>
      </c>
      <c r="B17" s="2">
        <f>IFERROR(__xludf.DUMMYFUNCTION("""COMPUTED_VALUE"""),0.343)</f>
        <v>0.343</v>
      </c>
      <c r="C17" s="1" t="str">
        <f>IFERROR(__xludf.DUMMYFUNCTION("""COMPUTED_VALUE"""),"$867,211.30")</f>
        <v>$867,211.30</v>
      </c>
    </row>
    <row r="18" ht="15.75" customHeight="1">
      <c r="A18" s="1" t="str">
        <f>IFERROR(__xludf.DUMMYFUNCTION("""COMPUTED_VALUE"""),"491 WLD/FDUSD Binance")</f>
        <v>491 WLD/FDUSD Binance</v>
      </c>
      <c r="B18" s="2">
        <f>IFERROR(__xludf.DUMMYFUNCTION("""COMPUTED_VALUE"""),3.22)</f>
        <v>3.22</v>
      </c>
      <c r="C18" s="1" t="str">
        <f>IFERROR(__xludf.DUMMYFUNCTION("""COMPUTED_VALUE"""),"$866,218.62")</f>
        <v>$866,218.62</v>
      </c>
    </row>
    <row r="19" ht="15.75" customHeight="1">
      <c r="A19" s="1" t="str">
        <f>IFERROR(__xludf.DUMMYFUNCTION("""COMPUTED_VALUE"""),"492 BNB/USDC Binance")</f>
        <v>492 BNB/USDC Binance</v>
      </c>
      <c r="B19" s="2">
        <f>IFERROR(__xludf.DUMMYFUNCTION("""COMPUTED_VALUE"""),347.8)</f>
        <v>347.8</v>
      </c>
      <c r="C19" s="1" t="str">
        <f>IFERROR(__xludf.DUMMYFUNCTION("""COMPUTED_VALUE"""),"$865,721.89")</f>
        <v>$865,721.89</v>
      </c>
    </row>
    <row r="20" ht="15.75" customHeight="1">
      <c r="A20" s="1" t="str">
        <f>IFERROR(__xludf.DUMMYFUNCTION("""COMPUTED_VALUE"""),"493 IRIS/USDT Binance")</f>
        <v>493 IRIS/USDT Binance</v>
      </c>
      <c r="B20" s="2">
        <f>IFERROR(__xludf.DUMMYFUNCTION("""COMPUTED_VALUE"""),0.0311)</f>
        <v>0.0311</v>
      </c>
      <c r="C20" s="1" t="str">
        <f>IFERROR(__xludf.DUMMYFUNCTION("""COMPUTED_VALUE"""),"$862,647.99")</f>
        <v>$862,647.99</v>
      </c>
    </row>
    <row r="21" ht="15.75" customHeight="1">
      <c r="A21" s="1" t="str">
        <f>IFERROR(__xludf.DUMMYFUNCTION("""COMPUTED_VALUE"""),"494 DOCK/USDT Binance")</f>
        <v>494 DOCK/USDT Binance</v>
      </c>
      <c r="B21" s="2">
        <f>IFERROR(__xludf.DUMMYFUNCTION("""COMPUTED_VALUE"""),0.0314)</f>
        <v>0.0314</v>
      </c>
      <c r="C21" s="1" t="str">
        <f>IFERROR(__xludf.DUMMYFUNCTION("""COMPUTED_VALUE"""),"$860,771.43")</f>
        <v>$860,771.43</v>
      </c>
    </row>
    <row r="22" ht="15.75" customHeight="1">
      <c r="A22" s="1" t="str">
        <f>IFERROR(__xludf.DUMMYFUNCTION("""COMPUTED_VALUE"""),"495 FTM/BTC Binance")</f>
        <v>495 FTM/BTC Binance</v>
      </c>
      <c r="B22" s="2">
        <f>IFERROR(__xludf.DUMMYFUNCTION("""COMPUTED_VALUE"""),0.411)</f>
        <v>0.411</v>
      </c>
      <c r="C22" s="1" t="str">
        <f>IFERROR(__xludf.DUMMYFUNCTION("""COMPUTED_VALUE"""),"$853,466.34")</f>
        <v>$853,466.34</v>
      </c>
    </row>
    <row r="23" ht="15.75" customHeight="1">
      <c r="A23" s="1" t="str">
        <f>IFERROR(__xludf.DUMMYFUNCTION("""COMPUTED_VALUE"""),"496 OAX/USDT Binance")</f>
        <v>496 OAX/USDT Binance</v>
      </c>
      <c r="B23" s="2">
        <f>IFERROR(__xludf.DUMMYFUNCTION("""COMPUTED_VALUE"""),0.166)</f>
        <v>0.166</v>
      </c>
      <c r="C23" s="1" t="str">
        <f>IFERROR(__xludf.DUMMYFUNCTION("""COMPUTED_VALUE"""),"$849,175.70")</f>
        <v>$849,175.70</v>
      </c>
    </row>
    <row r="24" ht="15.75" customHeight="1">
      <c r="A24" s="1" t="str">
        <f>IFERROR(__xludf.DUMMYFUNCTION("""COMPUTED_VALUE"""),"497 BCH/FDUSD Binance")</f>
        <v>497 BCH/FDUSD Binance</v>
      </c>
      <c r="B24" s="2">
        <f>IFERROR(__xludf.DUMMYFUNCTION("""COMPUTED_VALUE"""),269.7)</f>
        <v>269.7</v>
      </c>
      <c r="C24" s="1" t="str">
        <f>IFERROR(__xludf.DUMMYFUNCTION("""COMPUTED_VALUE"""),"$845,269.78")</f>
        <v>$845,269.78</v>
      </c>
    </row>
    <row r="25" ht="15.75" customHeight="1">
      <c r="A25" s="1" t="str">
        <f>IFERROR(__xludf.DUMMYFUNCTION("""COMPUTED_VALUE"""),"498 LTO/USDT Binance")</f>
        <v>498 LTO/USDT Binance</v>
      </c>
      <c r="B25" s="2">
        <f>IFERROR(__xludf.DUMMYFUNCTION("""COMPUTED_VALUE"""),0.0886)</f>
        <v>0.0886</v>
      </c>
      <c r="C25" s="1" t="str">
        <f>IFERROR(__xludf.DUMMYFUNCTION("""COMPUTED_VALUE"""),"$845,186.77")</f>
        <v>$845,186.77</v>
      </c>
    </row>
    <row r="26" ht="15.75" customHeight="1">
      <c r="A26" s="1" t="str">
        <f>IFERROR(__xludf.DUMMYFUNCTION("""COMPUTED_VALUE"""),"499 GAS/BTC Binance")</f>
        <v>499 GAS/BTC Binance</v>
      </c>
      <c r="B26" s="2">
        <f>IFERROR(__xludf.DUMMYFUNCTION("""COMPUTED_VALUE"""),6.88)</f>
        <v>6.88</v>
      </c>
      <c r="C26" s="1" t="str">
        <f>IFERROR(__xludf.DUMMYFUNCTION("""COMPUTED_VALUE"""),"$841,756.31")</f>
        <v>$841,756.31</v>
      </c>
    </row>
    <row r="27" ht="15.75" customHeight="1">
      <c r="A27" s="1" t="str">
        <f>IFERROR(__xludf.DUMMYFUNCTION("""COMPUTED_VALUE"""),"500 CITY/USDT Binance")</f>
        <v>500 CITY/USDT Binance</v>
      </c>
      <c r="B27" s="2">
        <f>IFERROR(__xludf.DUMMYFUNCTION("""COMPUTED_VALUE"""),3.15)</f>
        <v>3.15</v>
      </c>
      <c r="C27" s="1" t="str">
        <f>IFERROR(__xludf.DUMMYFUNCTION("""COMPUTED_VALUE"""),"$839,112.35")</f>
        <v>$839,112.35</v>
      </c>
    </row>
    <row r="28" ht="15.75" customHeight="1">
      <c r="A28" s="1" t="str">
        <f>IFERROR(__xludf.DUMMYFUNCTION("""COMPUTED_VALUE"""),"23 SUI/USDT Binance")</f>
        <v>23 SUI/USDT Binance</v>
      </c>
      <c r="B28" s="2">
        <f>IFERROR(__xludf.DUMMYFUNCTION("""COMPUTED_VALUE"""),1.89)</f>
        <v>1.89</v>
      </c>
      <c r="C28" s="1" t="str">
        <f>IFERROR(__xludf.DUMMYFUNCTION("""COMPUTED_VALUE"""),"$ 98.46 million")</f>
        <v>$ 98.46 million</v>
      </c>
    </row>
    <row r="29" ht="15.75" customHeight="1">
      <c r="A29" s="1" t="str">
        <f>IFERROR(__xludf.DUMMYFUNCTION("""COMPUTED_VALUE"""),"24 ADA/USDT Binance")</f>
        <v>24 ADA/USDT Binance</v>
      </c>
      <c r="B29" s="2">
        <f>IFERROR(__xludf.DUMMYFUNCTION("""COMPUTED_VALUE"""),0.593)</f>
        <v>0.593</v>
      </c>
      <c r="C29" s="1" t="str">
        <f>IFERROR(__xludf.DUMMYFUNCTION("""COMPUTED_VALUE"""),"$ 96.58 million")</f>
        <v>$ 96.58 million</v>
      </c>
    </row>
    <row r="30" ht="15.75" customHeight="1">
      <c r="A30" s="1" t="str">
        <f>IFERROR(__xludf.DUMMYFUNCTION("""COMPUTED_VALUE"""),"25 JUP/USDT Binance")</f>
        <v>25 JUP/USDT Binance</v>
      </c>
      <c r="B30" s="2">
        <f>IFERROR(__xludf.DUMMYFUNCTION("""COMPUTED_VALUE"""),0.544)</f>
        <v>0.544</v>
      </c>
      <c r="C30" s="1" t="str">
        <f>IFERROR(__xludf.DUMMYFUNCTION("""COMPUTED_VALUE"""),"$ 93.64 million")</f>
        <v>$ 93.64 million</v>
      </c>
    </row>
    <row r="31" ht="15.75" customHeight="1">
      <c r="A31" s="1" t="str">
        <f>IFERROR(__xludf.DUMMYFUNCTION("""COMPUTED_VALUE"""),"26 ALT/USDT Binance")</f>
        <v>26 ALT/USDT Binance</v>
      </c>
      <c r="B31" s="2">
        <f>IFERROR(__xludf.DUMMYFUNCTION("""COMPUTED_VALUE"""),0.4)</f>
        <v>0.4</v>
      </c>
      <c r="C31" s="1" t="str">
        <f>IFERROR(__xludf.DUMMYFUNCTION("""COMPUTED_VALUE"""),"$ 90.06 million")</f>
        <v>$ 90.06 million</v>
      </c>
    </row>
    <row r="32" ht="15.75" customHeight="1">
      <c r="A32" s="1" t="str">
        <f>IFERROR(__xludf.DUMMYFUNCTION("""COMPUTED_VALUE"""),"145 PEOPLE/USDT Binance")</f>
        <v>145 PEOPLE/USDT Binance</v>
      </c>
      <c r="B32" s="2">
        <f>IFERROR(__xludf.DUMMYFUNCTION("""COMPUTED_VALUE"""),0.0301)</f>
        <v>0.0301</v>
      </c>
      <c r="C32" s="1" t="str">
        <f>IFERROR(__xludf.DUMMYFUNCTION("""COMPUTED_VALUE"""),"$ 9.78 million")</f>
        <v>$ 9.78 million</v>
      </c>
    </row>
    <row r="33" ht="15.75" customHeight="1">
      <c r="A33" s="1" t="str">
        <f>IFERROR(__xludf.DUMMYFUNCTION("""COMPUTED_VALUE"""),"146 GMT/USDT Binance")</f>
        <v>146 GMT/USDT Binance</v>
      </c>
      <c r="B33" s="2">
        <f>IFERROR(__xludf.DUMMYFUNCTION("""COMPUTED_VALUE"""),0.275)</f>
        <v>0.275</v>
      </c>
      <c r="C33" s="1" t="str">
        <f>IFERROR(__xludf.DUMMYFUNCTION("""COMPUTED_VALUE"""),"$ 9.64 million")</f>
        <v>$ 9.64 million</v>
      </c>
    </row>
    <row r="34" ht="15.75" customHeight="1">
      <c r="A34" s="1" t="str">
        <f>IFERROR(__xludf.DUMMYFUNCTION("""COMPUTED_VALUE"""),"147 MASK/USDT Binance")</f>
        <v>147 MASK/USDT Binance</v>
      </c>
      <c r="B34" s="2">
        <f>IFERROR(__xludf.DUMMYFUNCTION("""COMPUTED_VALUE"""),3.73)</f>
        <v>3.73</v>
      </c>
      <c r="C34" s="1" t="str">
        <f>IFERROR(__xludf.DUMMYFUNCTION("""COMPUTED_VALUE"""),"$ 9.53 million")</f>
        <v>$ 9.53 million</v>
      </c>
    </row>
    <row r="35" ht="15.75" customHeight="1">
      <c r="A35" s="1" t="str">
        <f>IFERROR(__xludf.DUMMYFUNCTION("""COMPUTED_VALUE"""),"148 BTC/TRY Binance")</f>
        <v>148 BTC/TRY Binance</v>
      </c>
      <c r="B35" s="2">
        <f>IFERROR(__xludf.DUMMYFUNCTION("""COMPUTED_VALUE"""),52645.45)</f>
        <v>52645.45</v>
      </c>
      <c r="C35" s="1" t="str">
        <f>IFERROR(__xludf.DUMMYFUNCTION("""COMPUTED_VALUE"""),"$ 9.53 million")</f>
        <v>$ 9.53 million</v>
      </c>
    </row>
    <row r="36" ht="15.75" customHeight="1">
      <c r="A36" s="1" t="str">
        <f>IFERROR(__xludf.DUMMYFUNCTION("""COMPUTED_VALUE"""),"149 ROSE/USDT Binance")</f>
        <v>149 ROSE/USDT Binance</v>
      </c>
      <c r="B36" s="2">
        <f>IFERROR(__xludf.DUMMYFUNCTION("""COMPUTED_VALUE"""),0.128)</f>
        <v>0.128</v>
      </c>
      <c r="C36" s="1" t="str">
        <f>IFERROR(__xludf.DUMMYFUNCTION("""COMPUTED_VALUE"""),"$ 9.49 million")</f>
        <v>$ 9.49 million</v>
      </c>
    </row>
    <row r="37" ht="15.75" customHeight="1">
      <c r="A37" s="1" t="str">
        <f>IFERROR(__xludf.DUMMYFUNCTION("""COMPUTED_VALUE"""),"150 KLAY/USDT Binance")</f>
        <v>150 KLAY/USDT Binance</v>
      </c>
      <c r="B37" s="2">
        <f>IFERROR(__xludf.DUMMYFUNCTION("""COMPUTED_VALUE"""),0.233)</f>
        <v>0.233</v>
      </c>
      <c r="C37" s="1" t="str">
        <f>IFERROR(__xludf.DUMMYFUNCTION("""COMPUTED_VALUE"""),"$ 9.29 million")</f>
        <v>$ 9.29 million</v>
      </c>
    </row>
    <row r="38" ht="15.75" customHeight="1">
      <c r="A38" s="1" t="str">
        <f>IFERROR(__xludf.DUMMYFUNCTION("""COMPUTED_VALUE"""),"151 MOVR/USDT Binance")</f>
        <v>151 MOVR/USDT Binance</v>
      </c>
      <c r="B38" s="2">
        <f>IFERROR(__xludf.DUMMYFUNCTION("""COMPUTED_VALUE"""),23.27)</f>
        <v>23.27</v>
      </c>
      <c r="C38" s="1" t="str">
        <f>IFERROR(__xludf.DUMMYFUNCTION("""COMPUTED_VALUE"""),"$ 9.27 million")</f>
        <v>$ 9.27 million</v>
      </c>
    </row>
    <row r="39" ht="15.75" customHeight="1">
      <c r="A39" s="1" t="str">
        <f>IFERROR(__xludf.DUMMYFUNCTION("""COMPUTED_VALUE"""),"152 STX/BTC Binance")</f>
        <v>152 STX/BTC Binance</v>
      </c>
      <c r="B39" s="2">
        <f>IFERROR(__xludf.DUMMYFUNCTION("""COMPUTED_VALUE"""),2.62)</f>
        <v>2.62</v>
      </c>
      <c r="C39" s="1" t="str">
        <f>IFERROR(__xludf.DUMMYFUNCTION("""COMPUTED_VALUE"""),"$ 9.08 million")</f>
        <v>$ 9.08 million</v>
      </c>
    </row>
    <row r="40" ht="15.75" customHeight="1">
      <c r="A40" s="1" t="str">
        <f>IFERROR(__xludf.DUMMYFUNCTION("""COMPUTED_VALUE"""),"27 VET/USDT Binance")</f>
        <v>27 VET/USDT Binance</v>
      </c>
      <c r="B40" s="2">
        <f>IFERROR(__xludf.DUMMYFUNCTION("""COMPUTED_VALUE"""),0.0461)</f>
        <v>0.0461</v>
      </c>
      <c r="C40" s="1" t="str">
        <f>IFERROR(__xludf.DUMMYFUNCTION("""COMPUTED_VALUE"""),"$ 84.65 million")</f>
        <v>$ 84.65 million</v>
      </c>
    </row>
    <row r="41" ht="15.75" customHeight="1">
      <c r="A41" s="1" t="str">
        <f>IFERROR(__xludf.DUMMYFUNCTION("""COMPUTED_VALUE"""),"28 ORDI/USDT Binance")</f>
        <v>28 ORDI/USDT Binance</v>
      </c>
      <c r="B41" s="2">
        <f>IFERROR(__xludf.DUMMYFUNCTION("""COMPUTED_VALUE"""),70.34)</f>
        <v>70.34</v>
      </c>
      <c r="C41" s="1" t="str">
        <f>IFERROR(__xludf.DUMMYFUNCTION("""COMPUTED_VALUE"""),"$ 83.70 million")</f>
        <v>$ 83.70 million</v>
      </c>
    </row>
    <row r="42" ht="15.75" customHeight="1">
      <c r="A42" s="1" t="str">
        <f>IFERROR(__xludf.DUMMYFUNCTION("""COMPUTED_VALUE"""),"153 ARKM/USDT Binance")</f>
        <v>153 ARKM/USDT Binance</v>
      </c>
      <c r="B42" s="2">
        <f>IFERROR(__xludf.DUMMYFUNCTION("""COMPUTED_VALUE"""),0.666)</f>
        <v>0.666</v>
      </c>
      <c r="C42" s="1" t="str">
        <f>IFERROR(__xludf.DUMMYFUNCTION("""COMPUTED_VALUE"""),"$ 8.83 million")</f>
        <v>$ 8.83 million</v>
      </c>
    </row>
    <row r="43" ht="15.75" customHeight="1">
      <c r="A43" s="1" t="str">
        <f>IFERROR(__xludf.DUMMYFUNCTION("""COMPUTED_VALUE"""),"154 PHA/USDT Binance")</f>
        <v>154 PHA/USDT Binance</v>
      </c>
      <c r="B43" s="2">
        <f>IFERROR(__xludf.DUMMYFUNCTION("""COMPUTED_VALUE"""),0.12)</f>
        <v>0.12</v>
      </c>
      <c r="C43" s="1" t="str">
        <f>IFERROR(__xludf.DUMMYFUNCTION("""COMPUTED_VALUE"""),"$ 8.69 million")</f>
        <v>$ 8.69 million</v>
      </c>
    </row>
    <row r="44" ht="15.75" customHeight="1">
      <c r="A44" s="1" t="str">
        <f>IFERROR(__xludf.DUMMYFUNCTION("""COMPUTED_VALUE"""),"155 FTT/USDT Binance")</f>
        <v>155 FTT/USDT Binance</v>
      </c>
      <c r="B44" s="2">
        <f>IFERROR(__xludf.DUMMYFUNCTION("""COMPUTED_VALUE"""),1.81)</f>
        <v>1.81</v>
      </c>
      <c r="C44" s="1" t="str">
        <f>IFERROR(__xludf.DUMMYFUNCTION("""COMPUTED_VALUE"""),"$ 8.59 million")</f>
        <v>$ 8.59 million</v>
      </c>
    </row>
    <row r="45" ht="15.75" customHeight="1">
      <c r="A45" s="1" t="str">
        <f>IFERROR(__xludf.DUMMYFUNCTION("""COMPUTED_VALUE"""),"156 ALGO/USDT Binance")</f>
        <v>156 ALGO/USDT Binance</v>
      </c>
      <c r="B45" s="2">
        <f>IFERROR(__xludf.DUMMYFUNCTION("""COMPUTED_VALUE"""),0.188)</f>
        <v>0.188</v>
      </c>
      <c r="C45" s="1" t="str">
        <f>IFERROR(__xludf.DUMMYFUNCTION("""COMPUTED_VALUE"""),"$ 8.54 million")</f>
        <v>$ 8.54 million</v>
      </c>
    </row>
    <row r="46" ht="15.75" customHeight="1">
      <c r="A46" s="1" t="str">
        <f>IFERROR(__xludf.DUMMYFUNCTION("""COMPUTED_VALUE"""),"157 SSV/USDT Binance")</f>
        <v>157 SSV/USDT Binance</v>
      </c>
      <c r="B46" s="2">
        <f>IFERROR(__xludf.DUMMYFUNCTION("""COMPUTED_VALUE"""),32.28)</f>
        <v>32.28</v>
      </c>
      <c r="C46" s="1" t="str">
        <f>IFERROR(__xludf.DUMMYFUNCTION("""COMPUTED_VALUE"""),"$ 8.41 million")</f>
        <v>$ 8.41 million</v>
      </c>
    </row>
    <row r="47" ht="15.75" customHeight="1">
      <c r="A47" s="1" t="str">
        <f>IFERROR(__xludf.DUMMYFUNCTION("""COMPUTED_VALUE"""),"158 1INCH/USDT Binance")</f>
        <v>158 1INCH/USDT Binance</v>
      </c>
      <c r="B47" s="2">
        <f>IFERROR(__xludf.DUMMYFUNCTION("""COMPUTED_VALUE"""),0.453)</f>
        <v>0.453</v>
      </c>
      <c r="C47" s="1" t="str">
        <f>IFERROR(__xludf.DUMMYFUNCTION("""COMPUTED_VALUE"""),"$ 8.28 million")</f>
        <v>$ 8.28 million</v>
      </c>
    </row>
    <row r="48" ht="15.75" customHeight="1">
      <c r="A48" s="1" t="str">
        <f>IFERROR(__xludf.DUMMYFUNCTION("""COMPUTED_VALUE"""),"159 YGG/USDT Binance")</f>
        <v>159 YGG/USDT Binance</v>
      </c>
      <c r="B48" s="2">
        <f>IFERROR(__xludf.DUMMYFUNCTION("""COMPUTED_VALUE"""),0.496)</f>
        <v>0.496</v>
      </c>
      <c r="C48" s="1" t="str">
        <f>IFERROR(__xludf.DUMMYFUNCTION("""COMPUTED_VALUE"""),"$ 8.19 million")</f>
        <v>$ 8.19 million</v>
      </c>
    </row>
    <row r="49" ht="15.75" customHeight="1">
      <c r="A49" s="1" t="str">
        <f>IFERROR(__xludf.DUMMYFUNCTION("""COMPUTED_VALUE"""),"160 LINK/BTC Binance")</f>
        <v>160 LINK/BTC Binance</v>
      </c>
      <c r="B49" s="2">
        <f>IFERROR(__xludf.DUMMYFUNCTION("""COMPUTED_VALUE"""),20.0)</f>
        <v>20</v>
      </c>
      <c r="C49" s="1" t="str">
        <f>IFERROR(__xludf.DUMMYFUNCTION("""COMPUTED_VALUE"""),"$ 8.07 million")</f>
        <v>$ 8.07 million</v>
      </c>
    </row>
    <row r="50" ht="15.75" customHeight="1">
      <c r="A50" s="1" t="str">
        <f>IFERROR(__xludf.DUMMYFUNCTION("""COMPUTED_VALUE"""),"161 RDNT/USDT Binance")</f>
        <v>161 RDNT/USDT Binance</v>
      </c>
      <c r="B50" s="2">
        <f>IFERROR(__xludf.DUMMYFUNCTION("""COMPUTED_VALUE"""),0.312)</f>
        <v>0.312</v>
      </c>
      <c r="C50" s="1" t="str">
        <f>IFERROR(__xludf.DUMMYFUNCTION("""COMPUTED_VALUE"""),"$ 8.02 million")</f>
        <v>$ 8.02 million</v>
      </c>
    </row>
    <row r="51" ht="15.75" customHeight="1">
      <c r="A51" s="1" t="str">
        <f>IFERROR(__xludf.DUMMYFUNCTION("""COMPUTED_VALUE"""),"162 FXS/USDT Binance")</f>
        <v>162 FXS/USDT Binance</v>
      </c>
      <c r="B51" s="2">
        <f>IFERROR(__xludf.DUMMYFUNCTION("""COMPUTED_VALUE"""),8.98)</f>
        <v>8.98</v>
      </c>
      <c r="C51" s="1" t="str">
        <f>IFERROR(__xludf.DUMMYFUNCTION("""COMPUTED_VALUE"""),"$ 8.01 million")</f>
        <v>$ 8.01 million</v>
      </c>
    </row>
    <row r="52" ht="15.75" customHeight="1">
      <c r="A52" s="1" t="str">
        <f>IFERROR(__xludf.DUMMYFUNCTION("""COMPUTED_VALUE"""),"5 ETH/FDUSD Binance")</f>
        <v>5 ETH/FDUSD Binance</v>
      </c>
      <c r="B52" s="2">
        <f>IFERROR(__xludf.DUMMYFUNCTION("""COMPUTED_VALUE"""),2793.23)</f>
        <v>2793.23</v>
      </c>
      <c r="C52" s="1" t="str">
        <f>IFERROR(__xludf.DUMMYFUNCTION("""COMPUTED_VALUE"""),"$ 795.28 million")</f>
        <v>$ 795.28 million</v>
      </c>
    </row>
    <row r="53" ht="15.75" customHeight="1">
      <c r="A53" s="1" t="str">
        <f>IFERROR(__xludf.DUMMYFUNCTION("""COMPUTED_VALUE"""),"29 VTHO/USDT Binance")</f>
        <v>29 VTHO/USDT Binance</v>
      </c>
      <c r="B53" s="2">
        <f>IFERROR(__xludf.DUMMYFUNCTION("""COMPUTED_VALUE"""),0.0058)</f>
        <v>0.0058</v>
      </c>
      <c r="C53" s="1" t="str">
        <f>IFERROR(__xludf.DUMMYFUNCTION("""COMPUTED_VALUE"""),"$ 76.47 million")</f>
        <v>$ 76.47 million</v>
      </c>
    </row>
    <row r="54" ht="15.75" customHeight="1">
      <c r="A54" s="1" t="str">
        <f>IFERROR(__xludf.DUMMYFUNCTION("""COMPUTED_VALUE"""),"30 INJ/USDT Binance")</f>
        <v>30 INJ/USDT Binance</v>
      </c>
      <c r="B54" s="2">
        <f>IFERROR(__xludf.DUMMYFUNCTION("""COMPUTED_VALUE"""),34.72)</f>
        <v>34.72</v>
      </c>
      <c r="C54" s="1" t="str">
        <f>IFERROR(__xludf.DUMMYFUNCTION("""COMPUTED_VALUE"""),"$ 75.53 million")</f>
        <v>$ 75.53 million</v>
      </c>
    </row>
    <row r="55" ht="15.75" customHeight="1">
      <c r="A55" s="1" t="str">
        <f>IFERROR(__xludf.DUMMYFUNCTION("""COMPUTED_VALUE"""),"31 APT/USDT Binance")</f>
        <v>31 APT/USDT Binance</v>
      </c>
      <c r="B55" s="2">
        <f>IFERROR(__xludf.DUMMYFUNCTION("""COMPUTED_VALUE"""),10.19)</f>
        <v>10.19</v>
      </c>
      <c r="C55" s="1" t="str">
        <f>IFERROR(__xludf.DUMMYFUNCTION("""COMPUTED_VALUE"""),"$ 74.64 million")</f>
        <v>$ 74.64 million</v>
      </c>
    </row>
    <row r="56" ht="15.75" customHeight="1">
      <c r="A56" s="1" t="str">
        <f>IFERROR(__xludf.DUMMYFUNCTION("""COMPUTED_VALUE"""),"32 RUNE/USDT Binance")</f>
        <v>32 RUNE/USDT Binance</v>
      </c>
      <c r="B56" s="2">
        <f>IFERROR(__xludf.DUMMYFUNCTION("""COMPUTED_VALUE"""),5.61)</f>
        <v>5.61</v>
      </c>
      <c r="C56" s="1" t="str">
        <f>IFERROR(__xludf.DUMMYFUNCTION("""COMPUTED_VALUE"""),"$ 72.68 million")</f>
        <v>$ 72.68 million</v>
      </c>
    </row>
    <row r="57" ht="15.75" customHeight="1">
      <c r="A57" s="1" t="str">
        <f>IFERROR(__xludf.DUMMYFUNCTION("""COMPUTED_VALUE"""),"33 DOGE/FDUSD Binance")</f>
        <v>33 DOGE/FDUSD Binance</v>
      </c>
      <c r="B57" s="2">
        <f>IFERROR(__xludf.DUMMYFUNCTION("""COMPUTED_VALUE"""),0.0861)</f>
        <v>0.0861</v>
      </c>
      <c r="C57" s="1" t="str">
        <f>IFERROR(__xludf.DUMMYFUNCTION("""COMPUTED_VALUE"""),"$ 72.07 million")</f>
        <v>$ 72.07 million</v>
      </c>
    </row>
    <row r="58" ht="15.75" customHeight="1">
      <c r="A58" s="1" t="str">
        <f>IFERROR(__xludf.DUMMYFUNCTION("""COMPUTED_VALUE"""),"34 BNB/FDUSD Binance")</f>
        <v>34 BNB/FDUSD Binance</v>
      </c>
      <c r="B58" s="2">
        <f>IFERROR(__xludf.DUMMYFUNCTION("""COMPUTED_VALUE"""),347.2)</f>
        <v>347.2</v>
      </c>
      <c r="C58" s="1" t="str">
        <f>IFERROR(__xludf.DUMMYFUNCTION("""COMPUTED_VALUE"""),"$ 71.75 million")</f>
        <v>$ 71.75 million</v>
      </c>
    </row>
    <row r="59" ht="15.75" customHeight="1">
      <c r="A59" s="1" t="str">
        <f>IFERROR(__xludf.DUMMYFUNCTION("""COMPUTED_VALUE"""),"163 SUSHI/USDT Binance")</f>
        <v>163 SUSHI/USDT Binance</v>
      </c>
      <c r="B59" s="2">
        <f>IFERROR(__xludf.DUMMYFUNCTION("""COMPUTED_VALUE"""),1.21)</f>
        <v>1.21</v>
      </c>
      <c r="C59" s="1" t="str">
        <f>IFERROR(__xludf.DUMMYFUNCTION("""COMPUTED_VALUE"""),"$ 7.97 million")</f>
        <v>$ 7.97 million</v>
      </c>
    </row>
    <row r="60" ht="15.75" customHeight="1">
      <c r="A60" s="1" t="str">
        <f>IFERROR(__xludf.DUMMYFUNCTION("""COMPUTED_VALUE"""),"164 MANA/USDT Binance")</f>
        <v>164 MANA/USDT Binance</v>
      </c>
      <c r="B60" s="2">
        <f>IFERROR(__xludf.DUMMYFUNCTION("""COMPUTED_VALUE"""),0.498)</f>
        <v>0.498</v>
      </c>
      <c r="C60" s="1" t="str">
        <f>IFERROR(__xludf.DUMMYFUNCTION("""COMPUTED_VALUE"""),"$ 7.90 million")</f>
        <v>$ 7.90 million</v>
      </c>
    </row>
    <row r="61" ht="15.75" customHeight="1">
      <c r="A61" s="1" t="str">
        <f>IFERROR(__xludf.DUMMYFUNCTION("""COMPUTED_VALUE"""),"165 MANTA/TRY Binance")</f>
        <v>165 MANTA/TRY Binance</v>
      </c>
      <c r="B61" s="2">
        <f>IFERROR(__xludf.DUMMYFUNCTION("""COMPUTED_VALUE"""),3.07)</f>
        <v>3.07</v>
      </c>
      <c r="C61" s="1" t="str">
        <f>IFERROR(__xludf.DUMMYFUNCTION("""COMPUTED_VALUE"""),"$ 7.87 million")</f>
        <v>$ 7.87 million</v>
      </c>
    </row>
    <row r="62" ht="15.75" customHeight="1">
      <c r="A62" s="1" t="str">
        <f>IFERROR(__xludf.DUMMYFUNCTION("""COMPUTED_VALUE"""),"166 SEI/FDUSD Binance")</f>
        <v>166 SEI/FDUSD Binance</v>
      </c>
      <c r="B62" s="2">
        <f>IFERROR(__xludf.DUMMYFUNCTION("""COMPUTED_VALUE"""),0.967)</f>
        <v>0.967</v>
      </c>
      <c r="C62" s="1" t="str">
        <f>IFERROR(__xludf.DUMMYFUNCTION("""COMPUTED_VALUE"""),"$ 7.85 million")</f>
        <v>$ 7.85 million</v>
      </c>
    </row>
    <row r="63" ht="15.75" customHeight="1">
      <c r="A63" s="1" t="str">
        <f>IFERROR(__xludf.DUMMYFUNCTION("""COMPUTED_VALUE"""),"167 ACH/USDT Binance")</f>
        <v>167 ACH/USDT Binance</v>
      </c>
      <c r="B63" s="2">
        <f>IFERROR(__xludf.DUMMYFUNCTION("""COMPUTED_VALUE"""),0.0213)</f>
        <v>0.0213</v>
      </c>
      <c r="C63" s="1" t="str">
        <f>IFERROR(__xludf.DUMMYFUNCTION("""COMPUTED_VALUE"""),"$ 7.83 million")</f>
        <v>$ 7.83 million</v>
      </c>
    </row>
    <row r="64" ht="15.75" customHeight="1">
      <c r="A64" s="1" t="str">
        <f>IFERROR(__xludf.DUMMYFUNCTION("""COMPUTED_VALUE"""),"168 SLP/USDT Binance")</f>
        <v>168 SLP/USDT Binance</v>
      </c>
      <c r="B64" s="2">
        <f>IFERROR(__xludf.DUMMYFUNCTION("""COMPUTED_VALUE"""),0.00387)</f>
        <v>0.00387</v>
      </c>
      <c r="C64" s="1" t="str">
        <f>IFERROR(__xludf.DUMMYFUNCTION("""COMPUTED_VALUE"""),"$ 7.59 million")</f>
        <v>$ 7.59 million</v>
      </c>
    </row>
    <row r="65" ht="15.75" customHeight="1">
      <c r="A65" s="1" t="str">
        <f>IFERROR(__xludf.DUMMYFUNCTION("""COMPUTED_VALUE"""),"169 MKR/USDT Binance")</f>
        <v>169 MKR/USDT Binance</v>
      </c>
      <c r="B65" s="2">
        <f>IFERROR(__xludf.DUMMYFUNCTION("""COMPUTED_VALUE"""),2059.0)</f>
        <v>2059</v>
      </c>
      <c r="C65" s="1" t="str">
        <f>IFERROR(__xludf.DUMMYFUNCTION("""COMPUTED_VALUE"""),"$ 7.42 million")</f>
        <v>$ 7.42 million</v>
      </c>
    </row>
    <row r="66" ht="15.75" customHeight="1">
      <c r="A66" s="1" t="str">
        <f>IFERROR(__xludf.DUMMYFUNCTION("""COMPUTED_VALUE"""),"170 CRV/USDT Binance")</f>
        <v>170 CRV/USDT Binance</v>
      </c>
      <c r="B66" s="2">
        <f>IFERROR(__xludf.DUMMYFUNCTION("""COMPUTED_VALUE"""),0.529)</f>
        <v>0.529</v>
      </c>
      <c r="C66" s="1" t="str">
        <f>IFERROR(__xludf.DUMMYFUNCTION("""COMPUTED_VALUE"""),"$ 7.24 million")</f>
        <v>$ 7.24 million</v>
      </c>
    </row>
    <row r="67" ht="15.75" customHeight="1">
      <c r="A67" s="1" t="str">
        <f>IFERROR(__xludf.DUMMYFUNCTION("""COMPUTED_VALUE"""),"171 ZIL/USDT Binance")</f>
        <v>171 ZIL/USDT Binance</v>
      </c>
      <c r="B67" s="2">
        <f>IFERROR(__xludf.DUMMYFUNCTION("""COMPUTED_VALUE"""),0.0229)</f>
        <v>0.0229</v>
      </c>
      <c r="C67" s="1" t="str">
        <f>IFERROR(__xludf.DUMMYFUNCTION("""COMPUTED_VALUE"""),"$ 7.22 million")</f>
        <v>$ 7.22 million</v>
      </c>
    </row>
    <row r="68" ht="15.75" customHeight="1">
      <c r="A68" s="1" t="str">
        <f>IFERROR(__xludf.DUMMYFUNCTION("""COMPUTED_VALUE"""),"172 RAY/USDT Binance")</f>
        <v>172 RAY/USDT Binance</v>
      </c>
      <c r="B68" s="2">
        <f>IFERROR(__xludf.DUMMYFUNCTION("""COMPUTED_VALUE"""),1.09)</f>
        <v>1.09</v>
      </c>
      <c r="C68" s="1" t="str">
        <f>IFERROR(__xludf.DUMMYFUNCTION("""COMPUTED_VALUE"""),"$ 7.04 million")</f>
        <v>$ 7.04 million</v>
      </c>
    </row>
    <row r="69" ht="15.75" customHeight="1">
      <c r="A69" s="1" t="str">
        <f>IFERROR(__xludf.DUMMYFUNCTION("""COMPUTED_VALUE"""),"35 OP/USDT Binance")</f>
        <v>35 OP/USDT Binance</v>
      </c>
      <c r="B69" s="2">
        <f>IFERROR(__xludf.DUMMYFUNCTION("""COMPUTED_VALUE"""),3.85)</f>
        <v>3.85</v>
      </c>
      <c r="C69" s="1" t="str">
        <f>IFERROR(__xludf.DUMMYFUNCTION("""COMPUTED_VALUE"""),"$ 69.67 million")</f>
        <v>$ 69.67 million</v>
      </c>
    </row>
    <row r="70" ht="15.75" customHeight="1">
      <c r="A70" s="1" t="str">
        <f>IFERROR(__xludf.DUMMYFUNCTION("""COMPUTED_VALUE"""),"36 AI/USDT Binance")</f>
        <v>36 AI/USDT Binance</v>
      </c>
      <c r="B70" s="2">
        <f>IFERROR(__xludf.DUMMYFUNCTION("""COMPUTED_VALUE"""),1.58)</f>
        <v>1.58</v>
      </c>
      <c r="C70" s="1" t="str">
        <f>IFERROR(__xludf.DUMMYFUNCTION("""COMPUTED_VALUE"""),"$ 68.99 million")</f>
        <v>$ 68.99 million</v>
      </c>
    </row>
    <row r="71" ht="15.75" customHeight="1">
      <c r="A71" s="1" t="str">
        <f>IFERROR(__xludf.DUMMYFUNCTION("""COMPUTED_VALUE"""),"37 LTC/USDT Binance")</f>
        <v>37 LTC/USDT Binance</v>
      </c>
      <c r="B71" s="2">
        <f>IFERROR(__xludf.DUMMYFUNCTION("""COMPUTED_VALUE"""),70.08)</f>
        <v>70.08</v>
      </c>
      <c r="C71" s="1" t="str">
        <f>IFERROR(__xludf.DUMMYFUNCTION("""COMPUTED_VALUE"""),"$ 62.05 million")</f>
        <v>$ 62.05 million</v>
      </c>
    </row>
    <row r="72" ht="15.75" customHeight="1">
      <c r="A72" s="1" t="str">
        <f>IFERROR(__xludf.DUMMYFUNCTION("""COMPUTED_VALUE"""),"38 PROM/USDT Binance")</f>
        <v>38 PROM/USDT Binance</v>
      </c>
      <c r="B72" s="2">
        <f>IFERROR(__xludf.DUMMYFUNCTION("""COMPUTED_VALUE"""),11.34)</f>
        <v>11.34</v>
      </c>
      <c r="C72" s="1" t="str">
        <f>IFERROR(__xludf.DUMMYFUNCTION("""COMPUTED_VALUE"""),"$ 61.98 million")</f>
        <v>$ 61.98 million</v>
      </c>
    </row>
    <row r="73" ht="15.75" customHeight="1">
      <c r="A73" s="1" t="str">
        <f>IFERROR(__xludf.DUMMYFUNCTION("""COMPUTED_VALUE"""),"39 TIA/USDT Binance")</f>
        <v>39 TIA/USDT Binance</v>
      </c>
      <c r="B73" s="2">
        <f>IFERROR(__xludf.DUMMYFUNCTION("""COMPUTED_VALUE"""),18.68)</f>
        <v>18.68</v>
      </c>
      <c r="C73" s="1" t="str">
        <f>IFERROR(__xludf.DUMMYFUNCTION("""COMPUTED_VALUE"""),"$ 61.62 million")</f>
        <v>$ 61.62 million</v>
      </c>
    </row>
    <row r="74" ht="15.75" customHeight="1">
      <c r="A74" s="1" t="str">
        <f>IFERROR(__xludf.DUMMYFUNCTION("""COMPUTED_VALUE"""),"40 RIF/USDT Binance")</f>
        <v>40 RIF/USDT Binance</v>
      </c>
      <c r="B74" s="2">
        <f>IFERROR(__xludf.DUMMYFUNCTION("""COMPUTED_VALUE"""),0.236)</f>
        <v>0.236</v>
      </c>
      <c r="C74" s="1" t="str">
        <f>IFERROR(__xludf.DUMMYFUNCTION("""COMPUTED_VALUE"""),"$ 61.21 million")</f>
        <v>$ 61.21 million</v>
      </c>
    </row>
    <row r="75" ht="15.75" customHeight="1">
      <c r="A75" s="1" t="str">
        <f>IFERROR(__xludf.DUMMYFUNCTION("""COMPUTED_VALUE"""),"41 MATIC/USDT Binance")</f>
        <v>41 MATIC/USDT Binance</v>
      </c>
      <c r="B75" s="2">
        <f>IFERROR(__xludf.DUMMYFUNCTION("""COMPUTED_VALUE"""),0.893)</f>
        <v>0.893</v>
      </c>
      <c r="C75" s="1" t="str">
        <f>IFERROR(__xludf.DUMMYFUNCTION("""COMPUTED_VALUE"""),"$ 60.64 million")</f>
        <v>$ 60.64 million</v>
      </c>
    </row>
    <row r="76" ht="15.75" customHeight="1">
      <c r="A76" s="1" t="str">
        <f>IFERROR(__xludf.DUMMYFUNCTION("""COMPUTED_VALUE"""),"173 LINK/FDUSD Binance")</f>
        <v>173 LINK/FDUSD Binance</v>
      </c>
      <c r="B76" s="2">
        <f>IFERROR(__xludf.DUMMYFUNCTION("""COMPUTED_VALUE"""),20.0)</f>
        <v>20</v>
      </c>
      <c r="C76" s="1" t="str">
        <f>IFERROR(__xludf.DUMMYFUNCTION("""COMPUTED_VALUE"""),"$ 6.97 million")</f>
        <v>$ 6.97 million</v>
      </c>
    </row>
    <row r="77" ht="15.75" customHeight="1">
      <c r="A77" s="1" t="str">
        <f>IFERROR(__xludf.DUMMYFUNCTION("""COMPUTED_VALUE"""),"174 AVAX/FDUSD Binance")</f>
        <v>174 AVAX/FDUSD Binance</v>
      </c>
      <c r="B77" s="2">
        <f>IFERROR(__xludf.DUMMYFUNCTION("""COMPUTED_VALUE"""),42.53)</f>
        <v>42.53</v>
      </c>
      <c r="C77" s="1" t="str">
        <f>IFERROR(__xludf.DUMMYFUNCTION("""COMPUTED_VALUE"""),"$ 6.81 million")</f>
        <v>$ 6.81 million</v>
      </c>
    </row>
    <row r="78" ht="15.75" customHeight="1">
      <c r="A78" s="1" t="str">
        <f>IFERROR(__xludf.DUMMYFUNCTION("""COMPUTED_VALUE"""),"175 NMR/USDT Binance")</f>
        <v>175 NMR/USDT Binance</v>
      </c>
      <c r="B78" s="2">
        <f>IFERROR(__xludf.DUMMYFUNCTION("""COMPUTED_VALUE"""),27.31)</f>
        <v>27.31</v>
      </c>
      <c r="C78" s="1" t="str">
        <f>IFERROR(__xludf.DUMMYFUNCTION("""COMPUTED_VALUE"""),"$ 6.62 million")</f>
        <v>$ 6.62 million</v>
      </c>
    </row>
    <row r="79" ht="15.75" customHeight="1">
      <c r="A79" s="1" t="str">
        <f>IFERROR(__xludf.DUMMYFUNCTION("""COMPUTED_VALUE"""),"176 AVAX/TRY Binance")</f>
        <v>176 AVAX/TRY Binance</v>
      </c>
      <c r="B79" s="2">
        <f>IFERROR(__xludf.DUMMYFUNCTION("""COMPUTED_VALUE"""),42.75)</f>
        <v>42.75</v>
      </c>
      <c r="C79" s="1" t="str">
        <f>IFERROR(__xludf.DUMMYFUNCTION("""COMPUTED_VALUE"""),"$ 6.59 million")</f>
        <v>$ 6.59 million</v>
      </c>
    </row>
    <row r="80" ht="15.75" customHeight="1">
      <c r="A80" s="1" t="str">
        <f>IFERROR(__xludf.DUMMYFUNCTION("""COMPUTED_VALUE"""),"177 DENT/USDT Binance")</f>
        <v>177 DENT/USDT Binance</v>
      </c>
      <c r="B80" s="2">
        <f>IFERROR(__xludf.DUMMYFUNCTION("""COMPUTED_VALUE"""),0.00125)</f>
        <v>0.00125</v>
      </c>
      <c r="C80" s="1" t="str">
        <f>IFERROR(__xludf.DUMMYFUNCTION("""COMPUTED_VALUE"""),"$ 6.51 million")</f>
        <v>$ 6.51 million</v>
      </c>
    </row>
    <row r="81" ht="15.75" customHeight="1">
      <c r="A81" s="1" t="str">
        <f>IFERROR(__xludf.DUMMYFUNCTION("""COMPUTED_VALUE"""),"178 NULS/USDT Binance")</f>
        <v>178 NULS/USDT Binance</v>
      </c>
      <c r="B81" s="2">
        <f>IFERROR(__xludf.DUMMYFUNCTION("""COMPUTED_VALUE"""),0.292)</f>
        <v>0.292</v>
      </c>
      <c r="C81" s="1" t="str">
        <f>IFERROR(__xludf.DUMMYFUNCTION("""COMPUTED_VALUE"""),"$ 6.50 million")</f>
        <v>$ 6.50 million</v>
      </c>
    </row>
    <row r="82" ht="15.75" customHeight="1">
      <c r="A82" s="1" t="str">
        <f>IFERROR(__xludf.DUMMYFUNCTION("""COMPUTED_VALUE"""),"179 LUNC/TRY Binance")</f>
        <v>179 LUNC/TRY Binance</v>
      </c>
      <c r="B82" s="2">
        <f>IFERROR(__xludf.DUMMYFUNCTION("""COMPUTED_VALUE"""),1.24E-4)</f>
        <v>0.000124</v>
      </c>
      <c r="C82" s="1" t="str">
        <f>IFERROR(__xludf.DUMMYFUNCTION("""COMPUTED_VALUE"""),"$ 6.47 million")</f>
        <v>$ 6.47 million</v>
      </c>
    </row>
    <row r="83" ht="15.75" customHeight="1">
      <c r="A83" s="1" t="str">
        <f>IFERROR(__xludf.DUMMYFUNCTION("""COMPUTED_VALUE"""),"180 GMX/USDT Binance")</f>
        <v>180 GMX/USDT Binance</v>
      </c>
      <c r="B83" s="2">
        <f>IFERROR(__xludf.DUMMYFUNCTION("""COMPUTED_VALUE"""),44.15)</f>
        <v>44.15</v>
      </c>
      <c r="C83" s="1" t="str">
        <f>IFERROR(__xludf.DUMMYFUNCTION("""COMPUTED_VALUE"""),"$ 6.38 million")</f>
        <v>$ 6.38 million</v>
      </c>
    </row>
    <row r="84" ht="15.75" customHeight="1">
      <c r="A84" s="1" t="str">
        <f>IFERROR(__xludf.DUMMYFUNCTION("""COMPUTED_VALUE"""),"181 GAL/USDT Binance")</f>
        <v>181 GAL/USDT Binance</v>
      </c>
      <c r="B84" s="2">
        <f>IFERROR(__xludf.DUMMYFUNCTION("""COMPUTED_VALUE"""),2.57)</f>
        <v>2.57</v>
      </c>
      <c r="C84" s="1" t="str">
        <f>IFERROR(__xludf.DUMMYFUNCTION("""COMPUTED_VALUE"""),"$ 6.32 million")</f>
        <v>$ 6.32 million</v>
      </c>
    </row>
    <row r="85" ht="15.75" customHeight="1">
      <c r="A85" s="1" t="str">
        <f>IFERROR(__xludf.DUMMYFUNCTION("""COMPUTED_VALUE"""),"182 GLMR/USDT Binance")</f>
        <v>182 GLMR/USDT Binance</v>
      </c>
      <c r="B85" s="2">
        <f>IFERROR(__xludf.DUMMYFUNCTION("""COMPUTED_VALUE"""),0.429)</f>
        <v>0.429</v>
      </c>
      <c r="C85" s="1" t="str">
        <f>IFERROR(__xludf.DUMMYFUNCTION("""COMPUTED_VALUE"""),"$ 6.25 million")</f>
        <v>$ 6.25 million</v>
      </c>
    </row>
    <row r="86" ht="15.75" customHeight="1">
      <c r="A86" s="1" t="str">
        <f>IFERROR(__xludf.DUMMYFUNCTION("""COMPUTED_VALUE"""),"183 AGIX/USDT Binance")</f>
        <v>183 AGIX/USDT Binance</v>
      </c>
      <c r="B86" s="2">
        <f>IFERROR(__xludf.DUMMYFUNCTION("""COMPUTED_VALUE"""),0.32)</f>
        <v>0.32</v>
      </c>
      <c r="C86" s="1" t="str">
        <f>IFERROR(__xludf.DUMMYFUNCTION("""COMPUTED_VALUE"""),"$ 6.25 million")</f>
        <v>$ 6.25 million</v>
      </c>
    </row>
    <row r="87" ht="15.75" customHeight="1">
      <c r="A87" s="1" t="str">
        <f>IFERROR(__xludf.DUMMYFUNCTION("""COMPUTED_VALUE"""),"184 WAVES/USDT Binance")</f>
        <v>184 WAVES/USDT Binance</v>
      </c>
      <c r="B87" s="2">
        <f>IFERROR(__xludf.DUMMYFUNCTION("""COMPUTED_VALUE"""),2.31)</f>
        <v>2.31</v>
      </c>
      <c r="C87" s="1" t="str">
        <f>IFERROR(__xludf.DUMMYFUNCTION("""COMPUTED_VALUE"""),"$ 6.14 million")</f>
        <v>$ 6.14 million</v>
      </c>
    </row>
    <row r="88" ht="15.75" customHeight="1">
      <c r="A88" s="1" t="str">
        <f>IFERROR(__xludf.DUMMYFUNCTION("""COMPUTED_VALUE"""),"185 MIOTA/USDT Binance")</f>
        <v>185 MIOTA/USDT Binance</v>
      </c>
      <c r="B88" s="2">
        <f>IFERROR(__xludf.DUMMYFUNCTION("""COMPUTED_VALUE"""),0.277)</f>
        <v>0.277</v>
      </c>
      <c r="C88" s="1" t="str">
        <f>IFERROR(__xludf.DUMMYFUNCTION("""COMPUTED_VALUE"""),"$ 6.11 million")</f>
        <v>$ 6.11 million</v>
      </c>
    </row>
    <row r="89" ht="15.75" customHeight="1">
      <c r="A89" s="1" t="str">
        <f>IFERROR(__xludf.DUMMYFUNCTION("""COMPUTED_VALUE"""),"186 TKO/USDT Binance")</f>
        <v>186 TKO/USDT Binance</v>
      </c>
      <c r="B89" s="2">
        <f>IFERROR(__xludf.DUMMYFUNCTION("""COMPUTED_VALUE"""),0.382)</f>
        <v>0.382</v>
      </c>
      <c r="C89" s="1" t="str">
        <f>IFERROR(__xludf.DUMMYFUNCTION("""COMPUTED_VALUE"""),"$ 6.08 million")</f>
        <v>$ 6.08 million</v>
      </c>
    </row>
    <row r="90" ht="15.75" customHeight="1">
      <c r="A90" s="1" t="str">
        <f>IFERROR(__xludf.DUMMYFUNCTION("""COMPUTED_VALUE"""),"42 BCH/USDT Binance")</f>
        <v>42 BCH/USDT Binance</v>
      </c>
      <c r="B90" s="2">
        <f>IFERROR(__xludf.DUMMYFUNCTION("""COMPUTED_VALUE"""),270.0)</f>
        <v>270</v>
      </c>
      <c r="C90" s="1" t="str">
        <f>IFERROR(__xludf.DUMMYFUNCTION("""COMPUTED_VALUE"""),"$ 58.14 million")</f>
        <v>$ 58.14 million</v>
      </c>
    </row>
    <row r="91" ht="15.75" customHeight="1">
      <c r="A91" s="1" t="str">
        <f>IFERROR(__xludf.DUMMYFUNCTION("""COMPUTED_VALUE"""),"43 BONK/USDT Binance")</f>
        <v>43 BONK/USDT Binance</v>
      </c>
      <c r="B91" s="2">
        <f>IFERROR(__xludf.DUMMYFUNCTION("""COMPUTED_VALUE"""),1.4E-5)</f>
        <v>0.000014</v>
      </c>
      <c r="C91" s="1" t="str">
        <f>IFERROR(__xludf.DUMMYFUNCTION("""COMPUTED_VALUE"""),"$ 56.81 million")</f>
        <v>$ 56.81 million</v>
      </c>
    </row>
    <row r="92" ht="15.75" customHeight="1">
      <c r="A92" s="1" t="str">
        <f>IFERROR(__xludf.DUMMYFUNCTION("""COMPUTED_VALUE"""),"44 PEPE/USDT Binance")</f>
        <v>44 PEPE/USDT Binance</v>
      </c>
      <c r="B92" s="2"/>
      <c r="C92" s="1" t="str">
        <f>IFERROR(__xludf.DUMMYFUNCTION("""COMPUTED_VALUE"""),"$ 55.06 million")</f>
        <v>$ 55.06 million</v>
      </c>
    </row>
    <row r="93" ht="15.75" customHeight="1">
      <c r="A93" s="1" t="str">
        <f>IFERROR(__xludf.DUMMYFUNCTION("""COMPUTED_VALUE"""),"45 BTC/USDC Binance")</f>
        <v>45 BTC/USDC Binance</v>
      </c>
      <c r="B93" s="2">
        <f>IFERROR(__xludf.DUMMYFUNCTION("""COMPUTED_VALUE"""),52428.37)</f>
        <v>52428.37</v>
      </c>
      <c r="C93" s="1" t="str">
        <f>IFERROR(__xludf.DUMMYFUNCTION("""COMPUTED_VALUE"""),"$ 54.59 million")</f>
        <v>$ 54.59 million</v>
      </c>
    </row>
    <row r="94" ht="15.75" customHeight="1">
      <c r="A94" s="1" t="str">
        <f>IFERROR(__xludf.DUMMYFUNCTION("""COMPUTED_VALUE"""),"46 TRX/USDT Binance")</f>
        <v>46 TRX/USDT Binance</v>
      </c>
      <c r="B94" s="2">
        <f>IFERROR(__xludf.DUMMYFUNCTION("""COMPUTED_VALUE"""),0.131)</f>
        <v>0.131</v>
      </c>
      <c r="C94" s="1" t="str">
        <f>IFERROR(__xludf.DUMMYFUNCTION("""COMPUTED_VALUE"""),"$ 54.29 million")</f>
        <v>$ 54.29 million</v>
      </c>
    </row>
    <row r="95" ht="15.75" customHeight="1">
      <c r="A95" s="1" t="str">
        <f>IFERROR(__xludf.DUMMYFUNCTION("""COMPUTED_VALUE"""),"47 WLD/USDT Binance")</f>
        <v>47 WLD/USDT Binance</v>
      </c>
      <c r="B95" s="2">
        <f>IFERROR(__xludf.DUMMYFUNCTION("""COMPUTED_VALUE"""),3.22)</f>
        <v>3.22</v>
      </c>
      <c r="C95" s="1" t="str">
        <f>IFERROR(__xludf.DUMMYFUNCTION("""COMPUTED_VALUE"""),"$ 54.01 million")</f>
        <v>$ 54.01 million</v>
      </c>
    </row>
    <row r="96" ht="15.75" customHeight="1">
      <c r="A96" s="1" t="str">
        <f>IFERROR(__xludf.DUMMYFUNCTION("""COMPUTED_VALUE"""),"6 SOL/USDT Binance")</f>
        <v>6 SOL/USDT Binance</v>
      </c>
      <c r="B96" s="2">
        <f>IFERROR(__xludf.DUMMYFUNCTION("""COMPUTED_VALUE"""),115.9)</f>
        <v>115.9</v>
      </c>
      <c r="C96" s="1" t="str">
        <f>IFERROR(__xludf.DUMMYFUNCTION("""COMPUTED_VALUE"""),"$ 537.47 million")</f>
        <v>$ 537.47 million</v>
      </c>
    </row>
    <row r="97" ht="15.75" customHeight="1">
      <c r="A97" s="1" t="str">
        <f>IFERROR(__xludf.DUMMYFUNCTION("""COMPUTED_VALUE"""),"48 ACE/USDT Binance")</f>
        <v>48 ACE/USDT Binance</v>
      </c>
      <c r="B97" s="2">
        <f>IFERROR(__xludf.DUMMYFUNCTION("""COMPUTED_VALUE"""),10.57)</f>
        <v>10.57</v>
      </c>
      <c r="C97" s="1" t="str">
        <f>IFERROR(__xludf.DUMMYFUNCTION("""COMPUTED_VALUE"""),"$ 53.87 million")</f>
        <v>$ 53.87 million</v>
      </c>
    </row>
    <row r="98" ht="15.75" customHeight="1">
      <c r="A98" s="1" t="str">
        <f>IFERROR(__xludf.DUMMYFUNCTION("""COMPUTED_VALUE"""),"7 USDC/USDT Binance")</f>
        <v>7 USDC/USDT Binance</v>
      </c>
      <c r="B98" s="2">
        <f>IFERROR(__xludf.DUMMYFUNCTION("""COMPUTED_VALUE"""),0.999)</f>
        <v>0.999</v>
      </c>
      <c r="C98" s="1" t="str">
        <f>IFERROR(__xludf.DUMMYFUNCTION("""COMPUTED_VALUE"""),"$ 522.06 million")</f>
        <v>$ 522.06 million</v>
      </c>
    </row>
    <row r="99" ht="15.75" customHeight="1">
      <c r="A99" s="1" t="str">
        <f>IFERROR(__xludf.DUMMYFUNCTION("""COMPUTED_VALUE"""),"49 KEY/USDT Binance")</f>
        <v>49 KEY/USDT Binance</v>
      </c>
      <c r="B99" s="2">
        <f>IFERROR(__xludf.DUMMYFUNCTION("""COMPUTED_VALUE"""),0.0075)</f>
        <v>0.0075</v>
      </c>
      <c r="C99" s="1" t="str">
        <f>IFERROR(__xludf.DUMMYFUNCTION("""COMPUTED_VALUE"""),"$ 52.31 million")</f>
        <v>$ 52.31 million</v>
      </c>
    </row>
    <row r="100" ht="15.75" customHeight="1">
      <c r="A100" s="1" t="str">
        <f>IFERROR(__xludf.DUMMYFUNCTION("""COMPUTED_VALUE"""),"50 NEAR/USDT Binance")</f>
        <v>50 NEAR/USDT Binance</v>
      </c>
      <c r="B100" s="2">
        <f>IFERROR(__xludf.DUMMYFUNCTION("""COMPUTED_VALUE"""),3.32)</f>
        <v>3.32</v>
      </c>
      <c r="C100" s="1" t="str">
        <f>IFERROR(__xludf.DUMMYFUNCTION("""COMPUTED_VALUE"""),"$ 51.54 million")</f>
        <v>$ 51.54 million</v>
      </c>
    </row>
    <row r="101" ht="15.75" customHeight="1">
      <c r="A101" s="1" t="str">
        <f>IFERROR(__xludf.DUMMYFUNCTION("""COMPUTED_VALUE"""),"51 DOT/USDT Binance")</f>
        <v>51 DOT/USDT Binance</v>
      </c>
      <c r="B101" s="2">
        <f>IFERROR(__xludf.DUMMYFUNCTION("""COMPUTED_VALUE"""),7.9)</f>
        <v>7.9</v>
      </c>
      <c r="C101" s="1" t="str">
        <f>IFERROR(__xludf.DUMMYFUNCTION("""COMPUTED_VALUE"""),"$ 50.81 million")</f>
        <v>$ 50.81 million</v>
      </c>
    </row>
    <row r="102" ht="15.75" customHeight="1">
      <c r="A102" s="1" t="str">
        <f>IFERROR(__xludf.DUMMYFUNCTION("""COMPUTED_VALUE"""),"187 CELO/USDT Binance")</f>
        <v>187 CELO/USDT Binance</v>
      </c>
      <c r="B102" s="2">
        <f>IFERROR(__xludf.DUMMYFUNCTION("""COMPUTED_VALUE"""),0.767)</f>
        <v>0.767</v>
      </c>
      <c r="C102" s="1" t="str">
        <f>IFERROR(__xludf.DUMMYFUNCTION("""COMPUTED_VALUE"""),"$ 5.99 million")</f>
        <v>$ 5.99 million</v>
      </c>
    </row>
    <row r="103" ht="15.75" customHeight="1">
      <c r="A103" s="1" t="str">
        <f>IFERROR(__xludf.DUMMYFUNCTION("""COMPUTED_VALUE"""),"188 ETH/TUSD Binance")</f>
        <v>188 ETH/TUSD Binance</v>
      </c>
      <c r="B103" s="2">
        <f>IFERROR(__xludf.DUMMYFUNCTION("""COMPUTED_VALUE"""),2794.38)</f>
        <v>2794.38</v>
      </c>
      <c r="C103" s="1" t="str">
        <f>IFERROR(__xludf.DUMMYFUNCTION("""COMPUTED_VALUE"""),"$ 5.81 million")</f>
        <v>$ 5.81 million</v>
      </c>
    </row>
    <row r="104" ht="15.75" customHeight="1">
      <c r="A104" s="1" t="str">
        <f>IFERROR(__xludf.DUMMYFUNCTION("""COMPUTED_VALUE"""),"189 HFT/USDT Binance")</f>
        <v>189 HFT/USDT Binance</v>
      </c>
      <c r="B104" s="2">
        <f>IFERROR(__xludf.DUMMYFUNCTION("""COMPUTED_VALUE"""),0.376)</f>
        <v>0.376</v>
      </c>
      <c r="C104" s="1" t="str">
        <f>IFERROR(__xludf.DUMMYFUNCTION("""COMPUTED_VALUE"""),"$ 5.80 million")</f>
        <v>$ 5.80 million</v>
      </c>
    </row>
    <row r="105" ht="15.75" customHeight="1">
      <c r="A105" s="1" t="str">
        <f>IFERROR(__xludf.DUMMYFUNCTION("""COMPUTED_VALUE"""),"190 STG/USDT Binance")</f>
        <v>190 STG/USDT Binance</v>
      </c>
      <c r="B105" s="2">
        <f>IFERROR(__xludf.DUMMYFUNCTION("""COMPUTED_VALUE"""),0.623)</f>
        <v>0.623</v>
      </c>
      <c r="C105" s="1" t="str">
        <f>IFERROR(__xludf.DUMMYFUNCTION("""COMPUTED_VALUE"""),"$ 5.74 million")</f>
        <v>$ 5.74 million</v>
      </c>
    </row>
    <row r="106" ht="15.75" customHeight="1">
      <c r="A106" s="1" t="str">
        <f>IFERROR(__xludf.DUMMYFUNCTION("""COMPUTED_VALUE"""),"191 VET/BTC Binance")</f>
        <v>191 VET/BTC Binance</v>
      </c>
      <c r="B106" s="2">
        <f>IFERROR(__xludf.DUMMYFUNCTION("""COMPUTED_VALUE"""),0.0461)</f>
        <v>0.0461</v>
      </c>
      <c r="C106" s="1" t="str">
        <f>IFERROR(__xludf.DUMMYFUNCTION("""COMPUTED_VALUE"""),"$ 5.70 million")</f>
        <v>$ 5.70 million</v>
      </c>
    </row>
    <row r="107" ht="15.75" customHeight="1">
      <c r="A107" s="1" t="str">
        <f>IFERROR(__xludf.DUMMYFUNCTION("""COMPUTED_VALUE"""),"192 UMA/TRY Binance")</f>
        <v>192 UMA/TRY Binance</v>
      </c>
      <c r="B107" s="2">
        <f>IFERROR(__xludf.DUMMYFUNCTION("""COMPUTED_VALUE"""),4.46)</f>
        <v>4.46</v>
      </c>
      <c r="C107" s="1" t="str">
        <f>IFERROR(__xludf.DUMMYFUNCTION("""COMPUTED_VALUE"""),"$ 5.67 million")</f>
        <v>$ 5.67 million</v>
      </c>
    </row>
    <row r="108" ht="15.75" customHeight="1">
      <c r="A108" s="1" t="str">
        <f>IFERROR(__xludf.DUMMYFUNCTION("""COMPUTED_VALUE"""),"193 HOOK/USDT Binance")</f>
        <v>193 HOOK/USDT Binance</v>
      </c>
      <c r="B108" s="2">
        <f>IFERROR(__xludf.DUMMYFUNCTION("""COMPUTED_VALUE"""),0.967)</f>
        <v>0.967</v>
      </c>
      <c r="C108" s="1" t="str">
        <f>IFERROR(__xludf.DUMMYFUNCTION("""COMPUTED_VALUE"""),"$ 5.67 million")</f>
        <v>$ 5.67 million</v>
      </c>
    </row>
    <row r="109" ht="15.75" customHeight="1">
      <c r="A109" s="1" t="str">
        <f>IFERROR(__xludf.DUMMYFUNCTION("""COMPUTED_VALUE"""),"194 OSMO/USDT Binance")</f>
        <v>194 OSMO/USDT Binance</v>
      </c>
      <c r="B109" s="2">
        <f>IFERROR(__xludf.DUMMYFUNCTION("""COMPUTED_VALUE"""),1.63)</f>
        <v>1.63</v>
      </c>
      <c r="C109" s="1" t="str">
        <f>IFERROR(__xludf.DUMMYFUNCTION("""COMPUTED_VALUE"""),"$ 5.61 million")</f>
        <v>$ 5.61 million</v>
      </c>
    </row>
    <row r="110" ht="15.75" customHeight="1">
      <c r="A110" s="1" t="str">
        <f>IFERROR(__xludf.DUMMYFUNCTION("""COMPUTED_VALUE"""),"195 REEF/USDT Binance")</f>
        <v>195 REEF/USDT Binance</v>
      </c>
      <c r="B110" s="2">
        <f>IFERROR(__xludf.DUMMYFUNCTION("""COMPUTED_VALUE"""),0.00171)</f>
        <v>0.00171</v>
      </c>
      <c r="C110" s="1" t="str">
        <f>IFERROR(__xludf.DUMMYFUNCTION("""COMPUTED_VALUE"""),"$ 5.59 million")</f>
        <v>$ 5.59 million</v>
      </c>
    </row>
    <row r="111" ht="15.75" customHeight="1">
      <c r="A111" s="1" t="str">
        <f>IFERROR(__xludf.DUMMYFUNCTION("""COMPUTED_VALUE"""),"196 AR/USDT Binance")</f>
        <v>196 AR/USDT Binance</v>
      </c>
      <c r="B111" s="2">
        <f>IFERROR(__xludf.DUMMYFUNCTION("""COMPUTED_VALUE"""),10.4)</f>
        <v>10.4</v>
      </c>
      <c r="C111" s="1" t="str">
        <f>IFERROR(__xludf.DUMMYFUNCTION("""COMPUTED_VALUE"""),"$ 5.55 million")</f>
        <v>$ 5.55 million</v>
      </c>
    </row>
    <row r="112" ht="15.75" customHeight="1">
      <c r="A112" s="1" t="str">
        <f>IFERROR(__xludf.DUMMYFUNCTION("""COMPUTED_VALUE"""),"197 PERP/USDT Binance")</f>
        <v>197 PERP/USDT Binance</v>
      </c>
      <c r="B112" s="2">
        <f>IFERROR(__xludf.DUMMYFUNCTION("""COMPUTED_VALUE"""),1.25)</f>
        <v>1.25</v>
      </c>
      <c r="C112" s="1" t="str">
        <f>IFERROR(__xludf.DUMMYFUNCTION("""COMPUTED_VALUE"""),"$ 5.54 million")</f>
        <v>$ 5.54 million</v>
      </c>
    </row>
    <row r="113" ht="15.75" customHeight="1">
      <c r="A113" s="1" t="str">
        <f>IFERROR(__xludf.DUMMYFUNCTION("""COMPUTED_VALUE"""),"198 ADA/BTC Binance")</f>
        <v>198 ADA/BTC Binance</v>
      </c>
      <c r="B113" s="2">
        <f>IFERROR(__xludf.DUMMYFUNCTION("""COMPUTED_VALUE"""),0.593)</f>
        <v>0.593</v>
      </c>
      <c r="C113" s="1" t="str">
        <f>IFERROR(__xludf.DUMMYFUNCTION("""COMPUTED_VALUE"""),"$ 5.49 million")</f>
        <v>$ 5.49 million</v>
      </c>
    </row>
    <row r="114" ht="15.75" customHeight="1">
      <c r="A114" s="1" t="str">
        <f>IFERROR(__xludf.DUMMYFUNCTION("""COMPUTED_VALUE"""),"199 EDU/USDT Binance")</f>
        <v>199 EDU/USDT Binance</v>
      </c>
      <c r="B114" s="2">
        <f>IFERROR(__xludf.DUMMYFUNCTION("""COMPUTED_VALUE"""),0.761)</f>
        <v>0.761</v>
      </c>
      <c r="C114" s="1" t="str">
        <f>IFERROR(__xludf.DUMMYFUNCTION("""COMPUTED_VALUE"""),"$ 5.46 million")</f>
        <v>$ 5.46 million</v>
      </c>
    </row>
    <row r="115" ht="15.75" customHeight="1">
      <c r="A115" s="1" t="str">
        <f>IFERROR(__xludf.DUMMYFUNCTION("""COMPUTED_VALUE"""),"200 MTL/USDT Binance")</f>
        <v>200 MTL/USDT Binance</v>
      </c>
      <c r="B115" s="2">
        <f>IFERROR(__xludf.DUMMYFUNCTION("""COMPUTED_VALUE"""),1.6)</f>
        <v>1.6</v>
      </c>
      <c r="C115" s="1" t="str">
        <f>IFERROR(__xludf.DUMMYFUNCTION("""COMPUTED_VALUE"""),"$ 5.44 million")</f>
        <v>$ 5.44 million</v>
      </c>
    </row>
    <row r="116" ht="15.75" customHeight="1">
      <c r="A116" s="1" t="str">
        <f>IFERROR(__xludf.DUMMYFUNCTION("""COMPUTED_VALUE"""),"201 VET/TRY Binance")</f>
        <v>201 VET/TRY Binance</v>
      </c>
      <c r="B116" s="2">
        <f>IFERROR(__xludf.DUMMYFUNCTION("""COMPUTED_VALUE"""),0.0463)</f>
        <v>0.0463</v>
      </c>
      <c r="C116" s="1" t="str">
        <f>IFERROR(__xludf.DUMMYFUNCTION("""COMPUTED_VALUE"""),"$ 5.39 million")</f>
        <v>$ 5.39 million</v>
      </c>
    </row>
    <row r="117" ht="15.75" customHeight="1">
      <c r="A117" s="1" t="str">
        <f>IFERROR(__xludf.DUMMYFUNCTION("""COMPUTED_VALUE"""),"202 MEME/TRY Binance")</f>
        <v>202 MEME/TRY Binance</v>
      </c>
      <c r="B117" s="2">
        <f>IFERROR(__xludf.DUMMYFUNCTION("""COMPUTED_VALUE"""),0.027)</f>
        <v>0.027</v>
      </c>
      <c r="C117" s="1" t="str">
        <f>IFERROR(__xludf.DUMMYFUNCTION("""COMPUTED_VALUE"""),"$ 5.38 million")</f>
        <v>$ 5.38 million</v>
      </c>
    </row>
    <row r="118" ht="15.75" customHeight="1">
      <c r="A118" s="1" t="str">
        <f>IFERROR(__xludf.DUMMYFUNCTION("""COMPUTED_VALUE"""),"203 THETA/USDT Binance")</f>
        <v>203 THETA/USDT Binance</v>
      </c>
      <c r="B118" s="2">
        <f>IFERROR(__xludf.DUMMYFUNCTION("""COMPUTED_VALUE"""),1.12)</f>
        <v>1.12</v>
      </c>
      <c r="C118" s="1" t="str">
        <f>IFERROR(__xludf.DUMMYFUNCTION("""COMPUTED_VALUE"""),"$ 5.37 million")</f>
        <v>$ 5.37 million</v>
      </c>
    </row>
    <row r="119" ht="15.75" customHeight="1">
      <c r="A119" s="1" t="str">
        <f>IFERROR(__xludf.DUMMYFUNCTION("""COMPUTED_VALUE"""),"204 DODO/USDT Binance")</f>
        <v>204 DODO/USDT Binance</v>
      </c>
      <c r="B119" s="2">
        <f>IFERROR(__xludf.DUMMYFUNCTION("""COMPUTED_VALUE"""),0.188)</f>
        <v>0.188</v>
      </c>
      <c r="C119" s="1" t="str">
        <f>IFERROR(__xludf.DUMMYFUNCTION("""COMPUTED_VALUE"""),"$ 5.15 million")</f>
        <v>$ 5.15 million</v>
      </c>
    </row>
    <row r="120" ht="15.75" customHeight="1">
      <c r="A120" s="1" t="str">
        <f>IFERROR(__xludf.DUMMYFUNCTION("""COMPUTED_VALUE"""),"205 USTC/TRY Binance")</f>
        <v>205 USTC/TRY Binance</v>
      </c>
      <c r="B120" s="2">
        <f>IFERROR(__xludf.DUMMYFUNCTION("""COMPUTED_VALUE"""),0.0329)</f>
        <v>0.0329</v>
      </c>
      <c r="C120" s="1" t="str">
        <f>IFERROR(__xludf.DUMMYFUNCTION("""COMPUTED_VALUE"""),"$ 5.13 million")</f>
        <v>$ 5.13 million</v>
      </c>
    </row>
    <row r="121" ht="15.75" customHeight="1">
      <c r="A121" s="1" t="str">
        <f>IFERROR(__xludf.DUMMYFUNCTION("""COMPUTED_VALUE"""),"206 AI/TRY Binance")</f>
        <v>206 AI/TRY Binance</v>
      </c>
      <c r="B121" s="2">
        <f>IFERROR(__xludf.DUMMYFUNCTION("""COMPUTED_VALUE"""),1.59)</f>
        <v>1.59</v>
      </c>
      <c r="C121" s="1" t="str">
        <f>IFERROR(__xludf.DUMMYFUNCTION("""COMPUTED_VALUE"""),"$ 5.10 million")</f>
        <v>$ 5.10 million</v>
      </c>
    </row>
    <row r="122" ht="15.75" customHeight="1">
      <c r="A122" s="1" t="str">
        <f>IFERROR(__xludf.DUMMYFUNCTION("""COMPUTED_VALUE"""),"207 WOO/USDT Binance")</f>
        <v>207 WOO/USDT Binance</v>
      </c>
      <c r="B122" s="2">
        <f>IFERROR(__xludf.DUMMYFUNCTION("""COMPUTED_VALUE"""),0.417)</f>
        <v>0.417</v>
      </c>
      <c r="C122" s="1" t="str">
        <f>IFERROR(__xludf.DUMMYFUNCTION("""COMPUTED_VALUE"""),"$ 5.09 million")</f>
        <v>$ 5.09 million</v>
      </c>
    </row>
    <row r="123" ht="15.75" customHeight="1">
      <c r="A123" s="1" t="str">
        <f>IFERROR(__xludf.DUMMYFUNCTION("""COMPUTED_VALUE"""),"208 HIGH/USDT Binance")</f>
        <v>208 HIGH/USDT Binance</v>
      </c>
      <c r="B123" s="2">
        <f>IFERROR(__xludf.DUMMYFUNCTION("""COMPUTED_VALUE"""),1.63)</f>
        <v>1.63</v>
      </c>
      <c r="C123" s="1" t="str">
        <f>IFERROR(__xludf.DUMMYFUNCTION("""COMPUTED_VALUE"""),"$ 5.08 million")</f>
        <v>$ 5.08 million</v>
      </c>
    </row>
    <row r="124" ht="15.75" customHeight="1">
      <c r="A124" s="1" t="str">
        <f>IFERROR(__xludf.DUMMYFUNCTION("""COMPUTED_VALUE"""),"209 SEI/TRY Binance")</f>
        <v>209 SEI/TRY Binance</v>
      </c>
      <c r="B124" s="2">
        <f>IFERROR(__xludf.DUMMYFUNCTION("""COMPUTED_VALUE"""),0.972)</f>
        <v>0.972</v>
      </c>
      <c r="C124" s="1" t="str">
        <f>IFERROR(__xludf.DUMMYFUNCTION("""COMPUTED_VALUE"""),"$ 5.03 million")</f>
        <v>$ 5.03 million</v>
      </c>
    </row>
    <row r="125" ht="15.75" customHeight="1">
      <c r="A125" s="1" t="str">
        <f>IFERROR(__xludf.DUMMYFUNCTION("""COMPUTED_VALUE"""),"210 REN/USDT Binance")</f>
        <v>210 REN/USDT Binance</v>
      </c>
      <c r="B125" s="2">
        <f>IFERROR(__xludf.DUMMYFUNCTION("""COMPUTED_VALUE"""),0.0665)</f>
        <v>0.0665</v>
      </c>
      <c r="C125" s="1" t="str">
        <f>IFERROR(__xludf.DUMMYFUNCTION("""COMPUTED_VALUE"""),"$ 5.01 million")</f>
        <v>$ 5.01 million</v>
      </c>
    </row>
    <row r="126" ht="15.75" customHeight="1">
      <c r="A126" s="1" t="str">
        <f>IFERROR(__xludf.DUMMYFUNCTION("""COMPUTED_VALUE"""),"52 RNDR/USDT Binance")</f>
        <v>52 RNDR/USDT Binance</v>
      </c>
      <c r="B126" s="2">
        <f>IFERROR(__xludf.DUMMYFUNCTION("""COMPUTED_VALUE"""),4.95)</f>
        <v>4.95</v>
      </c>
      <c r="C126" s="1" t="str">
        <f>IFERROR(__xludf.DUMMYFUNCTION("""COMPUTED_VALUE"""),"$ 48.93 million")</f>
        <v>$ 48.93 million</v>
      </c>
    </row>
    <row r="127" ht="15.75" customHeight="1">
      <c r="A127" s="1" t="str">
        <f>IFERROR(__xludf.DUMMYFUNCTION("""COMPUTED_VALUE"""),"53 USTC/USDT Binance")</f>
        <v>53 USTC/USDT Binance</v>
      </c>
      <c r="B127" s="2">
        <f>IFERROR(__xludf.DUMMYFUNCTION("""COMPUTED_VALUE"""),0.0328)</f>
        <v>0.0328</v>
      </c>
      <c r="C127" s="1" t="str">
        <f>IFERROR(__xludf.DUMMYFUNCTION("""COMPUTED_VALUE"""),"$ 48.26 million")</f>
        <v>$ 48.26 million</v>
      </c>
    </row>
    <row r="128" ht="15.75" customHeight="1">
      <c r="A128" s="1" t="str">
        <f>IFERROR(__xludf.DUMMYFUNCTION("""COMPUTED_VALUE"""),"54 BTC/TUSD Binance")</f>
        <v>54 BTC/TUSD Binance</v>
      </c>
      <c r="B128" s="2">
        <f>IFERROR(__xludf.DUMMYFUNCTION("""COMPUTED_VALUE"""),52368.99)</f>
        <v>52368.99</v>
      </c>
      <c r="C128" s="1" t="str">
        <f>IFERROR(__xludf.DUMMYFUNCTION("""COMPUTED_VALUE"""),"$ 45.69 million")</f>
        <v>$ 45.69 million</v>
      </c>
    </row>
    <row r="129" ht="15.75" customHeight="1">
      <c r="A129" s="1" t="str">
        <f>IFERROR(__xludf.DUMMYFUNCTION("""COMPUTED_VALUE"""),"55 SHIB/USDT Binance")</f>
        <v>55 SHIB/USDT Binance</v>
      </c>
      <c r="B129" s="2"/>
      <c r="C129" s="1" t="str">
        <f>IFERROR(__xludf.DUMMYFUNCTION("""COMPUTED_VALUE"""),"$ 43.37 million")</f>
        <v>$ 43.37 million</v>
      </c>
    </row>
    <row r="130" ht="15.75" customHeight="1">
      <c r="A130" s="1" t="str">
        <f>IFERROR(__xludf.DUMMYFUNCTION("""COMPUTED_VALUE"""),"56 AUCTION/USDT Binance")</f>
        <v>56 AUCTION/USDT Binance</v>
      </c>
      <c r="B130" s="2">
        <f>IFERROR(__xludf.DUMMYFUNCTION("""COMPUTED_VALUE"""),33.96)</f>
        <v>33.96</v>
      </c>
      <c r="C130" s="1" t="str">
        <f>IFERROR(__xludf.DUMMYFUNCTION("""COMPUTED_VALUE"""),"$ 42.50 million")</f>
        <v>$ 42.50 million</v>
      </c>
    </row>
    <row r="131" ht="15.75" customHeight="1">
      <c r="A131" s="1" t="str">
        <f>IFERROR(__xludf.DUMMYFUNCTION("""COMPUTED_VALUE"""),"57 FIL/USDT Binance")</f>
        <v>57 FIL/USDT Binance</v>
      </c>
      <c r="B131" s="2">
        <f>IFERROR(__xludf.DUMMYFUNCTION("""COMPUTED_VALUE"""),5.75)</f>
        <v>5.75</v>
      </c>
      <c r="C131" s="1" t="str">
        <f>IFERROR(__xludf.DUMMYFUNCTION("""COMPUTED_VALUE"""),"$ 40.62 million")</f>
        <v>$ 40.62 million</v>
      </c>
    </row>
    <row r="132" ht="15.75" customHeight="1">
      <c r="A132" s="1" t="str">
        <f>IFERROR(__xludf.DUMMYFUNCTION("""COMPUTED_VALUE"""),"58 XAI/USDT Binance")</f>
        <v>58 XAI/USDT Binance</v>
      </c>
      <c r="B132" s="2">
        <f>IFERROR(__xludf.DUMMYFUNCTION("""COMPUTED_VALUE"""),1.05)</f>
        <v>1.05</v>
      </c>
      <c r="C132" s="1" t="str">
        <f>IFERROR(__xludf.DUMMYFUNCTION("""COMPUTED_VALUE"""),"$ 40.42 million")</f>
        <v>$ 40.42 million</v>
      </c>
    </row>
    <row r="133" ht="15.75" customHeight="1">
      <c r="A133" s="1" t="str">
        <f>IFERROR(__xludf.DUMMYFUNCTION("""COMPUTED_VALUE"""),"211 RLC/USDT Binance")</f>
        <v>211 RLC/USDT Binance</v>
      </c>
      <c r="B133" s="2">
        <f>IFERROR(__xludf.DUMMYFUNCTION("""COMPUTED_VALUE"""),2.37)</f>
        <v>2.37</v>
      </c>
      <c r="C133" s="1" t="str">
        <f>IFERROR(__xludf.DUMMYFUNCTION("""COMPUTED_VALUE"""),"$ 4.97 million")</f>
        <v>$ 4.97 million</v>
      </c>
    </row>
    <row r="134" ht="15.75" customHeight="1">
      <c r="A134" s="1" t="str">
        <f>IFERROR(__xludf.DUMMYFUNCTION("""COMPUTED_VALUE"""),"212 MDT/USDT Binance")</f>
        <v>212 MDT/USDT Binance</v>
      </c>
      <c r="B134" s="2">
        <f>IFERROR(__xludf.DUMMYFUNCTION("""COMPUTED_VALUE"""),0.0601)</f>
        <v>0.0601</v>
      </c>
      <c r="C134" s="1" t="str">
        <f>IFERROR(__xludf.DUMMYFUNCTION("""COMPUTED_VALUE"""),"$ 4.91 million")</f>
        <v>$ 4.91 million</v>
      </c>
    </row>
    <row r="135" ht="15.75" customHeight="1">
      <c r="A135" s="1" t="str">
        <f>IFERROR(__xludf.DUMMYFUNCTION("""COMPUTED_VALUE"""),"213 DAR/USDT Binance")</f>
        <v>213 DAR/USDT Binance</v>
      </c>
      <c r="B135" s="2">
        <f>IFERROR(__xludf.DUMMYFUNCTION("""COMPUTED_VALUE"""),0.143)</f>
        <v>0.143</v>
      </c>
      <c r="C135" s="1" t="str">
        <f>IFERROR(__xludf.DUMMYFUNCTION("""COMPUTED_VALUE"""),"$ 4.83 million")</f>
        <v>$ 4.83 million</v>
      </c>
    </row>
    <row r="136" ht="15.75" customHeight="1">
      <c r="A136" s="1" t="str">
        <f>IFERROR(__xludf.DUMMYFUNCTION("""COMPUTED_VALUE"""),"214 FLOKI/USDT Binance")</f>
        <v>214 FLOKI/USDT Binance</v>
      </c>
      <c r="B136" s="2">
        <f>IFERROR(__xludf.DUMMYFUNCTION("""COMPUTED_VALUE"""),3.41E-5)</f>
        <v>0.0000341</v>
      </c>
      <c r="C136" s="1" t="str">
        <f>IFERROR(__xludf.DUMMYFUNCTION("""COMPUTED_VALUE"""),"$ 4.80 million")</f>
        <v>$ 4.80 million</v>
      </c>
    </row>
    <row r="137" ht="15.75" customHeight="1">
      <c r="A137" s="1" t="str">
        <f>IFERROR(__xludf.DUMMYFUNCTION("""COMPUTED_VALUE"""),"215 COMP/USDT Binance")</f>
        <v>215 COMP/USDT Binance</v>
      </c>
      <c r="B137" s="2">
        <f>IFERROR(__xludf.DUMMYFUNCTION("""COMPUTED_VALUE"""),57.82)</f>
        <v>57.82</v>
      </c>
      <c r="C137" s="1" t="str">
        <f>IFERROR(__xludf.DUMMYFUNCTION("""COMPUTED_VALUE"""),"$ 4.76 million")</f>
        <v>$ 4.76 million</v>
      </c>
    </row>
    <row r="138" ht="15.75" customHeight="1">
      <c r="A138" s="1" t="str">
        <f>IFERROR(__xludf.DUMMYFUNCTION("""COMPUTED_VALUE"""),"216 BTT/TRY Binance")</f>
        <v>216 BTT/TRY Binance</v>
      </c>
      <c r="B138" s="2"/>
      <c r="C138" s="1" t="str">
        <f>IFERROR(__xludf.DUMMYFUNCTION("""COMPUTED_VALUE"""),"$ 4.73 million")</f>
        <v>$ 4.73 million</v>
      </c>
    </row>
    <row r="139" ht="15.75" customHeight="1">
      <c r="A139" s="1" t="str">
        <f>IFERROR(__xludf.DUMMYFUNCTION("""COMPUTED_VALUE"""),"217 SOL/TRY Binance")</f>
        <v>217 SOL/TRY Binance</v>
      </c>
      <c r="B139" s="2">
        <f>IFERROR(__xludf.DUMMYFUNCTION("""COMPUTED_VALUE"""),116.5)</f>
        <v>116.5</v>
      </c>
      <c r="C139" s="1" t="str">
        <f>IFERROR(__xludf.DUMMYFUNCTION("""COMPUTED_VALUE"""),"$ 4.69 million")</f>
        <v>$ 4.69 million</v>
      </c>
    </row>
    <row r="140" ht="15.75" customHeight="1">
      <c r="A140" s="1" t="str">
        <f>IFERROR(__xludf.DUMMYFUNCTION("""COMPUTED_VALUE"""),"218 HOT/USDT Binance")</f>
        <v>218 HOT/USDT Binance</v>
      </c>
      <c r="B140" s="2">
        <f>IFERROR(__xludf.DUMMYFUNCTION("""COMPUTED_VALUE"""),0.00212)</f>
        <v>0.00212</v>
      </c>
      <c r="C140" s="1" t="str">
        <f>IFERROR(__xludf.DUMMYFUNCTION("""COMPUTED_VALUE"""),"$ 4.67 million")</f>
        <v>$ 4.67 million</v>
      </c>
    </row>
    <row r="141" ht="15.75" customHeight="1">
      <c r="A141" s="1" t="str">
        <f>IFERROR(__xludf.DUMMYFUNCTION("""COMPUTED_VALUE"""),"219 ARPA/USDT Binance")</f>
        <v>219 ARPA/USDT Binance</v>
      </c>
      <c r="B141" s="2">
        <f>IFERROR(__xludf.DUMMYFUNCTION("""COMPUTED_VALUE"""),0.0641)</f>
        <v>0.0641</v>
      </c>
      <c r="C141" s="1" t="str">
        <f>IFERROR(__xludf.DUMMYFUNCTION("""COMPUTED_VALUE"""),"$ 4.63 million")</f>
        <v>$ 4.63 million</v>
      </c>
    </row>
    <row r="142" ht="15.75" customHeight="1">
      <c r="A142" s="1" t="str">
        <f>IFERROR(__xludf.DUMMYFUNCTION("""COMPUTED_VALUE"""),"220 HIFI/USDT Binance")</f>
        <v>220 HIFI/USDT Binance</v>
      </c>
      <c r="B142" s="2">
        <f>IFERROR(__xludf.DUMMYFUNCTION("""COMPUTED_VALUE"""),0.631)</f>
        <v>0.631</v>
      </c>
      <c r="C142" s="1" t="str">
        <f>IFERROR(__xludf.DUMMYFUNCTION("""COMPUTED_VALUE"""),"$ 4.62 million")</f>
        <v>$ 4.62 million</v>
      </c>
    </row>
    <row r="143" ht="15.75" customHeight="1">
      <c r="A143" s="1" t="str">
        <f>IFERROR(__xludf.DUMMYFUNCTION("""COMPUTED_VALUE"""),"221 FRONT/USDT Binance")</f>
        <v>221 FRONT/USDT Binance</v>
      </c>
      <c r="B143" s="2">
        <f>IFERROR(__xludf.DUMMYFUNCTION("""COMPUTED_VALUE"""),0.528)</f>
        <v>0.528</v>
      </c>
      <c r="C143" s="1" t="str">
        <f>IFERROR(__xludf.DUMMYFUNCTION("""COMPUTED_VALUE"""),"$ 4.61 million")</f>
        <v>$ 4.61 million</v>
      </c>
    </row>
    <row r="144" ht="15.75" customHeight="1">
      <c r="A144" s="1" t="str">
        <f>IFERROR(__xludf.DUMMYFUNCTION("""COMPUTED_VALUE"""),"222 LEVER/TRY Binance")</f>
        <v>222 LEVER/TRY Binance</v>
      </c>
      <c r="B144" s="2">
        <f>IFERROR(__xludf.DUMMYFUNCTION("""COMPUTED_VALUE"""),0.00178)</f>
        <v>0.00178</v>
      </c>
      <c r="C144" s="1" t="str">
        <f>IFERROR(__xludf.DUMMYFUNCTION("""COMPUTED_VALUE"""),"$ 4.60 million")</f>
        <v>$ 4.60 million</v>
      </c>
    </row>
    <row r="145" ht="15.75" customHeight="1">
      <c r="A145" s="1" t="str">
        <f>IFERROR(__xludf.DUMMYFUNCTION("""COMPUTED_VALUE"""),"223 QNT/USDT Binance")</f>
        <v>223 QNT/USDT Binance</v>
      </c>
      <c r="B145" s="2">
        <f>IFERROR(__xludf.DUMMYFUNCTION("""COMPUTED_VALUE"""),108.3)</f>
        <v>108.3</v>
      </c>
      <c r="C145" s="1" t="str">
        <f>IFERROR(__xludf.DUMMYFUNCTION("""COMPUTED_VALUE"""),"$ 4.50 million")</f>
        <v>$ 4.50 million</v>
      </c>
    </row>
    <row r="146" ht="15.75" customHeight="1">
      <c r="A146" s="1" t="str">
        <f>IFERROR(__xludf.DUMMYFUNCTION("""COMPUTED_VALUE"""),"224 C98/USDT Binance")</f>
        <v>224 C98/USDT Binance</v>
      </c>
      <c r="B146" s="2">
        <f>IFERROR(__xludf.DUMMYFUNCTION("""COMPUTED_VALUE"""),0.281)</f>
        <v>0.281</v>
      </c>
      <c r="C146" s="1" t="str">
        <f>IFERROR(__xludf.DUMMYFUNCTION("""COMPUTED_VALUE"""),"$ 4.48 million")</f>
        <v>$ 4.48 million</v>
      </c>
    </row>
    <row r="147" ht="15.75" customHeight="1">
      <c r="A147" s="1" t="str">
        <f>IFERROR(__xludf.DUMMYFUNCTION("""COMPUTED_VALUE"""),"225 ALT/TRY Binance")</f>
        <v>225 ALT/TRY Binance</v>
      </c>
      <c r="B147" s="2">
        <f>IFERROR(__xludf.DUMMYFUNCTION("""COMPUTED_VALUE"""),0.402)</f>
        <v>0.402</v>
      </c>
      <c r="C147" s="1" t="str">
        <f>IFERROR(__xludf.DUMMYFUNCTION("""COMPUTED_VALUE"""),"$ 4.42 million")</f>
        <v>$ 4.42 million</v>
      </c>
    </row>
    <row r="148" ht="15.75" customHeight="1">
      <c r="A148" s="1" t="str">
        <f>IFERROR(__xludf.DUMMYFUNCTION("""COMPUTED_VALUE"""),"226 TIA/TRY Binance")</f>
        <v>226 TIA/TRY Binance</v>
      </c>
      <c r="B148" s="2">
        <f>IFERROR(__xludf.DUMMYFUNCTION("""COMPUTED_VALUE"""),18.77)</f>
        <v>18.77</v>
      </c>
      <c r="C148" s="1" t="str">
        <f>IFERROR(__xludf.DUMMYFUNCTION("""COMPUTED_VALUE"""),"$ 4.41 million")</f>
        <v>$ 4.41 million</v>
      </c>
    </row>
    <row r="149" ht="15.75" customHeight="1">
      <c r="A149" s="1" t="str">
        <f>IFERROR(__xludf.DUMMYFUNCTION("""COMPUTED_VALUE"""),"227 DUSK/USDT Binance")</f>
        <v>227 DUSK/USDT Binance</v>
      </c>
      <c r="B149" s="2">
        <f>IFERROR(__xludf.DUMMYFUNCTION("""COMPUTED_VALUE"""),0.329)</f>
        <v>0.329</v>
      </c>
      <c r="C149" s="1" t="str">
        <f>IFERROR(__xludf.DUMMYFUNCTION("""COMPUTED_VALUE"""),"$ 4.33 million")</f>
        <v>$ 4.33 million</v>
      </c>
    </row>
    <row r="150" ht="15.75" customHeight="1">
      <c r="A150" s="1" t="str">
        <f>IFERROR(__xludf.DUMMYFUNCTION("""COMPUTED_VALUE"""),"228 JASMY/USDT Binance")</f>
        <v>228 JASMY/USDT Binance</v>
      </c>
      <c r="B150" s="2">
        <f>IFERROR(__xludf.DUMMYFUNCTION("""COMPUTED_VALUE"""),0.00619)</f>
        <v>0.00619</v>
      </c>
      <c r="C150" s="1" t="str">
        <f>IFERROR(__xludf.DUMMYFUNCTION("""COMPUTED_VALUE"""),"$ 4.30 million")</f>
        <v>$ 4.30 million</v>
      </c>
    </row>
    <row r="151" ht="15.75" customHeight="1">
      <c r="A151" s="1" t="str">
        <f>IFERROR(__xludf.DUMMYFUNCTION("""COMPUTED_VALUE"""),"1 BTC/FDUSD Binance")</f>
        <v>1 BTC/FDUSD Binance</v>
      </c>
      <c r="B151" s="2">
        <f>IFERROR(__xludf.DUMMYFUNCTION("""COMPUTED_VALUE"""),52356.85)</f>
        <v>52356.85</v>
      </c>
      <c r="C151" s="1" t="str">
        <f>IFERROR(__xludf.DUMMYFUNCTION("""COMPUTED_VALUE"""),"$ 4.26 billion")</f>
        <v>$ 4.26 billion</v>
      </c>
    </row>
    <row r="152" ht="15.75" customHeight="1">
      <c r="A152" s="1" t="str">
        <f>IFERROR(__xludf.DUMMYFUNCTION("""COMPUTED_VALUE"""),"229 FDUSD/TRY Binance")</f>
        <v>229 FDUSD/TRY Binance</v>
      </c>
      <c r="B152" s="2">
        <f>IFERROR(__xludf.DUMMYFUNCTION("""COMPUTED_VALUE"""),1.01)</f>
        <v>1.01</v>
      </c>
      <c r="C152" s="1" t="str">
        <f>IFERROR(__xludf.DUMMYFUNCTION("""COMPUTED_VALUE"""),"$ 4.25 million")</f>
        <v>$ 4.25 million</v>
      </c>
    </row>
    <row r="153" ht="15.75" customHeight="1">
      <c r="A153" s="1" t="str">
        <f>IFERROR(__xludf.DUMMYFUNCTION("""COMPUTED_VALUE"""),"230 MBOX/USDT Binance")</f>
        <v>230 MBOX/USDT Binance</v>
      </c>
      <c r="B153" s="2">
        <f>IFERROR(__xludf.DUMMYFUNCTION("""COMPUTED_VALUE"""),0.341)</f>
        <v>0.341</v>
      </c>
      <c r="C153" s="1" t="str">
        <f>IFERROR(__xludf.DUMMYFUNCTION("""COMPUTED_VALUE"""),"$ 4.20 million")</f>
        <v>$ 4.20 million</v>
      </c>
    </row>
    <row r="154" ht="15.75" customHeight="1">
      <c r="A154" s="1" t="str">
        <f>IFERROR(__xludf.DUMMYFUNCTION("""COMPUTED_VALUE"""),"231 KDA/USDT Binance")</f>
        <v>231 KDA/USDT Binance</v>
      </c>
      <c r="B154" s="2">
        <f>IFERROR(__xludf.DUMMYFUNCTION("""COMPUTED_VALUE"""),1.13)</f>
        <v>1.13</v>
      </c>
      <c r="C154" s="1" t="str">
        <f>IFERROR(__xludf.DUMMYFUNCTION("""COMPUTED_VALUE"""),"$ 4.15 million")</f>
        <v>$ 4.15 million</v>
      </c>
    </row>
    <row r="155" ht="15.75" customHeight="1">
      <c r="A155" s="1" t="str">
        <f>IFERROR(__xludf.DUMMYFUNCTION("""COMPUTED_VALUE"""),"232 LRC/USDT Binance")</f>
        <v>232 LRC/USDT Binance</v>
      </c>
      <c r="B155" s="2">
        <f>IFERROR(__xludf.DUMMYFUNCTION("""COMPUTED_VALUE"""),0.252)</f>
        <v>0.252</v>
      </c>
      <c r="C155" s="1" t="str">
        <f>IFERROR(__xludf.DUMMYFUNCTION("""COMPUTED_VALUE"""),"$ 4.13 million")</f>
        <v>$ 4.13 million</v>
      </c>
    </row>
    <row r="156" ht="15.75" customHeight="1">
      <c r="A156" s="1" t="str">
        <f>IFERROR(__xludf.DUMMYFUNCTION("""COMPUTED_VALUE"""),"233 PYR/USDT Binance")</f>
        <v>233 PYR/USDT Binance</v>
      </c>
      <c r="B156" s="2">
        <f>IFERROR(__xludf.DUMMYFUNCTION("""COMPUTED_VALUE"""),6.96)</f>
        <v>6.96</v>
      </c>
      <c r="C156" s="1" t="str">
        <f>IFERROR(__xludf.DUMMYFUNCTION("""COMPUTED_VALUE"""),"$ 4.11 million")</f>
        <v>$ 4.11 million</v>
      </c>
    </row>
    <row r="157" ht="15.75" customHeight="1">
      <c r="A157" s="1" t="str">
        <f>IFERROR(__xludf.DUMMYFUNCTION("""COMPUTED_VALUE"""),"234 BCH/BTC Binance")</f>
        <v>234 BCH/BTC Binance</v>
      </c>
      <c r="B157" s="2">
        <f>IFERROR(__xludf.DUMMYFUNCTION("""COMPUTED_VALUE"""),269.67)</f>
        <v>269.67</v>
      </c>
      <c r="C157" s="1" t="str">
        <f>IFERROR(__xludf.DUMMYFUNCTION("""COMPUTED_VALUE"""),"$ 4.08 million")</f>
        <v>$ 4.08 million</v>
      </c>
    </row>
    <row r="158" ht="15.75" customHeight="1">
      <c r="A158" s="1" t="str">
        <f>IFERROR(__xludf.DUMMYFUNCTION("""COMPUTED_VALUE"""),"235 KSM/USDT Binance")</f>
        <v>235 KSM/USDT Binance</v>
      </c>
      <c r="B158" s="2">
        <f>IFERROR(__xludf.DUMMYFUNCTION("""COMPUTED_VALUE"""),46.27)</f>
        <v>46.27</v>
      </c>
      <c r="C158" s="1" t="str">
        <f>IFERROR(__xludf.DUMMYFUNCTION("""COMPUTED_VALUE"""),"$ 4.06 million")</f>
        <v>$ 4.06 million</v>
      </c>
    </row>
    <row r="159" ht="15.75" customHeight="1">
      <c r="A159" s="1" t="str">
        <f>IFERROR(__xludf.DUMMYFUNCTION("""COMPUTED_VALUE"""),"236 LINA/USDT Binance")</f>
        <v>236 LINA/USDT Binance</v>
      </c>
      <c r="B159" s="2">
        <f>IFERROR(__xludf.DUMMYFUNCTION("""COMPUTED_VALUE"""),0.00896)</f>
        <v>0.00896</v>
      </c>
      <c r="C159" s="1" t="str">
        <f>IFERROR(__xludf.DUMMYFUNCTION("""COMPUTED_VALUE"""),"$ 4.04 million")</f>
        <v>$ 4.04 million</v>
      </c>
    </row>
    <row r="160" ht="15.75" customHeight="1">
      <c r="A160" s="1" t="str">
        <f>IFERROR(__xludf.DUMMYFUNCTION("""COMPUTED_VALUE"""),"237 REI/USDT Binance")</f>
        <v>237 REI/USDT Binance</v>
      </c>
      <c r="B160" s="2">
        <f>IFERROR(__xludf.DUMMYFUNCTION("""COMPUTED_VALUE"""),0.0332)</f>
        <v>0.0332</v>
      </c>
      <c r="C160" s="1" t="str">
        <f>IFERROR(__xludf.DUMMYFUNCTION("""COMPUTED_VALUE"""),"$ 4.04 million")</f>
        <v>$ 4.04 million</v>
      </c>
    </row>
    <row r="161" ht="15.75" customHeight="1">
      <c r="A161" s="1" t="str">
        <f>IFERROR(__xludf.DUMMYFUNCTION("""COMPUTED_VALUE"""),"238 QI/USDT Binance")</f>
        <v>238 QI/USDT Binance</v>
      </c>
      <c r="B161" s="2">
        <f>IFERROR(__xludf.DUMMYFUNCTION("""COMPUTED_VALUE"""),0.0184)</f>
        <v>0.0184</v>
      </c>
      <c r="C161" s="1" t="str">
        <f>IFERROR(__xludf.DUMMYFUNCTION("""COMPUTED_VALUE"""),"$ 4.04 million")</f>
        <v>$ 4.04 million</v>
      </c>
    </row>
    <row r="162" ht="15.75" customHeight="1">
      <c r="A162" s="1" t="str">
        <f>IFERROR(__xludf.DUMMYFUNCTION("""COMPUTED_VALUE"""),"239 DOGE/BTC Binance")</f>
        <v>239 DOGE/BTC Binance</v>
      </c>
      <c r="B162" s="2">
        <f>IFERROR(__xludf.DUMMYFUNCTION("""COMPUTED_VALUE"""),0.0858)</f>
        <v>0.0858</v>
      </c>
      <c r="C162" s="1" t="str">
        <f>IFERROR(__xludf.DUMMYFUNCTION("""COMPUTED_VALUE"""),"$ 4.01 million")</f>
        <v>$ 4.01 million</v>
      </c>
    </row>
    <row r="163" ht="15.75" customHeight="1">
      <c r="A163" s="1" t="str">
        <f>IFERROR(__xludf.DUMMYFUNCTION("""COMPUTED_VALUE"""),"240 BAND/USDT Binance")</f>
        <v>240 BAND/USDT Binance</v>
      </c>
      <c r="B163" s="2">
        <f>IFERROR(__xludf.DUMMYFUNCTION("""COMPUTED_VALUE"""),2.02)</f>
        <v>2.02</v>
      </c>
      <c r="C163" s="1" t="str">
        <f>IFERROR(__xludf.DUMMYFUNCTION("""COMPUTED_VALUE"""),"$ 4.01 million")</f>
        <v>$ 4.01 million</v>
      </c>
    </row>
    <row r="164" ht="15.75" customHeight="1">
      <c r="A164" s="1" t="str">
        <f>IFERROR(__xludf.DUMMYFUNCTION("""COMPUTED_VALUE"""),"59 BLUR/USDT Binance")</f>
        <v>59 BLUR/USDT Binance</v>
      </c>
      <c r="B164" s="2">
        <f>IFERROR(__xludf.DUMMYFUNCTION("""COMPUTED_VALUE"""),0.756)</f>
        <v>0.756</v>
      </c>
      <c r="C164" s="1" t="str">
        <f>IFERROR(__xludf.DUMMYFUNCTION("""COMPUTED_VALUE"""),"$ 39.90 million")</f>
        <v>$ 39.90 million</v>
      </c>
    </row>
    <row r="165" ht="15.75" customHeight="1">
      <c r="A165" s="1" t="str">
        <f>IFERROR(__xludf.DUMMYFUNCTION("""COMPUTED_VALUE"""),"60 ICP/USDT Binance")</f>
        <v>60 ICP/USDT Binance</v>
      </c>
      <c r="B165" s="2">
        <f>IFERROR(__xludf.DUMMYFUNCTION("""COMPUTED_VALUE"""),13.38)</f>
        <v>13.38</v>
      </c>
      <c r="C165" s="1" t="str">
        <f>IFERROR(__xludf.DUMMYFUNCTION("""COMPUTED_VALUE"""),"$ 36.99 million")</f>
        <v>$ 36.99 million</v>
      </c>
    </row>
    <row r="166" ht="15.75" customHeight="1">
      <c r="A166" s="1" t="str">
        <f>IFERROR(__xludf.DUMMYFUNCTION("""COMPUTED_VALUE"""),"61 ETC/USDT Binance")</f>
        <v>61 ETC/USDT Binance</v>
      </c>
      <c r="B166" s="2">
        <f>IFERROR(__xludf.DUMMYFUNCTION("""COMPUTED_VALUE"""),26.84)</f>
        <v>26.84</v>
      </c>
      <c r="C166" s="1" t="str">
        <f>IFERROR(__xludf.DUMMYFUNCTION("""COMPUTED_VALUE"""),"$ 36.80 million")</f>
        <v>$ 36.80 million</v>
      </c>
    </row>
    <row r="167" ht="15.75" customHeight="1">
      <c r="A167" s="1" t="str">
        <f>IFERROR(__xludf.DUMMYFUNCTION("""COMPUTED_VALUE"""),"62 PYTH/USDT Binance")</f>
        <v>62 PYTH/USDT Binance</v>
      </c>
      <c r="B167" s="2">
        <f>IFERROR(__xludf.DUMMYFUNCTION("""COMPUTED_VALUE"""),0.635)</f>
        <v>0.635</v>
      </c>
      <c r="C167" s="1" t="str">
        <f>IFERROR(__xludf.DUMMYFUNCTION("""COMPUTED_VALUE"""),"$ 35.96 million")</f>
        <v>$ 35.96 million</v>
      </c>
    </row>
    <row r="168" ht="15.75" customHeight="1">
      <c r="A168" s="1" t="str">
        <f>IFERROR(__xludf.DUMMYFUNCTION("""COMPUTED_VALUE"""),"63 IMX/USDT Binance")</f>
        <v>63 IMX/USDT Binance</v>
      </c>
      <c r="B168" s="2">
        <f>IFERROR(__xludf.DUMMYFUNCTION("""COMPUTED_VALUE"""),3.17)</f>
        <v>3.17</v>
      </c>
      <c r="C168" s="1" t="str">
        <f>IFERROR(__xludf.DUMMYFUNCTION("""COMPUTED_VALUE"""),"$ 35.68 million")</f>
        <v>$ 35.68 million</v>
      </c>
    </row>
    <row r="169" ht="15.75" customHeight="1">
      <c r="A169" s="1" t="str">
        <f>IFERROR(__xludf.DUMMYFUNCTION("""COMPUTED_VALUE"""),"64 ATOM/USDT Binance")</f>
        <v>64 ATOM/USDT Binance</v>
      </c>
      <c r="B169" s="2">
        <f>IFERROR(__xludf.DUMMYFUNCTION("""COMPUTED_VALUE"""),10.24)</f>
        <v>10.24</v>
      </c>
      <c r="C169" s="1" t="str">
        <f>IFERROR(__xludf.DUMMYFUNCTION("""COMPUTED_VALUE"""),"$ 34.86 million")</f>
        <v>$ 34.86 million</v>
      </c>
    </row>
    <row r="170" ht="15.75" customHeight="1">
      <c r="A170" s="1" t="str">
        <f>IFERROR(__xludf.DUMMYFUNCTION("""COMPUTED_VALUE"""),"65 NTRN/USDT Binance")</f>
        <v>65 NTRN/USDT Binance</v>
      </c>
      <c r="B170" s="2">
        <f>IFERROR(__xludf.DUMMYFUNCTION("""COMPUTED_VALUE"""),1.71)</f>
        <v>1.71</v>
      </c>
      <c r="C170" s="1" t="str">
        <f>IFERROR(__xludf.DUMMYFUNCTION("""COMPUTED_VALUE"""),"$ 34.76 million")</f>
        <v>$ 34.76 million</v>
      </c>
    </row>
    <row r="171" ht="15.75" customHeight="1">
      <c r="A171" s="1" t="str">
        <f>IFERROR(__xludf.DUMMYFUNCTION("""COMPUTED_VALUE"""),"66 LUNC/USDT Binance")</f>
        <v>66 LUNC/USDT Binance</v>
      </c>
      <c r="B171" s="2">
        <f>IFERROR(__xludf.DUMMYFUNCTION("""COMPUTED_VALUE"""),1.24E-4)</f>
        <v>0.000124</v>
      </c>
      <c r="C171" s="1" t="str">
        <f>IFERROR(__xludf.DUMMYFUNCTION("""COMPUTED_VALUE"""),"$ 34.74 million")</f>
        <v>$ 34.74 million</v>
      </c>
    </row>
    <row r="172" ht="15.75" customHeight="1">
      <c r="A172" s="1" t="str">
        <f>IFERROR(__xludf.DUMMYFUNCTION("""COMPUTED_VALUE"""),"67 DYDX/USDT Binance")</f>
        <v>67 DYDX/USDT Binance</v>
      </c>
      <c r="B172" s="2">
        <f>IFERROR(__xludf.DUMMYFUNCTION("""COMPUTED_VALUE"""),3.11)</f>
        <v>3.11</v>
      </c>
      <c r="C172" s="1" t="str">
        <f>IFERROR(__xludf.DUMMYFUNCTION("""COMPUTED_VALUE"""),"$ 34.29 million")</f>
        <v>$ 34.29 million</v>
      </c>
    </row>
    <row r="173" ht="15.75" customHeight="1">
      <c r="A173" s="1" t="str">
        <f>IFERROR(__xludf.DUMMYFUNCTION("""COMPUTED_VALUE"""),"68 XRP/FDUSD Binance")</f>
        <v>68 XRP/FDUSD Binance</v>
      </c>
      <c r="B173" s="2">
        <f>IFERROR(__xludf.DUMMYFUNCTION("""COMPUTED_VALUE"""),0.55)</f>
        <v>0.55</v>
      </c>
      <c r="C173" s="1" t="str">
        <f>IFERROR(__xludf.DUMMYFUNCTION("""COMPUTED_VALUE"""),"$ 34.13 million")</f>
        <v>$ 34.13 million</v>
      </c>
    </row>
    <row r="174" ht="15.75" customHeight="1">
      <c r="A174" s="1" t="str">
        <f>IFERROR(__xludf.DUMMYFUNCTION("""COMPUTED_VALUE"""),"69 OM/USDT Binance")</f>
        <v>69 OM/USDT Binance</v>
      </c>
      <c r="B174" s="2">
        <f>IFERROR(__xludf.DUMMYFUNCTION("""COMPUTED_VALUE"""),0.275)</f>
        <v>0.275</v>
      </c>
      <c r="C174" s="1" t="str">
        <f>IFERROR(__xludf.DUMMYFUNCTION("""COMPUTED_VALUE"""),"$ 32.89 million")</f>
        <v>$ 32.89 million</v>
      </c>
    </row>
    <row r="175" ht="15.75" customHeight="1">
      <c r="A175" s="1" t="str">
        <f>IFERROR(__xludf.DUMMYFUNCTION("""COMPUTED_VALUE"""),"70 SUPER/USDT Binance")</f>
        <v>70 SUPER/USDT Binance</v>
      </c>
      <c r="B175" s="2">
        <f>IFERROR(__xludf.DUMMYFUNCTION("""COMPUTED_VALUE"""),1.13)</f>
        <v>1.13</v>
      </c>
      <c r="C175" s="1" t="str">
        <f>IFERROR(__xludf.DUMMYFUNCTION("""COMPUTED_VALUE"""),"$ 31.38 million")</f>
        <v>$ 31.38 million</v>
      </c>
    </row>
    <row r="176" ht="15.75" customHeight="1">
      <c r="A176" s="1" t="str">
        <f>IFERROR(__xludf.DUMMYFUNCTION("""COMPUTED_VALUE"""),"71 BAKE/USDT Binance")</f>
        <v>71 BAKE/USDT Binance</v>
      </c>
      <c r="B176" s="2">
        <f>IFERROR(__xludf.DUMMYFUNCTION("""COMPUTED_VALUE"""),0.422)</f>
        <v>0.422</v>
      </c>
      <c r="C176" s="1" t="str">
        <f>IFERROR(__xludf.DUMMYFUNCTION("""COMPUTED_VALUE"""),"$ 30.85 million")</f>
        <v>$ 30.85 million</v>
      </c>
    </row>
    <row r="177" ht="15.75" customHeight="1">
      <c r="A177" s="1" t="str">
        <f>IFERROR(__xludf.DUMMYFUNCTION("""COMPUTED_VALUE"""),"241 ENJ/USDT Binance")</f>
        <v>241 ENJ/USDT Binance</v>
      </c>
      <c r="B177" s="2">
        <f>IFERROR(__xludf.DUMMYFUNCTION("""COMPUTED_VALUE"""),0.328)</f>
        <v>0.328</v>
      </c>
      <c r="C177" s="1" t="str">
        <f>IFERROR(__xludf.DUMMYFUNCTION("""COMPUTED_VALUE"""),"$ 3.99 million")</f>
        <v>$ 3.99 million</v>
      </c>
    </row>
    <row r="178" ht="15.75" customHeight="1">
      <c r="A178" s="1" t="str">
        <f>IFERROR(__xludf.DUMMYFUNCTION("""COMPUTED_VALUE"""),"242 SOL/ETH Binance")</f>
        <v>242 SOL/ETH Binance</v>
      </c>
      <c r="B178" s="2">
        <f>IFERROR(__xludf.DUMMYFUNCTION("""COMPUTED_VALUE"""),115.87)</f>
        <v>115.87</v>
      </c>
      <c r="C178" s="1" t="str">
        <f>IFERROR(__xludf.DUMMYFUNCTION("""COMPUTED_VALUE"""),"$ 3.98 million")</f>
        <v>$ 3.98 million</v>
      </c>
    </row>
    <row r="179" ht="15.75" customHeight="1">
      <c r="A179" s="1" t="str">
        <f>IFERROR(__xludf.DUMMYFUNCTION("""COMPUTED_VALUE"""),"243 LPT/USDT Binance")</f>
        <v>243 LPT/USDT Binance</v>
      </c>
      <c r="B179" s="2">
        <f>IFERROR(__xludf.DUMMYFUNCTION("""COMPUTED_VALUE"""),8.12)</f>
        <v>8.12</v>
      </c>
      <c r="C179" s="1" t="str">
        <f>IFERROR(__xludf.DUMMYFUNCTION("""COMPUTED_VALUE"""),"$ 3.97 million")</f>
        <v>$ 3.97 million</v>
      </c>
    </row>
    <row r="180" ht="15.75" customHeight="1">
      <c r="A180" s="1" t="str">
        <f>IFERROR(__xludf.DUMMYFUNCTION("""COMPUTED_VALUE"""),"244 TRU/USDT Binance")</f>
        <v>244 TRU/USDT Binance</v>
      </c>
      <c r="B180" s="2">
        <f>IFERROR(__xludf.DUMMYFUNCTION("""COMPUTED_VALUE"""),0.0584)</f>
        <v>0.0584</v>
      </c>
      <c r="C180" s="1" t="str">
        <f>IFERROR(__xludf.DUMMYFUNCTION("""COMPUTED_VALUE"""),"$ 3.95 million")</f>
        <v>$ 3.95 million</v>
      </c>
    </row>
    <row r="181" ht="15.75" customHeight="1">
      <c r="A181" s="1" t="str">
        <f>IFERROR(__xludf.DUMMYFUNCTION("""COMPUTED_VALUE"""),"245 LSK/USDT Binance")</f>
        <v>245 LSK/USDT Binance</v>
      </c>
      <c r="B181" s="2">
        <f>IFERROR(__xludf.DUMMYFUNCTION("""COMPUTED_VALUE"""),1.37)</f>
        <v>1.37</v>
      </c>
      <c r="C181" s="1" t="str">
        <f>IFERROR(__xludf.DUMMYFUNCTION("""COMPUTED_VALUE"""),"$ 3.94 million")</f>
        <v>$ 3.94 million</v>
      </c>
    </row>
    <row r="182" ht="15.75" customHeight="1">
      <c r="A182" s="1" t="str">
        <f>IFERROR(__xludf.DUMMYFUNCTION("""COMPUTED_VALUE"""),"246 LTC/BTC Binance")</f>
        <v>246 LTC/BTC Binance</v>
      </c>
      <c r="B182" s="2">
        <f>IFERROR(__xludf.DUMMYFUNCTION("""COMPUTED_VALUE"""),70.04)</f>
        <v>70.04</v>
      </c>
      <c r="C182" s="1" t="str">
        <f>IFERROR(__xludf.DUMMYFUNCTION("""COMPUTED_VALUE"""),"$ 3.90 million")</f>
        <v>$ 3.90 million</v>
      </c>
    </row>
    <row r="183" ht="15.75" customHeight="1">
      <c r="A183" s="1" t="str">
        <f>IFERROR(__xludf.DUMMYFUNCTION("""COMPUTED_VALUE"""),"247 UNFI/USDT Binance")</f>
        <v>247 UNFI/USDT Binance</v>
      </c>
      <c r="B183" s="2">
        <f>IFERROR(__xludf.DUMMYFUNCTION("""COMPUTED_VALUE"""),6.52)</f>
        <v>6.52</v>
      </c>
      <c r="C183" s="1" t="str">
        <f>IFERROR(__xludf.DUMMYFUNCTION("""COMPUTED_VALUE"""),"$ 3.88 million")</f>
        <v>$ 3.88 million</v>
      </c>
    </row>
    <row r="184" ht="15.75" customHeight="1">
      <c r="A184" s="1" t="str">
        <f>IFERROR(__xludf.DUMMYFUNCTION("""COMPUTED_VALUE"""),"248 ACA/USDT Binance")</f>
        <v>248 ACA/USDT Binance</v>
      </c>
      <c r="B184" s="2">
        <f>IFERROR(__xludf.DUMMYFUNCTION("""COMPUTED_VALUE"""),0.117)</f>
        <v>0.117</v>
      </c>
      <c r="C184" s="1" t="str">
        <f>IFERROR(__xludf.DUMMYFUNCTION("""COMPUTED_VALUE"""),"$ 3.88 million")</f>
        <v>$ 3.88 million</v>
      </c>
    </row>
    <row r="185" ht="15.75" customHeight="1">
      <c r="A185" s="1" t="str">
        <f>IFERROR(__xludf.DUMMYFUNCTION("""COMPUTED_VALUE"""),"249 STRAX/USDT Binance")</f>
        <v>249 STRAX/USDT Binance</v>
      </c>
      <c r="B185" s="2">
        <f>IFERROR(__xludf.DUMMYFUNCTION("""COMPUTED_VALUE"""),0.992)</f>
        <v>0.992</v>
      </c>
      <c r="C185" s="1" t="str">
        <f>IFERROR(__xludf.DUMMYFUNCTION("""COMPUTED_VALUE"""),"$ 3.86 million")</f>
        <v>$ 3.86 million</v>
      </c>
    </row>
    <row r="186" ht="15.75" customHeight="1">
      <c r="A186" s="1" t="str">
        <f>IFERROR(__xludf.DUMMYFUNCTION("""COMPUTED_VALUE"""),"250 SOL/EUR Binance")</f>
        <v>250 SOL/EUR Binance</v>
      </c>
      <c r="B186" s="2">
        <f>IFERROR(__xludf.DUMMYFUNCTION("""COMPUTED_VALUE"""),116.06)</f>
        <v>116.06</v>
      </c>
      <c r="C186" s="1" t="str">
        <f>IFERROR(__xludf.DUMMYFUNCTION("""COMPUTED_VALUE"""),"$ 3.85 million")</f>
        <v>$ 3.85 million</v>
      </c>
    </row>
    <row r="187" ht="15.75" customHeight="1">
      <c r="A187" s="1" t="str">
        <f>IFERROR(__xludf.DUMMYFUNCTION("""COMPUTED_VALUE"""),"251 REQ/USDT Binance")</f>
        <v>251 REQ/USDT Binance</v>
      </c>
      <c r="B187" s="2">
        <f>IFERROR(__xludf.DUMMYFUNCTION("""COMPUTED_VALUE"""),0.113)</f>
        <v>0.113</v>
      </c>
      <c r="C187" s="1" t="str">
        <f>IFERROR(__xludf.DUMMYFUNCTION("""COMPUTED_VALUE"""),"$ 3.85 million")</f>
        <v>$ 3.85 million</v>
      </c>
    </row>
    <row r="188" ht="15.75" customHeight="1">
      <c r="A188" s="1" t="str">
        <f>IFERROR(__xludf.DUMMYFUNCTION("""COMPUTED_VALUE"""),"252 XTZ/USDT Binance")</f>
        <v>252 XTZ/USDT Binance</v>
      </c>
      <c r="B188" s="2">
        <f>IFERROR(__xludf.DUMMYFUNCTION("""COMPUTED_VALUE"""),1.09)</f>
        <v>1.09</v>
      </c>
      <c r="C188" s="1" t="str">
        <f>IFERROR(__xludf.DUMMYFUNCTION("""COMPUTED_VALUE"""),"$ 3.84 million")</f>
        <v>$ 3.84 million</v>
      </c>
    </row>
    <row r="189" ht="15.75" customHeight="1">
      <c r="A189" s="1" t="str">
        <f>IFERROR(__xludf.DUMMYFUNCTION("""COMPUTED_VALUE"""),"253 ORDI/BTC Binance")</f>
        <v>253 ORDI/BTC Binance</v>
      </c>
      <c r="B189" s="2">
        <f>IFERROR(__xludf.DUMMYFUNCTION("""COMPUTED_VALUE"""),70.46)</f>
        <v>70.46</v>
      </c>
      <c r="C189" s="1" t="str">
        <f>IFERROR(__xludf.DUMMYFUNCTION("""COMPUTED_VALUE"""),"$ 3.84 million")</f>
        <v>$ 3.84 million</v>
      </c>
    </row>
    <row r="190" ht="15.75" customHeight="1">
      <c r="A190" s="1" t="str">
        <f>IFERROR(__xludf.DUMMYFUNCTION("""COMPUTED_VALUE"""),"254 POLYX/USDT Binance")</f>
        <v>254 POLYX/USDT Binance</v>
      </c>
      <c r="B190" s="2">
        <f>IFERROR(__xludf.DUMMYFUNCTION("""COMPUTED_VALUE"""),0.174)</f>
        <v>0.174</v>
      </c>
      <c r="C190" s="1" t="str">
        <f>IFERROR(__xludf.DUMMYFUNCTION("""COMPUTED_VALUE"""),"$ 3.80 million")</f>
        <v>$ 3.80 million</v>
      </c>
    </row>
    <row r="191" ht="15.75" customHeight="1">
      <c r="A191" s="1" t="str">
        <f>IFERROR(__xludf.DUMMYFUNCTION("""COMPUTED_VALUE"""),"255 TLM/USDT Binance")</f>
        <v>255 TLM/USDT Binance</v>
      </c>
      <c r="B191" s="2">
        <f>IFERROR(__xludf.DUMMYFUNCTION("""COMPUTED_VALUE"""),0.0157)</f>
        <v>0.0157</v>
      </c>
      <c r="C191" s="1" t="str">
        <f>IFERROR(__xludf.DUMMYFUNCTION("""COMPUTED_VALUE"""),"$ 3.73 million")</f>
        <v>$ 3.73 million</v>
      </c>
    </row>
    <row r="192" ht="15.75" customHeight="1">
      <c r="A192" s="1" t="str">
        <f>IFERROR(__xludf.DUMMYFUNCTION("""COMPUTED_VALUE"""),"256 ETH/TRY Binance")</f>
        <v>256 ETH/TRY Binance</v>
      </c>
      <c r="B192" s="2">
        <f>IFERROR(__xludf.DUMMYFUNCTION("""COMPUTED_VALUE"""),2808.21)</f>
        <v>2808.21</v>
      </c>
      <c r="C192" s="1" t="str">
        <f>IFERROR(__xludf.DUMMYFUNCTION("""COMPUTED_VALUE"""),"$ 3.71 million")</f>
        <v>$ 3.71 million</v>
      </c>
    </row>
    <row r="193" ht="15.75" customHeight="1">
      <c r="A193" s="1" t="str">
        <f>IFERROR(__xludf.DUMMYFUNCTION("""COMPUTED_VALUE"""),"257 TWT/USDT Binance")</f>
        <v>257 TWT/USDT Binance</v>
      </c>
      <c r="B193" s="2">
        <f>IFERROR(__xludf.DUMMYFUNCTION("""COMPUTED_VALUE"""),1.21)</f>
        <v>1.21</v>
      </c>
      <c r="C193" s="1" t="str">
        <f>IFERROR(__xludf.DUMMYFUNCTION("""COMPUTED_VALUE"""),"$ 3.67 million")</f>
        <v>$ 3.67 million</v>
      </c>
    </row>
    <row r="194" ht="15.75" customHeight="1">
      <c r="A194" s="1" t="str">
        <f>IFERROR(__xludf.DUMMYFUNCTION("""COMPUTED_VALUE"""),"258 LQTY/USDT Binance")</f>
        <v>258 LQTY/USDT Binance</v>
      </c>
      <c r="B194" s="2">
        <f>IFERROR(__xludf.DUMMYFUNCTION("""COMPUTED_VALUE"""),1.51)</f>
        <v>1.51</v>
      </c>
      <c r="C194" s="1" t="str">
        <f>IFERROR(__xludf.DUMMYFUNCTION("""COMPUTED_VALUE"""),"$ 3.65 million")</f>
        <v>$ 3.65 million</v>
      </c>
    </row>
    <row r="195" ht="15.75" customHeight="1">
      <c r="A195" s="1" t="str">
        <f>IFERROR(__xludf.DUMMYFUNCTION("""COMPUTED_VALUE"""),"259 ONE/USDT Binance")</f>
        <v>259 ONE/USDT Binance</v>
      </c>
      <c r="B195" s="2">
        <f>IFERROR(__xludf.DUMMYFUNCTION("""COMPUTED_VALUE"""),0.0168)</f>
        <v>0.0168</v>
      </c>
      <c r="C195" s="1" t="str">
        <f>IFERROR(__xludf.DUMMYFUNCTION("""COMPUTED_VALUE"""),"$ 3.64 million")</f>
        <v>$ 3.64 million</v>
      </c>
    </row>
    <row r="196" ht="15.75" customHeight="1">
      <c r="A196" s="1" t="str">
        <f>IFERROR(__xludf.DUMMYFUNCTION("""COMPUTED_VALUE"""),"260 ONT/USDT Binance")</f>
        <v>260 ONT/USDT Binance</v>
      </c>
      <c r="B196" s="2">
        <f>IFERROR(__xludf.DUMMYFUNCTION("""COMPUTED_VALUE"""),0.259)</f>
        <v>0.259</v>
      </c>
      <c r="C196" s="1" t="str">
        <f>IFERROR(__xludf.DUMMYFUNCTION("""COMPUTED_VALUE"""),"$ 3.58 million")</f>
        <v>$ 3.58 million</v>
      </c>
    </row>
    <row r="197" ht="15.75" customHeight="1">
      <c r="A197" s="1" t="str">
        <f>IFERROR(__xludf.DUMMYFUNCTION("""COMPUTED_VALUE"""),"261 VANRY/USDT Binance")</f>
        <v>261 VANRY/USDT Binance</v>
      </c>
      <c r="B197" s="2">
        <f>IFERROR(__xludf.DUMMYFUNCTION("""COMPUTED_VALUE"""),0.0638)</f>
        <v>0.0638</v>
      </c>
      <c r="C197" s="1" t="str">
        <f>IFERROR(__xludf.DUMMYFUNCTION("""COMPUTED_VALUE"""),"$ 3.56 million")</f>
        <v>$ 3.56 million</v>
      </c>
    </row>
    <row r="198" ht="15.75" customHeight="1">
      <c r="A198" s="1" t="str">
        <f>IFERROR(__xludf.DUMMYFUNCTION("""COMPUTED_VALUE"""),"262 STMX/USDT Binance")</f>
        <v>262 STMX/USDT Binance</v>
      </c>
      <c r="B198" s="2">
        <f>IFERROR(__xludf.DUMMYFUNCTION("""COMPUTED_VALUE"""),0.00725)</f>
        <v>0.00725</v>
      </c>
      <c r="C198" s="1" t="str">
        <f>IFERROR(__xludf.DUMMYFUNCTION("""COMPUTED_VALUE"""),"$ 3.47 million")</f>
        <v>$ 3.47 million</v>
      </c>
    </row>
    <row r="199" ht="15.75" customHeight="1">
      <c r="A199" s="1" t="str">
        <f>IFERROR(__xludf.DUMMYFUNCTION("""COMPUTED_VALUE"""),"263 ETH/BRL Binance")</f>
        <v>263 ETH/BRL Binance</v>
      </c>
      <c r="B199" s="2">
        <f>IFERROR(__xludf.DUMMYFUNCTION("""COMPUTED_VALUE"""),2814.6)</f>
        <v>2814.6</v>
      </c>
      <c r="C199" s="1" t="str">
        <f>IFERROR(__xludf.DUMMYFUNCTION("""COMPUTED_VALUE"""),"$ 3.41 million")</f>
        <v>$ 3.41 million</v>
      </c>
    </row>
    <row r="200" ht="15.75" customHeight="1">
      <c r="A200" s="1" t="str">
        <f>IFERROR(__xludf.DUMMYFUNCTION("""COMPUTED_VALUE"""),"264 IOTX/USDT Binance")</f>
        <v>264 IOTX/USDT Binance</v>
      </c>
      <c r="B200" s="2">
        <f>IFERROR(__xludf.DUMMYFUNCTION("""COMPUTED_VALUE"""),0.0476)</f>
        <v>0.0476</v>
      </c>
      <c r="C200" s="1" t="str">
        <f>IFERROR(__xludf.DUMMYFUNCTION("""COMPUTED_VALUE"""),"$ 3.39 million")</f>
        <v>$ 3.39 million</v>
      </c>
    </row>
    <row r="201" ht="15.75" customHeight="1">
      <c r="A201" s="1" t="str">
        <f>IFERROR(__xludf.DUMMYFUNCTION("""COMPUTED_VALUE"""),"265 AVAX/USDC Binance")</f>
        <v>265 AVAX/USDC Binance</v>
      </c>
      <c r="B201" s="2">
        <f>IFERROR(__xludf.DUMMYFUNCTION("""COMPUTED_VALUE"""),42.55)</f>
        <v>42.55</v>
      </c>
      <c r="C201" s="1" t="str">
        <f>IFERROR(__xludf.DUMMYFUNCTION("""COMPUTED_VALUE"""),"$ 3.37 million")</f>
        <v>$ 3.37 million</v>
      </c>
    </row>
    <row r="202" ht="15.75" customHeight="1">
      <c r="A202" s="1" t="str">
        <f>IFERROR(__xludf.DUMMYFUNCTION("""COMPUTED_VALUE"""),"266 BLZ/USDT Binance")</f>
        <v>266 BLZ/USDT Binance</v>
      </c>
      <c r="B202" s="2">
        <f>IFERROR(__xludf.DUMMYFUNCTION("""COMPUTED_VALUE"""),0.335)</f>
        <v>0.335</v>
      </c>
      <c r="C202" s="1" t="str">
        <f>IFERROR(__xludf.DUMMYFUNCTION("""COMPUTED_VALUE"""),"$ 3.34 million")</f>
        <v>$ 3.34 million</v>
      </c>
    </row>
    <row r="203" ht="15.75" customHeight="1">
      <c r="A203" s="1" t="str">
        <f>IFERROR(__xludf.DUMMYFUNCTION("""COMPUTED_VALUE"""),"267 QKC/USDT Binance")</f>
        <v>267 QKC/USDT Binance</v>
      </c>
      <c r="B203" s="2">
        <f>IFERROR(__xludf.DUMMYFUNCTION("""COMPUTED_VALUE"""),0.0103)</f>
        <v>0.0103</v>
      </c>
      <c r="C203" s="1" t="str">
        <f>IFERROR(__xludf.DUMMYFUNCTION("""COMPUTED_VALUE"""),"$ 3.34 million")</f>
        <v>$ 3.34 million</v>
      </c>
    </row>
    <row r="204" ht="15.75" customHeight="1">
      <c r="A204" s="1" t="str">
        <f>IFERROR(__xludf.DUMMYFUNCTION("""COMPUTED_VALUE"""),"268 CLV/USDT Binance")</f>
        <v>268 CLV/USDT Binance</v>
      </c>
      <c r="B204" s="2">
        <f>IFERROR(__xludf.DUMMYFUNCTION("""COMPUTED_VALUE"""),0.0577)</f>
        <v>0.0577</v>
      </c>
      <c r="C204" s="1" t="str">
        <f>IFERROR(__xludf.DUMMYFUNCTION("""COMPUTED_VALUE"""),"$ 3.31 million")</f>
        <v>$ 3.31 million</v>
      </c>
    </row>
    <row r="205" ht="15.75" customHeight="1">
      <c r="A205" s="1" t="str">
        <f>IFERROR(__xludf.DUMMYFUNCTION("""COMPUTED_VALUE"""),"269 ARK/USDT Binance")</f>
        <v>269 ARK/USDT Binance</v>
      </c>
      <c r="B205" s="2">
        <f>IFERROR(__xludf.DUMMYFUNCTION("""COMPUTED_VALUE"""),0.89)</f>
        <v>0.89</v>
      </c>
      <c r="C205" s="1" t="str">
        <f>IFERROR(__xludf.DUMMYFUNCTION("""COMPUTED_VALUE"""),"$ 3.31 million")</f>
        <v>$ 3.31 million</v>
      </c>
    </row>
    <row r="206" ht="15.75" customHeight="1">
      <c r="A206" s="1" t="str">
        <f>IFERROR(__xludf.DUMMYFUNCTION("""COMPUTED_VALUE"""),"270 AMB/USDT Binance")</f>
        <v>270 AMB/USDT Binance</v>
      </c>
      <c r="B206" s="2">
        <f>IFERROR(__xludf.DUMMYFUNCTION("""COMPUTED_VALUE"""),0.0086)</f>
        <v>0.0086</v>
      </c>
      <c r="C206" s="1" t="str">
        <f>IFERROR(__xludf.DUMMYFUNCTION("""COMPUTED_VALUE"""),"$ 3.30 million")</f>
        <v>$ 3.30 million</v>
      </c>
    </row>
    <row r="207" ht="15.75" customHeight="1">
      <c r="A207" s="1" t="str">
        <f>IFERROR(__xludf.DUMMYFUNCTION("""COMPUTED_VALUE"""),"271 PHB/USDT Binance")</f>
        <v>271 PHB/USDT Binance</v>
      </c>
      <c r="B207" s="2">
        <f>IFERROR(__xludf.DUMMYFUNCTION("""COMPUTED_VALUE"""),1.12)</f>
        <v>1.12</v>
      </c>
      <c r="C207" s="1" t="str">
        <f>IFERROR(__xludf.DUMMYFUNCTION("""COMPUTED_VALUE"""),"$ 3.30 million")</f>
        <v>$ 3.30 million</v>
      </c>
    </row>
    <row r="208" ht="15.75" customHeight="1">
      <c r="A208" s="1" t="str">
        <f>IFERROR(__xludf.DUMMYFUNCTION("""COMPUTED_VALUE"""),"272 CVP/USDT Binance")</f>
        <v>272 CVP/USDT Binance</v>
      </c>
      <c r="B208" s="2">
        <f>IFERROR(__xludf.DUMMYFUNCTION("""COMPUTED_VALUE"""),0.459)</f>
        <v>0.459</v>
      </c>
      <c r="C208" s="1" t="str">
        <f>IFERROR(__xludf.DUMMYFUNCTION("""COMPUTED_VALUE"""),"$ 3.29 million")</f>
        <v>$ 3.29 million</v>
      </c>
    </row>
    <row r="209" ht="15.75" customHeight="1">
      <c r="A209" s="1" t="str">
        <f>IFERROR(__xludf.DUMMYFUNCTION("""COMPUTED_VALUE"""),"273 XMR/BTC Binance")</f>
        <v>273 XMR/BTC Binance</v>
      </c>
      <c r="B209" s="2">
        <f>IFERROR(__xludf.DUMMYFUNCTION("""COMPUTED_VALUE"""),126.93)</f>
        <v>126.93</v>
      </c>
      <c r="C209" s="1" t="str">
        <f>IFERROR(__xludf.DUMMYFUNCTION("""COMPUTED_VALUE"""),"$ 3.27 million")</f>
        <v>$ 3.27 million</v>
      </c>
    </row>
    <row r="210" ht="15.75" customHeight="1">
      <c r="A210" s="1" t="str">
        <f>IFERROR(__xludf.DUMMYFUNCTION("""COMPUTED_VALUE"""),"274 SHIB/TRY Binance")</f>
        <v>274 SHIB/TRY Binance</v>
      </c>
      <c r="B210" s="2"/>
      <c r="C210" s="1" t="str">
        <f>IFERROR(__xludf.DUMMYFUNCTION("""COMPUTED_VALUE"""),"$ 3.27 million")</f>
        <v>$ 3.27 million</v>
      </c>
    </row>
    <row r="211" ht="15.75" customHeight="1">
      <c r="A211" s="1" t="str">
        <f>IFERROR(__xludf.DUMMYFUNCTION("""COMPUTED_VALUE"""),"275 FIO/USDT Binance")</f>
        <v>275 FIO/USDT Binance</v>
      </c>
      <c r="B211" s="2">
        <f>IFERROR(__xludf.DUMMYFUNCTION("""COMPUTED_VALUE"""),0.036)</f>
        <v>0.036</v>
      </c>
      <c r="C211" s="1" t="str">
        <f>IFERROR(__xludf.DUMMYFUNCTION("""COMPUTED_VALUE"""),"$ 3.24 million")</f>
        <v>$ 3.24 million</v>
      </c>
    </row>
    <row r="212" ht="15.75" customHeight="1">
      <c r="A212" s="1" t="str">
        <f>IFERROR(__xludf.DUMMYFUNCTION("""COMPUTED_VALUE"""),"276 SUI/BTC Binance")</f>
        <v>276 SUI/BTC Binance</v>
      </c>
      <c r="B212" s="2">
        <f>IFERROR(__xludf.DUMMYFUNCTION("""COMPUTED_VALUE"""),1.89)</f>
        <v>1.89</v>
      </c>
      <c r="C212" s="1" t="str">
        <f>IFERROR(__xludf.DUMMYFUNCTION("""COMPUTED_VALUE"""),"$ 3.21 million")</f>
        <v>$ 3.21 million</v>
      </c>
    </row>
    <row r="213" ht="15.75" customHeight="1">
      <c r="A213" s="1" t="str">
        <f>IFERROR(__xludf.DUMMYFUNCTION("""COMPUTED_VALUE"""),"277 JST/USDT Binance")</f>
        <v>277 JST/USDT Binance</v>
      </c>
      <c r="B213" s="2">
        <f>IFERROR(__xludf.DUMMYFUNCTION("""COMPUTED_VALUE"""),0.034)</f>
        <v>0.034</v>
      </c>
      <c r="C213" s="1" t="str">
        <f>IFERROR(__xludf.DUMMYFUNCTION("""COMPUTED_VALUE"""),"$ 3.20 million")</f>
        <v>$ 3.20 million</v>
      </c>
    </row>
    <row r="214" ht="15.75" customHeight="1">
      <c r="A214" s="1" t="str">
        <f>IFERROR(__xludf.DUMMYFUNCTION("""COMPUTED_VALUE"""),"278 WING/USDT Binance")</f>
        <v>278 WING/USDT Binance</v>
      </c>
      <c r="B214" s="2">
        <f>IFERROR(__xludf.DUMMYFUNCTION("""COMPUTED_VALUE"""),8.89)</f>
        <v>8.89</v>
      </c>
      <c r="C214" s="1" t="str">
        <f>IFERROR(__xludf.DUMMYFUNCTION("""COMPUTED_VALUE"""),"$ 3.17 million")</f>
        <v>$ 3.17 million</v>
      </c>
    </row>
    <row r="215" ht="15.75" customHeight="1">
      <c r="A215" s="1" t="str">
        <f>IFERROR(__xludf.DUMMYFUNCTION("""COMPUTED_VALUE"""),"279 XRP/TRY Binance")</f>
        <v>279 XRP/TRY Binance</v>
      </c>
      <c r="B215" s="2">
        <f>IFERROR(__xludf.DUMMYFUNCTION("""COMPUTED_VALUE"""),0.553)</f>
        <v>0.553</v>
      </c>
      <c r="C215" s="1" t="str">
        <f>IFERROR(__xludf.DUMMYFUNCTION("""COMPUTED_VALUE"""),"$ 3.14 million")</f>
        <v>$ 3.14 million</v>
      </c>
    </row>
    <row r="216" ht="15.75" customHeight="1">
      <c r="A216" s="1" t="str">
        <f>IFERROR(__xludf.DUMMYFUNCTION("""COMPUTED_VALUE"""),"280 SXP/USDT Binance")</f>
        <v>280 SXP/USDT Binance</v>
      </c>
      <c r="B216" s="2">
        <f>IFERROR(__xludf.DUMMYFUNCTION("""COMPUTED_VALUE"""),0.341)</f>
        <v>0.341</v>
      </c>
      <c r="C216" s="1" t="str">
        <f>IFERROR(__xludf.DUMMYFUNCTION("""COMPUTED_VALUE"""),"$ 3.13 million")</f>
        <v>$ 3.13 million</v>
      </c>
    </row>
    <row r="217" ht="15.75" customHeight="1">
      <c r="A217" s="1" t="str">
        <f>IFERROR(__xludf.DUMMYFUNCTION("""COMPUTED_VALUE"""),"281 TRX/BTC Binance")</f>
        <v>281 TRX/BTC Binance</v>
      </c>
      <c r="B217" s="2">
        <f>IFERROR(__xludf.DUMMYFUNCTION("""COMPUTED_VALUE"""),0.131)</f>
        <v>0.131</v>
      </c>
      <c r="C217" s="1" t="str">
        <f>IFERROR(__xludf.DUMMYFUNCTION("""COMPUTED_VALUE"""),"$ 3.08 million")</f>
        <v>$ 3.08 million</v>
      </c>
    </row>
    <row r="218" ht="15.75" customHeight="1">
      <c r="A218" s="1" t="str">
        <f>IFERROR(__xludf.DUMMYFUNCTION("""COMPUTED_VALUE"""),"282 ZEC/USDT Binance")</f>
        <v>282 ZEC/USDT Binance</v>
      </c>
      <c r="B218" s="2">
        <f>IFERROR(__xludf.DUMMYFUNCTION("""COMPUTED_VALUE"""),21.89)</f>
        <v>21.89</v>
      </c>
      <c r="C218" s="1" t="str">
        <f>IFERROR(__xludf.DUMMYFUNCTION("""COMPUTED_VALUE"""),"$ 3.07 million")</f>
        <v>$ 3.07 million</v>
      </c>
    </row>
    <row r="219" ht="15.75" customHeight="1">
      <c r="A219" s="1" t="str">
        <f>IFERROR(__xludf.DUMMYFUNCTION("""COMPUTED_VALUE"""),"283 ZRX/USDT Binance")</f>
        <v>283 ZRX/USDT Binance</v>
      </c>
      <c r="B219" s="2">
        <f>IFERROR(__xludf.DUMMYFUNCTION("""COMPUTED_VALUE"""),0.339)</f>
        <v>0.339</v>
      </c>
      <c r="C219" s="1" t="str">
        <f>IFERROR(__xludf.DUMMYFUNCTION("""COMPUTED_VALUE"""),"$ 3.03 million")</f>
        <v>$ 3.03 million</v>
      </c>
    </row>
    <row r="220" ht="15.75" customHeight="1">
      <c r="A220" s="1" t="str">
        <f>IFERROR(__xludf.DUMMYFUNCTION("""COMPUTED_VALUE"""),"284 DASH/USDT Binance")</f>
        <v>284 DASH/USDT Binance</v>
      </c>
      <c r="B220" s="2">
        <f>IFERROR(__xludf.DUMMYFUNCTION("""COMPUTED_VALUE"""),28.77)</f>
        <v>28.77</v>
      </c>
      <c r="C220" s="1" t="str">
        <f>IFERROR(__xludf.DUMMYFUNCTION("""COMPUTED_VALUE"""),"$ 3 million")</f>
        <v>$ 3 million</v>
      </c>
    </row>
    <row r="221" ht="15.75" customHeight="1">
      <c r="A221" s="1" t="str">
        <f>IFERROR(__xludf.DUMMYFUNCTION("""COMPUTED_VALUE"""),"72 LEVER/USDT Binance")</f>
        <v>72 LEVER/USDT Binance</v>
      </c>
      <c r="B221" s="2">
        <f>IFERROR(__xludf.DUMMYFUNCTION("""COMPUTED_VALUE"""),0.00177)</f>
        <v>0.00177</v>
      </c>
      <c r="C221" s="1" t="str">
        <f>IFERROR(__xludf.DUMMYFUNCTION("""COMPUTED_VALUE"""),"$ 29.48 million")</f>
        <v>$ 29.48 million</v>
      </c>
    </row>
    <row r="222" ht="15.75" customHeight="1">
      <c r="A222" s="1" t="str">
        <f>IFERROR(__xludf.DUMMYFUNCTION("""COMPUTED_VALUE"""),"73 NFP/USDT Binance")</f>
        <v>73 NFP/USDT Binance</v>
      </c>
      <c r="B222" s="2">
        <f>IFERROR(__xludf.DUMMYFUNCTION("""COMPUTED_VALUE"""),0.651)</f>
        <v>0.651</v>
      </c>
      <c r="C222" s="1" t="str">
        <f>IFERROR(__xludf.DUMMYFUNCTION("""COMPUTED_VALUE"""),"$ 29.40 million")</f>
        <v>$ 29.40 million</v>
      </c>
    </row>
    <row r="223" ht="15.75" customHeight="1">
      <c r="A223" s="1" t="str">
        <f>IFERROR(__xludf.DUMMYFUNCTION("""COMPUTED_VALUE"""),"8 XRP/USDT Binance")</f>
        <v>8 XRP/USDT Binance</v>
      </c>
      <c r="B223" s="2">
        <f>IFERROR(__xludf.DUMMYFUNCTION("""COMPUTED_VALUE"""),0.55)</f>
        <v>0.55</v>
      </c>
      <c r="C223" s="1" t="str">
        <f>IFERROR(__xludf.DUMMYFUNCTION("""COMPUTED_VALUE"""),"$ 286.48 million")</f>
        <v>$ 286.48 million</v>
      </c>
    </row>
    <row r="224" ht="15.75" customHeight="1">
      <c r="A224" s="1" t="str">
        <f>IFERROR(__xludf.DUMMYFUNCTION("""COMPUTED_VALUE"""),"74 EUR/USDT Binance")</f>
        <v>74 EUR/USDT Binance</v>
      </c>
      <c r="B224" s="2">
        <f>IFERROR(__xludf.DUMMYFUNCTION("""COMPUTED_VALUE"""),1.07)</f>
        <v>1.07</v>
      </c>
      <c r="C224" s="1" t="str">
        <f>IFERROR(__xludf.DUMMYFUNCTION("""COMPUTED_VALUE"""),"$ 28.48 million")</f>
        <v>$ 28.48 million</v>
      </c>
    </row>
    <row r="225" ht="15.75" customHeight="1">
      <c r="A225" s="1" t="str">
        <f>IFERROR(__xludf.DUMMYFUNCTION("""COMPUTED_VALUE"""),"75 SOL/BTC Binance")</f>
        <v>75 SOL/BTC Binance</v>
      </c>
      <c r="B225" s="2">
        <f>IFERROR(__xludf.DUMMYFUNCTION("""COMPUTED_VALUE"""),115.8)</f>
        <v>115.8</v>
      </c>
      <c r="C225" s="1" t="str">
        <f>IFERROR(__xludf.DUMMYFUNCTION("""COMPUTED_VALUE"""),"$ 28.29 million")</f>
        <v>$ 28.29 million</v>
      </c>
    </row>
    <row r="226" ht="15.75" customHeight="1">
      <c r="A226" s="1" t="str">
        <f>IFERROR(__xludf.DUMMYFUNCTION("""COMPUTED_VALUE"""),"9 CKB/USDT Binance")</f>
        <v>9 CKB/USDT Binance</v>
      </c>
      <c r="B226" s="2">
        <f>IFERROR(__xludf.DUMMYFUNCTION("""COMPUTED_VALUE"""),0.0136)</f>
        <v>0.0136</v>
      </c>
      <c r="C226" s="1" t="str">
        <f>IFERROR(__xludf.DUMMYFUNCTION("""COMPUTED_VALUE"""),"$ 272.59 million")</f>
        <v>$ 272.59 million</v>
      </c>
    </row>
    <row r="227" ht="15.75" customHeight="1">
      <c r="A227" s="1" t="str">
        <f>IFERROR(__xludf.DUMMYFUNCTION("""COMPUTED_VALUE"""),"76 UMA/USDT Binance")</f>
        <v>76 UMA/USDT Binance</v>
      </c>
      <c r="B227" s="2">
        <f>IFERROR(__xludf.DUMMYFUNCTION("""COMPUTED_VALUE"""),4.44)</f>
        <v>4.44</v>
      </c>
      <c r="C227" s="1" t="str">
        <f>IFERROR(__xludf.DUMMYFUNCTION("""COMPUTED_VALUE"""),"$ 27.87 million")</f>
        <v>$ 27.87 million</v>
      </c>
    </row>
    <row r="228" ht="15.75" customHeight="1">
      <c r="A228" s="1" t="str">
        <f>IFERROR(__xludf.DUMMYFUNCTION("""COMPUTED_VALUE"""),"77 ORN/USDT Binance")</f>
        <v>77 ORN/USDT Binance</v>
      </c>
      <c r="B228" s="2">
        <f>IFERROR(__xludf.DUMMYFUNCTION("""COMPUTED_VALUE"""),1.37)</f>
        <v>1.37</v>
      </c>
      <c r="C228" s="1" t="str">
        <f>IFERROR(__xludf.DUMMYFUNCTION("""COMPUTED_VALUE"""),"$ 27.61 million")</f>
        <v>$ 27.61 million</v>
      </c>
    </row>
    <row r="229" ht="15.75" customHeight="1">
      <c r="A229" s="1" t="str">
        <f>IFERROR(__xludf.DUMMYFUNCTION("""COMPUTED_VALUE"""),"78 BEAM/USDT Binance")</f>
        <v>78 BEAM/USDT Binance</v>
      </c>
      <c r="B229" s="2">
        <f>IFERROR(__xludf.DUMMYFUNCTION("""COMPUTED_VALUE"""),0.0304)</f>
        <v>0.0304</v>
      </c>
      <c r="C229" s="1" t="str">
        <f>IFERROR(__xludf.DUMMYFUNCTION("""COMPUTED_VALUE"""),"$ 27.21 million")</f>
        <v>$ 27.21 million</v>
      </c>
    </row>
    <row r="230" ht="15.75" customHeight="1">
      <c r="A230" s="1" t="str">
        <f>IFERROR(__xludf.DUMMYFUNCTION("""COMPUTED_VALUE"""),"79 TUSD/USDT Binance")</f>
        <v>79 TUSD/USDT Binance</v>
      </c>
      <c r="B230" s="2">
        <f>IFERROR(__xludf.DUMMYFUNCTION("""COMPUTED_VALUE"""),0.984)</f>
        <v>0.984</v>
      </c>
      <c r="C230" s="1" t="str">
        <f>IFERROR(__xludf.DUMMYFUNCTION("""COMPUTED_VALUE"""),"$ 27.06 million")</f>
        <v>$ 27.06 million</v>
      </c>
    </row>
    <row r="231" ht="15.75" customHeight="1">
      <c r="A231" s="1" t="str">
        <f>IFERROR(__xludf.DUMMYFUNCTION("""COMPUTED_VALUE"""),"80 ETH/USDC Binance")</f>
        <v>80 ETH/USDC Binance</v>
      </c>
      <c r="B231" s="2">
        <f>IFERROR(__xludf.DUMMYFUNCTION("""COMPUTED_VALUE"""),2797.14)</f>
        <v>2797.14</v>
      </c>
      <c r="C231" s="1" t="str">
        <f>IFERROR(__xludf.DUMMYFUNCTION("""COMPUTED_VALUE"""),"$ 26.76 million")</f>
        <v>$ 26.76 million</v>
      </c>
    </row>
    <row r="232" ht="15.75" customHeight="1">
      <c r="A232" s="1" t="str">
        <f>IFERROR(__xludf.DUMMYFUNCTION("""COMPUTED_VALUE"""),"81 MEME/USDT Binance")</f>
        <v>81 MEME/USDT Binance</v>
      </c>
      <c r="B232" s="2">
        <f>IFERROR(__xludf.DUMMYFUNCTION("""COMPUTED_VALUE"""),0.0269)</f>
        <v>0.0269</v>
      </c>
      <c r="C232" s="1" t="str">
        <f>IFERROR(__xludf.DUMMYFUNCTION("""COMPUTED_VALUE"""),"$ 26.50 million")</f>
        <v>$ 26.50 million</v>
      </c>
    </row>
    <row r="233" ht="15.75" customHeight="1">
      <c r="A233" s="1" t="str">
        <f>IFERROR(__xludf.DUMMYFUNCTION("""COMPUTED_VALUE"""),"82 CAKE/USDT Binance")</f>
        <v>82 CAKE/USDT Binance</v>
      </c>
      <c r="B233" s="2">
        <f>IFERROR(__xludf.DUMMYFUNCTION("""COMPUTED_VALUE"""),2.76)</f>
        <v>2.76</v>
      </c>
      <c r="C233" s="1" t="str">
        <f>IFERROR(__xludf.DUMMYFUNCTION("""COMPUTED_VALUE"""),"$ 26.22 million")</f>
        <v>$ 26.22 million</v>
      </c>
    </row>
    <row r="234" ht="15.75" customHeight="1">
      <c r="A234" s="1" t="str">
        <f>IFERROR(__xludf.DUMMYFUNCTION("""COMPUTED_VALUE"""),"83 LDO/USDT Binance")</f>
        <v>83 LDO/USDT Binance</v>
      </c>
      <c r="B234" s="2">
        <f>IFERROR(__xludf.DUMMYFUNCTION("""COMPUTED_VALUE"""),3.22)</f>
        <v>3.22</v>
      </c>
      <c r="C234" s="1" t="str">
        <f>IFERROR(__xludf.DUMMYFUNCTION("""COMPUTED_VALUE"""),"$ 25.68 million")</f>
        <v>$ 25.68 million</v>
      </c>
    </row>
    <row r="235" ht="15.75" customHeight="1">
      <c r="A235" s="1" t="str">
        <f>IFERROR(__xludf.DUMMYFUNCTION("""COMPUTED_VALUE"""),"84 T/USDT Binance")</f>
        <v>84 T/USDT Binance</v>
      </c>
      <c r="B235" s="2">
        <f>IFERROR(__xludf.DUMMYFUNCTION("""COMPUTED_VALUE"""),0.0306)</f>
        <v>0.0306</v>
      </c>
      <c r="C235" s="1" t="str">
        <f>IFERROR(__xludf.DUMMYFUNCTION("""COMPUTED_VALUE"""),"$ 25.10 million")</f>
        <v>$ 25.10 million</v>
      </c>
    </row>
    <row r="236" ht="15.75" customHeight="1">
      <c r="A236" s="1" t="str">
        <f>IFERROR(__xludf.DUMMYFUNCTION("""COMPUTED_VALUE"""),"85 MINA/USDT Binance")</f>
        <v>85 MINA/USDT Binance</v>
      </c>
      <c r="B236" s="2">
        <f>IFERROR(__xludf.DUMMYFUNCTION("""COMPUTED_VALUE"""),1.48)</f>
        <v>1.48</v>
      </c>
      <c r="C236" s="1" t="str">
        <f>IFERROR(__xludf.DUMMYFUNCTION("""COMPUTED_VALUE"""),"$ 24.38 million")</f>
        <v>$ 24.38 million</v>
      </c>
    </row>
    <row r="237" ht="15.75" customHeight="1">
      <c r="A237" s="1" t="str">
        <f>IFERROR(__xludf.DUMMYFUNCTION("""COMPUTED_VALUE"""),"86 CHR/USDT Binance")</f>
        <v>86 CHR/USDT Binance</v>
      </c>
      <c r="B237" s="2">
        <f>IFERROR(__xludf.DUMMYFUNCTION("""COMPUTED_VALUE"""),0.405)</f>
        <v>0.405</v>
      </c>
      <c r="C237" s="1" t="str">
        <f>IFERROR(__xludf.DUMMYFUNCTION("""COMPUTED_VALUE"""),"$ 24.35 million")</f>
        <v>$ 24.35 million</v>
      </c>
    </row>
    <row r="238" ht="15.75" customHeight="1">
      <c r="A238" s="1" t="str">
        <f>IFERROR(__xludf.DUMMYFUNCTION("""COMPUTED_VALUE"""),"10 BNB/USDT Binance")</f>
        <v>10 BNB/USDT Binance</v>
      </c>
      <c r="B238" s="2">
        <f>IFERROR(__xludf.DUMMYFUNCTION("""COMPUTED_VALUE"""),347.3)</f>
        <v>347.3</v>
      </c>
      <c r="C238" s="1" t="str">
        <f>IFERROR(__xludf.DUMMYFUNCTION("""COMPUTED_VALUE"""),"$ 238.22 million")</f>
        <v>$ 238.22 million</v>
      </c>
    </row>
    <row r="239" ht="15.75" customHeight="1">
      <c r="A239" s="1" t="str">
        <f>IFERROR(__xludf.DUMMYFUNCTION("""COMPUTED_VALUE"""),"87 ENS/USDT Binance")</f>
        <v>87 ENS/USDT Binance</v>
      </c>
      <c r="B239" s="2">
        <f>IFERROR(__xludf.DUMMYFUNCTION("""COMPUTED_VALUE"""),23.44)</f>
        <v>23.44</v>
      </c>
      <c r="C239" s="1" t="str">
        <f>IFERROR(__xludf.DUMMYFUNCTION("""COMPUTED_VALUE"""),"$ 23.70 million")</f>
        <v>$ 23.70 million</v>
      </c>
    </row>
    <row r="240" ht="15.75" customHeight="1">
      <c r="A240" s="1" t="str">
        <f>IFERROR(__xludf.DUMMYFUNCTION("""COMPUTED_VALUE"""),"88 GAS/USDT Binance")</f>
        <v>88 GAS/USDT Binance</v>
      </c>
      <c r="B240" s="2">
        <f>IFERROR(__xludf.DUMMYFUNCTION("""COMPUTED_VALUE"""),6.87)</f>
        <v>6.87</v>
      </c>
      <c r="C240" s="1" t="str">
        <f>IFERROR(__xludf.DUMMYFUNCTION("""COMPUTED_VALUE"""),"$ 22.83 million")</f>
        <v>$ 22.83 million</v>
      </c>
    </row>
    <row r="241" ht="15.75" customHeight="1">
      <c r="A241" s="1" t="str">
        <f>IFERROR(__xludf.DUMMYFUNCTION("""COMPUTED_VALUE"""),"89 GALA/USDT Binance")</f>
        <v>89 GALA/USDT Binance</v>
      </c>
      <c r="B241" s="2">
        <f>IFERROR(__xludf.DUMMYFUNCTION("""COMPUTED_VALUE"""),0.0266)</f>
        <v>0.0266</v>
      </c>
      <c r="C241" s="1" t="str">
        <f>IFERROR(__xludf.DUMMYFUNCTION("""COMPUTED_VALUE"""),"$ 22.80 million")</f>
        <v>$ 22.80 million</v>
      </c>
    </row>
    <row r="242" ht="15.75" customHeight="1">
      <c r="A242" s="1" t="str">
        <f>IFERROR(__xludf.DUMMYFUNCTION("""COMPUTED_VALUE"""),"90 APE/USDT Binance")</f>
        <v>90 APE/USDT Binance</v>
      </c>
      <c r="B242" s="2">
        <f>IFERROR(__xludf.DUMMYFUNCTION("""COMPUTED_VALUE"""),1.62)</f>
        <v>1.62</v>
      </c>
      <c r="C242" s="1" t="str">
        <f>IFERROR(__xludf.DUMMYFUNCTION("""COMPUTED_VALUE"""),"$ 22.68 million")</f>
        <v>$ 22.68 million</v>
      </c>
    </row>
    <row r="243" ht="15.75" customHeight="1">
      <c r="A243" s="1" t="str">
        <f>IFERROR(__xludf.DUMMYFUNCTION("""COMPUTED_VALUE"""),"91 FTM/USDT Binance")</f>
        <v>91 FTM/USDT Binance</v>
      </c>
      <c r="B243" s="2">
        <f>IFERROR(__xludf.DUMMYFUNCTION("""COMPUTED_VALUE"""),0.412)</f>
        <v>0.412</v>
      </c>
      <c r="C243" s="1" t="str">
        <f>IFERROR(__xludf.DUMMYFUNCTION("""COMPUTED_VALUE"""),"$ 22.45 million")</f>
        <v>$ 22.45 million</v>
      </c>
    </row>
    <row r="244" ht="15.75" customHeight="1">
      <c r="A244" s="1" t="str">
        <f>IFERROR(__xludf.DUMMYFUNCTION("""COMPUTED_VALUE"""),"92 ASTR/USDT Binance")</f>
        <v>92 ASTR/USDT Binance</v>
      </c>
      <c r="B244" s="2">
        <f>IFERROR(__xludf.DUMMYFUNCTION("""COMPUTED_VALUE"""),0.175)</f>
        <v>0.175</v>
      </c>
      <c r="C244" s="1" t="str">
        <f>IFERROR(__xludf.DUMMYFUNCTION("""COMPUTED_VALUE"""),"$ 22.36 million")</f>
        <v>$ 22.36 million</v>
      </c>
    </row>
    <row r="245" ht="15.75" customHeight="1">
      <c r="A245" s="1" t="str">
        <f>IFERROR(__xludf.DUMMYFUNCTION("""COMPUTED_VALUE"""),"11 SEI/USDT Binance")</f>
        <v>11 SEI/USDT Binance</v>
      </c>
      <c r="B245" s="2">
        <f>IFERROR(__xludf.DUMMYFUNCTION("""COMPUTED_VALUE"""),0.967)</f>
        <v>0.967</v>
      </c>
      <c r="C245" s="1" t="str">
        <f>IFERROR(__xludf.DUMMYFUNCTION("""COMPUTED_VALUE"""),"$ 211.46 million")</f>
        <v>$ 211.46 million</v>
      </c>
    </row>
    <row r="246" ht="15.75" customHeight="1">
      <c r="A246" s="1" t="str">
        <f>IFERROR(__xludf.DUMMYFUNCTION("""COMPUTED_VALUE"""),"93 DATA/USDT Binance")</f>
        <v>93 DATA/USDT Binance</v>
      </c>
      <c r="B246" s="2">
        <f>IFERROR(__xludf.DUMMYFUNCTION("""COMPUTED_VALUE"""),0.0679)</f>
        <v>0.0679</v>
      </c>
      <c r="C246" s="1" t="str">
        <f>IFERROR(__xludf.DUMMYFUNCTION("""COMPUTED_VALUE"""),"$ 21.90 million")</f>
        <v>$ 21.90 million</v>
      </c>
    </row>
    <row r="247" ht="15.75" customHeight="1">
      <c r="A247" s="1" t="str">
        <f>IFERROR(__xludf.DUMMYFUNCTION("""COMPUTED_VALUE"""),"94 DYM/TRY Binance")</f>
        <v>94 DYM/TRY Binance</v>
      </c>
      <c r="B247" s="2">
        <f>IFERROR(__xludf.DUMMYFUNCTION("""COMPUTED_VALUE"""),8.26)</f>
        <v>8.26</v>
      </c>
      <c r="C247" s="1" t="str">
        <f>IFERROR(__xludf.DUMMYFUNCTION("""COMPUTED_VALUE"""),"$ 21.25 million")</f>
        <v>$ 21.25 million</v>
      </c>
    </row>
    <row r="248" ht="15.75" customHeight="1">
      <c r="A248" s="1" t="str">
        <f>IFERROR(__xludf.DUMMYFUNCTION("""COMPUTED_VALUE"""),"12 SOL/FDUSD Binance")</f>
        <v>12 SOL/FDUSD Binance</v>
      </c>
      <c r="B248" s="2">
        <f>IFERROR(__xludf.DUMMYFUNCTION("""COMPUTED_VALUE"""),115.84)</f>
        <v>115.84</v>
      </c>
      <c r="C248" s="1" t="str">
        <f>IFERROR(__xludf.DUMMYFUNCTION("""COMPUTED_VALUE"""),"$ 205.26 million")</f>
        <v>$ 205.26 million</v>
      </c>
    </row>
    <row r="249" ht="15.75" customHeight="1">
      <c r="A249" s="1" t="str">
        <f>IFERROR(__xludf.DUMMYFUNCTION("""COMPUTED_VALUE"""),"95 ID/USDT Binance")</f>
        <v>95 ID/USDT Binance</v>
      </c>
      <c r="B249" s="2">
        <f>IFERROR(__xludf.DUMMYFUNCTION("""COMPUTED_VALUE"""),0.594)</f>
        <v>0.594</v>
      </c>
      <c r="C249" s="1" t="str">
        <f>IFERROR(__xludf.DUMMYFUNCTION("""COMPUTED_VALUE"""),"$ 20.82 million")</f>
        <v>$ 20.82 million</v>
      </c>
    </row>
    <row r="250" ht="15.75" customHeight="1">
      <c r="A250" s="1" t="str">
        <f>IFERROR(__xludf.DUMMYFUNCTION("""COMPUTED_VALUE"""),"96 NEO/USDT Binance")</f>
        <v>96 NEO/USDT Binance</v>
      </c>
      <c r="B250" s="2">
        <f>IFERROR(__xludf.DUMMYFUNCTION("""COMPUTED_VALUE"""),13.18)</f>
        <v>13.18</v>
      </c>
      <c r="C250" s="1" t="str">
        <f>IFERROR(__xludf.DUMMYFUNCTION("""COMPUTED_VALUE"""),"$ 20.65 million")</f>
        <v>$ 20.65 million</v>
      </c>
    </row>
    <row r="251" ht="15.75" customHeight="1">
      <c r="A251" s="1" t="str">
        <f>IFERROR(__xludf.DUMMYFUNCTION("""COMPUTED_VALUE"""),"97 CYBER/USDT Binance")</f>
        <v>97 CYBER/USDT Binance</v>
      </c>
      <c r="B251" s="2">
        <f>IFERROR(__xludf.DUMMYFUNCTION("""COMPUTED_VALUE"""),8.26)</f>
        <v>8.26</v>
      </c>
      <c r="C251" s="1" t="str">
        <f>IFERROR(__xludf.DUMMYFUNCTION("""COMPUTED_VALUE"""),"$ 20.64 million")</f>
        <v>$ 20.64 million</v>
      </c>
    </row>
    <row r="252" ht="15.75" customHeight="1">
      <c r="A252" s="1" t="str">
        <f>IFERROR(__xludf.DUMMYFUNCTION("""COMPUTED_VALUE"""),"98 CHZ/USDT Binance")</f>
        <v>98 CHZ/USDT Binance</v>
      </c>
      <c r="B252" s="2">
        <f>IFERROR(__xludf.DUMMYFUNCTION("""COMPUTED_VALUE"""),0.107)</f>
        <v>0.107</v>
      </c>
      <c r="C252" s="1" t="str">
        <f>IFERROR(__xludf.DUMMYFUNCTION("""COMPUTED_VALUE"""),"$ 20.53 million")</f>
        <v>$ 20.53 million</v>
      </c>
    </row>
    <row r="253" ht="15.75" customHeight="1">
      <c r="A253" s="1" t="str">
        <f>IFERROR(__xludf.DUMMYFUNCTION("""COMPUTED_VALUE"""),"285 ZEN/USDT Binance")</f>
        <v>285 ZEN/USDT Binance</v>
      </c>
      <c r="B253" s="2">
        <f>IFERROR(__xludf.DUMMYFUNCTION("""COMPUTED_VALUE"""),8.39)</f>
        <v>8.39</v>
      </c>
      <c r="C253" s="1" t="str">
        <f>IFERROR(__xludf.DUMMYFUNCTION("""COMPUTED_VALUE"""),"$ 2.97 million")</f>
        <v>$ 2.97 million</v>
      </c>
    </row>
    <row r="254" ht="15.75" customHeight="1">
      <c r="A254" s="1" t="str">
        <f>IFERROR(__xludf.DUMMYFUNCTION("""COMPUTED_VALUE"""),"286 DOGE/TRY Binance")</f>
        <v>286 DOGE/TRY Binance</v>
      </c>
      <c r="B254" s="2">
        <f>IFERROR(__xludf.DUMMYFUNCTION("""COMPUTED_VALUE"""),0.0866)</f>
        <v>0.0866</v>
      </c>
      <c r="C254" s="1" t="str">
        <f>IFERROR(__xludf.DUMMYFUNCTION("""COMPUTED_VALUE"""),"$ 2.92 million")</f>
        <v>$ 2.92 million</v>
      </c>
    </row>
    <row r="255" ht="15.75" customHeight="1">
      <c r="A255" s="1" t="str">
        <f>IFERROR(__xludf.DUMMYFUNCTION("""COMPUTED_VALUE"""),"287 SYS/USDT Binance")</f>
        <v>287 SYS/USDT Binance</v>
      </c>
      <c r="B255" s="2">
        <f>IFERROR(__xludf.DUMMYFUNCTION("""COMPUTED_VALUE"""),0.14)</f>
        <v>0.14</v>
      </c>
      <c r="C255" s="1" t="str">
        <f>IFERROR(__xludf.DUMMYFUNCTION("""COMPUTED_VALUE"""),"$ 2.92 million")</f>
        <v>$ 2.92 million</v>
      </c>
    </row>
    <row r="256" ht="15.75" customHeight="1">
      <c r="A256" s="1" t="str">
        <f>IFERROR(__xludf.DUMMYFUNCTION("""COMPUTED_VALUE"""),"288 PYTH/TRY Binance")</f>
        <v>288 PYTH/TRY Binance</v>
      </c>
      <c r="B256" s="2">
        <f>IFERROR(__xludf.DUMMYFUNCTION("""COMPUTED_VALUE"""),0.639)</f>
        <v>0.639</v>
      </c>
      <c r="C256" s="1" t="str">
        <f>IFERROR(__xludf.DUMMYFUNCTION("""COMPUTED_VALUE"""),"$ 2.89 million")</f>
        <v>$ 2.89 million</v>
      </c>
    </row>
    <row r="257" ht="15.75" customHeight="1">
      <c r="A257" s="1" t="str">
        <f>IFERROR(__xludf.DUMMYFUNCTION("""COMPUTED_VALUE"""),"289 DOT/BTC Binance")</f>
        <v>289 DOT/BTC Binance</v>
      </c>
      <c r="B257" s="2">
        <f>IFERROR(__xludf.DUMMYFUNCTION("""COMPUTED_VALUE"""),7.89)</f>
        <v>7.89</v>
      </c>
      <c r="C257" s="1" t="str">
        <f>IFERROR(__xludf.DUMMYFUNCTION("""COMPUTED_VALUE"""),"$ 2.89 million")</f>
        <v>$ 2.89 million</v>
      </c>
    </row>
    <row r="258" ht="15.75" customHeight="1">
      <c r="A258" s="1" t="str">
        <f>IFERROR(__xludf.DUMMYFUNCTION("""COMPUTED_VALUE"""),"290 BNT/USDT Binance")</f>
        <v>290 BNT/USDT Binance</v>
      </c>
      <c r="B258" s="2">
        <f>IFERROR(__xludf.DUMMYFUNCTION("""COMPUTED_VALUE"""),0.839)</f>
        <v>0.839</v>
      </c>
      <c r="C258" s="1" t="str">
        <f>IFERROR(__xludf.DUMMYFUNCTION("""COMPUTED_VALUE"""),"$ 2.85 million")</f>
        <v>$ 2.85 million</v>
      </c>
    </row>
    <row r="259" ht="15.75" customHeight="1">
      <c r="A259" s="1" t="str">
        <f>IFERROR(__xludf.DUMMYFUNCTION("""COMPUTED_VALUE"""),"291 JOE/USDT Binance")</f>
        <v>291 JOE/USDT Binance</v>
      </c>
      <c r="B259" s="2">
        <f>IFERROR(__xludf.DUMMYFUNCTION("""COMPUTED_VALUE"""),0.546)</f>
        <v>0.546</v>
      </c>
      <c r="C259" s="1" t="str">
        <f>IFERROR(__xludf.DUMMYFUNCTION("""COMPUTED_VALUE"""),"$ 2.83 million")</f>
        <v>$ 2.83 million</v>
      </c>
    </row>
    <row r="260" ht="15.75" customHeight="1">
      <c r="A260" s="1" t="str">
        <f>IFERROR(__xludf.DUMMYFUNCTION("""COMPUTED_VALUE"""),"292 BNB/ETH Binance")</f>
        <v>292 BNB/ETH Binance</v>
      </c>
      <c r="B260" s="2">
        <f>IFERROR(__xludf.DUMMYFUNCTION("""COMPUTED_VALUE"""),347.23)</f>
        <v>347.23</v>
      </c>
      <c r="C260" s="1" t="str">
        <f>IFERROR(__xludf.DUMMYFUNCTION("""COMPUTED_VALUE"""),"$ 2.82 million")</f>
        <v>$ 2.82 million</v>
      </c>
    </row>
    <row r="261" ht="15.75" customHeight="1">
      <c r="A261" s="1" t="str">
        <f>IFERROR(__xludf.DUMMYFUNCTION("""COMPUTED_VALUE"""),"293 USDP/USDT Binance")</f>
        <v>293 USDP/USDT Binance</v>
      </c>
      <c r="B261" s="2">
        <f>IFERROR(__xludf.DUMMYFUNCTION("""COMPUTED_VALUE"""),0.999)</f>
        <v>0.999</v>
      </c>
      <c r="C261" s="1" t="str">
        <f>IFERROR(__xludf.DUMMYFUNCTION("""COMPUTED_VALUE"""),"$ 2.80 million")</f>
        <v>$ 2.80 million</v>
      </c>
    </row>
    <row r="262" ht="15.75" customHeight="1">
      <c r="A262" s="1" t="str">
        <f>IFERROR(__xludf.DUMMYFUNCTION("""COMPUTED_VALUE"""),"294 XEC/USDT Binance")</f>
        <v>294 XEC/USDT Binance</v>
      </c>
      <c r="B262" s="2">
        <f>IFERROR(__xludf.DUMMYFUNCTION("""COMPUTED_VALUE"""),3.43E-5)</f>
        <v>0.0000343</v>
      </c>
      <c r="C262" s="1" t="str">
        <f>IFERROR(__xludf.DUMMYFUNCTION("""COMPUTED_VALUE"""),"$ 2.80 million")</f>
        <v>$ 2.80 million</v>
      </c>
    </row>
    <row r="263" ht="15.75" customHeight="1">
      <c r="A263" s="1" t="str">
        <f>IFERROR(__xludf.DUMMYFUNCTION("""COMPUTED_VALUE"""),"295 MATIC/BTC Binance")</f>
        <v>295 MATIC/BTC Binance</v>
      </c>
      <c r="B263" s="2">
        <f>IFERROR(__xludf.DUMMYFUNCTION("""COMPUTED_VALUE"""),0.892)</f>
        <v>0.892</v>
      </c>
      <c r="C263" s="1" t="str">
        <f>IFERROR(__xludf.DUMMYFUNCTION("""COMPUTED_VALUE"""),"$ 2.78 million")</f>
        <v>$ 2.78 million</v>
      </c>
    </row>
    <row r="264" ht="15.75" customHeight="1">
      <c r="A264" s="1" t="str">
        <f>IFERROR(__xludf.DUMMYFUNCTION("""COMPUTED_VALUE"""),"296 SOL/USDC Binance")</f>
        <v>296 SOL/USDC Binance</v>
      </c>
      <c r="B264" s="2">
        <f>IFERROR(__xludf.DUMMYFUNCTION("""COMPUTED_VALUE"""),116.07)</f>
        <v>116.07</v>
      </c>
      <c r="C264" s="1" t="str">
        <f>IFERROR(__xludf.DUMMYFUNCTION("""COMPUTED_VALUE"""),"$ 2.78 million")</f>
        <v>$ 2.78 million</v>
      </c>
    </row>
    <row r="265" ht="15.75" customHeight="1">
      <c r="A265" s="1" t="str">
        <f>IFERROR(__xludf.DUMMYFUNCTION("""COMPUTED_VALUE"""),"297 BURGER/USDT Binance")</f>
        <v>297 BURGER/USDT Binance</v>
      </c>
      <c r="B265" s="2">
        <f>IFERROR(__xludf.DUMMYFUNCTION("""COMPUTED_VALUE"""),0.537)</f>
        <v>0.537</v>
      </c>
      <c r="C265" s="1" t="str">
        <f>IFERROR(__xludf.DUMMYFUNCTION("""COMPUTED_VALUE"""),"$ 2.77 million")</f>
        <v>$ 2.77 million</v>
      </c>
    </row>
    <row r="266" ht="15.75" customHeight="1">
      <c r="A266" s="1" t="str">
        <f>IFERROR(__xludf.DUMMYFUNCTION("""COMPUTED_VALUE"""),"298 ARB/FDUSD Binance")</f>
        <v>298 ARB/FDUSD Binance</v>
      </c>
      <c r="B266" s="2">
        <f>IFERROR(__xludf.DUMMYFUNCTION("""COMPUTED_VALUE"""),2.11)</f>
        <v>2.11</v>
      </c>
      <c r="C266" s="1" t="str">
        <f>IFERROR(__xludf.DUMMYFUNCTION("""COMPUTED_VALUE"""),"$ 2.77 million")</f>
        <v>$ 2.77 million</v>
      </c>
    </row>
    <row r="267" ht="15.75" customHeight="1">
      <c r="A267" s="1" t="str">
        <f>IFERROR(__xludf.DUMMYFUNCTION("""COMPUTED_VALUE"""),"299 LIT/USDT Binance")</f>
        <v>299 LIT/USDT Binance</v>
      </c>
      <c r="B267" s="2">
        <f>IFERROR(__xludf.DUMMYFUNCTION("""COMPUTED_VALUE"""),0.972)</f>
        <v>0.972</v>
      </c>
      <c r="C267" s="1" t="str">
        <f>IFERROR(__xludf.DUMMYFUNCTION("""COMPUTED_VALUE"""),"$ 2.71 million")</f>
        <v>$ 2.71 million</v>
      </c>
    </row>
    <row r="268" ht="15.75" customHeight="1">
      <c r="A268" s="1" t="str">
        <f>IFERROR(__xludf.DUMMYFUNCTION("""COMPUTED_VALUE"""),"300 OGN/USDT Binance")</f>
        <v>300 OGN/USDT Binance</v>
      </c>
      <c r="B268" s="2">
        <f>IFERROR(__xludf.DUMMYFUNCTION("""COMPUTED_VALUE"""),0.173)</f>
        <v>0.173</v>
      </c>
      <c r="C268" s="1" t="str">
        <f>IFERROR(__xludf.DUMMYFUNCTION("""COMPUTED_VALUE"""),"$ 2.71 million")</f>
        <v>$ 2.71 million</v>
      </c>
    </row>
    <row r="269" ht="15.75" customHeight="1">
      <c r="A269" s="1" t="str">
        <f>IFERROR(__xludf.DUMMYFUNCTION("""COMPUTED_VALUE"""),"301 XAI/TRY Binance")</f>
        <v>301 XAI/TRY Binance</v>
      </c>
      <c r="B269" s="2">
        <f>IFERROR(__xludf.DUMMYFUNCTION("""COMPUTED_VALUE"""),1.05)</f>
        <v>1.05</v>
      </c>
      <c r="C269" s="1" t="str">
        <f>IFERROR(__xludf.DUMMYFUNCTION("""COMPUTED_VALUE"""),"$ 2.70 million")</f>
        <v>$ 2.70 million</v>
      </c>
    </row>
    <row r="270" ht="15.75" customHeight="1">
      <c r="A270" s="1" t="str">
        <f>IFERROR(__xludf.DUMMYFUNCTION("""COMPUTED_VALUE"""),"302 GTC/USDT Binance")</f>
        <v>302 GTC/USDT Binance</v>
      </c>
      <c r="B270" s="2">
        <f>IFERROR(__xludf.DUMMYFUNCTION("""COMPUTED_VALUE"""),1.39)</f>
        <v>1.39</v>
      </c>
      <c r="C270" s="1" t="str">
        <f>IFERROR(__xludf.DUMMYFUNCTION("""COMPUTED_VALUE"""),"$ 2.68 million")</f>
        <v>$ 2.68 million</v>
      </c>
    </row>
    <row r="271" ht="15.75" customHeight="1">
      <c r="A271" s="1" t="str">
        <f>IFERROR(__xludf.DUMMYFUNCTION("""COMPUTED_VALUE"""),"303 BAT/USDT Binance")</f>
        <v>303 BAT/USDT Binance</v>
      </c>
      <c r="B271" s="2">
        <f>IFERROR(__xludf.DUMMYFUNCTION("""COMPUTED_VALUE"""),0.24)</f>
        <v>0.24</v>
      </c>
      <c r="C271" s="1" t="str">
        <f>IFERROR(__xludf.DUMMYFUNCTION("""COMPUTED_VALUE"""),"$ 2.67 million")</f>
        <v>$ 2.67 million</v>
      </c>
    </row>
    <row r="272" ht="15.75" customHeight="1">
      <c r="A272" s="1" t="str">
        <f>IFERROR(__xludf.DUMMYFUNCTION("""COMPUTED_VALUE"""),"2 BTC/USDT Binance")</f>
        <v>2 BTC/USDT Binance</v>
      </c>
      <c r="B272" s="2">
        <f>IFERROR(__xludf.DUMMYFUNCTION("""COMPUTED_VALUE"""),52385.99)</f>
        <v>52385.99</v>
      </c>
      <c r="C272" s="1" t="str">
        <f>IFERROR(__xludf.DUMMYFUNCTION("""COMPUTED_VALUE"""),"$ 2.67 billion")</f>
        <v>$ 2.67 billion</v>
      </c>
    </row>
    <row r="273" ht="15.75" customHeight="1">
      <c r="A273" s="1" t="str">
        <f>IFERROR(__xludf.DUMMYFUNCTION("""COMPUTED_VALUE"""),"304 PAXG/USDT Binance")</f>
        <v>304 PAXG/USDT Binance</v>
      </c>
      <c r="B273" s="2">
        <f>IFERROR(__xludf.DUMMYFUNCTION("""COMPUTED_VALUE"""),1982.0)</f>
        <v>1982</v>
      </c>
      <c r="C273" s="1" t="str">
        <f>IFERROR(__xludf.DUMMYFUNCTION("""COMPUTED_VALUE"""),"$ 2.58 million")</f>
        <v>$ 2.58 million</v>
      </c>
    </row>
    <row r="274" ht="15.75" customHeight="1">
      <c r="A274" s="1" t="str">
        <f>IFERROR(__xludf.DUMMYFUNCTION("""COMPUTED_VALUE"""),"305 RAD/USDT Binance")</f>
        <v>305 RAD/USDT Binance</v>
      </c>
      <c r="B274" s="2">
        <f>IFERROR(__xludf.DUMMYFUNCTION("""COMPUTED_VALUE"""),1.98)</f>
        <v>1.98</v>
      </c>
      <c r="C274" s="1" t="str">
        <f>IFERROR(__xludf.DUMMYFUNCTION("""COMPUTED_VALUE"""),"$ 2.56 million")</f>
        <v>$ 2.56 million</v>
      </c>
    </row>
    <row r="275" ht="15.75" customHeight="1">
      <c r="A275" s="1" t="str">
        <f>IFERROR(__xludf.DUMMYFUNCTION("""COMPUTED_VALUE"""),"306 YFI/USDT Binance")</f>
        <v>306 YFI/USDT Binance</v>
      </c>
      <c r="B275" s="2">
        <f>IFERROR(__xludf.DUMMYFUNCTION("""COMPUTED_VALUE"""),7767.0)</f>
        <v>7767</v>
      </c>
      <c r="C275" s="1" t="str">
        <f>IFERROR(__xludf.DUMMYFUNCTION("""COMPUTED_VALUE"""),"$ 2.53 million")</f>
        <v>$ 2.53 million</v>
      </c>
    </row>
    <row r="276" ht="15.75" customHeight="1">
      <c r="A276" s="1" t="str">
        <f>IFERROR(__xludf.DUMMYFUNCTION("""COMPUTED_VALUE"""),"307 TFUEL/USDT Binance")</f>
        <v>307 TFUEL/USDT Binance</v>
      </c>
      <c r="B276" s="2">
        <f>IFERROR(__xludf.DUMMYFUNCTION("""COMPUTED_VALUE"""),0.0451)</f>
        <v>0.0451</v>
      </c>
      <c r="C276" s="1" t="str">
        <f>IFERROR(__xludf.DUMMYFUNCTION("""COMPUTED_VALUE"""),"$ 2.52 million")</f>
        <v>$ 2.52 million</v>
      </c>
    </row>
    <row r="277" ht="15.75" customHeight="1">
      <c r="A277" s="1" t="str">
        <f>IFERROR(__xludf.DUMMYFUNCTION("""COMPUTED_VALUE"""),"308 RVN/USDT Binance")</f>
        <v>308 RVN/USDT Binance</v>
      </c>
      <c r="B277" s="2">
        <f>IFERROR(__xludf.DUMMYFUNCTION("""COMPUTED_VALUE"""),0.021)</f>
        <v>0.021</v>
      </c>
      <c r="C277" s="1" t="str">
        <f>IFERROR(__xludf.DUMMYFUNCTION("""COMPUTED_VALUE"""),"$ 2.51 million")</f>
        <v>$ 2.51 million</v>
      </c>
    </row>
    <row r="278" ht="15.75" customHeight="1">
      <c r="A278" s="1" t="str">
        <f>IFERROR(__xludf.DUMMYFUNCTION("""COMPUTED_VALUE"""),"309 IDEX/USDT Binance")</f>
        <v>309 IDEX/USDT Binance</v>
      </c>
      <c r="B278" s="2">
        <f>IFERROR(__xludf.DUMMYFUNCTION("""COMPUTED_VALUE"""),0.0577)</f>
        <v>0.0577</v>
      </c>
      <c r="C278" s="1" t="str">
        <f>IFERROR(__xludf.DUMMYFUNCTION("""COMPUTED_VALUE"""),"$ 2.51 million")</f>
        <v>$ 2.51 million</v>
      </c>
    </row>
    <row r="279" ht="15.75" customHeight="1">
      <c r="A279" s="1" t="str">
        <f>IFERROR(__xludf.DUMMYFUNCTION("""COMPUTED_VALUE"""),"310 RSR/USDT Binance")</f>
        <v>310 RSR/USDT Binance</v>
      </c>
      <c r="B279" s="2">
        <f>IFERROR(__xludf.DUMMYFUNCTION("""COMPUTED_VALUE"""),0.00262)</f>
        <v>0.00262</v>
      </c>
      <c r="C279" s="1" t="str">
        <f>IFERROR(__xludf.DUMMYFUNCTION("""COMPUTED_VALUE"""),"$ 2.46 million")</f>
        <v>$ 2.46 million</v>
      </c>
    </row>
    <row r="280" ht="15.75" customHeight="1">
      <c r="A280" s="1" t="str">
        <f>IFERROR(__xludf.DUMMYFUNCTION("""COMPUTED_VALUE"""),"311 ADA/FDUSD Binance")</f>
        <v>311 ADA/FDUSD Binance</v>
      </c>
      <c r="B280" s="2">
        <f>IFERROR(__xludf.DUMMYFUNCTION("""COMPUTED_VALUE"""),0.593)</f>
        <v>0.593</v>
      </c>
      <c r="C280" s="1" t="str">
        <f>IFERROR(__xludf.DUMMYFUNCTION("""COMPUTED_VALUE"""),"$ 2.43 million")</f>
        <v>$ 2.43 million</v>
      </c>
    </row>
    <row r="281" ht="15.75" customHeight="1">
      <c r="A281" s="1" t="str">
        <f>IFERROR(__xludf.DUMMYFUNCTION("""COMPUTED_VALUE"""),"312 RIF/BTC Binance")</f>
        <v>312 RIF/BTC Binance</v>
      </c>
      <c r="B281" s="2">
        <f>IFERROR(__xludf.DUMMYFUNCTION("""COMPUTED_VALUE"""),0.236)</f>
        <v>0.236</v>
      </c>
      <c r="C281" s="1" t="str">
        <f>IFERROR(__xludf.DUMMYFUNCTION("""COMPUTED_VALUE"""),"$ 2.40 million")</f>
        <v>$ 2.40 million</v>
      </c>
    </row>
    <row r="282" ht="15.75" customHeight="1">
      <c r="A282" s="1" t="str">
        <f>IFERROR(__xludf.DUMMYFUNCTION("""COMPUTED_VALUE"""),"313 VET/ETH Binance")</f>
        <v>313 VET/ETH Binance</v>
      </c>
      <c r="B282" s="2">
        <f>IFERROR(__xludf.DUMMYFUNCTION("""COMPUTED_VALUE"""),0.0461)</f>
        <v>0.0461</v>
      </c>
      <c r="C282" s="1" t="str">
        <f>IFERROR(__xludf.DUMMYFUNCTION("""COMPUTED_VALUE"""),"$ 2.38 million")</f>
        <v>$ 2.38 million</v>
      </c>
    </row>
    <row r="283" ht="15.75" customHeight="1">
      <c r="A283" s="1" t="str">
        <f>IFERROR(__xludf.DUMMYFUNCTION("""COMPUTED_VALUE"""),"314 USDT/DAI Binance")</f>
        <v>314 USDT/DAI Binance</v>
      </c>
      <c r="B283" s="2">
        <f>IFERROR(__xludf.DUMMYFUNCTION("""COMPUTED_VALUE"""),1.0)</f>
        <v>1</v>
      </c>
      <c r="C283" s="1" t="str">
        <f>IFERROR(__xludf.DUMMYFUNCTION("""COMPUTED_VALUE"""),"$ 2.38 million")</f>
        <v>$ 2.38 million</v>
      </c>
    </row>
    <row r="284" ht="15.75" customHeight="1">
      <c r="A284" s="1" t="str">
        <f>IFERROR(__xludf.DUMMYFUNCTION("""COMPUTED_VALUE"""),"315 VOXEL/USDT Binance")</f>
        <v>315 VOXEL/USDT Binance</v>
      </c>
      <c r="B284" s="2">
        <f>IFERROR(__xludf.DUMMYFUNCTION("""COMPUTED_VALUE"""),0.236)</f>
        <v>0.236</v>
      </c>
      <c r="C284" s="1" t="str">
        <f>IFERROR(__xludf.DUMMYFUNCTION("""COMPUTED_VALUE"""),"$ 2.38 million")</f>
        <v>$ 2.38 million</v>
      </c>
    </row>
    <row r="285" ht="15.75" customHeight="1">
      <c r="A285" s="1" t="str">
        <f>IFERROR(__xludf.DUMMYFUNCTION("""COMPUTED_VALUE"""),"316 BNB/TRY Binance")</f>
        <v>316 BNB/TRY Binance</v>
      </c>
      <c r="B285" s="2">
        <f>IFERROR(__xludf.DUMMYFUNCTION("""COMPUTED_VALUE"""),349.05)</f>
        <v>349.05</v>
      </c>
      <c r="C285" s="1" t="str">
        <f>IFERROR(__xludf.DUMMYFUNCTION("""COMPUTED_VALUE"""),"$ 2.38 million")</f>
        <v>$ 2.38 million</v>
      </c>
    </row>
    <row r="286" ht="15.75" customHeight="1">
      <c r="A286" s="1" t="str">
        <f>IFERROR(__xludf.DUMMYFUNCTION("""COMPUTED_VALUE"""),"317 IOST/USDT Binance")</f>
        <v>317 IOST/USDT Binance</v>
      </c>
      <c r="B286" s="2">
        <f>IFERROR(__xludf.DUMMYFUNCTION("""COMPUTED_VALUE"""),0.00898)</f>
        <v>0.00898</v>
      </c>
      <c r="C286" s="1" t="str">
        <f>IFERROR(__xludf.DUMMYFUNCTION("""COMPUTED_VALUE"""),"$ 2.37 million")</f>
        <v>$ 2.37 million</v>
      </c>
    </row>
    <row r="287" ht="15.75" customHeight="1">
      <c r="A287" s="1" t="str">
        <f>IFERROR(__xludf.DUMMYFUNCTION("""COMPUTED_VALUE"""),"318 BSW/USDT Binance")</f>
        <v>318 BSW/USDT Binance</v>
      </c>
      <c r="B287" s="2">
        <f>IFERROR(__xludf.DUMMYFUNCTION("""COMPUTED_VALUE"""),0.105)</f>
        <v>0.105</v>
      </c>
      <c r="C287" s="1" t="str">
        <f>IFERROR(__xludf.DUMMYFUNCTION("""COMPUTED_VALUE"""),"$ 2.35 million")</f>
        <v>$ 2.35 million</v>
      </c>
    </row>
    <row r="288" ht="15.75" customHeight="1">
      <c r="A288" s="1" t="str">
        <f>IFERROR(__xludf.DUMMYFUNCTION("""COMPUTED_VALUE"""),"319 QUICK/USDT Binance")</f>
        <v>319 QUICK/USDT Binance</v>
      </c>
      <c r="B288" s="2">
        <f>IFERROR(__xludf.DUMMYFUNCTION("""COMPUTED_VALUE"""),0.0584)</f>
        <v>0.0584</v>
      </c>
      <c r="C288" s="1" t="str">
        <f>IFERROR(__xludf.DUMMYFUNCTION("""COMPUTED_VALUE"""),"$ 2.34 million")</f>
        <v>$ 2.34 million</v>
      </c>
    </row>
    <row r="289" ht="15.75" customHeight="1">
      <c r="A289" s="1" t="str">
        <f>IFERROR(__xludf.DUMMYFUNCTION("""COMPUTED_VALUE"""),"320 CYBER/TRY Binance")</f>
        <v>320 CYBER/TRY Binance</v>
      </c>
      <c r="B289" s="2">
        <f>IFERROR(__xludf.DUMMYFUNCTION("""COMPUTED_VALUE"""),8.29)</f>
        <v>8.29</v>
      </c>
      <c r="C289" s="1" t="str">
        <f>IFERROR(__xludf.DUMMYFUNCTION("""COMPUTED_VALUE"""),"$ 2.30 million")</f>
        <v>$ 2.30 million</v>
      </c>
    </row>
    <row r="290" ht="15.75" customHeight="1">
      <c r="A290" s="1" t="str">
        <f>IFERROR(__xludf.DUMMYFUNCTION("""COMPUTED_VALUE"""),"321 AKRO/USDT Binance")</f>
        <v>321 AKRO/USDT Binance</v>
      </c>
      <c r="B290" s="2">
        <f>IFERROR(__xludf.DUMMYFUNCTION("""COMPUTED_VALUE"""),0.00538)</f>
        <v>0.00538</v>
      </c>
      <c r="C290" s="1" t="str">
        <f>IFERROR(__xludf.DUMMYFUNCTION("""COMPUTED_VALUE"""),"$ 2.28 million")</f>
        <v>$ 2.28 million</v>
      </c>
    </row>
    <row r="291" ht="15.75" customHeight="1">
      <c r="A291" s="1" t="str">
        <f>IFERROR(__xludf.DUMMYFUNCTION("""COMPUTED_VALUE"""),"322 OCEAN/USDT Binance")</f>
        <v>322 OCEAN/USDT Binance</v>
      </c>
      <c r="B291" s="2">
        <f>IFERROR(__xludf.DUMMYFUNCTION("""COMPUTED_VALUE"""),0.509)</f>
        <v>0.509</v>
      </c>
      <c r="C291" s="1" t="str">
        <f>IFERROR(__xludf.DUMMYFUNCTION("""COMPUTED_VALUE"""),"$ 2.27 million")</f>
        <v>$ 2.27 million</v>
      </c>
    </row>
    <row r="292" ht="15.75" customHeight="1">
      <c r="A292" s="1" t="str">
        <f>IFERROR(__xludf.DUMMYFUNCTION("""COMPUTED_VALUE"""),"323 SNT/USDT Binance")</f>
        <v>323 SNT/USDT Binance</v>
      </c>
      <c r="B292" s="2">
        <f>IFERROR(__xludf.DUMMYFUNCTION("""COMPUTED_VALUE"""),0.0411)</f>
        <v>0.0411</v>
      </c>
      <c r="C292" s="1" t="str">
        <f>IFERROR(__xludf.DUMMYFUNCTION("""COMPUTED_VALUE"""),"$ 2.26 million")</f>
        <v>$ 2.26 million</v>
      </c>
    </row>
    <row r="293" ht="15.75" customHeight="1">
      <c r="A293" s="1" t="str">
        <f>IFERROR(__xludf.DUMMYFUNCTION("""COMPUTED_VALUE"""),"324 DEGO/USDT Binance")</f>
        <v>324 DEGO/USDT Binance</v>
      </c>
      <c r="B293" s="2">
        <f>IFERROR(__xludf.DUMMYFUNCTION("""COMPUTED_VALUE"""),2.32)</f>
        <v>2.32</v>
      </c>
      <c r="C293" s="1" t="str">
        <f>IFERROR(__xludf.DUMMYFUNCTION("""COMPUTED_VALUE"""),"$ 2.25 million")</f>
        <v>$ 2.25 million</v>
      </c>
    </row>
    <row r="294" ht="15.75" customHeight="1">
      <c r="A294" s="1" t="str">
        <f>IFERROR(__xludf.DUMMYFUNCTION("""COMPUTED_VALUE"""),"325 STX/TRY Binance")</f>
        <v>325 STX/TRY Binance</v>
      </c>
      <c r="B294" s="2">
        <f>IFERROR(__xludf.DUMMYFUNCTION("""COMPUTED_VALUE"""),2.63)</f>
        <v>2.63</v>
      </c>
      <c r="C294" s="1" t="str">
        <f>IFERROR(__xludf.DUMMYFUNCTION("""COMPUTED_VALUE"""),"$ 2.24 million")</f>
        <v>$ 2.24 million</v>
      </c>
    </row>
    <row r="295" ht="15.75" customHeight="1">
      <c r="A295" s="1" t="str">
        <f>IFERROR(__xludf.DUMMYFUNCTION("""COMPUTED_VALUE"""),"326 ALPHA/USDT Binance")</f>
        <v>326 ALPHA/USDT Binance</v>
      </c>
      <c r="B295" s="2">
        <f>IFERROR(__xludf.DUMMYFUNCTION("""COMPUTED_VALUE"""),0.107)</f>
        <v>0.107</v>
      </c>
      <c r="C295" s="1" t="str">
        <f>IFERROR(__xludf.DUMMYFUNCTION("""COMPUTED_VALUE"""),"$ 2.23 million")</f>
        <v>$ 2.23 million</v>
      </c>
    </row>
    <row r="296" ht="15.75" customHeight="1">
      <c r="A296" s="1" t="str">
        <f>IFERROR(__xludf.DUMMYFUNCTION("""COMPUTED_VALUE"""),"327 ACE/TRY Binance")</f>
        <v>327 ACE/TRY Binance</v>
      </c>
      <c r="B296" s="2">
        <f>IFERROR(__xludf.DUMMYFUNCTION("""COMPUTED_VALUE"""),10.61)</f>
        <v>10.61</v>
      </c>
      <c r="C296" s="1" t="str">
        <f>IFERROR(__xludf.DUMMYFUNCTION("""COMPUTED_VALUE"""),"$ 2.22 million")</f>
        <v>$ 2.22 million</v>
      </c>
    </row>
    <row r="297" ht="15.75" customHeight="1">
      <c r="A297" s="1" t="str">
        <f>IFERROR(__xludf.DUMMYFUNCTION("""COMPUTED_VALUE"""),"328 RARE/USDT Binance")</f>
        <v>328 RARE/USDT Binance</v>
      </c>
      <c r="B297" s="2">
        <f>IFERROR(__xludf.DUMMYFUNCTION("""COMPUTED_VALUE"""),0.117)</f>
        <v>0.117</v>
      </c>
      <c r="C297" s="1" t="str">
        <f>IFERROR(__xludf.DUMMYFUNCTION("""COMPUTED_VALUE"""),"$ 2.17 million")</f>
        <v>$ 2.17 million</v>
      </c>
    </row>
    <row r="298" ht="15.75" customHeight="1">
      <c r="A298" s="1" t="str">
        <f>IFERROR(__xludf.DUMMYFUNCTION("""COMPUTED_VALUE"""),"329 DGB/USDT Binance")</f>
        <v>329 DGB/USDT Binance</v>
      </c>
      <c r="B298" s="2">
        <f>IFERROR(__xludf.DUMMYFUNCTION("""COMPUTED_VALUE"""),0.00873)</f>
        <v>0.00873</v>
      </c>
      <c r="C298" s="1" t="str">
        <f>IFERROR(__xludf.DUMMYFUNCTION("""COMPUTED_VALUE"""),"$ 2.12 million")</f>
        <v>$ 2.12 million</v>
      </c>
    </row>
    <row r="299" ht="15.75" customHeight="1">
      <c r="A299" s="1" t="str">
        <f>IFERROR(__xludf.DUMMYFUNCTION("""COMPUTED_VALUE"""),"330 FIDA/USDT Binance")</f>
        <v>330 FIDA/USDT Binance</v>
      </c>
      <c r="B299" s="2">
        <f>IFERROR(__xludf.DUMMYFUNCTION("""COMPUTED_VALUE"""),0.313)</f>
        <v>0.313</v>
      </c>
      <c r="C299" s="1" t="str">
        <f>IFERROR(__xludf.DUMMYFUNCTION("""COMPUTED_VALUE"""),"$ 2.11 million")</f>
        <v>$ 2.11 million</v>
      </c>
    </row>
    <row r="300" ht="15.75" customHeight="1">
      <c r="A300" s="1" t="str">
        <f>IFERROR(__xludf.DUMMYFUNCTION("""COMPUTED_VALUE"""),"331 ICX/USDT Binance")</f>
        <v>331 ICX/USDT Binance</v>
      </c>
      <c r="B300" s="2">
        <f>IFERROR(__xludf.DUMMYFUNCTION("""COMPUTED_VALUE"""),0.236)</f>
        <v>0.236</v>
      </c>
      <c r="C300" s="1" t="str">
        <f>IFERROR(__xludf.DUMMYFUNCTION("""COMPUTED_VALUE"""),"$ 2.08 million")</f>
        <v>$ 2.08 million</v>
      </c>
    </row>
    <row r="301" ht="15.75" customHeight="1">
      <c r="A301" s="1" t="str">
        <f>IFERROR(__xludf.DUMMYFUNCTION("""COMPUTED_VALUE"""),"332 AGLD/USDT Binance")</f>
        <v>332 AGLD/USDT Binance</v>
      </c>
      <c r="B301" s="2">
        <f>IFERROR(__xludf.DUMMYFUNCTION("""COMPUTED_VALUE"""),1.35)</f>
        <v>1.35</v>
      </c>
      <c r="C301" s="1" t="str">
        <f>IFERROR(__xludf.DUMMYFUNCTION("""COMPUTED_VALUE"""),"$ 2.07 million")</f>
        <v>$ 2.07 million</v>
      </c>
    </row>
    <row r="302" ht="15.75" customHeight="1">
      <c r="A302" s="1" t="str">
        <f>IFERROR(__xludf.DUMMYFUNCTION("""COMPUTED_VALUE"""),"333 MULTI/USDT Binance")</f>
        <v>333 MULTI/USDT Binance</v>
      </c>
      <c r="B302" s="2">
        <f>IFERROR(__xludf.DUMMYFUNCTION("""COMPUTED_VALUE"""),1.27)</f>
        <v>1.27</v>
      </c>
      <c r="C302" s="1" t="str">
        <f>IFERROR(__xludf.DUMMYFUNCTION("""COMPUTED_VALUE"""),"$ 2.06 million")</f>
        <v>$ 2.06 million</v>
      </c>
    </row>
    <row r="303" ht="15.75" customHeight="1">
      <c r="A303" s="1" t="str">
        <f>IFERROR(__xludf.DUMMYFUNCTION("""COMPUTED_VALUE"""),"334 API3/BTC Binance")</f>
        <v>334 API3/BTC Binance</v>
      </c>
      <c r="B303" s="2">
        <f>IFERROR(__xludf.DUMMYFUNCTION("""COMPUTED_VALUE"""),4.64)</f>
        <v>4.64</v>
      </c>
      <c r="C303" s="1" t="str">
        <f>IFERROR(__xludf.DUMMYFUNCTION("""COMPUTED_VALUE"""),"$ 2.06 million")</f>
        <v>$ 2.06 million</v>
      </c>
    </row>
    <row r="304" ht="15.75" customHeight="1">
      <c r="A304" s="1" t="str">
        <f>IFERROR(__xludf.DUMMYFUNCTION("""COMPUTED_VALUE"""),"335 TRB/TRY Binance")</f>
        <v>335 TRB/TRY Binance</v>
      </c>
      <c r="B304" s="2">
        <f>IFERROR(__xludf.DUMMYFUNCTION("""COMPUTED_VALUE"""),127.51)</f>
        <v>127.51</v>
      </c>
      <c r="C304" s="1" t="str">
        <f>IFERROR(__xludf.DUMMYFUNCTION("""COMPUTED_VALUE"""),"$ 2.06 million")</f>
        <v>$ 2.06 million</v>
      </c>
    </row>
    <row r="305" ht="15.75" customHeight="1">
      <c r="A305" s="1" t="str">
        <f>IFERROR(__xludf.DUMMYFUNCTION("""COMPUTED_VALUE"""),"336 ARB/BTC Binance")</f>
        <v>336 ARB/BTC Binance</v>
      </c>
      <c r="B305" s="2">
        <f>IFERROR(__xludf.DUMMYFUNCTION("""COMPUTED_VALUE"""),2.11)</f>
        <v>2.11</v>
      </c>
      <c r="C305" s="1" t="str">
        <f>IFERROR(__xludf.DUMMYFUNCTION("""COMPUTED_VALUE"""),"$ 2.02 million")</f>
        <v>$ 2.02 million</v>
      </c>
    </row>
    <row r="306" ht="15.75" customHeight="1">
      <c r="A306" s="1" t="str">
        <f>IFERROR(__xludf.DUMMYFUNCTION("""COMPUTED_VALUE"""),"337 ALCX/USDT Binance")</f>
        <v>337 ALCX/USDT Binance</v>
      </c>
      <c r="B306" s="2">
        <f>IFERROR(__xludf.DUMMYFUNCTION("""COMPUTED_VALUE"""),27.2)</f>
        <v>27.2</v>
      </c>
      <c r="C306" s="1" t="str">
        <f>IFERROR(__xludf.DUMMYFUNCTION("""COMPUTED_VALUE"""),"$ 2.02 million")</f>
        <v>$ 2.02 million</v>
      </c>
    </row>
    <row r="307" ht="15.75" customHeight="1">
      <c r="A307" s="1" t="str">
        <f>IFERROR(__xludf.DUMMYFUNCTION("""COMPUTED_VALUE"""),"338 ARB/TRY Binance")</f>
        <v>338 ARB/TRY Binance</v>
      </c>
      <c r="B307" s="2">
        <f>IFERROR(__xludf.DUMMYFUNCTION("""COMPUTED_VALUE"""),2.12)</f>
        <v>2.12</v>
      </c>
      <c r="C307" s="1" t="str">
        <f>IFERROR(__xludf.DUMMYFUNCTION("""COMPUTED_VALUE"""),"$ 2.01 million")</f>
        <v>$ 2.01 million</v>
      </c>
    </row>
    <row r="308" ht="15.75" customHeight="1">
      <c r="A308" s="1" t="str">
        <f>IFERROR(__xludf.DUMMYFUNCTION("""COMPUTED_VALUE"""),"99 BTC/EUR Binance")</f>
        <v>99 BTC/EUR Binance</v>
      </c>
      <c r="B308" s="2">
        <f>IFERROR(__xludf.DUMMYFUNCTION("""COMPUTED_VALUE"""),52440.19)</f>
        <v>52440.19</v>
      </c>
      <c r="C308" s="1" t="str">
        <f>IFERROR(__xludf.DUMMYFUNCTION("""COMPUTED_VALUE"""),"$ 19.98 million")</f>
        <v>$ 19.98 million</v>
      </c>
    </row>
    <row r="309" ht="15.75" customHeight="1">
      <c r="A309" s="1" t="str">
        <f>IFERROR(__xludf.DUMMYFUNCTION("""COMPUTED_VALUE"""),"100 USDT/BRL Binance")</f>
        <v>100 USDT/BRL Binance</v>
      </c>
      <c r="B309" s="2">
        <f>IFERROR(__xludf.DUMMYFUNCTION("""COMPUTED_VALUE"""),1.01)</f>
        <v>1.01</v>
      </c>
      <c r="C309" s="1" t="str">
        <f>IFERROR(__xludf.DUMMYFUNCTION("""COMPUTED_VALUE"""),"$ 18.72 million")</f>
        <v>$ 18.72 million</v>
      </c>
    </row>
    <row r="310" ht="15.75" customHeight="1">
      <c r="A310" s="1" t="str">
        <f>IFERROR(__xludf.DUMMYFUNCTION("""COMPUTED_VALUE"""),"101 CFX/USDT Binance")</f>
        <v>101 CFX/USDT Binance</v>
      </c>
      <c r="B310" s="2">
        <f>IFERROR(__xludf.DUMMYFUNCTION("""COMPUTED_VALUE"""),0.232)</f>
        <v>0.232</v>
      </c>
      <c r="C310" s="1" t="str">
        <f>IFERROR(__xludf.DUMMYFUNCTION("""COMPUTED_VALUE"""),"$ 18.64 million")</f>
        <v>$ 18.64 million</v>
      </c>
    </row>
    <row r="311" ht="15.75" customHeight="1">
      <c r="A311" s="1" t="str">
        <f>IFERROR(__xludf.DUMMYFUNCTION("""COMPUTED_VALUE"""),"102 BADGER/USDT Binance")</f>
        <v>102 BADGER/USDT Binance</v>
      </c>
      <c r="B311" s="2">
        <f>IFERROR(__xludf.DUMMYFUNCTION("""COMPUTED_VALUE"""),4.13)</f>
        <v>4.13</v>
      </c>
      <c r="C311" s="1" t="str">
        <f>IFERROR(__xludf.DUMMYFUNCTION("""COMPUTED_VALUE"""),"$ 18.62 million")</f>
        <v>$ 18.62 million</v>
      </c>
    </row>
    <row r="312" ht="15.75" customHeight="1">
      <c r="A312" s="1" t="str">
        <f>IFERROR(__xludf.DUMMYFUNCTION("""COMPUTED_VALUE"""),"103 JTO/USDT Binance")</f>
        <v>103 JTO/USDT Binance</v>
      </c>
      <c r="B312" s="2">
        <f>IFERROR(__xludf.DUMMYFUNCTION("""COMPUTED_VALUE"""),2.21)</f>
        <v>2.21</v>
      </c>
      <c r="C312" s="1" t="str">
        <f>IFERROR(__xludf.DUMMYFUNCTION("""COMPUTED_VALUE"""),"$ 18.41 million")</f>
        <v>$ 18.41 million</v>
      </c>
    </row>
    <row r="313" ht="15.75" customHeight="1">
      <c r="A313" s="1" t="str">
        <f>IFERROR(__xludf.DUMMYFUNCTION("""COMPUTED_VALUE"""),"13 AVAX/USDT Binance")</f>
        <v>13 AVAX/USDT Binance</v>
      </c>
      <c r="B313" s="2">
        <f>IFERROR(__xludf.DUMMYFUNCTION("""COMPUTED_VALUE"""),42.52)</f>
        <v>42.52</v>
      </c>
      <c r="C313" s="1" t="str">
        <f>IFERROR(__xludf.DUMMYFUNCTION("""COMPUTED_VALUE"""),"$ 172.20 million")</f>
        <v>$ 172.20 million</v>
      </c>
    </row>
    <row r="314" ht="15.75" customHeight="1">
      <c r="A314" s="1" t="str">
        <f>IFERROR(__xludf.DUMMYFUNCTION("""COMPUTED_VALUE"""),"104 AAVE/USDT Binance")</f>
        <v>104 AAVE/USDT Binance</v>
      </c>
      <c r="B314" s="2">
        <f>IFERROR(__xludf.DUMMYFUNCTION("""COMPUTED_VALUE"""),92.47)</f>
        <v>92.47</v>
      </c>
      <c r="C314" s="1" t="str">
        <f>IFERROR(__xludf.DUMMYFUNCTION("""COMPUTED_VALUE"""),"$ 17.33 million")</f>
        <v>$ 17.33 million</v>
      </c>
    </row>
    <row r="315" ht="15.75" customHeight="1">
      <c r="A315" s="1" t="str">
        <f>IFERROR(__xludf.DUMMYFUNCTION("""COMPUTED_VALUE"""),"105 API3/TRY Binance")</f>
        <v>105 API3/TRY Binance</v>
      </c>
      <c r="B315" s="2">
        <f>IFERROR(__xludf.DUMMYFUNCTION("""COMPUTED_VALUE"""),4.68)</f>
        <v>4.68</v>
      </c>
      <c r="C315" s="1" t="str">
        <f>IFERROR(__xludf.DUMMYFUNCTION("""COMPUTED_VALUE"""),"$ 17.30 million")</f>
        <v>$ 17.30 million</v>
      </c>
    </row>
    <row r="316" ht="15.75" customHeight="1">
      <c r="A316" s="1" t="str">
        <f>IFERROR(__xludf.DUMMYFUNCTION("""COMPUTED_VALUE"""),"14 DOGE/USDT Binance")</f>
        <v>14 DOGE/USDT Binance</v>
      </c>
      <c r="B316" s="2">
        <f>IFERROR(__xludf.DUMMYFUNCTION("""COMPUTED_VALUE"""),0.0861)</f>
        <v>0.0861</v>
      </c>
      <c r="C316" s="1" t="str">
        <f>IFERROR(__xludf.DUMMYFUNCTION("""COMPUTED_VALUE"""),"$ 165.73 million")</f>
        <v>$ 165.73 million</v>
      </c>
    </row>
    <row r="317" ht="15.75" customHeight="1">
      <c r="A317" s="1" t="str">
        <f>IFERROR(__xludf.DUMMYFUNCTION("""COMPUTED_VALUE"""),"106 QTUM/USDT Binance")</f>
        <v>106 QTUM/USDT Binance</v>
      </c>
      <c r="B317" s="2">
        <f>IFERROR(__xludf.DUMMYFUNCTION("""COMPUTED_VALUE"""),3.37)</f>
        <v>3.37</v>
      </c>
      <c r="C317" s="1" t="str">
        <f>IFERROR(__xludf.DUMMYFUNCTION("""COMPUTED_VALUE"""),"$ 16.92 million")</f>
        <v>$ 16.92 million</v>
      </c>
    </row>
    <row r="318" ht="15.75" customHeight="1">
      <c r="A318" s="1" t="str">
        <f>IFERROR(__xludf.DUMMYFUNCTION("""COMPUTED_VALUE"""),"107 TRB/USDT Binance")</f>
        <v>107 TRB/USDT Binance</v>
      </c>
      <c r="B318" s="2">
        <f>IFERROR(__xludf.DUMMYFUNCTION("""COMPUTED_VALUE"""),126.88)</f>
        <v>126.88</v>
      </c>
      <c r="C318" s="1" t="str">
        <f>IFERROR(__xludf.DUMMYFUNCTION("""COMPUTED_VALUE"""),"$ 16.82 million")</f>
        <v>$ 16.82 million</v>
      </c>
    </row>
    <row r="319" ht="15.75" customHeight="1">
      <c r="A319" s="1" t="str">
        <f>IFERROR(__xludf.DUMMYFUNCTION("""COMPUTED_VALUE"""),"108 STORJ/USDT Binance")</f>
        <v>108 STORJ/USDT Binance</v>
      </c>
      <c r="B319" s="2">
        <f>IFERROR(__xludf.DUMMYFUNCTION("""COMPUTED_VALUE"""),0.662)</f>
        <v>0.662</v>
      </c>
      <c r="C319" s="1" t="str">
        <f>IFERROR(__xludf.DUMMYFUNCTION("""COMPUTED_VALUE"""),"$ 16.59 million")</f>
        <v>$ 16.59 million</v>
      </c>
    </row>
    <row r="320" ht="15.75" customHeight="1">
      <c r="A320" s="1" t="str">
        <f>IFERROR(__xludf.DUMMYFUNCTION("""COMPUTED_VALUE"""),"109 FET/USDT Binance")</f>
        <v>109 FET/USDT Binance</v>
      </c>
      <c r="B320" s="2">
        <f>IFERROR(__xludf.DUMMYFUNCTION("""COMPUTED_VALUE"""),0.668)</f>
        <v>0.668</v>
      </c>
      <c r="C320" s="1" t="str">
        <f>IFERROR(__xludf.DUMMYFUNCTION("""COMPUTED_VALUE"""),"$ 16.42 million")</f>
        <v>$ 16.42 million</v>
      </c>
    </row>
    <row r="321" ht="15.75" customHeight="1">
      <c r="A321" s="1" t="str">
        <f>IFERROR(__xludf.DUMMYFUNCTION("""COMPUTED_VALUE"""),"110 HBAR/USDT Binance")</f>
        <v>110 HBAR/USDT Binance</v>
      </c>
      <c r="B321" s="2">
        <f>IFERROR(__xludf.DUMMYFUNCTION("""COMPUTED_VALUE"""),0.0837)</f>
        <v>0.0837</v>
      </c>
      <c r="C321" s="1" t="str">
        <f>IFERROR(__xludf.DUMMYFUNCTION("""COMPUTED_VALUE"""),"$ 15.65 million")</f>
        <v>$ 15.65 million</v>
      </c>
    </row>
    <row r="322" ht="15.75" customHeight="1">
      <c r="A322" s="1" t="str">
        <f>IFERROR(__xludf.DUMMYFUNCTION("""COMPUTED_VALUE"""),"111 COTI/USDT Binance")</f>
        <v>111 COTI/USDT Binance</v>
      </c>
      <c r="B322" s="2">
        <f>IFERROR(__xludf.DUMMYFUNCTION("""COMPUTED_VALUE"""),0.0923)</f>
        <v>0.0923</v>
      </c>
      <c r="C322" s="1" t="str">
        <f>IFERROR(__xludf.DUMMYFUNCTION("""COMPUTED_VALUE"""),"$ 15.35 million")</f>
        <v>$ 15.35 million</v>
      </c>
    </row>
    <row r="323" ht="15.75" customHeight="1">
      <c r="A323" s="1" t="str">
        <f>IFERROR(__xludf.DUMMYFUNCTION("""COMPUTED_VALUE"""),"112 LOOM/USDT Binance")</f>
        <v>112 LOOM/USDT Binance</v>
      </c>
      <c r="B323" s="2">
        <f>IFERROR(__xludf.DUMMYFUNCTION("""COMPUTED_VALUE"""),0.102)</f>
        <v>0.102</v>
      </c>
      <c r="C323" s="1" t="str">
        <f>IFERROR(__xludf.DUMMYFUNCTION("""COMPUTED_VALUE"""),"$ 15.23 million")</f>
        <v>$ 15.23 million</v>
      </c>
    </row>
    <row r="324" ht="15.75" customHeight="1">
      <c r="A324" s="1" t="str">
        <f>IFERROR(__xludf.DUMMYFUNCTION("""COMPUTED_VALUE"""),"113 BTT/USDT Binance")</f>
        <v>113 BTT/USDT Binance</v>
      </c>
      <c r="B324" s="2"/>
      <c r="C324" s="1" t="str">
        <f>IFERROR(__xludf.DUMMYFUNCTION("""COMPUTED_VALUE"""),"$ 15.14 million")</f>
        <v>$ 15.14 million</v>
      </c>
    </row>
    <row r="325" ht="15.75" customHeight="1">
      <c r="A325" s="1" t="str">
        <f>IFERROR(__xludf.DUMMYFUNCTION("""COMPUTED_VALUE"""),"114 WBTC/BTC Binance")</f>
        <v>114 WBTC/BTC Binance</v>
      </c>
      <c r="B325" s="2">
        <f>IFERROR(__xludf.DUMMYFUNCTION("""COMPUTED_VALUE"""),52249.27)</f>
        <v>52249.27</v>
      </c>
      <c r="C325" s="1" t="str">
        <f>IFERROR(__xludf.DUMMYFUNCTION("""COMPUTED_VALUE"""),"$ 15.11 million")</f>
        <v>$ 15.11 million</v>
      </c>
    </row>
    <row r="326" ht="15.75" customHeight="1">
      <c r="A326" s="1" t="str">
        <f>IFERROR(__xludf.DUMMYFUNCTION("""COMPUTED_VALUE"""),"115 XRP/BTC Binance")</f>
        <v>115 XRP/BTC Binance</v>
      </c>
      <c r="B326" s="2">
        <f>IFERROR(__xludf.DUMMYFUNCTION("""COMPUTED_VALUE"""),0.549)</f>
        <v>0.549</v>
      </c>
      <c r="C326" s="1" t="str">
        <f>IFERROR(__xludf.DUMMYFUNCTION("""COMPUTED_VALUE"""),"$ 14.88 million")</f>
        <v>$ 14.88 million</v>
      </c>
    </row>
    <row r="327" ht="15.75" customHeight="1">
      <c r="A327" s="1" t="str">
        <f>IFERROR(__xludf.DUMMYFUNCTION("""COMPUTED_VALUE"""),"116 POWR/USDT Binance")</f>
        <v>116 POWR/USDT Binance</v>
      </c>
      <c r="B327" s="2">
        <f>IFERROR(__xludf.DUMMYFUNCTION("""COMPUTED_VALUE"""),0.356)</f>
        <v>0.356</v>
      </c>
      <c r="C327" s="1" t="str">
        <f>IFERROR(__xludf.DUMMYFUNCTION("""COMPUTED_VALUE"""),"$ 14.82 million")</f>
        <v>$ 14.82 million</v>
      </c>
    </row>
    <row r="328" ht="15.75" customHeight="1">
      <c r="A328" s="1" t="str">
        <f>IFERROR(__xludf.DUMMYFUNCTION("""COMPUTED_VALUE"""),"117 FLOW/USDT Binance")</f>
        <v>117 FLOW/USDT Binance</v>
      </c>
      <c r="B328" s="2">
        <f>IFERROR(__xludf.DUMMYFUNCTION("""COMPUTED_VALUE"""),0.959)</f>
        <v>0.959</v>
      </c>
      <c r="C328" s="1" t="str">
        <f>IFERROR(__xludf.DUMMYFUNCTION("""COMPUTED_VALUE"""),"$ 14.73 million")</f>
        <v>$ 14.73 million</v>
      </c>
    </row>
    <row r="329" ht="15.75" customHeight="1">
      <c r="A329" s="1" t="str">
        <f>IFERROR(__xludf.DUMMYFUNCTION("""COMPUTED_VALUE"""),"118 SNX/USDT Binance")</f>
        <v>118 SNX/USDT Binance</v>
      </c>
      <c r="B329" s="2">
        <f>IFERROR(__xludf.DUMMYFUNCTION("""COMPUTED_VALUE"""),3.73)</f>
        <v>3.73</v>
      </c>
      <c r="C329" s="1" t="str">
        <f>IFERROR(__xludf.DUMMYFUNCTION("""COMPUTED_VALUE"""),"$ 14.42 million")</f>
        <v>$ 14.42 million</v>
      </c>
    </row>
    <row r="330" ht="15.75" customHeight="1">
      <c r="A330" s="1" t="str">
        <f>IFERROR(__xludf.DUMMYFUNCTION("""COMPUTED_VALUE"""),"119 SKL/USDT Binance")</f>
        <v>119 SKL/USDT Binance</v>
      </c>
      <c r="B330" s="2">
        <f>IFERROR(__xludf.DUMMYFUNCTION("""COMPUTED_VALUE"""),0.0917)</f>
        <v>0.0917</v>
      </c>
      <c r="C330" s="1" t="str">
        <f>IFERROR(__xludf.DUMMYFUNCTION("""COMPUTED_VALUE"""),"$ 14.04 million")</f>
        <v>$ 14.04 million</v>
      </c>
    </row>
    <row r="331" ht="15.75" customHeight="1">
      <c r="A331" s="1" t="str">
        <f>IFERROR(__xludf.DUMMYFUNCTION("""COMPUTED_VALUE"""),"15 DYM/USDT Binance")</f>
        <v>15 DYM/USDT Binance</v>
      </c>
      <c r="B331" s="2">
        <f>IFERROR(__xludf.DUMMYFUNCTION("""COMPUTED_VALUE"""),8.23)</f>
        <v>8.23</v>
      </c>
      <c r="C331" s="1" t="str">
        <f>IFERROR(__xludf.DUMMYFUNCTION("""COMPUTED_VALUE"""),"$ 137.53 million")</f>
        <v>$ 137.53 million</v>
      </c>
    </row>
    <row r="332" ht="15.75" customHeight="1">
      <c r="A332" s="1" t="str">
        <f>IFERROR(__xludf.DUMMYFUNCTION("""COMPUTED_VALUE"""),"120 PEPE/TRY Binance")</f>
        <v>120 PEPE/TRY Binance</v>
      </c>
      <c r="B332" s="2"/>
      <c r="C332" s="1" t="str">
        <f>IFERROR(__xludf.DUMMYFUNCTION("""COMPUTED_VALUE"""),"$ 13.85 million")</f>
        <v>$ 13.85 million</v>
      </c>
    </row>
    <row r="333" ht="15.75" customHeight="1">
      <c r="A333" s="1" t="str">
        <f>IFERROR(__xludf.DUMMYFUNCTION("""COMPUTED_VALUE"""),"121 MAV/USDT Binance")</f>
        <v>121 MAV/USDT Binance</v>
      </c>
      <c r="B333" s="2">
        <f>IFERROR(__xludf.DUMMYFUNCTION("""COMPUTED_VALUE"""),0.653)</f>
        <v>0.653</v>
      </c>
      <c r="C333" s="1" t="str">
        <f>IFERROR(__xludf.DUMMYFUNCTION("""COMPUTED_VALUE"""),"$ 13.81 million")</f>
        <v>$ 13.81 million</v>
      </c>
    </row>
    <row r="334" ht="15.75" customHeight="1">
      <c r="A334" s="1" t="str">
        <f>IFERROR(__xludf.DUMMYFUNCTION("""COMPUTED_VALUE"""),"122 BNB/BTC Binance")</f>
        <v>122 BNB/BTC Binance</v>
      </c>
      <c r="B334" s="2">
        <f>IFERROR(__xludf.DUMMYFUNCTION("""COMPUTED_VALUE"""),347.09)</f>
        <v>347.09</v>
      </c>
      <c r="C334" s="1" t="str">
        <f>IFERROR(__xludf.DUMMYFUNCTION("""COMPUTED_VALUE"""),"$ 13.81 million")</f>
        <v>$ 13.81 million</v>
      </c>
    </row>
    <row r="335" ht="15.75" customHeight="1">
      <c r="A335" s="1" t="str">
        <f>IFERROR(__xludf.DUMMYFUNCTION("""COMPUTED_VALUE"""),"123 PENDLE/USDT Binance")</f>
        <v>123 PENDLE/USDT Binance</v>
      </c>
      <c r="B335" s="2">
        <f>IFERROR(__xludf.DUMMYFUNCTION("""COMPUTED_VALUE"""),3.15)</f>
        <v>3.15</v>
      </c>
      <c r="C335" s="1" t="str">
        <f>IFERROR(__xludf.DUMMYFUNCTION("""COMPUTED_VALUE"""),"$ 13.73 million")</f>
        <v>$ 13.73 million</v>
      </c>
    </row>
    <row r="336" ht="15.75" customHeight="1">
      <c r="A336" s="1" t="str">
        <f>IFERROR(__xludf.DUMMYFUNCTION("""COMPUTED_VALUE"""),"124 UNI/USDT Binance")</f>
        <v>124 UNI/USDT Binance</v>
      </c>
      <c r="B336" s="2">
        <f>IFERROR(__xludf.DUMMYFUNCTION("""COMPUTED_VALUE"""),7.3)</f>
        <v>7.3</v>
      </c>
      <c r="C336" s="1" t="str">
        <f>IFERROR(__xludf.DUMMYFUNCTION("""COMPUTED_VALUE"""),"$ 13.71 million")</f>
        <v>$ 13.71 million</v>
      </c>
    </row>
    <row r="337" ht="15.75" customHeight="1">
      <c r="A337" s="1" t="str">
        <f>IFERROR(__xludf.DUMMYFUNCTION("""COMPUTED_VALUE"""),"125 AVAX/BTC Binance")</f>
        <v>125 AVAX/BTC Binance</v>
      </c>
      <c r="B337" s="2">
        <f>IFERROR(__xludf.DUMMYFUNCTION("""COMPUTED_VALUE"""),42.49)</f>
        <v>42.49</v>
      </c>
      <c r="C337" s="1" t="str">
        <f>IFERROR(__xludf.DUMMYFUNCTION("""COMPUTED_VALUE"""),"$ 13.39 million")</f>
        <v>$ 13.39 million</v>
      </c>
    </row>
    <row r="338" ht="15.75" customHeight="1">
      <c r="A338" s="1" t="str">
        <f>IFERROR(__xludf.DUMMYFUNCTION("""COMPUTED_VALUE"""),"126 XMR/USDT Binance")</f>
        <v>126 XMR/USDT Binance</v>
      </c>
      <c r="B338" s="2">
        <f>IFERROR(__xludf.DUMMYFUNCTION("""COMPUTED_VALUE"""),127.0)</f>
        <v>127</v>
      </c>
      <c r="C338" s="1" t="str">
        <f>IFERROR(__xludf.DUMMYFUNCTION("""COMPUTED_VALUE"""),"$ 13.35 million")</f>
        <v>$ 13.35 million</v>
      </c>
    </row>
    <row r="339" ht="15.75" customHeight="1">
      <c r="A339" s="1" t="str">
        <f>IFERROR(__xludf.DUMMYFUNCTION("""COMPUTED_VALUE"""),"16 STX/USDT Binance")</f>
        <v>16 STX/USDT Binance</v>
      </c>
      <c r="B339" s="2">
        <f>IFERROR(__xludf.DUMMYFUNCTION("""COMPUTED_VALUE"""),2.62)</f>
        <v>2.62</v>
      </c>
      <c r="C339" s="1" t="str">
        <f>IFERROR(__xludf.DUMMYFUNCTION("""COMPUTED_VALUE"""),"$ 127.20 million")</f>
        <v>$ 127.20 million</v>
      </c>
    </row>
    <row r="340" ht="15.75" customHeight="1">
      <c r="A340" s="1" t="str">
        <f>IFERROR(__xludf.DUMMYFUNCTION("""COMPUTED_VALUE"""),"17 USDT/TRY Binance")</f>
        <v>17 USDT/TRY Binance</v>
      </c>
      <c r="B340" s="2">
        <f>IFERROR(__xludf.DUMMYFUNCTION("""COMPUTED_VALUE"""),1.01)</f>
        <v>1.01</v>
      </c>
      <c r="C340" s="1" t="str">
        <f>IFERROR(__xludf.DUMMYFUNCTION("""COMPUTED_VALUE"""),"$ 120.29 million")</f>
        <v>$ 120.29 million</v>
      </c>
    </row>
    <row r="341" ht="15.75" customHeight="1">
      <c r="A341" s="1" t="str">
        <f>IFERROR(__xludf.DUMMYFUNCTION("""COMPUTED_VALUE"""),"127 AXS/USDT Binance")</f>
        <v>127 AXS/USDT Binance</v>
      </c>
      <c r="B341" s="2">
        <f>IFERROR(__xludf.DUMMYFUNCTION("""COMPUTED_VALUE"""),8.12)</f>
        <v>8.12</v>
      </c>
      <c r="C341" s="1" t="str">
        <f>IFERROR(__xludf.DUMMYFUNCTION("""COMPUTED_VALUE"""),"$ 12.38 million")</f>
        <v>$ 12.38 million</v>
      </c>
    </row>
    <row r="342" ht="15.75" customHeight="1">
      <c r="A342" s="1" t="str">
        <f>IFERROR(__xludf.DUMMYFUNCTION("""COMPUTED_VALUE"""),"18 MANTA/USDT Binance")</f>
        <v>18 MANTA/USDT Binance</v>
      </c>
      <c r="B342" s="2">
        <f>IFERROR(__xludf.DUMMYFUNCTION("""COMPUTED_VALUE"""),3.05)</f>
        <v>3.05</v>
      </c>
      <c r="C342" s="1" t="str">
        <f>IFERROR(__xludf.DUMMYFUNCTION("""COMPUTED_VALUE"""),"$ 119.79 million")</f>
        <v>$ 119.79 million</v>
      </c>
    </row>
    <row r="343" ht="15.75" customHeight="1">
      <c r="A343" s="1" t="str">
        <f>IFERROR(__xludf.DUMMYFUNCTION("""COMPUTED_VALUE"""),"128 SAND/USDT Binance")</f>
        <v>128 SAND/USDT Binance</v>
      </c>
      <c r="B343" s="2">
        <f>IFERROR(__xludf.DUMMYFUNCTION("""COMPUTED_VALUE"""),0.493)</f>
        <v>0.493</v>
      </c>
      <c r="C343" s="1" t="str">
        <f>IFERROR(__xludf.DUMMYFUNCTION("""COMPUTED_VALUE"""),"$ 11.94 million")</f>
        <v>$ 11.94 million</v>
      </c>
    </row>
    <row r="344" ht="15.75" customHeight="1">
      <c r="A344" s="1" t="str">
        <f>IFERROR(__xludf.DUMMYFUNCTION("""COMPUTED_VALUE"""),"129 BTC/BRL Binance")</f>
        <v>129 BTC/BRL Binance</v>
      </c>
      <c r="B344" s="2">
        <f>IFERROR(__xludf.DUMMYFUNCTION("""COMPUTED_VALUE"""),52751.95)</f>
        <v>52751.95</v>
      </c>
      <c r="C344" s="1" t="str">
        <f>IFERROR(__xludf.DUMMYFUNCTION("""COMPUTED_VALUE"""),"$ 11.79 million")</f>
        <v>$ 11.79 million</v>
      </c>
    </row>
    <row r="345" ht="15.75" customHeight="1">
      <c r="A345" s="1" t="str">
        <f>IFERROR(__xludf.DUMMYFUNCTION("""COMPUTED_VALUE"""),"130 GRT/USDT Binance")</f>
        <v>130 GRT/USDT Binance</v>
      </c>
      <c r="B345" s="2">
        <f>IFERROR(__xludf.DUMMYFUNCTION("""COMPUTED_VALUE"""),0.182)</f>
        <v>0.182</v>
      </c>
      <c r="C345" s="1" t="str">
        <f>IFERROR(__xludf.DUMMYFUNCTION("""COMPUTED_VALUE"""),"$ 11.62 million")</f>
        <v>$ 11.62 million</v>
      </c>
    </row>
    <row r="346" ht="15.75" customHeight="1">
      <c r="A346" s="1" t="str">
        <f>IFERROR(__xludf.DUMMYFUNCTION("""COMPUTED_VALUE"""),"131 ETH/EUR Binance")</f>
        <v>131 ETH/EUR Binance</v>
      </c>
      <c r="B346" s="2">
        <f>IFERROR(__xludf.DUMMYFUNCTION("""COMPUTED_VALUE"""),2799.31)</f>
        <v>2799.31</v>
      </c>
      <c r="C346" s="1" t="str">
        <f>IFERROR(__xludf.DUMMYFUNCTION("""COMPUTED_VALUE"""),"$ 11.46 million")</f>
        <v>$ 11.46 million</v>
      </c>
    </row>
    <row r="347" ht="15.75" customHeight="1">
      <c r="A347" s="1" t="str">
        <f>IFERROR(__xludf.DUMMYFUNCTION("""COMPUTED_VALUE"""),"132 KAVA/USDT Binance")</f>
        <v>132 KAVA/USDT Binance</v>
      </c>
      <c r="B347" s="2">
        <f>IFERROR(__xludf.DUMMYFUNCTION("""COMPUTED_VALUE"""),0.759)</f>
        <v>0.759</v>
      </c>
      <c r="C347" s="1" t="str">
        <f>IFERROR(__xludf.DUMMYFUNCTION("""COMPUTED_VALUE"""),"$ 11.39 million")</f>
        <v>$ 11.39 million</v>
      </c>
    </row>
    <row r="348" ht="15.75" customHeight="1">
      <c r="A348" s="1" t="str">
        <f>IFERROR(__xludf.DUMMYFUNCTION("""COMPUTED_VALUE"""),"133 MAGIC/USDT Binance")</f>
        <v>133 MAGIC/USDT Binance</v>
      </c>
      <c r="B348" s="2">
        <f>IFERROR(__xludf.DUMMYFUNCTION("""COMPUTED_VALUE"""),1.33)</f>
        <v>1.33</v>
      </c>
      <c r="C348" s="1" t="str">
        <f>IFERROR(__xludf.DUMMYFUNCTION("""COMPUTED_VALUE"""),"$ 11.22 million")</f>
        <v>$ 11.22 million</v>
      </c>
    </row>
    <row r="349" ht="15.75" customHeight="1">
      <c r="A349" s="1" t="str">
        <f>IFERROR(__xludf.DUMMYFUNCTION("""COMPUTED_VALUE"""),"134 SEI/BTC Binance")</f>
        <v>134 SEI/BTC Binance</v>
      </c>
      <c r="B349" s="2">
        <f>IFERROR(__xludf.DUMMYFUNCTION("""COMPUTED_VALUE"""),0.967)</f>
        <v>0.967</v>
      </c>
      <c r="C349" s="1" t="str">
        <f>IFERROR(__xludf.DUMMYFUNCTION("""COMPUTED_VALUE"""),"$ 11.21 million")</f>
        <v>$ 11.21 million</v>
      </c>
    </row>
    <row r="350" ht="15.75" customHeight="1">
      <c r="A350" s="1" t="str">
        <f>IFERROR(__xludf.DUMMYFUNCTION("""COMPUTED_VALUE"""),"135 BOND/USDT Binance")</f>
        <v>135 BOND/USDT Binance</v>
      </c>
      <c r="B350" s="2">
        <f>IFERROR(__xludf.DUMMYFUNCTION("""COMPUTED_VALUE"""),3.7)</f>
        <v>3.7</v>
      </c>
      <c r="C350" s="1" t="str">
        <f>IFERROR(__xludf.DUMMYFUNCTION("""COMPUTED_VALUE"""),"$ 11.19 million")</f>
        <v>$ 11.19 million</v>
      </c>
    </row>
    <row r="351" ht="15.75" customHeight="1">
      <c r="A351" s="1" t="str">
        <f>IFERROR(__xludf.DUMMYFUNCTION("""COMPUTED_VALUE"""),"19 ARB/USDT Binance")</f>
        <v>19 ARB/USDT Binance</v>
      </c>
      <c r="B351" s="2">
        <f>IFERROR(__xludf.DUMMYFUNCTION("""COMPUTED_VALUE"""),2.11)</f>
        <v>2.11</v>
      </c>
      <c r="C351" s="1" t="str">
        <f>IFERROR(__xludf.DUMMYFUNCTION("""COMPUTED_VALUE"""),"$ 108.52 million")</f>
        <v>$ 108.52 million</v>
      </c>
    </row>
    <row r="352" ht="15.75" customHeight="1">
      <c r="A352" s="1" t="str">
        <f>IFERROR(__xludf.DUMMYFUNCTION("""COMPUTED_VALUE"""),"20 ETH/BTC Binance")</f>
        <v>20 ETH/BTC Binance</v>
      </c>
      <c r="B352" s="2">
        <f>IFERROR(__xludf.DUMMYFUNCTION("""COMPUTED_VALUE"""),2792.53)</f>
        <v>2792.53</v>
      </c>
      <c r="C352" s="1" t="str">
        <f>IFERROR(__xludf.DUMMYFUNCTION("""COMPUTED_VALUE"""),"$ 100.72 million")</f>
        <v>$ 100.72 million</v>
      </c>
    </row>
    <row r="353" ht="15.75" customHeight="1">
      <c r="A353" s="1" t="str">
        <f>IFERROR(__xludf.DUMMYFUNCTION("""COMPUTED_VALUE"""),"21 LINK/USDT Binance")</f>
        <v>21 LINK/USDT Binance</v>
      </c>
      <c r="B353" s="2">
        <f>IFERROR(__xludf.DUMMYFUNCTION("""COMPUTED_VALUE"""),20.02)</f>
        <v>20.02</v>
      </c>
      <c r="C353" s="1" t="str">
        <f>IFERROR(__xludf.DUMMYFUNCTION("""COMPUTED_VALUE"""),"$ 100.46 million")</f>
        <v>$ 100.46 million</v>
      </c>
    </row>
    <row r="354" ht="15.75" customHeight="1">
      <c r="A354" s="1" t="str">
        <f>IFERROR(__xludf.DUMMYFUNCTION("""COMPUTED_VALUE"""),"22 API3/USDT Binance")</f>
        <v>22 API3/USDT Binance</v>
      </c>
      <c r="B354" s="2">
        <f>IFERROR(__xludf.DUMMYFUNCTION("""COMPUTED_VALUE"""),4.65)</f>
        <v>4.65</v>
      </c>
      <c r="C354" s="1" t="str">
        <f>IFERROR(__xludf.DUMMYFUNCTION("""COMPUTED_VALUE"""),"$ 100.10 million")</f>
        <v>$ 100.10 million</v>
      </c>
    </row>
    <row r="355" ht="15.75" customHeight="1">
      <c r="A355" s="1" t="str">
        <f>IFERROR(__xludf.DUMMYFUNCTION("""COMPUTED_VALUE"""),"136 SC/USDT Binance")</f>
        <v>136 SC/USDT Binance</v>
      </c>
      <c r="B355" s="2">
        <f>IFERROR(__xludf.DUMMYFUNCTION("""COMPUTED_VALUE"""),0.0107)</f>
        <v>0.0107</v>
      </c>
      <c r="C355" s="1" t="str">
        <f>IFERROR(__xludf.DUMMYFUNCTION("""COMPUTED_VALUE"""),"$ 10.95 million")</f>
        <v>$ 10.95 million</v>
      </c>
    </row>
    <row r="356" ht="15.75" customHeight="1">
      <c r="A356" s="1" t="str">
        <f>IFERROR(__xludf.DUMMYFUNCTION("""COMPUTED_VALUE"""),"137 CTSI/USDT Binance")</f>
        <v>137 CTSI/USDT Binance</v>
      </c>
      <c r="B356" s="2">
        <f>IFERROR(__xludf.DUMMYFUNCTION("""COMPUTED_VALUE"""),0.313)</f>
        <v>0.313</v>
      </c>
      <c r="C356" s="1" t="str">
        <f>IFERROR(__xludf.DUMMYFUNCTION("""COMPUTED_VALUE"""),"$ 10.72 million")</f>
        <v>$ 10.72 million</v>
      </c>
    </row>
    <row r="357" ht="15.75" customHeight="1">
      <c r="A357" s="1" t="str">
        <f>IFERROR(__xludf.DUMMYFUNCTION("""COMPUTED_VALUE"""),"138 EOS/USDT Binance")</f>
        <v>138 EOS/USDT Binance</v>
      </c>
      <c r="B357" s="2">
        <f>IFERROR(__xludf.DUMMYFUNCTION("""COMPUTED_VALUE"""),0.778)</f>
        <v>0.778</v>
      </c>
      <c r="C357" s="1" t="str">
        <f>IFERROR(__xludf.DUMMYFUNCTION("""COMPUTED_VALUE"""),"$ 10.54 million")</f>
        <v>$ 10.54 million</v>
      </c>
    </row>
    <row r="358" ht="15.75" customHeight="1">
      <c r="A358" s="1" t="str">
        <f>IFERROR(__xludf.DUMMYFUNCTION("""COMPUTED_VALUE"""),"139 JUP/TRY Binance")</f>
        <v>139 JUP/TRY Binance</v>
      </c>
      <c r="B358" s="2">
        <f>IFERROR(__xludf.DUMMYFUNCTION("""COMPUTED_VALUE"""),0.547)</f>
        <v>0.547</v>
      </c>
      <c r="C358" s="1" t="str">
        <f>IFERROR(__xludf.DUMMYFUNCTION("""COMPUTED_VALUE"""),"$ 10.48 million")</f>
        <v>$ 10.48 million</v>
      </c>
    </row>
    <row r="359" ht="15.75" customHeight="1">
      <c r="A359" s="1" t="str">
        <f>IFERROR(__xludf.DUMMYFUNCTION("""COMPUTED_VALUE"""),"140 ANKR/USDT Binance")</f>
        <v>140 ANKR/USDT Binance</v>
      </c>
      <c r="B359" s="2">
        <f>IFERROR(__xludf.DUMMYFUNCTION("""COMPUTED_VALUE"""),0.0275)</f>
        <v>0.0275</v>
      </c>
      <c r="C359" s="1" t="str">
        <f>IFERROR(__xludf.DUMMYFUNCTION("""COMPUTED_VALUE"""),"$ 10.45 million")</f>
        <v>$ 10.45 million</v>
      </c>
    </row>
    <row r="360" ht="15.75" customHeight="1">
      <c r="A360" s="1" t="str">
        <f>IFERROR(__xludf.DUMMYFUNCTION("""COMPUTED_VALUE"""),"141 XLM/USDT Binance")</f>
        <v>141 XLM/USDT Binance</v>
      </c>
      <c r="B360" s="2">
        <f>IFERROR(__xludf.DUMMYFUNCTION("""COMPUTED_VALUE"""),0.116)</f>
        <v>0.116</v>
      </c>
      <c r="C360" s="1" t="str">
        <f>IFERROR(__xludf.DUMMYFUNCTION("""COMPUTED_VALUE"""),"$ 10.44 million")</f>
        <v>$ 10.44 million</v>
      </c>
    </row>
    <row r="361" ht="15.75" customHeight="1">
      <c r="A361" s="1" t="str">
        <f>IFERROR(__xludf.DUMMYFUNCTION("""COMPUTED_VALUE"""),"142 BONK/TRY Binance")</f>
        <v>142 BONK/TRY Binance</v>
      </c>
      <c r="B361" s="2">
        <f>IFERROR(__xludf.DUMMYFUNCTION("""COMPUTED_VALUE"""),1.4E-5)</f>
        <v>0.000014</v>
      </c>
      <c r="C361" s="1" t="str">
        <f>IFERROR(__xludf.DUMMYFUNCTION("""COMPUTED_VALUE"""),"$ 10.37 million")</f>
        <v>$ 10.37 million</v>
      </c>
    </row>
    <row r="362" ht="15.75" customHeight="1">
      <c r="A362" s="1" t="str">
        <f>IFERROR(__xludf.DUMMYFUNCTION("""COMPUTED_VALUE"""),"143 EGLD/USDT Binance")</f>
        <v>143 EGLD/USDT Binance</v>
      </c>
      <c r="B362" s="2">
        <f>IFERROR(__xludf.DUMMYFUNCTION("""COMPUTED_VALUE"""),60.05)</f>
        <v>60.05</v>
      </c>
      <c r="C362" s="1" t="str">
        <f>IFERROR(__xludf.DUMMYFUNCTION("""COMPUTED_VALUE"""),"$ 10.32 million")</f>
        <v>$ 10.32 million</v>
      </c>
    </row>
    <row r="363" ht="15.75" customHeight="1">
      <c r="A363" s="1" t="str">
        <f>IFERROR(__xludf.DUMMYFUNCTION("""COMPUTED_VALUE"""),"144 ILV/USDT Binance")</f>
        <v>144 ILV/USDT Binance</v>
      </c>
      <c r="B363" s="2">
        <f>IFERROR(__xludf.DUMMYFUNCTION("""COMPUTED_VALUE"""),102.0)</f>
        <v>102</v>
      </c>
      <c r="C363" s="1" t="str">
        <f>IFERROR(__xludf.DUMMYFUNCTION("""COMPUTED_VALUE"""),"$ 10.06 million")</f>
        <v>$ 10.06 million</v>
      </c>
    </row>
    <row r="364" ht="15.75" customHeight="1">
      <c r="A364" s="1" t="str">
        <f>IFERROR(__xludf.DUMMYFUNCTION("""COMPUTED_VALUE"""),"339 OXT/USDT Binance")</f>
        <v>339 OXT/USDT Binance</v>
      </c>
      <c r="B364" s="2">
        <f>IFERROR(__xludf.DUMMYFUNCTION("""COMPUTED_VALUE"""),0.107)</f>
        <v>0.107</v>
      </c>
      <c r="C364" s="1" t="str">
        <f>IFERROR(__xludf.DUMMYFUNCTION("""COMPUTED_VALUE"""),"$ 1.99 million")</f>
        <v>$ 1.99 million</v>
      </c>
    </row>
    <row r="365" ht="15.75" customHeight="1">
      <c r="A365" s="1" t="str">
        <f>IFERROR(__xludf.DUMMYFUNCTION("""COMPUTED_VALUE"""),"340 NTRN/BTC Binance")</f>
        <v>340 NTRN/BTC Binance</v>
      </c>
      <c r="B365" s="2">
        <f>IFERROR(__xludf.DUMMYFUNCTION("""COMPUTED_VALUE"""),1.7)</f>
        <v>1.7</v>
      </c>
      <c r="C365" s="1" t="str">
        <f>IFERROR(__xludf.DUMMYFUNCTION("""COMPUTED_VALUE"""),"$ 1.97 million")</f>
        <v>$ 1.97 million</v>
      </c>
    </row>
    <row r="366" ht="15.75" customHeight="1">
      <c r="A366" s="1" t="str">
        <f>IFERROR(__xludf.DUMMYFUNCTION("""COMPUTED_VALUE"""),"341 POND/USDT Binance")</f>
        <v>341 POND/USDT Binance</v>
      </c>
      <c r="B366" s="2">
        <f>IFERROR(__xludf.DUMMYFUNCTION("""COMPUTED_VALUE"""),0.0231)</f>
        <v>0.0231</v>
      </c>
      <c r="C366" s="1" t="str">
        <f>IFERROR(__xludf.DUMMYFUNCTION("""COMPUTED_VALUE"""),"$ 1.96 million")</f>
        <v>$ 1.96 million</v>
      </c>
    </row>
    <row r="367" ht="15.75" customHeight="1">
      <c r="A367" s="1" t="str">
        <f>IFERROR(__xludf.DUMMYFUNCTION("""COMPUTED_VALUE"""),"342 SOL/BNB Binance")</f>
        <v>342 SOL/BNB Binance</v>
      </c>
      <c r="B367" s="2">
        <f>IFERROR(__xludf.DUMMYFUNCTION("""COMPUTED_VALUE"""),115.75)</f>
        <v>115.75</v>
      </c>
      <c r="C367" s="1" t="str">
        <f>IFERROR(__xludf.DUMMYFUNCTION("""COMPUTED_VALUE"""),"$ 1.94 million")</f>
        <v>$ 1.94 million</v>
      </c>
    </row>
    <row r="368" ht="15.75" customHeight="1">
      <c r="A368" s="1" t="str">
        <f>IFERROR(__xludf.DUMMYFUNCTION("""COMPUTED_VALUE"""),"343 ONG/USDT Binance")</f>
        <v>343 ONG/USDT Binance</v>
      </c>
      <c r="B368" s="2">
        <f>IFERROR(__xludf.DUMMYFUNCTION("""COMPUTED_VALUE"""),0.344)</f>
        <v>0.344</v>
      </c>
      <c r="C368" s="1" t="str">
        <f>IFERROR(__xludf.DUMMYFUNCTION("""COMPUTED_VALUE"""),"$ 1.94 million")</f>
        <v>$ 1.94 million</v>
      </c>
    </row>
    <row r="369" ht="15.75" customHeight="1">
      <c r="A369" s="1" t="str">
        <f>IFERROR(__xludf.DUMMYFUNCTION("""COMPUTED_VALUE"""),"344 ALT/FDUSD Binance")</f>
        <v>344 ALT/FDUSD Binance</v>
      </c>
      <c r="B369" s="2">
        <f>IFERROR(__xludf.DUMMYFUNCTION("""COMPUTED_VALUE"""),0.4)</f>
        <v>0.4</v>
      </c>
      <c r="C369" s="1" t="str">
        <f>IFERROR(__xludf.DUMMYFUNCTION("""COMPUTED_VALUE"""),"$ 1.93 million")</f>
        <v>$ 1.93 million</v>
      </c>
    </row>
    <row r="370" ht="15.75" customHeight="1">
      <c r="A370" s="1" t="str">
        <f>IFERROR(__xludf.DUMMYFUNCTION("""COMPUTED_VALUE"""),"345 APT/TRY Binance")</f>
        <v>345 APT/TRY Binance</v>
      </c>
      <c r="B370" s="2">
        <f>IFERROR(__xludf.DUMMYFUNCTION("""COMPUTED_VALUE"""),10.23)</f>
        <v>10.23</v>
      </c>
      <c r="C370" s="1" t="str">
        <f>IFERROR(__xludf.DUMMYFUNCTION("""COMPUTED_VALUE"""),"$ 1.93 million")</f>
        <v>$ 1.93 million</v>
      </c>
    </row>
    <row r="371" ht="15.75" customHeight="1">
      <c r="A371" s="1" t="str">
        <f>IFERROR(__xludf.DUMMYFUNCTION("""COMPUTED_VALUE"""),"346 OMG/USDT Binance")</f>
        <v>346 OMG/USDT Binance</v>
      </c>
      <c r="B371" s="2">
        <f>IFERROR(__xludf.DUMMYFUNCTION("""COMPUTED_VALUE"""),0.693)</f>
        <v>0.693</v>
      </c>
      <c r="C371" s="1" t="str">
        <f>IFERROR(__xludf.DUMMYFUNCTION("""COMPUTED_VALUE"""),"$ 1.91 million")</f>
        <v>$ 1.91 million</v>
      </c>
    </row>
    <row r="372" ht="15.75" customHeight="1">
      <c r="A372" s="1" t="str">
        <f>IFERROR(__xludf.DUMMYFUNCTION("""COMPUTED_VALUE"""),"347 BEAM/TRY Binance")</f>
        <v>347 BEAM/TRY Binance</v>
      </c>
      <c r="B372" s="2">
        <f>IFERROR(__xludf.DUMMYFUNCTION("""COMPUTED_VALUE"""),0.0306)</f>
        <v>0.0306</v>
      </c>
      <c r="C372" s="1" t="str">
        <f>IFERROR(__xludf.DUMMYFUNCTION("""COMPUTED_VALUE"""),"$ 1.90 million")</f>
        <v>$ 1.90 million</v>
      </c>
    </row>
    <row r="373" ht="15.75" customHeight="1">
      <c r="A373" s="1" t="str">
        <f>IFERROR(__xludf.DUMMYFUNCTION("""COMPUTED_VALUE"""),"348 WLD/BTC Binance")</f>
        <v>348 WLD/BTC Binance</v>
      </c>
      <c r="B373" s="2">
        <f>IFERROR(__xludf.DUMMYFUNCTION("""COMPUTED_VALUE"""),3.22)</f>
        <v>3.22</v>
      </c>
      <c r="C373" s="1" t="str">
        <f>IFERROR(__xludf.DUMMYFUNCTION("""COMPUTED_VALUE"""),"$ 1.89 million")</f>
        <v>$ 1.89 million</v>
      </c>
    </row>
    <row r="374" ht="15.75" customHeight="1">
      <c r="A374" s="1" t="str">
        <f>IFERROR(__xludf.DUMMYFUNCTION("""COMPUTED_VALUE"""),"349 TRX/TRY Binance")</f>
        <v>349 TRX/TRY Binance</v>
      </c>
      <c r="B374" s="2">
        <f>IFERROR(__xludf.DUMMYFUNCTION("""COMPUTED_VALUE"""),0.132)</f>
        <v>0.132</v>
      </c>
      <c r="C374" s="1" t="str">
        <f>IFERROR(__xludf.DUMMYFUNCTION("""COMPUTED_VALUE"""),"$ 1.89 million")</f>
        <v>$ 1.89 million</v>
      </c>
    </row>
    <row r="375" ht="15.75" customHeight="1">
      <c r="A375" s="1" t="str">
        <f>IFERROR(__xludf.DUMMYFUNCTION("""COMPUTED_VALUE"""),"350 XRP/EUR Binance")</f>
        <v>350 XRP/EUR Binance</v>
      </c>
      <c r="B375" s="2">
        <f>IFERROR(__xludf.DUMMYFUNCTION("""COMPUTED_VALUE"""),0.551)</f>
        <v>0.551</v>
      </c>
      <c r="C375" s="1" t="str">
        <f>IFERROR(__xludf.DUMMYFUNCTION("""COMPUTED_VALUE"""),"$ 1.88 million")</f>
        <v>$ 1.88 million</v>
      </c>
    </row>
    <row r="376" ht="15.75" customHeight="1">
      <c r="A376" s="1" t="str">
        <f>IFERROR(__xludf.DUMMYFUNCTION("""COMPUTED_VALUE"""),"351 SYN/USDT Binance")</f>
        <v>351 SYN/USDT Binance</v>
      </c>
      <c r="B376" s="2">
        <f>IFERROR(__xludf.DUMMYFUNCTION("""COMPUTED_VALUE"""),0.732)</f>
        <v>0.732</v>
      </c>
      <c r="C376" s="1" t="str">
        <f>IFERROR(__xludf.DUMMYFUNCTION("""COMPUTED_VALUE"""),"$ 1.87 million")</f>
        <v>$ 1.87 million</v>
      </c>
    </row>
    <row r="377" ht="15.75" customHeight="1">
      <c r="A377" s="1" t="str">
        <f>IFERROR(__xludf.DUMMYFUNCTION("""COMPUTED_VALUE"""),"352 CHZ/TRY Binance")</f>
        <v>352 CHZ/TRY Binance</v>
      </c>
      <c r="B377" s="2">
        <f>IFERROR(__xludf.DUMMYFUNCTION("""COMPUTED_VALUE"""),0.108)</f>
        <v>0.108</v>
      </c>
      <c r="C377" s="1" t="str">
        <f>IFERROR(__xludf.DUMMYFUNCTION("""COMPUTED_VALUE"""),"$ 1.84 million")</f>
        <v>$ 1.84 million</v>
      </c>
    </row>
    <row r="378" ht="15.75" customHeight="1">
      <c r="A378" s="1" t="str">
        <f>IFERROR(__xludf.DUMMYFUNCTION("""COMPUTED_VALUE"""),"353 OP/USDC Binance")</f>
        <v>353 OP/USDC Binance</v>
      </c>
      <c r="B378" s="2">
        <f>IFERROR(__xludf.DUMMYFUNCTION("""COMPUTED_VALUE"""),3.85)</f>
        <v>3.85</v>
      </c>
      <c r="C378" s="1" t="str">
        <f>IFERROR(__xludf.DUMMYFUNCTION("""COMPUTED_VALUE"""),"$ 1.84 million")</f>
        <v>$ 1.84 million</v>
      </c>
    </row>
    <row r="379" ht="15.75" customHeight="1">
      <c r="A379" s="1" t="str">
        <f>IFERROR(__xludf.DUMMYFUNCTION("""COMPUTED_VALUE"""),"354 ALICE/USDT Binance")</f>
        <v>354 ALICE/USDT Binance</v>
      </c>
      <c r="B379" s="2">
        <f>IFERROR(__xludf.DUMMYFUNCTION("""COMPUTED_VALUE"""),1.3)</f>
        <v>1.3</v>
      </c>
      <c r="C379" s="1" t="str">
        <f>IFERROR(__xludf.DUMMYFUNCTION("""COMPUTED_VALUE"""),"$ 1.81 million")</f>
        <v>$ 1.81 million</v>
      </c>
    </row>
    <row r="380" ht="15.75" customHeight="1">
      <c r="A380" s="1" t="str">
        <f>IFERROR(__xludf.DUMMYFUNCTION("""COMPUTED_VALUE"""),"355 ALT/BTC Binance")</f>
        <v>355 ALT/BTC Binance</v>
      </c>
      <c r="B380" s="2">
        <f>IFERROR(__xludf.DUMMYFUNCTION("""COMPUTED_VALUE"""),0.399)</f>
        <v>0.399</v>
      </c>
      <c r="C380" s="1" t="str">
        <f>IFERROR(__xludf.DUMMYFUNCTION("""COMPUTED_VALUE"""),"$ 1.81 million")</f>
        <v>$ 1.81 million</v>
      </c>
    </row>
    <row r="381" ht="15.75" customHeight="1">
      <c r="A381" s="1" t="str">
        <f>IFERROR(__xludf.DUMMYFUNCTION("""COMPUTED_VALUE"""),"356 CTXC/USDT Binance")</f>
        <v>356 CTXC/USDT Binance</v>
      </c>
      <c r="B381" s="2">
        <f>IFERROR(__xludf.DUMMYFUNCTION("""COMPUTED_VALUE"""),0.551)</f>
        <v>0.551</v>
      </c>
      <c r="C381" s="1" t="str">
        <f>IFERROR(__xludf.DUMMYFUNCTION("""COMPUTED_VALUE"""),"$ 1.81 million")</f>
        <v>$ 1.81 million</v>
      </c>
    </row>
    <row r="382" ht="15.75" customHeight="1">
      <c r="A382" s="1" t="str">
        <f>IFERROR(__xludf.DUMMYFUNCTION("""COMPUTED_VALUE"""),"357 ATOM/BTC Binance")</f>
        <v>357 ATOM/BTC Binance</v>
      </c>
      <c r="B382" s="2">
        <f>IFERROR(__xludf.DUMMYFUNCTION("""COMPUTED_VALUE"""),10.22)</f>
        <v>10.22</v>
      </c>
      <c r="C382" s="1" t="str">
        <f>IFERROR(__xludf.DUMMYFUNCTION("""COMPUTED_VALUE"""),"$ 1.79 million")</f>
        <v>$ 1.79 million</v>
      </c>
    </row>
    <row r="383" ht="15.75" customHeight="1">
      <c r="A383" s="1" t="str">
        <f>IFERROR(__xludf.DUMMYFUNCTION("""COMPUTED_VALUE"""),"358 INJ/BTC Binance")</f>
        <v>358 INJ/BTC Binance</v>
      </c>
      <c r="B383" s="2">
        <f>IFERROR(__xludf.DUMMYFUNCTION("""COMPUTED_VALUE"""),34.69)</f>
        <v>34.69</v>
      </c>
      <c r="C383" s="1" t="str">
        <f>IFERROR(__xludf.DUMMYFUNCTION("""COMPUTED_VALUE"""),"$ 1.78 million")</f>
        <v>$ 1.78 million</v>
      </c>
    </row>
    <row r="384" ht="15.75" customHeight="1">
      <c r="A384" s="1" t="str">
        <f>IFERROR(__xludf.DUMMYFUNCTION("""COMPUTED_VALUE"""),"359 APT/BTC Binance")</f>
        <v>359 APT/BTC Binance</v>
      </c>
      <c r="B384" s="2">
        <f>IFERROR(__xludf.DUMMYFUNCTION("""COMPUTED_VALUE"""),10.14)</f>
        <v>10.14</v>
      </c>
      <c r="C384" s="1" t="str">
        <f>IFERROR(__xludf.DUMMYFUNCTION("""COMPUTED_VALUE"""),"$ 1.77 million")</f>
        <v>$ 1.77 million</v>
      </c>
    </row>
    <row r="385" ht="15.75" customHeight="1">
      <c r="A385" s="1" t="str">
        <f>IFERROR(__xludf.DUMMYFUNCTION("""COMPUTED_VALUE"""),"360 DYM/BTC Binance")</f>
        <v>360 DYM/BTC Binance</v>
      </c>
      <c r="B385" s="2">
        <f>IFERROR(__xludf.DUMMYFUNCTION("""COMPUTED_VALUE"""),8.22)</f>
        <v>8.22</v>
      </c>
      <c r="C385" s="1" t="str">
        <f>IFERROR(__xludf.DUMMYFUNCTION("""COMPUTED_VALUE"""),"$ 1.77 million")</f>
        <v>$ 1.77 million</v>
      </c>
    </row>
    <row r="386" ht="15.75" customHeight="1">
      <c r="A386" s="1" t="str">
        <f>IFERROR(__xludf.DUMMYFUNCTION("""COMPUTED_VALUE"""),"361 WLD/TRY Binance")</f>
        <v>361 WLD/TRY Binance</v>
      </c>
      <c r="B386" s="2">
        <f>IFERROR(__xludf.DUMMYFUNCTION("""COMPUTED_VALUE"""),3.24)</f>
        <v>3.24</v>
      </c>
      <c r="C386" s="1" t="str">
        <f>IFERROR(__xludf.DUMMYFUNCTION("""COMPUTED_VALUE"""),"$ 1.77 million")</f>
        <v>$ 1.77 million</v>
      </c>
    </row>
    <row r="387" ht="15.75" customHeight="1">
      <c r="A387" s="1" t="str">
        <f>IFERROR(__xludf.DUMMYFUNCTION("""COMPUTED_VALUE"""),"362 INJ/TRY Binance")</f>
        <v>362 INJ/TRY Binance</v>
      </c>
      <c r="B387" s="2">
        <f>IFERROR(__xludf.DUMMYFUNCTION("""COMPUTED_VALUE"""),34.87)</f>
        <v>34.87</v>
      </c>
      <c r="C387" s="1" t="str">
        <f>IFERROR(__xludf.DUMMYFUNCTION("""COMPUTED_VALUE"""),"$ 1.74 million")</f>
        <v>$ 1.74 million</v>
      </c>
    </row>
    <row r="388" ht="15.75" customHeight="1">
      <c r="A388" s="1" t="str">
        <f>IFERROR(__xludf.DUMMYFUNCTION("""COMPUTED_VALUE"""),"363 AUDIO/USDT Binance")</f>
        <v>363 AUDIO/USDT Binance</v>
      </c>
      <c r="B388" s="2">
        <f>IFERROR(__xludf.DUMMYFUNCTION("""COMPUTED_VALUE"""),0.209)</f>
        <v>0.209</v>
      </c>
      <c r="C388" s="1" t="str">
        <f>IFERROR(__xludf.DUMMYFUNCTION("""COMPUTED_VALUE"""),"$ 1.74 million")</f>
        <v>$ 1.74 million</v>
      </c>
    </row>
    <row r="389" ht="15.75" customHeight="1">
      <c r="A389" s="1" t="str">
        <f>IFERROR(__xludf.DUMMYFUNCTION("""COMPUTED_VALUE"""),"364 EPX/USDT Binance")</f>
        <v>364 EPX/USDT Binance</v>
      </c>
      <c r="B389" s="2">
        <f>IFERROR(__xludf.DUMMYFUNCTION("""COMPUTED_VALUE"""),2.36E-4)</f>
        <v>0.000236</v>
      </c>
      <c r="C389" s="1" t="str">
        <f>IFERROR(__xludf.DUMMYFUNCTION("""COMPUTED_VALUE"""),"$ 1.73 million")</f>
        <v>$ 1.73 million</v>
      </c>
    </row>
    <row r="390" ht="15.75" customHeight="1">
      <c r="A390" s="1" t="str">
        <f>IFERROR(__xludf.DUMMYFUNCTION("""COMPUTED_VALUE"""),"365 SUN/USDT Binance")</f>
        <v>365 SUN/USDT Binance</v>
      </c>
      <c r="B390" s="2">
        <f>IFERROR(__xludf.DUMMYFUNCTION("""COMPUTED_VALUE"""),0.00798)</f>
        <v>0.00798</v>
      </c>
      <c r="C390" s="1" t="str">
        <f>IFERROR(__xludf.DUMMYFUNCTION("""COMPUTED_VALUE"""),"$ 1.72 million")</f>
        <v>$ 1.72 million</v>
      </c>
    </row>
    <row r="391" ht="15.75" customHeight="1">
      <c r="A391" s="1" t="str">
        <f>IFERROR(__xludf.DUMMYFUNCTION("""COMPUTED_VALUE"""),"366 BTC/DAI Binance")</f>
        <v>366 BTC/DAI Binance</v>
      </c>
      <c r="B391" s="2">
        <f>IFERROR(__xludf.DUMMYFUNCTION("""COMPUTED_VALUE"""),52441.77)</f>
        <v>52441.77</v>
      </c>
      <c r="C391" s="1" t="str">
        <f>IFERROR(__xludf.DUMMYFUNCTION("""COMPUTED_VALUE"""),"$ 1.71 million")</f>
        <v>$ 1.71 million</v>
      </c>
    </row>
    <row r="392" ht="15.75" customHeight="1">
      <c r="A392" s="1" t="str">
        <f>IFERROR(__xludf.DUMMYFUNCTION("""COMPUTED_VALUE"""),"367 SKL/TRY Binance")</f>
        <v>367 SKL/TRY Binance</v>
      </c>
      <c r="B392" s="2">
        <f>IFERROR(__xludf.DUMMYFUNCTION("""COMPUTED_VALUE"""),0.0921)</f>
        <v>0.0921</v>
      </c>
      <c r="C392" s="1" t="str">
        <f>IFERROR(__xludf.DUMMYFUNCTION("""COMPUTED_VALUE"""),"$ 1.69 million")</f>
        <v>$ 1.69 million</v>
      </c>
    </row>
    <row r="393" ht="15.75" customHeight="1">
      <c r="A393" s="1" t="str">
        <f>IFERROR(__xludf.DUMMYFUNCTION("""COMPUTED_VALUE"""),"368 FLM/USDT Binance")</f>
        <v>368 FLM/USDT Binance</v>
      </c>
      <c r="B393" s="2">
        <f>IFERROR(__xludf.DUMMYFUNCTION("""COMPUTED_VALUE"""),0.0875)</f>
        <v>0.0875</v>
      </c>
      <c r="C393" s="1" t="str">
        <f>IFERROR(__xludf.DUMMYFUNCTION("""COMPUTED_VALUE"""),"$ 1.69 million")</f>
        <v>$ 1.69 million</v>
      </c>
    </row>
    <row r="394" ht="15.75" customHeight="1">
      <c r="A394" s="1" t="str">
        <f>IFERROR(__xludf.DUMMYFUNCTION("""COMPUTED_VALUE"""),"369 DATA/BTC Binance")</f>
        <v>369 DATA/BTC Binance</v>
      </c>
      <c r="B394" s="2">
        <f>IFERROR(__xludf.DUMMYFUNCTION("""COMPUTED_VALUE"""),0.068)</f>
        <v>0.068</v>
      </c>
      <c r="C394" s="1" t="str">
        <f>IFERROR(__xludf.DUMMYFUNCTION("""COMPUTED_VALUE"""),"$ 1.68 million")</f>
        <v>$ 1.68 million</v>
      </c>
    </row>
    <row r="395" ht="15.75" customHeight="1">
      <c r="A395" s="1" t="str">
        <f>IFERROR(__xludf.DUMMYFUNCTION("""COMPUTED_VALUE"""),"370 SANTOS/USDT Binance")</f>
        <v>370 SANTOS/USDT Binance</v>
      </c>
      <c r="B395" s="2">
        <f>IFERROR(__xludf.DUMMYFUNCTION("""COMPUTED_VALUE"""),4.55)</f>
        <v>4.55</v>
      </c>
      <c r="C395" s="1" t="str">
        <f>IFERROR(__xludf.DUMMYFUNCTION("""COMPUTED_VALUE"""),"$ 1.68 million")</f>
        <v>$ 1.68 million</v>
      </c>
    </row>
    <row r="396" ht="15.75" customHeight="1">
      <c r="A396" s="1" t="str">
        <f>IFERROR(__xludf.DUMMYFUNCTION("""COMPUTED_VALUE"""),"371 NFP/TRY Binance")</f>
        <v>371 NFP/TRY Binance</v>
      </c>
      <c r="B396" s="2">
        <f>IFERROR(__xludf.DUMMYFUNCTION("""COMPUTED_VALUE"""),0.654)</f>
        <v>0.654</v>
      </c>
      <c r="C396" s="1" t="str">
        <f>IFERROR(__xludf.DUMMYFUNCTION("""COMPUTED_VALUE"""),"$ 1.68 million")</f>
        <v>$ 1.68 million</v>
      </c>
    </row>
    <row r="397" ht="15.75" customHeight="1">
      <c r="A397" s="1" t="str">
        <f>IFERROR(__xludf.DUMMYFUNCTION("""COMPUTED_VALUE"""),"372 SUPER/TRY Binance")</f>
        <v>372 SUPER/TRY Binance</v>
      </c>
      <c r="B397" s="2">
        <f>IFERROR(__xludf.DUMMYFUNCTION("""COMPUTED_VALUE"""),1.14)</f>
        <v>1.14</v>
      </c>
      <c r="C397" s="1" t="str">
        <f>IFERROR(__xludf.DUMMYFUNCTION("""COMPUTED_VALUE"""),"$ 1.67 million")</f>
        <v>$ 1.67 million</v>
      </c>
    </row>
    <row r="398" ht="15.75" customHeight="1">
      <c r="A398" s="1" t="str">
        <f>IFERROR(__xludf.DUMMYFUNCTION("""COMPUTED_VALUE"""),"373 FLUX/USDT Binance")</f>
        <v>373 FLUX/USDT Binance</v>
      </c>
      <c r="B398" s="2">
        <f>IFERROR(__xludf.DUMMYFUNCTION("""COMPUTED_VALUE"""),0.656)</f>
        <v>0.656</v>
      </c>
      <c r="C398" s="1" t="str">
        <f>IFERROR(__xludf.DUMMYFUNCTION("""COMPUTED_VALUE"""),"$ 1.67 million")</f>
        <v>$ 1.67 million</v>
      </c>
    </row>
    <row r="399" ht="15.75" customHeight="1">
      <c r="A399" s="1" t="str">
        <f>IFERROR(__xludf.DUMMYFUNCTION("""COMPUTED_VALUE"""),"374 AUCTION/BTC Binance")</f>
        <v>374 AUCTION/BTC Binance</v>
      </c>
      <c r="B399" s="2">
        <f>IFERROR(__xludf.DUMMYFUNCTION("""COMPUTED_VALUE"""),33.92)</f>
        <v>33.92</v>
      </c>
      <c r="C399" s="1" t="str">
        <f>IFERROR(__xludf.DUMMYFUNCTION("""COMPUTED_VALUE"""),"$ 1.67 million")</f>
        <v>$ 1.67 million</v>
      </c>
    </row>
    <row r="400" ht="15.75" customHeight="1">
      <c r="A400" s="1" t="str">
        <f>IFERROR(__xludf.DUMMYFUNCTION("""COMPUTED_VALUE"""),"375 ATA/USDT Binance")</f>
        <v>375 ATA/USDT Binance</v>
      </c>
      <c r="B400" s="2">
        <f>IFERROR(__xludf.DUMMYFUNCTION("""COMPUTED_VALUE"""),0.0982)</f>
        <v>0.0982</v>
      </c>
      <c r="C400" s="1" t="str">
        <f>IFERROR(__xludf.DUMMYFUNCTION("""COMPUTED_VALUE"""),"$ 1.66 million")</f>
        <v>$ 1.66 million</v>
      </c>
    </row>
    <row r="401" ht="15.75" customHeight="1">
      <c r="A401" s="1" t="str">
        <f>IFERROR(__xludf.DUMMYFUNCTION("""COMPUTED_VALUE"""),"376 MANTA/FDUSD Binance")</f>
        <v>376 MANTA/FDUSD Binance</v>
      </c>
      <c r="B401" s="2">
        <f>IFERROR(__xludf.DUMMYFUNCTION("""COMPUTED_VALUE"""),3.05)</f>
        <v>3.05</v>
      </c>
      <c r="C401" s="1" t="str">
        <f>IFERROR(__xludf.DUMMYFUNCTION("""COMPUTED_VALUE"""),"$ 1.66 million")</f>
        <v>$ 1.66 million</v>
      </c>
    </row>
    <row r="402" ht="15.75" customHeight="1">
      <c r="A402" s="1" t="str">
        <f>IFERROR(__xludf.DUMMYFUNCTION("""COMPUTED_VALUE"""),"377 ARB/USDC Binance")</f>
        <v>377 ARB/USDC Binance</v>
      </c>
      <c r="B402" s="2">
        <f>IFERROR(__xludf.DUMMYFUNCTION("""COMPUTED_VALUE"""),2.11)</f>
        <v>2.11</v>
      </c>
      <c r="C402" s="1" t="str">
        <f>IFERROR(__xludf.DUMMYFUNCTION("""COMPUTED_VALUE"""),"$ 1.66 million")</f>
        <v>$ 1.66 million</v>
      </c>
    </row>
    <row r="403" ht="15.75" customHeight="1">
      <c r="A403" s="1" t="str">
        <f>IFERROR(__xludf.DUMMYFUNCTION("""COMPUTED_VALUE"""),"378 KP3R/USDT Binance")</f>
        <v>378 KP3R/USDT Binance</v>
      </c>
      <c r="B403" s="2">
        <f>IFERROR(__xludf.DUMMYFUNCTION("""COMPUTED_VALUE"""),74.97)</f>
        <v>74.97</v>
      </c>
      <c r="C403" s="1" t="str">
        <f>IFERROR(__xludf.DUMMYFUNCTION("""COMPUTED_VALUE"""),"$ 1.65 million")</f>
        <v>$ 1.65 million</v>
      </c>
    </row>
    <row r="404" ht="15.75" customHeight="1">
      <c r="A404" s="1" t="str">
        <f>IFERROR(__xludf.DUMMYFUNCTION("""COMPUTED_VALUE"""),"379 PROM/BTC Binance")</f>
        <v>379 PROM/BTC Binance</v>
      </c>
      <c r="B404" s="2">
        <f>IFERROR(__xludf.DUMMYFUNCTION("""COMPUTED_VALUE"""),11.32)</f>
        <v>11.32</v>
      </c>
      <c r="C404" s="1" t="str">
        <f>IFERROR(__xludf.DUMMYFUNCTION("""COMPUTED_VALUE"""),"$ 1.62 million")</f>
        <v>$ 1.62 million</v>
      </c>
    </row>
    <row r="405" ht="15.75" customHeight="1">
      <c r="A405" s="1" t="str">
        <f>IFERROR(__xludf.DUMMYFUNCTION("""COMPUTED_VALUE"""),"380 VET/EUR Binance")</f>
        <v>380 VET/EUR Binance</v>
      </c>
      <c r="B405" s="2">
        <f>IFERROR(__xludf.DUMMYFUNCTION("""COMPUTED_VALUE"""),0.0462)</f>
        <v>0.0462</v>
      </c>
      <c r="C405" s="1" t="str">
        <f>IFERROR(__xludf.DUMMYFUNCTION("""COMPUTED_VALUE"""),"$ 1.62 million")</f>
        <v>$ 1.62 million</v>
      </c>
    </row>
    <row r="406" ht="15.75" customHeight="1">
      <c r="A406" s="1" t="str">
        <f>IFERROR(__xludf.DUMMYFUNCTION("""COMPUTED_VALUE"""),"381 GNO/USDT Binance")</f>
        <v>381 GNO/USDT Binance</v>
      </c>
      <c r="B406" s="2">
        <f>IFERROR(__xludf.DUMMYFUNCTION("""COMPUTED_VALUE"""),282.4)</f>
        <v>282.4</v>
      </c>
      <c r="C406" s="1" t="str">
        <f>IFERROR(__xludf.DUMMYFUNCTION("""COMPUTED_VALUE"""),"$ 1.59 million")</f>
        <v>$ 1.59 million</v>
      </c>
    </row>
    <row r="407" ht="15.75" customHeight="1">
      <c r="A407" s="1" t="str">
        <f>IFERROR(__xludf.DUMMYFUNCTION("""COMPUTED_VALUE"""),"382 RNDR/BTC Binance")</f>
        <v>382 RNDR/BTC Binance</v>
      </c>
      <c r="B407" s="2">
        <f>IFERROR(__xludf.DUMMYFUNCTION("""COMPUTED_VALUE"""),4.95)</f>
        <v>4.95</v>
      </c>
      <c r="C407" s="1" t="str">
        <f>IFERROR(__xludf.DUMMYFUNCTION("""COMPUTED_VALUE"""),"$ 1.58 million")</f>
        <v>$ 1.58 million</v>
      </c>
    </row>
    <row r="408" ht="15.75" customHeight="1">
      <c r="A408" s="1" t="str">
        <f>IFERROR(__xludf.DUMMYFUNCTION("""COMPUTED_VALUE"""),"383 JTO/TRY Binance")</f>
        <v>383 JTO/TRY Binance</v>
      </c>
      <c r="B408" s="2">
        <f>IFERROR(__xludf.DUMMYFUNCTION("""COMPUTED_VALUE"""),2.22)</f>
        <v>2.22</v>
      </c>
      <c r="C408" s="1" t="str">
        <f>IFERROR(__xludf.DUMMYFUNCTION("""COMPUTED_VALUE"""),"$ 1.58 million")</f>
        <v>$ 1.58 million</v>
      </c>
    </row>
    <row r="409" ht="15.75" customHeight="1">
      <c r="A409" s="1" t="str">
        <f>IFERROR(__xludf.DUMMYFUNCTION("""COMPUTED_VALUE"""),"384 DAR/TRY Binance")</f>
        <v>384 DAR/TRY Binance</v>
      </c>
      <c r="B409" s="2">
        <f>IFERROR(__xludf.DUMMYFUNCTION("""COMPUTED_VALUE"""),0.144)</f>
        <v>0.144</v>
      </c>
      <c r="C409" s="1" t="str">
        <f>IFERROR(__xludf.DUMMYFUNCTION("""COMPUTED_VALUE"""),"$ 1.54 million")</f>
        <v>$ 1.54 million</v>
      </c>
    </row>
    <row r="410" ht="15.75" customHeight="1">
      <c r="A410" s="1" t="str">
        <f>IFERROR(__xludf.DUMMYFUNCTION("""COMPUTED_VALUE"""),"385 AMP/USDT Binance")</f>
        <v>385 AMP/USDT Binance</v>
      </c>
      <c r="B410" s="2">
        <f>IFERROR(__xludf.DUMMYFUNCTION("""COMPUTED_VALUE"""),0.00373)</f>
        <v>0.00373</v>
      </c>
      <c r="C410" s="1" t="str">
        <f>IFERROR(__xludf.DUMMYFUNCTION("""COMPUTED_VALUE"""),"$ 1.54 million")</f>
        <v>$ 1.54 million</v>
      </c>
    </row>
    <row r="411" ht="15.75" customHeight="1">
      <c r="A411" s="1" t="str">
        <f>IFERROR(__xludf.DUMMYFUNCTION("""COMPUTED_VALUE"""),"386 XVS/USDT Binance")</f>
        <v>386 XVS/USDT Binance</v>
      </c>
      <c r="B411" s="2">
        <f>IFERROR(__xludf.DUMMYFUNCTION("""COMPUTED_VALUE"""),11.31)</f>
        <v>11.31</v>
      </c>
      <c r="C411" s="1" t="str">
        <f>IFERROR(__xludf.DUMMYFUNCTION("""COMPUTED_VALUE"""),"$ 1.54 million")</f>
        <v>$ 1.54 million</v>
      </c>
    </row>
    <row r="412" ht="15.75" customHeight="1">
      <c r="A412" s="1" t="str">
        <f>IFERROR(__xludf.DUMMYFUNCTION("""COMPUTED_VALUE"""),"387 BNB/TUSD Binance")</f>
        <v>387 BNB/TUSD Binance</v>
      </c>
      <c r="B412" s="2">
        <f>IFERROR(__xludf.DUMMYFUNCTION("""COMPUTED_VALUE"""),347.57)</f>
        <v>347.57</v>
      </c>
      <c r="C412" s="1" t="str">
        <f>IFERROR(__xludf.DUMMYFUNCTION("""COMPUTED_VALUE"""),"$ 1.53 million")</f>
        <v>$ 1.53 million</v>
      </c>
    </row>
    <row r="413" ht="15.75" customHeight="1">
      <c r="A413" s="1" t="str">
        <f>IFERROR(__xludf.DUMMYFUNCTION("""COMPUTED_VALUE"""),"388 ERN/USDT Binance")</f>
        <v>388 ERN/USDT Binance</v>
      </c>
      <c r="B413" s="2">
        <f>IFERROR(__xludf.DUMMYFUNCTION("""COMPUTED_VALUE"""),2.36)</f>
        <v>2.36</v>
      </c>
      <c r="C413" s="1" t="str">
        <f>IFERROR(__xludf.DUMMYFUNCTION("""COMPUTED_VALUE"""),"$ 1.53 million")</f>
        <v>$ 1.53 million</v>
      </c>
    </row>
    <row r="414" ht="15.75" customHeight="1">
      <c r="A414" s="1" t="str">
        <f>IFERROR(__xludf.DUMMYFUNCTION("""COMPUTED_VALUE"""),"389 DIA/USDT Binance")</f>
        <v>389 DIA/USDT Binance</v>
      </c>
      <c r="B414" s="2">
        <f>IFERROR(__xludf.DUMMYFUNCTION("""COMPUTED_VALUE"""),0.476)</f>
        <v>0.476</v>
      </c>
      <c r="C414" s="1" t="str">
        <f>IFERROR(__xludf.DUMMYFUNCTION("""COMPUTED_VALUE"""),"$ 1.53 million")</f>
        <v>$ 1.53 million</v>
      </c>
    </row>
    <row r="415" ht="15.75" customHeight="1">
      <c r="A415" s="1" t="str">
        <f>IFERROR(__xludf.DUMMYFUNCTION("""COMPUTED_VALUE"""),"390 ADA/USDC Binance")</f>
        <v>390 ADA/USDC Binance</v>
      </c>
      <c r="B415" s="2">
        <f>IFERROR(__xludf.DUMMYFUNCTION("""COMPUTED_VALUE"""),0.594)</f>
        <v>0.594</v>
      </c>
      <c r="C415" s="1" t="str">
        <f>IFERROR(__xludf.DUMMYFUNCTION("""COMPUTED_VALUE"""),"$ 1.52 million")</f>
        <v>$ 1.52 million</v>
      </c>
    </row>
    <row r="416" ht="15.75" customHeight="1">
      <c r="A416" s="1" t="str">
        <f>IFERROR(__xludf.DUMMYFUNCTION("""COMPUTED_VALUE"""),"391 COMBO/USDT Binance")</f>
        <v>391 COMBO/USDT Binance</v>
      </c>
      <c r="B416" s="2">
        <f>IFERROR(__xludf.DUMMYFUNCTION("""COMPUTED_VALUE"""),0.813)</f>
        <v>0.813</v>
      </c>
      <c r="C416" s="1" t="str">
        <f>IFERROR(__xludf.DUMMYFUNCTION("""COMPUTED_VALUE"""),"$ 1.51 million")</f>
        <v>$ 1.51 million</v>
      </c>
    </row>
    <row r="417" ht="15.75" customHeight="1">
      <c r="A417" s="1" t="str">
        <f>IFERROR(__xludf.DUMMYFUNCTION("""COMPUTED_VALUE"""),"392 SCRT/USDT Binance")</f>
        <v>392 SCRT/USDT Binance</v>
      </c>
      <c r="B417" s="2">
        <f>IFERROR(__xludf.DUMMYFUNCTION("""COMPUTED_VALUE"""),0.436)</f>
        <v>0.436</v>
      </c>
      <c r="C417" s="1" t="str">
        <f>IFERROR(__xludf.DUMMYFUNCTION("""COMPUTED_VALUE"""),"$ 1.51 million")</f>
        <v>$ 1.51 million</v>
      </c>
    </row>
    <row r="418" ht="15.75" customHeight="1">
      <c r="A418" s="1" t="str">
        <f>IFERROR(__xludf.DUMMYFUNCTION("""COMPUTED_VALUE"""),"393 BAR/USDT Binance")</f>
        <v>393 BAR/USDT Binance</v>
      </c>
      <c r="B418" s="2">
        <f>IFERROR(__xludf.DUMMYFUNCTION("""COMPUTED_VALUE"""),2.55)</f>
        <v>2.55</v>
      </c>
      <c r="C418" s="1" t="str">
        <f>IFERROR(__xludf.DUMMYFUNCTION("""COMPUTED_VALUE"""),"$ 1.51 million")</f>
        <v>$ 1.51 million</v>
      </c>
    </row>
    <row r="419" ht="15.75" customHeight="1">
      <c r="A419" s="1" t="str">
        <f>IFERROR(__xludf.DUMMYFUNCTION("""COMPUTED_VALUE"""),"394 BNB/EUR Binance")</f>
        <v>394 BNB/EUR Binance</v>
      </c>
      <c r="B419" s="2">
        <f>IFERROR(__xludf.DUMMYFUNCTION("""COMPUTED_VALUE"""),347.68)</f>
        <v>347.68</v>
      </c>
      <c r="C419" s="1" t="str">
        <f>IFERROR(__xludf.DUMMYFUNCTION("""COMPUTED_VALUE"""),"$ 1.50 million")</f>
        <v>$ 1.50 million</v>
      </c>
    </row>
    <row r="420" ht="15.75" customHeight="1">
      <c r="A420" s="1" t="str">
        <f>IFERROR(__xludf.DUMMYFUNCTION("""COMPUTED_VALUE"""),"395 KNC/USDT Binance")</f>
        <v>395 KNC/USDT Binance</v>
      </c>
      <c r="B420" s="2">
        <f>IFERROR(__xludf.DUMMYFUNCTION("""COMPUTED_VALUE"""),0.648)</f>
        <v>0.648</v>
      </c>
      <c r="C420" s="1" t="str">
        <f>IFERROR(__xludf.DUMMYFUNCTION("""COMPUTED_VALUE"""),"$ 1.49 million")</f>
        <v>$ 1.49 million</v>
      </c>
    </row>
    <row r="421" ht="15.75" customHeight="1">
      <c r="A421" s="1" t="str">
        <f>IFERROR(__xludf.DUMMYFUNCTION("""COMPUTED_VALUE"""),"396 STORJ/TRY Binance")</f>
        <v>396 STORJ/TRY Binance</v>
      </c>
      <c r="B421" s="2">
        <f>IFERROR(__xludf.DUMMYFUNCTION("""COMPUTED_VALUE"""),0.666)</f>
        <v>0.666</v>
      </c>
      <c r="C421" s="1" t="str">
        <f>IFERROR(__xludf.DUMMYFUNCTION("""COMPUTED_VALUE"""),"$ 1.48 million")</f>
        <v>$ 1.48 million</v>
      </c>
    </row>
    <row r="422" ht="15.75" customHeight="1">
      <c r="A422" s="1" t="str">
        <f>IFERROR(__xludf.DUMMYFUNCTION("""COMPUTED_VALUE"""),"397 USDT/PLN Binance")</f>
        <v>397 USDT/PLN Binance</v>
      </c>
      <c r="B422" s="2">
        <f>IFERROR(__xludf.DUMMYFUNCTION("""COMPUTED_VALUE"""),1.0)</f>
        <v>1</v>
      </c>
      <c r="C422" s="1" t="str">
        <f>IFERROR(__xludf.DUMMYFUNCTION("""COMPUTED_VALUE"""),"$ 1.47 million")</f>
        <v>$ 1.47 million</v>
      </c>
    </row>
    <row r="423" ht="15.75" customHeight="1">
      <c r="A423" s="1" t="str">
        <f>IFERROR(__xludf.DUMMYFUNCTION("""COMPUTED_VALUE"""),"398 NTRN/TRY Binance")</f>
        <v>398 NTRN/TRY Binance</v>
      </c>
      <c r="B423" s="2">
        <f>IFERROR(__xludf.DUMMYFUNCTION("""COMPUTED_VALUE"""),1.71)</f>
        <v>1.71</v>
      </c>
      <c r="C423" s="1" t="str">
        <f>IFERROR(__xludf.DUMMYFUNCTION("""COMPUTED_VALUE"""),"$ 1.47 million")</f>
        <v>$ 1.47 million</v>
      </c>
    </row>
    <row r="424" ht="15.75" customHeight="1">
      <c r="A424" s="1" t="str">
        <f>IFERROR(__xludf.DUMMYFUNCTION("""COMPUTED_VALUE"""),"399 MATIC/FDUSD Binance")</f>
        <v>399 MATIC/FDUSD Binance</v>
      </c>
      <c r="B424" s="2">
        <f>IFERROR(__xludf.DUMMYFUNCTION("""COMPUTED_VALUE"""),0.893)</f>
        <v>0.893</v>
      </c>
      <c r="C424" s="1" t="str">
        <f>IFERROR(__xludf.DUMMYFUNCTION("""COMPUTED_VALUE"""),"$ 1.47 million")</f>
        <v>$ 1.47 million</v>
      </c>
    </row>
    <row r="425" ht="15.75" customHeight="1">
      <c r="A425" s="1" t="str">
        <f>IFERROR(__xludf.DUMMYFUNCTION("""COMPUTED_VALUE"""),"400 OG/USDT Binance")</f>
        <v>400 OG/USDT Binance</v>
      </c>
      <c r="B425" s="2">
        <f>IFERROR(__xludf.DUMMYFUNCTION("""COMPUTED_VALUE"""),4.9)</f>
        <v>4.9</v>
      </c>
      <c r="C425" s="1" t="str">
        <f>IFERROR(__xludf.DUMMYFUNCTION("""COMPUTED_VALUE"""),"$ 1.46 million")</f>
        <v>$ 1.46 million</v>
      </c>
    </row>
    <row r="426" ht="15.75" customHeight="1">
      <c r="A426" s="1" t="str">
        <f>IFERROR(__xludf.DUMMYFUNCTION("""COMPUTED_VALUE"""),"401 WIN/USDT Binance")</f>
        <v>401 WIN/USDT Binance</v>
      </c>
      <c r="B426" s="2">
        <f>IFERROR(__xludf.DUMMYFUNCTION("""COMPUTED_VALUE"""),1.05E-4)</f>
        <v>0.000105</v>
      </c>
      <c r="C426" s="1" t="str">
        <f>IFERROR(__xludf.DUMMYFUNCTION("""COMPUTED_VALUE"""),"$ 1.46 million")</f>
        <v>$ 1.46 million</v>
      </c>
    </row>
    <row r="427" ht="15.75" customHeight="1">
      <c r="A427" s="1" t="str">
        <f>IFERROR(__xludf.DUMMYFUNCTION("""COMPUTED_VALUE"""),"402 OOKI/USDT Binance")</f>
        <v>402 OOKI/USDT Binance</v>
      </c>
      <c r="B427" s="2">
        <f>IFERROR(__xludf.DUMMYFUNCTION("""COMPUTED_VALUE"""),0.00199)</f>
        <v>0.00199</v>
      </c>
      <c r="C427" s="1" t="str">
        <f>IFERROR(__xludf.DUMMYFUNCTION("""COMPUTED_VALUE"""),"$ 1.45 million")</f>
        <v>$ 1.45 million</v>
      </c>
    </row>
    <row r="428" ht="15.75" customHeight="1">
      <c r="A428" s="1" t="str">
        <f>IFERROR(__xludf.DUMMYFUNCTION("""COMPUTED_VALUE"""),"403 XRP/USDC Binance")</f>
        <v>403 XRP/USDC Binance</v>
      </c>
      <c r="B428" s="2">
        <f>IFERROR(__xludf.DUMMYFUNCTION("""COMPUTED_VALUE"""),0.551)</f>
        <v>0.551</v>
      </c>
      <c r="C428" s="1" t="str">
        <f>IFERROR(__xludf.DUMMYFUNCTION("""COMPUTED_VALUE"""),"$ 1.45 million")</f>
        <v>$ 1.45 million</v>
      </c>
    </row>
    <row r="429" ht="15.75" customHeight="1">
      <c r="A429" s="1" t="str">
        <f>IFERROR(__xludf.DUMMYFUNCTION("""COMPUTED_VALUE"""),"404 FIS/USDT Binance")</f>
        <v>404 FIS/USDT Binance</v>
      </c>
      <c r="B429" s="2">
        <f>IFERROR(__xludf.DUMMYFUNCTION("""COMPUTED_VALUE"""),0.429)</f>
        <v>0.429</v>
      </c>
      <c r="C429" s="1" t="str">
        <f>IFERROR(__xludf.DUMMYFUNCTION("""COMPUTED_VALUE"""),"$ 1.45 million")</f>
        <v>$ 1.45 million</v>
      </c>
    </row>
    <row r="430" ht="15.75" customHeight="1">
      <c r="A430" s="1" t="str">
        <f>IFERROR(__xludf.DUMMYFUNCTION("""COMPUTED_VALUE"""),"405 MBL/USDT Binance")</f>
        <v>405 MBL/USDT Binance</v>
      </c>
      <c r="B430" s="2">
        <f>IFERROR(__xludf.DUMMYFUNCTION("""COMPUTED_VALUE"""),0.00441)</f>
        <v>0.00441</v>
      </c>
      <c r="C430" s="1" t="str">
        <f>IFERROR(__xludf.DUMMYFUNCTION("""COMPUTED_VALUE"""),"$ 1.43 million")</f>
        <v>$ 1.43 million</v>
      </c>
    </row>
    <row r="431" ht="15.75" customHeight="1">
      <c r="A431" s="1" t="str">
        <f>IFERROR(__xludf.DUMMYFUNCTION("""COMPUTED_VALUE"""),"406 SOL/TUSD Binance")</f>
        <v>406 SOL/TUSD Binance</v>
      </c>
      <c r="B431" s="2">
        <f>IFERROR(__xludf.DUMMYFUNCTION("""COMPUTED_VALUE"""),116.01)</f>
        <v>116.01</v>
      </c>
      <c r="C431" s="1" t="str">
        <f>IFERROR(__xludf.DUMMYFUNCTION("""COMPUTED_VALUE"""),"$ 1.42 million")</f>
        <v>$ 1.42 million</v>
      </c>
    </row>
    <row r="432" ht="15.75" customHeight="1">
      <c r="A432" s="1" t="str">
        <f>IFERROR(__xludf.DUMMYFUNCTION("""COMPUTED_VALUE"""),"407 TROY/USDT Binance")</f>
        <v>407 TROY/USDT Binance</v>
      </c>
      <c r="B432" s="2">
        <f>IFERROR(__xludf.DUMMYFUNCTION("""COMPUTED_VALUE"""),0.00249)</f>
        <v>0.00249</v>
      </c>
      <c r="C432" s="1" t="str">
        <f>IFERROR(__xludf.DUMMYFUNCTION("""COMPUTED_VALUE"""),"$ 1.42 million")</f>
        <v>$ 1.42 million</v>
      </c>
    </row>
    <row r="433" ht="15.75" customHeight="1">
      <c r="A433" s="1" t="str">
        <f>IFERROR(__xludf.DUMMYFUNCTION("""COMPUTED_VALUE"""),"408 APE/TRY Binance")</f>
        <v>408 APE/TRY Binance</v>
      </c>
      <c r="B433" s="2">
        <f>IFERROR(__xludf.DUMMYFUNCTION("""COMPUTED_VALUE"""),1.63)</f>
        <v>1.63</v>
      </c>
      <c r="C433" s="1" t="str">
        <f>IFERROR(__xludf.DUMMYFUNCTION("""COMPUTED_VALUE"""),"$ 1.42 million")</f>
        <v>$ 1.42 million</v>
      </c>
    </row>
    <row r="434" ht="15.75" customHeight="1">
      <c r="A434" s="1" t="str">
        <f>IFERROR(__xludf.DUMMYFUNCTION("""COMPUTED_VALUE"""),"409 ACA/TRY Binance")</f>
        <v>409 ACA/TRY Binance</v>
      </c>
      <c r="B434" s="2">
        <f>IFERROR(__xludf.DUMMYFUNCTION("""COMPUTED_VALUE"""),0.117)</f>
        <v>0.117</v>
      </c>
      <c r="C434" s="1" t="str">
        <f>IFERROR(__xludf.DUMMYFUNCTION("""COMPUTED_VALUE"""),"$ 1.42 million")</f>
        <v>$ 1.42 million</v>
      </c>
    </row>
    <row r="435" ht="15.75" customHeight="1">
      <c r="A435" s="1" t="str">
        <f>IFERROR(__xludf.DUMMYFUNCTION("""COMPUTED_VALUE"""),"410 NEXO/USDT Binance")</f>
        <v>410 NEXO/USDT Binance</v>
      </c>
      <c r="B435" s="2">
        <f>IFERROR(__xludf.DUMMYFUNCTION("""COMPUTED_VALUE"""),1.06)</f>
        <v>1.06</v>
      </c>
      <c r="C435" s="1" t="str">
        <f>IFERROR(__xludf.DUMMYFUNCTION("""COMPUTED_VALUE"""),"$ 1.42 million")</f>
        <v>$ 1.42 million</v>
      </c>
    </row>
    <row r="436" ht="15.75" customHeight="1">
      <c r="A436" s="1" t="str">
        <f>IFERROR(__xludf.DUMMYFUNCTION("""COMPUTED_VALUE"""),"411 INJ/USDC Binance")</f>
        <v>411 INJ/USDC Binance</v>
      </c>
      <c r="B436" s="2">
        <f>IFERROR(__xludf.DUMMYFUNCTION("""COMPUTED_VALUE"""),34.74)</f>
        <v>34.74</v>
      </c>
      <c r="C436" s="1" t="str">
        <f>IFERROR(__xludf.DUMMYFUNCTION("""COMPUTED_VALUE"""),"$ 1.42 million")</f>
        <v>$ 1.42 million</v>
      </c>
    </row>
    <row r="437" ht="15.75" customHeight="1">
      <c r="A437" s="1" t="str">
        <f>IFERROR(__xludf.DUMMYFUNCTION("""COMPUTED_VALUE"""),"412 CELR/USDT Binance")</f>
        <v>412 CELR/USDT Binance</v>
      </c>
      <c r="B437" s="2">
        <f>IFERROR(__xludf.DUMMYFUNCTION("""COMPUTED_VALUE"""),0.0202)</f>
        <v>0.0202</v>
      </c>
      <c r="C437" s="1" t="str">
        <f>IFERROR(__xludf.DUMMYFUNCTION("""COMPUTED_VALUE"""),"$ 1.39 million")</f>
        <v>$ 1.39 million</v>
      </c>
    </row>
    <row r="438" ht="15.75" customHeight="1">
      <c r="A438" s="1" t="str">
        <f>IFERROR(__xludf.DUMMYFUNCTION("""COMPUTED_VALUE"""),"413 SUI/TRY Binance")</f>
        <v>413 SUI/TRY Binance</v>
      </c>
      <c r="B438" s="2">
        <f>IFERROR(__xludf.DUMMYFUNCTION("""COMPUTED_VALUE"""),1.9)</f>
        <v>1.9</v>
      </c>
      <c r="C438" s="1" t="str">
        <f>IFERROR(__xludf.DUMMYFUNCTION("""COMPUTED_VALUE"""),"$ 1.39 million")</f>
        <v>$ 1.39 million</v>
      </c>
    </row>
    <row r="439" ht="15.75" customHeight="1">
      <c r="A439" s="1" t="str">
        <f>IFERROR(__xludf.DUMMYFUNCTION("""COMPUTED_VALUE"""),"414 XVG/USDT Binance")</f>
        <v>414 XVG/USDT Binance</v>
      </c>
      <c r="B439" s="2">
        <f>IFERROR(__xludf.DUMMYFUNCTION("""COMPUTED_VALUE"""),0.00373)</f>
        <v>0.00373</v>
      </c>
      <c r="C439" s="1" t="str">
        <f>IFERROR(__xludf.DUMMYFUNCTION("""COMPUTED_VALUE"""),"$ 1.38 million")</f>
        <v>$ 1.38 million</v>
      </c>
    </row>
    <row r="440" ht="15.75" customHeight="1">
      <c r="A440" s="1" t="str">
        <f>IFERROR(__xludf.DUMMYFUNCTION("""COMPUTED_VALUE"""),"415 WAXP/USDT Binance")</f>
        <v>415 WAXP/USDT Binance</v>
      </c>
      <c r="B440" s="2">
        <f>IFERROR(__xludf.DUMMYFUNCTION("""COMPUTED_VALUE"""),0.0592)</f>
        <v>0.0592</v>
      </c>
      <c r="C440" s="1" t="str">
        <f>IFERROR(__xludf.DUMMYFUNCTION("""COMPUTED_VALUE"""),"$ 1.37 million")</f>
        <v>$ 1.37 million</v>
      </c>
    </row>
    <row r="441" ht="15.75" customHeight="1">
      <c r="A441" s="1" t="str">
        <f>IFERROR(__xludf.DUMMYFUNCTION("""COMPUTED_VALUE"""),"416 MINA/TRY Binance")</f>
        <v>416 MINA/TRY Binance</v>
      </c>
      <c r="B441" s="2">
        <f>IFERROR(__xludf.DUMMYFUNCTION("""COMPUTED_VALUE"""),1.48)</f>
        <v>1.48</v>
      </c>
      <c r="C441" s="1" t="str">
        <f>IFERROR(__xludf.DUMMYFUNCTION("""COMPUTED_VALUE"""),"$ 1.37 million")</f>
        <v>$ 1.37 million</v>
      </c>
    </row>
    <row r="442" ht="15.75" customHeight="1">
      <c r="A442" s="1" t="str">
        <f>IFERROR(__xludf.DUMMYFUNCTION("""COMPUTED_VALUE"""),"417 LOKA/USDT Binance")</f>
        <v>417 LOKA/USDT Binance</v>
      </c>
      <c r="B442" s="2">
        <f>IFERROR(__xludf.DUMMYFUNCTION("""COMPUTED_VALUE"""),0.259)</f>
        <v>0.259</v>
      </c>
      <c r="C442" s="1" t="str">
        <f>IFERROR(__xludf.DUMMYFUNCTION("""COMPUTED_VALUE"""),"$ 1.36 million")</f>
        <v>$ 1.36 million</v>
      </c>
    </row>
    <row r="443" ht="15.75" customHeight="1">
      <c r="A443" s="1" t="str">
        <f>IFERROR(__xludf.DUMMYFUNCTION("""COMPUTED_VALUE"""),"418 DYM/FDUSD Binance")</f>
        <v>418 DYM/FDUSD Binance</v>
      </c>
      <c r="B443" s="2">
        <f>IFERROR(__xludf.DUMMYFUNCTION("""COMPUTED_VALUE"""),8.19)</f>
        <v>8.19</v>
      </c>
      <c r="C443" s="1" t="str">
        <f>IFERROR(__xludf.DUMMYFUNCTION("""COMPUTED_VALUE"""),"$ 1.35 million")</f>
        <v>$ 1.35 million</v>
      </c>
    </row>
    <row r="444" ht="15.75" customHeight="1">
      <c r="A444" s="1" t="str">
        <f>IFERROR(__xludf.DUMMYFUNCTION("""COMPUTED_VALUE"""),"419 ADA/EUR Binance")</f>
        <v>419 ADA/EUR Binance</v>
      </c>
      <c r="B444" s="2">
        <f>IFERROR(__xludf.DUMMYFUNCTION("""COMPUTED_VALUE"""),0.594)</f>
        <v>0.594</v>
      </c>
      <c r="C444" s="1" t="str">
        <f>IFERROR(__xludf.DUMMYFUNCTION("""COMPUTED_VALUE"""),"$ 1.35 million")</f>
        <v>$ 1.35 million</v>
      </c>
    </row>
    <row r="445" ht="15.75" customHeight="1">
      <c r="A445" s="1" t="str">
        <f>IFERROR(__xludf.DUMMYFUNCTION("""COMPUTED_VALUE"""),"420 WAN/USDT Binance")</f>
        <v>420 WAN/USDT Binance</v>
      </c>
      <c r="B445" s="2">
        <f>IFERROR(__xludf.DUMMYFUNCTION("""COMPUTED_VALUE"""),0.227)</f>
        <v>0.227</v>
      </c>
      <c r="C445" s="1" t="str">
        <f>IFERROR(__xludf.DUMMYFUNCTION("""COMPUTED_VALUE"""),"$ 1.34 million")</f>
        <v>$ 1.34 million</v>
      </c>
    </row>
    <row r="446" ht="15.75" customHeight="1">
      <c r="A446" s="1" t="str">
        <f>IFERROR(__xludf.DUMMYFUNCTION("""COMPUTED_VALUE"""),"421 ORDI/TRY Binance")</f>
        <v>421 ORDI/TRY Binance</v>
      </c>
      <c r="B446" s="2">
        <f>IFERROR(__xludf.DUMMYFUNCTION("""COMPUTED_VALUE"""),70.72)</f>
        <v>70.72</v>
      </c>
      <c r="C446" s="1" t="str">
        <f>IFERROR(__xludf.DUMMYFUNCTION("""COMPUTED_VALUE"""),"$ 1.34 million")</f>
        <v>$ 1.34 million</v>
      </c>
    </row>
    <row r="447" ht="15.75" customHeight="1">
      <c r="A447" s="1" t="str">
        <f>IFERROR(__xludf.DUMMYFUNCTION("""COMPUTED_VALUE"""),"422 MOB/USDT Binance")</f>
        <v>422 MOB/USDT Binance</v>
      </c>
      <c r="B447" s="2">
        <f>IFERROR(__xludf.DUMMYFUNCTION("""COMPUTED_VALUE"""),0.329)</f>
        <v>0.329</v>
      </c>
      <c r="C447" s="1" t="str">
        <f>IFERROR(__xludf.DUMMYFUNCTION("""COMPUTED_VALUE"""),"$ 1.33 million")</f>
        <v>$ 1.33 million</v>
      </c>
    </row>
    <row r="448" ht="15.75" customHeight="1">
      <c r="A448" s="1" t="str">
        <f>IFERROR(__xludf.DUMMYFUNCTION("""COMPUTED_VALUE"""),"423 VIC/USDT Binance")</f>
        <v>423 VIC/USDT Binance</v>
      </c>
      <c r="B448" s="2">
        <f>IFERROR(__xludf.DUMMYFUNCTION("""COMPUTED_VALUE"""),0.754)</f>
        <v>0.754</v>
      </c>
      <c r="C448" s="1" t="str">
        <f>IFERROR(__xludf.DUMMYFUNCTION("""COMPUTED_VALUE"""),"$ 1.32 million")</f>
        <v>$ 1.32 million</v>
      </c>
    </row>
    <row r="449" ht="15.75" customHeight="1">
      <c r="A449" s="1" t="str">
        <f>IFERROR(__xludf.DUMMYFUNCTION("""COMPUTED_VALUE"""),"424 MANTA/BTC Binance")</f>
        <v>424 MANTA/BTC Binance</v>
      </c>
      <c r="B449" s="2">
        <f>IFERROR(__xludf.DUMMYFUNCTION("""COMPUTED_VALUE"""),3.05)</f>
        <v>3.05</v>
      </c>
      <c r="C449" s="1" t="str">
        <f>IFERROR(__xludf.DUMMYFUNCTION("""COMPUTED_VALUE"""),"$ 1.32 million")</f>
        <v>$ 1.32 million</v>
      </c>
    </row>
    <row r="450" ht="15.75" customHeight="1">
      <c r="A450" s="1" t="str">
        <f>IFERROR(__xludf.DUMMYFUNCTION("""COMPUTED_VALUE"""),"425 MAV/TRY Binance")</f>
        <v>425 MAV/TRY Binance</v>
      </c>
      <c r="B450" s="2">
        <f>IFERROR(__xludf.DUMMYFUNCTION("""COMPUTED_VALUE"""),0.656)</f>
        <v>0.656</v>
      </c>
      <c r="C450" s="1" t="str">
        <f>IFERROR(__xludf.DUMMYFUNCTION("""COMPUTED_VALUE"""),"$ 1.32 million")</f>
        <v>$ 1.32 million</v>
      </c>
    </row>
    <row r="451" ht="15.75" customHeight="1">
      <c r="A451" s="1" t="str">
        <f>IFERROR(__xludf.DUMMYFUNCTION("""COMPUTED_VALUE"""),"426 STPT/USDT Binance")</f>
        <v>426 STPT/USDT Binance</v>
      </c>
      <c r="B451" s="2">
        <f>IFERROR(__xludf.DUMMYFUNCTION("""COMPUTED_VALUE"""),0.0564)</f>
        <v>0.0564</v>
      </c>
      <c r="C451" s="1" t="str">
        <f>IFERROR(__xludf.DUMMYFUNCTION("""COMPUTED_VALUE"""),"$ 1.32 million")</f>
        <v>$ 1.32 million</v>
      </c>
    </row>
    <row r="452" ht="15.75" customHeight="1">
      <c r="A452" s="1" t="str">
        <f>IFERROR(__xludf.DUMMYFUNCTION("""COMPUTED_VALUE"""),"427 ELF/USDT Binance")</f>
        <v>427 ELF/USDT Binance</v>
      </c>
      <c r="B452" s="2">
        <f>IFERROR(__xludf.DUMMYFUNCTION("""COMPUTED_VALUE"""),0.614)</f>
        <v>0.614</v>
      </c>
      <c r="C452" s="1" t="str">
        <f>IFERROR(__xludf.DUMMYFUNCTION("""COMPUTED_VALUE"""),"$ 1.31 million")</f>
        <v>$ 1.31 million</v>
      </c>
    </row>
    <row r="453" ht="15.75" customHeight="1">
      <c r="A453" s="1" t="str">
        <f>IFERROR(__xludf.DUMMYFUNCTION("""COMPUTED_VALUE"""),"428 TIA/BTC Binance")</f>
        <v>428 TIA/BTC Binance</v>
      </c>
      <c r="B453" s="2">
        <f>IFERROR(__xludf.DUMMYFUNCTION("""COMPUTED_VALUE"""),18.68)</f>
        <v>18.68</v>
      </c>
      <c r="C453" s="1" t="str">
        <f>IFERROR(__xludf.DUMMYFUNCTION("""COMPUTED_VALUE"""),"$ 1.30 million")</f>
        <v>$ 1.30 million</v>
      </c>
    </row>
    <row r="454" ht="15.75" customHeight="1">
      <c r="A454" s="1" t="str">
        <f>IFERROR(__xludf.DUMMYFUNCTION("""COMPUTED_VALUE"""),"429 BICO/USDT Binance")</f>
        <v>429 BICO/USDT Binance</v>
      </c>
      <c r="B454" s="2">
        <f>IFERROR(__xludf.DUMMYFUNCTION("""COMPUTED_VALUE"""),0.42)</f>
        <v>0.42</v>
      </c>
      <c r="C454" s="1" t="str">
        <f>IFERROR(__xludf.DUMMYFUNCTION("""COMPUTED_VALUE"""),"$ 1.29 million")</f>
        <v>$ 1.29 million</v>
      </c>
    </row>
    <row r="455" ht="15.75" customHeight="1">
      <c r="A455" s="1" t="str">
        <f>IFERROR(__xludf.DUMMYFUNCTION("""COMPUTED_VALUE"""),"430 BEL/USDT Binance")</f>
        <v>430 BEL/USDT Binance</v>
      </c>
      <c r="B455" s="2">
        <f>IFERROR(__xludf.DUMMYFUNCTION("""COMPUTED_VALUE"""),0.66)</f>
        <v>0.66</v>
      </c>
      <c r="C455" s="1" t="str">
        <f>IFERROR(__xludf.DUMMYFUNCTION("""COMPUTED_VALUE"""),"$ 1.29 million")</f>
        <v>$ 1.29 million</v>
      </c>
    </row>
    <row r="456" ht="15.75" customHeight="1">
      <c r="A456" s="1" t="str">
        <f>IFERROR(__xludf.DUMMYFUNCTION("""COMPUTED_VALUE"""),"431 XNO/USDT Binance")</f>
        <v>431 XNO/USDT Binance</v>
      </c>
      <c r="B456" s="2">
        <f>IFERROR(__xludf.DUMMYFUNCTION("""COMPUTED_VALUE"""),1.25)</f>
        <v>1.25</v>
      </c>
      <c r="C456" s="1" t="str">
        <f>IFERROR(__xludf.DUMMYFUNCTION("""COMPUTED_VALUE"""),"$ 1.28 million")</f>
        <v>$ 1.28 million</v>
      </c>
    </row>
    <row r="457" ht="15.75" customHeight="1">
      <c r="A457" s="1" t="str">
        <f>IFERROR(__xludf.DUMMYFUNCTION("""COMPUTED_VALUE"""),"432 NKN/USDT Binance")</f>
        <v>432 NKN/USDT Binance</v>
      </c>
      <c r="B457" s="2">
        <f>IFERROR(__xludf.DUMMYFUNCTION("""COMPUTED_VALUE"""),0.122)</f>
        <v>0.122</v>
      </c>
      <c r="C457" s="1" t="str">
        <f>IFERROR(__xludf.DUMMYFUNCTION("""COMPUTED_VALUE"""),"$ 1.26 million")</f>
        <v>$ 1.26 million</v>
      </c>
    </row>
    <row r="458" ht="15.75" customHeight="1">
      <c r="A458" s="1" t="str">
        <f>IFERROR(__xludf.DUMMYFUNCTION("""COMPUTED_VALUE"""),"433 VITE/USDT Binance")</f>
        <v>433 VITE/USDT Binance</v>
      </c>
      <c r="B458" s="2">
        <f>IFERROR(__xludf.DUMMYFUNCTION("""COMPUTED_VALUE"""),0.0195)</f>
        <v>0.0195</v>
      </c>
      <c r="C458" s="1" t="str">
        <f>IFERROR(__xludf.DUMMYFUNCTION("""COMPUTED_VALUE"""),"$ 1.26 million")</f>
        <v>$ 1.26 million</v>
      </c>
    </row>
    <row r="459" ht="15.75" customHeight="1">
      <c r="A459" s="1" t="str">
        <f>IFERROR(__xludf.DUMMYFUNCTION("""COMPUTED_VALUE"""),"434 SOL/BRL Binance")</f>
        <v>434 SOL/BRL Binance</v>
      </c>
      <c r="B459" s="2">
        <f>IFERROR(__xludf.DUMMYFUNCTION("""COMPUTED_VALUE"""),116.8)</f>
        <v>116.8</v>
      </c>
      <c r="C459" s="1" t="str">
        <f>IFERROR(__xludf.DUMMYFUNCTION("""COMPUTED_VALUE"""),"$ 1.25 million")</f>
        <v>$ 1.25 million</v>
      </c>
    </row>
    <row r="460" ht="15.75" customHeight="1">
      <c r="A460" s="1" t="str">
        <f>IFERROR(__xludf.DUMMYFUNCTION("""COMPUTED_VALUE"""),"435 WRX/USDT Binance")</f>
        <v>435 WRX/USDT Binance</v>
      </c>
      <c r="B460" s="2">
        <f>IFERROR(__xludf.DUMMYFUNCTION("""COMPUTED_VALUE"""),0.233)</f>
        <v>0.233</v>
      </c>
      <c r="C460" s="1" t="str">
        <f>IFERROR(__xludf.DUMMYFUNCTION("""COMPUTED_VALUE"""),"$ 1.24 million")</f>
        <v>$ 1.24 million</v>
      </c>
    </row>
    <row r="461" ht="15.75" customHeight="1">
      <c r="A461" s="1" t="str">
        <f>IFERROR(__xludf.DUMMYFUNCTION("""COMPUTED_VALUE"""),"436 USDT/NGN Binance")</f>
        <v>436 USDT/NGN Binance</v>
      </c>
      <c r="B461" s="2">
        <f>IFERROR(__xludf.DUMMYFUNCTION("""COMPUTED_VALUE"""),1.05)</f>
        <v>1.05</v>
      </c>
      <c r="C461" s="1" t="str">
        <f>IFERROR(__xludf.DUMMYFUNCTION("""COMPUTED_VALUE"""),"$ 1.24 million")</f>
        <v>$ 1.24 million</v>
      </c>
    </row>
    <row r="462" ht="15.75" customHeight="1">
      <c r="A462" s="1" t="str">
        <f>IFERROR(__xludf.DUMMYFUNCTION("""COMPUTED_VALUE"""),"437 RPL/USDT Binance")</f>
        <v>437 RPL/USDT Binance</v>
      </c>
      <c r="B462" s="2">
        <f>IFERROR(__xludf.DUMMYFUNCTION("""COMPUTED_VALUE"""),32.28)</f>
        <v>32.28</v>
      </c>
      <c r="C462" s="1" t="str">
        <f>IFERROR(__xludf.DUMMYFUNCTION("""COMPUTED_VALUE"""),"$ 1.22 million")</f>
        <v>$ 1.22 million</v>
      </c>
    </row>
    <row r="463" ht="15.75" customHeight="1">
      <c r="A463" s="1" t="str">
        <f>IFERROR(__xludf.DUMMYFUNCTION("""COMPUTED_VALUE"""),"438 VET/BNB Binance")</f>
        <v>438 VET/BNB Binance</v>
      </c>
      <c r="B463" s="2">
        <f>IFERROR(__xludf.DUMMYFUNCTION("""COMPUTED_VALUE"""),0.046)</f>
        <v>0.046</v>
      </c>
      <c r="C463" s="1" t="str">
        <f>IFERROR(__xludf.DUMMYFUNCTION("""COMPUTED_VALUE"""),"$ 1.22 million")</f>
        <v>$ 1.22 million</v>
      </c>
    </row>
    <row r="464" ht="15.75" customHeight="1">
      <c r="A464" s="1" t="str">
        <f>IFERROR(__xludf.DUMMYFUNCTION("""COMPUTED_VALUE"""),"439 SFP/USDT Binance")</f>
        <v>439 SFP/USDT Binance</v>
      </c>
      <c r="B464" s="2">
        <f>IFERROR(__xludf.DUMMYFUNCTION("""COMPUTED_VALUE"""),0.767)</f>
        <v>0.767</v>
      </c>
      <c r="C464" s="1" t="str">
        <f>IFERROR(__xludf.DUMMYFUNCTION("""COMPUTED_VALUE"""),"$ 1.18 million")</f>
        <v>$ 1.18 million</v>
      </c>
    </row>
    <row r="465" ht="15.75" customHeight="1">
      <c r="A465" s="1" t="str">
        <f>IFERROR(__xludf.DUMMYFUNCTION("""COMPUTED_VALUE"""),"440 FET/TRY Binance")</f>
        <v>440 FET/TRY Binance</v>
      </c>
      <c r="B465" s="2">
        <f>IFERROR(__xludf.DUMMYFUNCTION("""COMPUTED_VALUE"""),0.671)</f>
        <v>0.671</v>
      </c>
      <c r="C465" s="1" t="str">
        <f>IFERROR(__xludf.DUMMYFUNCTION("""COMPUTED_VALUE"""),"$ 1.18 million")</f>
        <v>$ 1.18 million</v>
      </c>
    </row>
    <row r="466" ht="15.75" customHeight="1">
      <c r="A466" s="1" t="str">
        <f>IFERROR(__xludf.DUMMYFUNCTION("""COMPUTED_VALUE"""),"441 ARPA/TRY Binance")</f>
        <v>441 ARPA/TRY Binance</v>
      </c>
      <c r="B466" s="2">
        <f>IFERROR(__xludf.DUMMYFUNCTION("""COMPUTED_VALUE"""),0.0646)</f>
        <v>0.0646</v>
      </c>
      <c r="C466" s="1" t="str">
        <f>IFERROR(__xludf.DUMMYFUNCTION("""COMPUTED_VALUE"""),"$ 1.18 million")</f>
        <v>$ 1.18 million</v>
      </c>
    </row>
    <row r="467" ht="15.75" customHeight="1">
      <c r="A467" s="1" t="str">
        <f>IFERROR(__xludf.DUMMYFUNCTION("""COMPUTED_VALUE"""),"3 ETH/USDT Binance")</f>
        <v>3 ETH/USDT Binance</v>
      </c>
      <c r="B467" s="2">
        <f>IFERROR(__xludf.DUMMYFUNCTION("""COMPUTED_VALUE"""),2794.8)</f>
        <v>2794.8</v>
      </c>
      <c r="C467" s="1" t="str">
        <f>IFERROR(__xludf.DUMMYFUNCTION("""COMPUTED_VALUE"""),"$ 1.18 billion")</f>
        <v>$ 1.18 billion</v>
      </c>
    </row>
    <row r="468" ht="15.75" customHeight="1">
      <c r="A468" s="1" t="str">
        <f>IFERROR(__xludf.DUMMYFUNCTION("""COMPUTED_VALUE"""),"442 CVX/USDT Binance")</f>
        <v>442 CVX/USDT Binance</v>
      </c>
      <c r="B468" s="2">
        <f>IFERROR(__xludf.DUMMYFUNCTION("""COMPUTED_VALUE"""),3.55)</f>
        <v>3.55</v>
      </c>
      <c r="C468" s="1" t="str">
        <f>IFERROR(__xludf.DUMMYFUNCTION("""COMPUTED_VALUE"""),"$ 1.17 million")</f>
        <v>$ 1.17 million</v>
      </c>
    </row>
    <row r="469" ht="15.75" customHeight="1">
      <c r="A469" s="1" t="str">
        <f>IFERROR(__xludf.DUMMYFUNCTION("""COMPUTED_VALUE"""),"443 COS/USDT Binance")</f>
        <v>443 COS/USDT Binance</v>
      </c>
      <c r="B469" s="2">
        <f>IFERROR(__xludf.DUMMYFUNCTION("""COMPUTED_VALUE"""),0.00653)</f>
        <v>0.00653</v>
      </c>
      <c r="C469" s="1" t="str">
        <f>IFERROR(__xludf.DUMMYFUNCTION("""COMPUTED_VALUE"""),"$ 1.17 million")</f>
        <v>$ 1.17 million</v>
      </c>
    </row>
    <row r="470" ht="15.75" customHeight="1">
      <c r="A470" s="1" t="str">
        <f>IFERROR(__xludf.DUMMYFUNCTION("""COMPUTED_VALUE"""),"444 RNDR/TRY Binance")</f>
        <v>444 RNDR/TRY Binance</v>
      </c>
      <c r="B470" s="2">
        <f>IFERROR(__xludf.DUMMYFUNCTION("""COMPUTED_VALUE"""),4.97)</f>
        <v>4.97</v>
      </c>
      <c r="C470" s="1" t="str">
        <f>IFERROR(__xludf.DUMMYFUNCTION("""COMPUTED_VALUE"""),"$ 1.16 million")</f>
        <v>$ 1.16 million</v>
      </c>
    </row>
    <row r="471" ht="15.75" customHeight="1">
      <c r="A471" s="1" t="str">
        <f>IFERROR(__xludf.DUMMYFUNCTION("""COMPUTED_VALUE"""),"445 CHR/BTC Binance")</f>
        <v>445 CHR/BTC Binance</v>
      </c>
      <c r="B471" s="2">
        <f>IFERROR(__xludf.DUMMYFUNCTION("""COMPUTED_VALUE"""),0.404)</f>
        <v>0.404</v>
      </c>
      <c r="C471" s="1" t="str">
        <f>IFERROR(__xludf.DUMMYFUNCTION("""COMPUTED_VALUE"""),"$ 1.14 million")</f>
        <v>$ 1.14 million</v>
      </c>
    </row>
    <row r="472" ht="15.75" customHeight="1">
      <c r="A472" s="1" t="str">
        <f>IFERROR(__xludf.DUMMYFUNCTION("""COMPUTED_VALUE"""),"446 MATIC/USDC Binance")</f>
        <v>446 MATIC/USDC Binance</v>
      </c>
      <c r="B472" s="2">
        <f>IFERROR(__xludf.DUMMYFUNCTION("""COMPUTED_VALUE"""),0.893)</f>
        <v>0.893</v>
      </c>
      <c r="C472" s="1" t="str">
        <f>IFERROR(__xludf.DUMMYFUNCTION("""COMPUTED_VALUE"""),"$ 1.14 million")</f>
        <v>$ 1.14 million</v>
      </c>
    </row>
    <row r="473" ht="15.75" customHeight="1">
      <c r="A473" s="1" t="str">
        <f>IFERROR(__xludf.DUMMYFUNCTION("""COMPUTED_VALUE"""),"447 CVC/USDT Binance")</f>
        <v>447 CVC/USDT Binance</v>
      </c>
      <c r="B473" s="2">
        <f>IFERROR(__xludf.DUMMYFUNCTION("""COMPUTED_VALUE"""),0.0997)</f>
        <v>0.0997</v>
      </c>
      <c r="C473" s="1" t="str">
        <f>IFERROR(__xludf.DUMMYFUNCTION("""COMPUTED_VALUE"""),"$ 1.14 million")</f>
        <v>$ 1.14 million</v>
      </c>
    </row>
    <row r="474" ht="15.75" customHeight="1">
      <c r="A474" s="1" t="str">
        <f>IFERROR(__xludf.DUMMYFUNCTION("""COMPUTED_VALUE"""),"448 STEEM/USDT Binance")</f>
        <v>448 STEEM/USDT Binance</v>
      </c>
      <c r="B474" s="2">
        <f>IFERROR(__xludf.DUMMYFUNCTION("""COMPUTED_VALUE"""),0.234)</f>
        <v>0.234</v>
      </c>
      <c r="C474" s="1" t="str">
        <f>IFERROR(__xludf.DUMMYFUNCTION("""COMPUTED_VALUE"""),"$ 1.14 million")</f>
        <v>$ 1.14 million</v>
      </c>
    </row>
    <row r="475" ht="15.75" customHeight="1">
      <c r="A475" s="1" t="str">
        <f>IFERROR(__xludf.DUMMYFUNCTION("""COMPUTED_VALUE"""),"449 VIDT/USDT Binance")</f>
        <v>449 VIDT/USDT Binance</v>
      </c>
      <c r="B475" s="2">
        <f>IFERROR(__xludf.DUMMYFUNCTION("""COMPUTED_VALUE"""),0.0338)</f>
        <v>0.0338</v>
      </c>
      <c r="C475" s="1" t="str">
        <f>IFERROR(__xludf.DUMMYFUNCTION("""COMPUTED_VALUE"""),"$ 1.12 million")</f>
        <v>$ 1.12 million</v>
      </c>
    </row>
    <row r="476" ht="15.75" customHeight="1">
      <c r="A476" s="1" t="str">
        <f>IFERROR(__xludf.DUMMYFUNCTION("""COMPUTED_VALUE"""),"450 XRP/ETH Binance")</f>
        <v>450 XRP/ETH Binance</v>
      </c>
      <c r="B476" s="2">
        <f>IFERROR(__xludf.DUMMYFUNCTION("""COMPUTED_VALUE"""),0.55)</f>
        <v>0.55</v>
      </c>
      <c r="C476" s="1" t="str">
        <f>IFERROR(__xludf.DUMMYFUNCTION("""COMPUTED_VALUE"""),"$ 1.12 million")</f>
        <v>$ 1.12 million</v>
      </c>
    </row>
    <row r="477" ht="15.75" customHeight="1">
      <c r="A477" s="1" t="str">
        <f>IFERROR(__xludf.DUMMYFUNCTION("""COMPUTED_VALUE"""),"451 AVA/USDT Binance")</f>
        <v>451 AVA/USDT Binance</v>
      </c>
      <c r="B477" s="2">
        <f>IFERROR(__xludf.DUMMYFUNCTION("""COMPUTED_VALUE"""),0.582)</f>
        <v>0.582</v>
      </c>
      <c r="C477" s="1" t="str">
        <f>IFERROR(__xludf.DUMMYFUNCTION("""COMPUTED_VALUE"""),"$ 1.11 million")</f>
        <v>$ 1.11 million</v>
      </c>
    </row>
    <row r="478" ht="15.75" customHeight="1">
      <c r="A478" s="1" t="str">
        <f>IFERROR(__xludf.DUMMYFUNCTION("""COMPUTED_VALUE"""),"452 DCR/USDT Binance")</f>
        <v>452 DCR/USDT Binance</v>
      </c>
      <c r="B478" s="2">
        <f>IFERROR(__xludf.DUMMYFUNCTION("""COMPUTED_VALUE"""),17.05)</f>
        <v>17.05</v>
      </c>
      <c r="C478" s="1" t="str">
        <f>IFERROR(__xludf.DUMMYFUNCTION("""COMPUTED_VALUE"""),"$ 1.11 million")</f>
        <v>$ 1.11 million</v>
      </c>
    </row>
    <row r="479" ht="15.75" customHeight="1">
      <c r="A479" s="1" t="str">
        <f>IFERROR(__xludf.DUMMYFUNCTION("""COMPUTED_VALUE"""),"453 ANT/USDT Binance")</f>
        <v>453 ANT/USDT Binance</v>
      </c>
      <c r="B479" s="2">
        <f>IFERROR(__xludf.DUMMYFUNCTION("""COMPUTED_VALUE"""),7.08)</f>
        <v>7.08</v>
      </c>
      <c r="C479" s="1" t="str">
        <f>IFERROR(__xludf.DUMMYFUNCTION("""COMPUTED_VALUE"""),"$ 1.11 million")</f>
        <v>$ 1.11 million</v>
      </c>
    </row>
    <row r="480" ht="15.75" customHeight="1">
      <c r="A480" s="1" t="str">
        <f>IFERROR(__xludf.DUMMYFUNCTION("""COMPUTED_VALUE"""),"454 CTK/USDT Binance")</f>
        <v>454 CTK/USDT Binance</v>
      </c>
      <c r="B480" s="2">
        <f>IFERROR(__xludf.DUMMYFUNCTION("""COMPUTED_VALUE"""),0.735)</f>
        <v>0.735</v>
      </c>
      <c r="C480" s="1" t="str">
        <f>IFERROR(__xludf.DUMMYFUNCTION("""COMPUTED_VALUE"""),"$ 1.10 million")</f>
        <v>$ 1.10 million</v>
      </c>
    </row>
    <row r="481" ht="15.75" customHeight="1">
      <c r="A481" s="1" t="str">
        <f>IFERROR(__xludf.DUMMYFUNCTION("""COMPUTED_VALUE"""),"455 LAZIO/USDT Binance")</f>
        <v>455 LAZIO/USDT Binance</v>
      </c>
      <c r="B481" s="2">
        <f>IFERROR(__xludf.DUMMYFUNCTION("""COMPUTED_VALUE"""),2.56)</f>
        <v>2.56</v>
      </c>
      <c r="C481" s="1" t="str">
        <f>IFERROR(__xludf.DUMMYFUNCTION("""COMPUTED_VALUE"""),"$ 1.10 million")</f>
        <v>$ 1.10 million</v>
      </c>
    </row>
    <row r="482" ht="15.75" customHeight="1">
      <c r="A482" s="1" t="str">
        <f>IFERROR(__xludf.DUMMYFUNCTION("""COMPUTED_VALUE"""),"456 FUN/USDT Binance")</f>
        <v>456 FUN/USDT Binance</v>
      </c>
      <c r="B482" s="2">
        <f>IFERROR(__xludf.DUMMYFUNCTION("""COMPUTED_VALUE"""),0.00568)</f>
        <v>0.00568</v>
      </c>
      <c r="C482" s="1" t="str">
        <f>IFERROR(__xludf.DUMMYFUNCTION("""COMPUTED_VALUE"""),"$ 1.09 million")</f>
        <v>$ 1.09 million</v>
      </c>
    </row>
    <row r="483" ht="15.75" customHeight="1">
      <c r="A483" s="1" t="str">
        <f>IFERROR(__xludf.DUMMYFUNCTION("""COMPUTED_VALUE"""),"457 SANTOS/TRY Binance")</f>
        <v>457 SANTOS/TRY Binance</v>
      </c>
      <c r="B483" s="2">
        <f>IFERROR(__xludf.DUMMYFUNCTION("""COMPUTED_VALUE"""),4.57)</f>
        <v>4.57</v>
      </c>
      <c r="C483" s="1" t="str">
        <f>IFERROR(__xludf.DUMMYFUNCTION("""COMPUTED_VALUE"""),"$ 1.08 million")</f>
        <v>$ 1.08 million</v>
      </c>
    </row>
    <row r="484" ht="15.75" customHeight="1">
      <c r="A484" s="1" t="str">
        <f>IFERROR(__xludf.DUMMYFUNCTION("""COMPUTED_VALUE"""),"458 VGX/USDT Binance")</f>
        <v>458 VGX/USDT Binance</v>
      </c>
      <c r="B484" s="2">
        <f>IFERROR(__xludf.DUMMYFUNCTION("""COMPUTED_VALUE"""),0.103)</f>
        <v>0.103</v>
      </c>
      <c r="C484" s="1" t="str">
        <f>IFERROR(__xludf.DUMMYFUNCTION("""COMPUTED_VALUE"""),"$ 1.08 million")</f>
        <v>$ 1.08 million</v>
      </c>
    </row>
    <row r="485" ht="15.75" customHeight="1">
      <c r="A485" s="1" t="str">
        <f>IFERROR(__xludf.DUMMYFUNCTION("""COMPUTED_VALUE"""),"459 POLS/USDT Binance")</f>
        <v>459 POLS/USDT Binance</v>
      </c>
      <c r="B485" s="2">
        <f>IFERROR(__xludf.DUMMYFUNCTION("""COMPUTED_VALUE"""),0.897)</f>
        <v>0.897</v>
      </c>
      <c r="C485" s="1" t="str">
        <f>IFERROR(__xludf.DUMMYFUNCTION("""COMPUTED_VALUE"""),"$ 1.08 million")</f>
        <v>$ 1.08 million</v>
      </c>
    </row>
    <row r="486" ht="15.75" customHeight="1">
      <c r="A486" s="1" t="str">
        <f>IFERROR(__xludf.DUMMYFUNCTION("""COMPUTED_VALUE"""),"460 AI/FDUSD Binance")</f>
        <v>460 AI/FDUSD Binance</v>
      </c>
      <c r="B486" s="2">
        <f>IFERROR(__xludf.DUMMYFUNCTION("""COMPUTED_VALUE"""),1.58)</f>
        <v>1.58</v>
      </c>
      <c r="C486" s="1" t="str">
        <f>IFERROR(__xludf.DUMMYFUNCTION("""COMPUTED_VALUE"""),"$ 1.08 million")</f>
        <v>$ 1.08 million</v>
      </c>
    </row>
    <row r="487" ht="15.75" customHeight="1">
      <c r="A487" s="1" t="str">
        <f>IFERROR(__xludf.DUMMYFUNCTION("""COMPUTED_VALUE"""),"461 FORTH/USDT Binance")</f>
        <v>461 FORTH/USDT Binance</v>
      </c>
      <c r="B487" s="2">
        <f>IFERROR(__xludf.DUMMYFUNCTION("""COMPUTED_VALUE"""),3.44)</f>
        <v>3.44</v>
      </c>
      <c r="C487" s="1" t="str">
        <f>IFERROR(__xludf.DUMMYFUNCTION("""COMPUTED_VALUE"""),"$ 1.07 million")</f>
        <v>$ 1.07 million</v>
      </c>
    </row>
    <row r="488" ht="15.75" customHeight="1">
      <c r="A488" s="1" t="str">
        <f>IFERROR(__xludf.DUMMYFUNCTION("""COMPUTED_VALUE"""),"462 XEM/USDT Binance")</f>
        <v>462 XEM/USDT Binance</v>
      </c>
      <c r="B488" s="2">
        <f>IFERROR(__xludf.DUMMYFUNCTION("""COMPUTED_VALUE"""),0.0371)</f>
        <v>0.0371</v>
      </c>
      <c r="C488" s="1" t="str">
        <f>IFERROR(__xludf.DUMMYFUNCTION("""COMPUTED_VALUE"""),"$ 1.07 million")</f>
        <v>$ 1.07 million</v>
      </c>
    </row>
    <row r="489" ht="15.75" customHeight="1">
      <c r="A489" s="1" t="str">
        <f>IFERROR(__xludf.DUMMYFUNCTION("""COMPUTED_VALUE"""),"463 SEI/USDC Binance")</f>
        <v>463 SEI/USDC Binance</v>
      </c>
      <c r="B489" s="2">
        <f>IFERROR(__xludf.DUMMYFUNCTION("""COMPUTED_VALUE"""),0.962)</f>
        <v>0.962</v>
      </c>
      <c r="C489" s="1" t="str">
        <f>IFERROR(__xludf.DUMMYFUNCTION("""COMPUTED_VALUE"""),"$ 1.07 million")</f>
        <v>$ 1.07 million</v>
      </c>
    </row>
    <row r="490" ht="15.75" customHeight="1">
      <c r="A490" s="1" t="str">
        <f>IFERROR(__xludf.DUMMYFUNCTION("""COMPUTED_VALUE"""),"464 GNS/USDT Binance")</f>
        <v>464 GNS/USDT Binance</v>
      </c>
      <c r="B490" s="2">
        <f>IFERROR(__xludf.DUMMYFUNCTION("""COMPUTED_VALUE"""),5.99)</f>
        <v>5.99</v>
      </c>
      <c r="C490" s="1" t="str">
        <f>IFERROR(__xludf.DUMMYFUNCTION("""COMPUTED_VALUE"""),"$ 1.06 million")</f>
        <v>$ 1.06 million</v>
      </c>
    </row>
    <row r="491" ht="15.75" customHeight="1">
      <c r="A491" s="1" t="str">
        <f>IFERROR(__xludf.DUMMYFUNCTION("""COMPUTED_VALUE"""),"465 NEAR/BTC Binance")</f>
        <v>465 NEAR/BTC Binance</v>
      </c>
      <c r="B491" s="2">
        <f>IFERROR(__xludf.DUMMYFUNCTION("""COMPUTED_VALUE"""),3.32)</f>
        <v>3.32</v>
      </c>
      <c r="C491" s="1" t="str">
        <f>IFERROR(__xludf.DUMMYFUNCTION("""COMPUTED_VALUE"""),"$ 1.05 million")</f>
        <v>$ 1.05 million</v>
      </c>
    </row>
    <row r="492" ht="15.75" customHeight="1">
      <c r="A492" s="1" t="str">
        <f>IFERROR(__xludf.DUMMYFUNCTION("""COMPUTED_VALUE"""),"4 FDUSD/USDT Binance")</f>
        <v>4 FDUSD/USDT Binance</v>
      </c>
      <c r="B492" s="2">
        <f>IFERROR(__xludf.DUMMYFUNCTION("""COMPUTED_VALUE"""),1.0)</f>
        <v>1</v>
      </c>
      <c r="C492" s="1" t="str">
        <f>IFERROR(__xludf.DUMMYFUNCTION("""COMPUTED_VALUE"""),"$ 1.05 billion")</f>
        <v>$ 1.05 billion</v>
      </c>
    </row>
    <row r="493" ht="15.75" customHeight="1">
      <c r="A493" s="1" t="str">
        <f>IFERROR(__xludf.DUMMYFUNCTION("""COMPUTED_VALUE"""),"466 UTK/USDT Binance")</f>
        <v>466 UTK/USDT Binance</v>
      </c>
      <c r="B493" s="2">
        <f>IFERROR(__xludf.DUMMYFUNCTION("""COMPUTED_VALUE"""),0.0839)</f>
        <v>0.0839</v>
      </c>
      <c r="C493" s="1" t="str">
        <f>IFERROR(__xludf.DUMMYFUNCTION("""COMPUTED_VALUE"""),"$ 1.04 million")</f>
        <v>$ 1.04 million</v>
      </c>
    </row>
    <row r="494" ht="15.75" customHeight="1">
      <c r="A494" s="1" t="str">
        <f>IFERROR(__xludf.DUMMYFUNCTION("""COMPUTED_VALUE"""),"467 DF/USDT Binance")</f>
        <v>467 DF/USDT Binance</v>
      </c>
      <c r="B494" s="2">
        <f>IFERROR(__xludf.DUMMYFUNCTION("""COMPUTED_VALUE"""),0.044)</f>
        <v>0.044</v>
      </c>
      <c r="C494" s="1" t="str">
        <f>IFERROR(__xludf.DUMMYFUNCTION("""COMPUTED_VALUE"""),"$ 1.04 million")</f>
        <v>$ 1.04 million</v>
      </c>
    </row>
    <row r="495" ht="15.75" customHeight="1">
      <c r="A495" s="1" t="str">
        <f>IFERROR(__xludf.DUMMYFUNCTION("""COMPUTED_VALUE"""),"468 USTC/FDUSD Binance")</f>
        <v>468 USTC/FDUSD Binance</v>
      </c>
      <c r="B495" s="2">
        <f>IFERROR(__xludf.DUMMYFUNCTION("""COMPUTED_VALUE"""),0.0328)</f>
        <v>0.0328</v>
      </c>
      <c r="C495" s="1" t="str">
        <f>IFERROR(__xludf.DUMMYFUNCTION("""COMPUTED_VALUE"""),"$ 1.03 million")</f>
        <v>$ 1.03 million</v>
      </c>
    </row>
    <row r="496" ht="15.75" customHeight="1">
      <c r="A496" s="1" t="str">
        <f>IFERROR(__xludf.DUMMYFUNCTION("""COMPUTED_VALUE"""),"469 XAI/FDUSD Binance")</f>
        <v>469 XAI/FDUSD Binance</v>
      </c>
      <c r="B496" s="2">
        <f>IFERROR(__xludf.DUMMYFUNCTION("""COMPUTED_VALUE"""),1.05)</f>
        <v>1.05</v>
      </c>
      <c r="C496" s="1" t="str">
        <f>IFERROR(__xludf.DUMMYFUNCTION("""COMPUTED_VALUE"""),"$ 1.03 million")</f>
        <v>$ 1.03 million</v>
      </c>
    </row>
    <row r="497" ht="15.75" customHeight="1">
      <c r="A497" s="1" t="str">
        <f>IFERROR(__xludf.DUMMYFUNCTION("""COMPUTED_VALUE"""),"470 PSG/USDT Binance")</f>
        <v>470 PSG/USDT Binance</v>
      </c>
      <c r="B497" s="2">
        <f>IFERROR(__xludf.DUMMYFUNCTION("""COMPUTED_VALUE"""),3.42)</f>
        <v>3.42</v>
      </c>
      <c r="C497" s="1" t="str">
        <f>IFERROR(__xludf.DUMMYFUNCTION("""COMPUTED_VALUE"""),"$ 1.01 million")</f>
        <v>$ 1.01 million</v>
      </c>
    </row>
    <row r="498" ht="15.75" customHeight="1">
      <c r="A498" s="1" t="str">
        <f>IFERROR(__xludf.DUMMYFUNCTION("""COMPUTED_VALUE"""),"471 DENT/TRY Binance")</f>
        <v>471 DENT/TRY Binance</v>
      </c>
      <c r="B498" s="2">
        <f>IFERROR(__xludf.DUMMYFUNCTION("""COMPUTED_VALUE"""),0.00126)</f>
        <v>0.00126</v>
      </c>
      <c r="C498" s="1" t="str">
        <f>IFERROR(__xludf.DUMMYFUNCTION("""COMPUTED_VALUE"""),"$ 1.01 million")</f>
        <v>$ 1.01 million</v>
      </c>
    </row>
    <row r="499" ht="15.75" customHeight="1">
      <c r="A499" s="1" t="str">
        <f>IFERROR(__xludf.DUMMYFUNCTION("""COMPUTED_VALUE"""),"472 GHST/USDT Binance")</f>
        <v>472 GHST/USDT Binance</v>
      </c>
      <c r="B499" s="2">
        <f>IFERROR(__xludf.DUMMYFUNCTION("""COMPUTED_VALUE"""),1.03)</f>
        <v>1.03</v>
      </c>
      <c r="C499" s="1" t="str">
        <f>IFERROR(__xludf.DUMMYFUNCTION("""COMPUTED_VALUE"""),"$ 1.01 million")</f>
        <v>$ 1.01 million</v>
      </c>
    </row>
    <row r="500" ht="15.75" customHeight="1">
      <c r="A500" s="1" t="str">
        <f>IFERROR(__xludf.DUMMYFUNCTION("""COMPUTED_VALUE"""),"473 ALPACA/USDT Binance")</f>
        <v>473 ALPACA/USDT Binance</v>
      </c>
      <c r="B500" s="2">
        <f>IFERROR(__xludf.DUMMYFUNCTION("""COMPUTED_VALUE"""),0.186)</f>
        <v>0.186</v>
      </c>
      <c r="C500" s="1" t="str">
        <f>IFERROR(__xludf.DUMMYFUNCTION("""COMPUTED_VALUE"""),"$ 1 million")</f>
        <v>$ 1 million</v>
      </c>
    </row>
    <row r="501" ht="15.75" customHeight="1">
      <c r="A501" s="1" t="str">
        <f>IFERROR(__xludf.DUMMYFUNCTION("""COMPUTED_VALUE"""),"474 CHESS/USDT Binance")</f>
        <v>474 CHESS/USDT Binance</v>
      </c>
      <c r="B501" s="2">
        <f>IFERROR(__xludf.DUMMYFUNCTION("""COMPUTED_VALUE"""),0.203)</f>
        <v>0.203</v>
      </c>
      <c r="C501" s="1" t="str">
        <f>IFERROR(__xludf.DUMMYFUNCTION("""COMPUTED_VALUE"""),"$ 1 million")</f>
        <v>$ 1 million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6" width="12.63"/>
  </cols>
  <sheetData>
    <row r="1" ht="15.75" customHeight="1">
      <c r="A1" s="6" t="s">
        <v>0</v>
      </c>
    </row>
    <row r="2" ht="15.75" customHeight="1">
      <c r="A2" s="7" t="str">
        <f>TRIM(MID(SUBSTITUTE('top 500'!A2," ",REPT(" ",LEN('top 500'!A2))), (2-1)*LEN('top 500'!A2)+1, LEN('top 500'!A2)))</f>
        <v>ID/TRY</v>
      </c>
    </row>
    <row r="3" ht="15.75" customHeight="1">
      <c r="A3" s="7" t="str">
        <f>TRIM(MID(SUBSTITUTE('top 500'!A3," ",REPT(" ",LEN('top 500'!A3))), (2-1)*LEN('top 500'!A3)+1, LEN('top 500'!A3)))</f>
        <v>BONK/FDUSD</v>
      </c>
    </row>
    <row r="4" ht="15.75" customHeight="1">
      <c r="A4" s="7" t="str">
        <f>TRIM(MID(SUBSTITUTE('top 500'!A4," ",REPT(" ",LEN('top 500'!A4))), (2-1)*LEN('top 500'!A4)+1, LEN('top 500'!A4)))</f>
        <v>DOT/USDC</v>
      </c>
    </row>
    <row r="5" ht="15.75" customHeight="1">
      <c r="A5" s="7" t="str">
        <f>TRIM(MID(SUBSTITUTE('top 500'!A5," ",REPT(" ",LEN('top 500'!A5))), (2-1)*LEN('top 500'!A5)+1, LEN('top 500'!A5)))</f>
        <v>OP/BTC</v>
      </c>
    </row>
    <row r="6" ht="15.75" customHeight="1">
      <c r="A6" s="7" t="str">
        <f>TRIM(MID(SUBSTITUTE('top 500'!A6," ",REPT(" ",LEN('top 500'!A6))), (2-1)*LEN('top 500'!A6)+1, LEN('top 500'!A6)))</f>
        <v>UFT/USDT</v>
      </c>
    </row>
    <row r="7" ht="15.75" customHeight="1">
      <c r="A7" s="7" t="str">
        <f>TRIM(MID(SUBSTITUTE('top 500'!A7," ",REPT(" ",LEN('top 500'!A7))), (2-1)*LEN('top 500'!A7)+1, LEN('top 500'!A7)))</f>
        <v>ACE/BTC</v>
      </c>
    </row>
    <row r="8" ht="15.75" customHeight="1">
      <c r="A8" s="7" t="str">
        <f>TRIM(MID(SUBSTITUTE('top 500'!A8," ",REPT(" ",LEN('top 500'!A8))), (2-1)*LEN('top 500'!A8)+1, LEN('top 500'!A8)))</f>
        <v>ALPINE/USDT</v>
      </c>
    </row>
    <row r="9" ht="15.75" customHeight="1">
      <c r="A9" s="7" t="str">
        <f>TRIM(MID(SUBSTITUTE('top 500'!A9," ",REPT(" ",LEN('top 500'!A9))), (2-1)*LEN('top 500'!A9)+1, LEN('top 500'!A9)))</f>
        <v>ADX/USDT</v>
      </c>
    </row>
    <row r="10" ht="15.75" customHeight="1">
      <c r="A10" s="7" t="str">
        <f>TRIM(MID(SUBSTITUTE('top 500'!A10," ",REPT(" ",LEN('top 500'!A10))), (2-1)*LEN('top 500'!A10)+1, LEN('top 500'!A10)))</f>
        <v>BETA/USDT</v>
      </c>
    </row>
    <row r="11" ht="15.75" customHeight="1">
      <c r="A11" s="7" t="str">
        <f>TRIM(MID(SUBSTITUTE('top 500'!A11," ",REPT(" ",LEN('top 500'!A11))), (2-1)*LEN('top 500'!A11)+1, LEN('top 500'!A11)))</f>
        <v>HIVE/USDT</v>
      </c>
    </row>
    <row r="12" ht="15.75" customHeight="1">
      <c r="A12" s="7" t="str">
        <f>TRIM(MID(SUBSTITUTE('top 500'!A12," ",REPT(" ",LEN('top 500'!A12))), (2-1)*LEN('top 500'!A12)+1, LEN('top 500'!A12)))</f>
        <v>AST/USDT</v>
      </c>
    </row>
    <row r="13" ht="15.75" customHeight="1">
      <c r="A13" s="7" t="str">
        <f>TRIM(MID(SUBSTITUTE('top 500'!A13," ",REPT(" ",LEN('top 500'!A13))), (2-1)*LEN('top 500'!A13)+1, LEN('top 500'!A13)))</f>
        <v>IMX/BTC</v>
      </c>
    </row>
    <row r="14" ht="15.75" customHeight="1">
      <c r="A14" s="7" t="str">
        <f>TRIM(MID(SUBSTITUTE('top 500'!A14," ",REPT(" ",LEN('top 500'!A14))), (2-1)*LEN('top 500'!A14)+1, LEN('top 500'!A14)))</f>
        <v>REEF/TRY</v>
      </c>
    </row>
    <row r="15" ht="15.75" customHeight="1">
      <c r="A15" s="7" t="str">
        <f>TRIM(MID(SUBSTITUTE('top 500'!A15," ",REPT(" ",LEN('top 500'!A15))), (2-1)*LEN('top 500'!A15)+1, LEN('top 500'!A15)))</f>
        <v>LINK/ETH</v>
      </c>
    </row>
    <row r="16" ht="15.75" customHeight="1">
      <c r="A16" s="7" t="str">
        <f>TRIM(MID(SUBSTITUTE('top 500'!A16," ",REPT(" ",LEN('top 500'!A16))), (2-1)*LEN('top 500'!A16)+1, LEN('top 500'!A16)))</f>
        <v>FLOKI/TRY</v>
      </c>
    </row>
    <row r="17" ht="15.75" customHeight="1">
      <c r="A17" s="7" t="str">
        <f>TRIM(MID(SUBSTITUTE('top 500'!A17," ",REPT(" ",LEN('top 500'!A17))), (2-1)*LEN('top 500'!A17)+1, LEN('top 500'!A17)))</f>
        <v>MBOX/TRY</v>
      </c>
    </row>
    <row r="18" ht="15.75" customHeight="1">
      <c r="A18" s="7" t="str">
        <f>TRIM(MID(SUBSTITUTE('top 500'!A18," ",REPT(" ",LEN('top 500'!A18))), (2-1)*LEN('top 500'!A18)+1, LEN('top 500'!A18)))</f>
        <v>WLD/FDUSD</v>
      </c>
    </row>
    <row r="19" ht="15.75" customHeight="1">
      <c r="A19" s="7" t="str">
        <f>TRIM(MID(SUBSTITUTE('top 500'!A19," ",REPT(" ",LEN('top 500'!A19))), (2-1)*LEN('top 500'!A19)+1, LEN('top 500'!A19)))</f>
        <v>BNB/USDC</v>
      </c>
    </row>
    <row r="20" ht="15.75" customHeight="1">
      <c r="A20" s="7" t="str">
        <f>TRIM(MID(SUBSTITUTE('top 500'!A20," ",REPT(" ",LEN('top 500'!A20))), (2-1)*LEN('top 500'!A20)+1, LEN('top 500'!A20)))</f>
        <v>IRIS/USDT</v>
      </c>
    </row>
    <row r="21" ht="15.75" customHeight="1">
      <c r="A21" s="7" t="str">
        <f>TRIM(MID(SUBSTITUTE('top 500'!A21," ",REPT(" ",LEN('top 500'!A21))), (2-1)*LEN('top 500'!A21)+1, LEN('top 500'!A21)))</f>
        <v>DOCK/USDT</v>
      </c>
    </row>
    <row r="22" ht="15.75" customHeight="1">
      <c r="A22" s="7" t="str">
        <f>TRIM(MID(SUBSTITUTE('top 500'!A22," ",REPT(" ",LEN('top 500'!A22))), (2-1)*LEN('top 500'!A22)+1, LEN('top 500'!A22)))</f>
        <v>FTM/BTC</v>
      </c>
    </row>
    <row r="23" ht="15.75" customHeight="1">
      <c r="A23" s="7" t="str">
        <f>TRIM(MID(SUBSTITUTE('top 500'!A23," ",REPT(" ",LEN('top 500'!A23))), (2-1)*LEN('top 500'!A23)+1, LEN('top 500'!A23)))</f>
        <v>OAX/USDT</v>
      </c>
    </row>
    <row r="24" ht="15.75" customHeight="1">
      <c r="A24" s="7" t="str">
        <f>TRIM(MID(SUBSTITUTE('top 500'!A24," ",REPT(" ",LEN('top 500'!A24))), (2-1)*LEN('top 500'!A24)+1, LEN('top 500'!A24)))</f>
        <v>BCH/FDUSD</v>
      </c>
    </row>
    <row r="25" ht="15.75" customHeight="1">
      <c r="A25" s="7" t="str">
        <f>TRIM(MID(SUBSTITUTE('top 500'!A25," ",REPT(" ",LEN('top 500'!A25))), (2-1)*LEN('top 500'!A25)+1, LEN('top 500'!A25)))</f>
        <v>LTO/USDT</v>
      </c>
    </row>
    <row r="26" ht="15.75" customHeight="1">
      <c r="A26" s="7" t="str">
        <f>TRIM(MID(SUBSTITUTE('top 500'!A26," ",REPT(" ",LEN('top 500'!A26))), (2-1)*LEN('top 500'!A26)+1, LEN('top 500'!A26)))</f>
        <v>GAS/BTC</v>
      </c>
    </row>
    <row r="27" ht="15.75" customHeight="1">
      <c r="A27" s="7" t="str">
        <f>TRIM(MID(SUBSTITUTE('top 500'!A27," ",REPT(" ",LEN('top 500'!A27))), (2-1)*LEN('top 500'!A27)+1, LEN('top 500'!A27)))</f>
        <v>CITY/USDT</v>
      </c>
    </row>
    <row r="28" ht="15.75" customHeight="1">
      <c r="A28" s="7" t="str">
        <f>TRIM(MID(SUBSTITUTE('top 500'!A28," ",REPT(" ",LEN('top 500'!A28))), (2-1)*LEN('top 500'!A28)+1, LEN('top 500'!A28)))</f>
        <v>SUI/USDT</v>
      </c>
    </row>
    <row r="29" ht="15.75" customHeight="1">
      <c r="A29" s="7" t="str">
        <f>TRIM(MID(SUBSTITUTE('top 500'!A29," ",REPT(" ",LEN('top 500'!A29))), (2-1)*LEN('top 500'!A29)+1, LEN('top 500'!A29)))</f>
        <v>ADA/USDT</v>
      </c>
    </row>
    <row r="30" ht="15.75" customHeight="1">
      <c r="A30" s="7" t="str">
        <f>TRIM(MID(SUBSTITUTE('top 500'!A30," ",REPT(" ",LEN('top 500'!A30))), (2-1)*LEN('top 500'!A30)+1, LEN('top 500'!A30)))</f>
        <v>JUP/USDT</v>
      </c>
    </row>
    <row r="31" ht="15.75" customHeight="1">
      <c r="A31" s="7" t="str">
        <f>TRIM(MID(SUBSTITUTE('top 500'!A31," ",REPT(" ",LEN('top 500'!A31))), (2-1)*LEN('top 500'!A31)+1, LEN('top 500'!A31)))</f>
        <v>ALT/USDT</v>
      </c>
    </row>
    <row r="32" ht="15.75" customHeight="1">
      <c r="A32" s="7" t="str">
        <f>TRIM(MID(SUBSTITUTE('top 500'!A32," ",REPT(" ",LEN('top 500'!A32))), (2-1)*LEN('top 500'!A32)+1, LEN('top 500'!A32)))</f>
        <v>PEOPLE/USDT</v>
      </c>
    </row>
    <row r="33" ht="15.75" customHeight="1">
      <c r="A33" s="7" t="str">
        <f>TRIM(MID(SUBSTITUTE('top 500'!A33," ",REPT(" ",LEN('top 500'!A33))), (2-1)*LEN('top 500'!A33)+1, LEN('top 500'!A33)))</f>
        <v>GMT/USDT</v>
      </c>
    </row>
    <row r="34" ht="15.75" customHeight="1">
      <c r="A34" s="7" t="str">
        <f>TRIM(MID(SUBSTITUTE('top 500'!A34," ",REPT(" ",LEN('top 500'!A34))), (2-1)*LEN('top 500'!A34)+1, LEN('top 500'!A34)))</f>
        <v>MASK/USDT</v>
      </c>
    </row>
    <row r="35" ht="15.75" customHeight="1">
      <c r="A35" s="7" t="str">
        <f>TRIM(MID(SUBSTITUTE('top 500'!A35," ",REPT(" ",LEN('top 500'!A35))), (2-1)*LEN('top 500'!A35)+1, LEN('top 500'!A35)))</f>
        <v>BTC/TRY</v>
      </c>
    </row>
    <row r="36" ht="15.75" customHeight="1">
      <c r="A36" s="7" t="str">
        <f>TRIM(MID(SUBSTITUTE('top 500'!A36," ",REPT(" ",LEN('top 500'!A36))), (2-1)*LEN('top 500'!A36)+1, LEN('top 500'!A36)))</f>
        <v>ROSE/USDT</v>
      </c>
    </row>
    <row r="37" ht="15.75" customHeight="1">
      <c r="A37" s="7" t="str">
        <f>TRIM(MID(SUBSTITUTE('top 500'!A37," ",REPT(" ",LEN('top 500'!A37))), (2-1)*LEN('top 500'!A37)+1, LEN('top 500'!A37)))</f>
        <v>KLAY/USDT</v>
      </c>
    </row>
    <row r="38" ht="15.75" customHeight="1">
      <c r="A38" s="7" t="str">
        <f>TRIM(MID(SUBSTITUTE('top 500'!A38," ",REPT(" ",LEN('top 500'!A38))), (2-1)*LEN('top 500'!A38)+1, LEN('top 500'!A38)))</f>
        <v>MOVR/USDT</v>
      </c>
    </row>
    <row r="39" ht="15.75" customHeight="1">
      <c r="A39" s="7" t="str">
        <f>TRIM(MID(SUBSTITUTE('top 500'!A39," ",REPT(" ",LEN('top 500'!A39))), (2-1)*LEN('top 500'!A39)+1, LEN('top 500'!A39)))</f>
        <v>STX/BTC</v>
      </c>
    </row>
    <row r="40" ht="15.75" customHeight="1">
      <c r="A40" s="7" t="str">
        <f>TRIM(MID(SUBSTITUTE('top 500'!A40," ",REPT(" ",LEN('top 500'!A40))), (2-1)*LEN('top 500'!A40)+1, LEN('top 500'!A40)))</f>
        <v>VET/USDT</v>
      </c>
    </row>
    <row r="41" ht="15.75" customHeight="1">
      <c r="A41" s="7" t="str">
        <f>TRIM(MID(SUBSTITUTE('top 500'!A41," ",REPT(" ",LEN('top 500'!A41))), (2-1)*LEN('top 500'!A41)+1, LEN('top 500'!A41)))</f>
        <v>ORDI/USDT</v>
      </c>
    </row>
    <row r="42" ht="15.75" customHeight="1">
      <c r="A42" s="7" t="str">
        <f>TRIM(MID(SUBSTITUTE('top 500'!A42," ",REPT(" ",LEN('top 500'!A42))), (2-1)*LEN('top 500'!A42)+1, LEN('top 500'!A42)))</f>
        <v>ARKM/USDT</v>
      </c>
    </row>
    <row r="43" ht="15.75" customHeight="1">
      <c r="A43" s="7" t="str">
        <f>TRIM(MID(SUBSTITUTE('top 500'!A43," ",REPT(" ",LEN('top 500'!A43))), (2-1)*LEN('top 500'!A43)+1, LEN('top 500'!A43)))</f>
        <v>PHA/USDT</v>
      </c>
    </row>
    <row r="44" ht="15.75" customHeight="1">
      <c r="A44" s="7" t="str">
        <f>TRIM(MID(SUBSTITUTE('top 500'!A44," ",REPT(" ",LEN('top 500'!A44))), (2-1)*LEN('top 500'!A44)+1, LEN('top 500'!A44)))</f>
        <v>FTT/USDT</v>
      </c>
    </row>
    <row r="45" ht="15.75" customHeight="1">
      <c r="A45" s="7" t="str">
        <f>TRIM(MID(SUBSTITUTE('top 500'!A45," ",REPT(" ",LEN('top 500'!A45))), (2-1)*LEN('top 500'!A45)+1, LEN('top 500'!A45)))</f>
        <v>ALGO/USDT</v>
      </c>
    </row>
    <row r="46" ht="15.75" customHeight="1">
      <c r="A46" s="7" t="str">
        <f>TRIM(MID(SUBSTITUTE('top 500'!A46," ",REPT(" ",LEN('top 500'!A46))), (2-1)*LEN('top 500'!A46)+1, LEN('top 500'!A46)))</f>
        <v>SSV/USDT</v>
      </c>
    </row>
    <row r="47" ht="15.75" customHeight="1">
      <c r="A47" s="7" t="str">
        <f>TRIM(MID(SUBSTITUTE('top 500'!A47," ",REPT(" ",LEN('top 500'!A47))), (2-1)*LEN('top 500'!A47)+1, LEN('top 500'!A47)))</f>
        <v>1INCH/USDT</v>
      </c>
    </row>
    <row r="48" ht="15.75" customHeight="1">
      <c r="A48" s="7" t="str">
        <f>TRIM(MID(SUBSTITUTE('top 500'!A48," ",REPT(" ",LEN('top 500'!A48))), (2-1)*LEN('top 500'!A48)+1, LEN('top 500'!A48)))</f>
        <v>YGG/USDT</v>
      </c>
    </row>
    <row r="49" ht="15.75" customHeight="1">
      <c r="A49" s="7" t="str">
        <f>TRIM(MID(SUBSTITUTE('top 500'!A49," ",REPT(" ",LEN('top 500'!A49))), (2-1)*LEN('top 500'!A49)+1, LEN('top 500'!A49)))</f>
        <v>LINK/BTC</v>
      </c>
    </row>
    <row r="50" ht="15.75" customHeight="1">
      <c r="A50" s="7" t="str">
        <f>TRIM(MID(SUBSTITUTE('top 500'!A50," ",REPT(" ",LEN('top 500'!A50))), (2-1)*LEN('top 500'!A50)+1, LEN('top 500'!A50)))</f>
        <v>RDNT/USDT</v>
      </c>
    </row>
    <row r="51" ht="15.75" customHeight="1">
      <c r="A51" s="7" t="str">
        <f>TRIM(MID(SUBSTITUTE('top 500'!A51," ",REPT(" ",LEN('top 500'!A51))), (2-1)*LEN('top 500'!A51)+1, LEN('top 500'!A51)))</f>
        <v>FXS/USDT</v>
      </c>
    </row>
    <row r="52" ht="15.75" customHeight="1">
      <c r="A52" s="7" t="str">
        <f>TRIM(MID(SUBSTITUTE('top 500'!A52," ",REPT(" ",LEN('top 500'!A52))), (2-1)*LEN('top 500'!A52)+1, LEN('top 500'!A52)))</f>
        <v>ETH/FDUSD</v>
      </c>
    </row>
    <row r="53" ht="15.75" customHeight="1">
      <c r="A53" s="7" t="str">
        <f>TRIM(MID(SUBSTITUTE('top 500'!A53," ",REPT(" ",LEN('top 500'!A53))), (2-1)*LEN('top 500'!A53)+1, LEN('top 500'!A53)))</f>
        <v>VTHO/USDT</v>
      </c>
    </row>
    <row r="54" ht="15.75" customHeight="1">
      <c r="A54" s="7" t="str">
        <f>TRIM(MID(SUBSTITUTE('top 500'!A54," ",REPT(" ",LEN('top 500'!A54))), (2-1)*LEN('top 500'!A54)+1, LEN('top 500'!A54)))</f>
        <v>INJ/USDT</v>
      </c>
    </row>
    <row r="55" ht="15.75" customHeight="1">
      <c r="A55" s="7" t="str">
        <f>TRIM(MID(SUBSTITUTE('top 500'!A55," ",REPT(" ",LEN('top 500'!A55))), (2-1)*LEN('top 500'!A55)+1, LEN('top 500'!A55)))</f>
        <v>APT/USDT</v>
      </c>
    </row>
    <row r="56" ht="15.75" customHeight="1">
      <c r="A56" s="7" t="str">
        <f>TRIM(MID(SUBSTITUTE('top 500'!A56," ",REPT(" ",LEN('top 500'!A56))), (2-1)*LEN('top 500'!A56)+1, LEN('top 500'!A56)))</f>
        <v>RUNE/USDT</v>
      </c>
    </row>
    <row r="57" ht="15.75" customHeight="1">
      <c r="A57" s="7" t="str">
        <f>TRIM(MID(SUBSTITUTE('top 500'!A57," ",REPT(" ",LEN('top 500'!A57))), (2-1)*LEN('top 500'!A57)+1, LEN('top 500'!A57)))</f>
        <v>DOGE/FDUSD</v>
      </c>
    </row>
    <row r="58" ht="15.75" customHeight="1">
      <c r="A58" s="7" t="str">
        <f>TRIM(MID(SUBSTITUTE('top 500'!A58," ",REPT(" ",LEN('top 500'!A58))), (2-1)*LEN('top 500'!A58)+1, LEN('top 500'!A58)))</f>
        <v>BNB/FDUSD</v>
      </c>
    </row>
    <row r="59" ht="15.75" customHeight="1">
      <c r="A59" s="7" t="str">
        <f>TRIM(MID(SUBSTITUTE('top 500'!A59," ",REPT(" ",LEN('top 500'!A59))), (2-1)*LEN('top 500'!A59)+1, LEN('top 500'!A59)))</f>
        <v>SUSHI/USDT</v>
      </c>
    </row>
    <row r="60" ht="15.75" customHeight="1">
      <c r="A60" s="7" t="str">
        <f>TRIM(MID(SUBSTITUTE('top 500'!A60," ",REPT(" ",LEN('top 500'!A60))), (2-1)*LEN('top 500'!A60)+1, LEN('top 500'!A60)))</f>
        <v>MANA/USDT</v>
      </c>
    </row>
    <row r="61" ht="15.75" customHeight="1">
      <c r="A61" s="7" t="str">
        <f>TRIM(MID(SUBSTITUTE('top 500'!A61," ",REPT(" ",LEN('top 500'!A61))), (2-1)*LEN('top 500'!A61)+1, LEN('top 500'!A61)))</f>
        <v>MANTA/TRY</v>
      </c>
    </row>
    <row r="62" ht="15.75" customHeight="1">
      <c r="A62" s="7" t="str">
        <f>TRIM(MID(SUBSTITUTE('top 500'!A62," ",REPT(" ",LEN('top 500'!A62))), (2-1)*LEN('top 500'!A62)+1, LEN('top 500'!A62)))</f>
        <v>SEI/FDUSD</v>
      </c>
    </row>
    <row r="63" ht="15.75" customHeight="1">
      <c r="A63" s="7" t="str">
        <f>TRIM(MID(SUBSTITUTE('top 500'!A63," ",REPT(" ",LEN('top 500'!A63))), (2-1)*LEN('top 500'!A63)+1, LEN('top 500'!A63)))</f>
        <v>ACH/USDT</v>
      </c>
    </row>
    <row r="64" ht="15.75" customHeight="1">
      <c r="A64" s="7" t="str">
        <f>TRIM(MID(SUBSTITUTE('top 500'!A64," ",REPT(" ",LEN('top 500'!A64))), (2-1)*LEN('top 500'!A64)+1, LEN('top 500'!A64)))</f>
        <v>SLP/USDT</v>
      </c>
    </row>
    <row r="65" ht="15.75" customHeight="1">
      <c r="A65" s="7" t="str">
        <f>TRIM(MID(SUBSTITUTE('top 500'!A65," ",REPT(" ",LEN('top 500'!A65))), (2-1)*LEN('top 500'!A65)+1, LEN('top 500'!A65)))</f>
        <v>MKR/USDT</v>
      </c>
    </row>
    <row r="66" ht="15.75" customHeight="1">
      <c r="A66" s="7" t="str">
        <f>TRIM(MID(SUBSTITUTE('top 500'!A66," ",REPT(" ",LEN('top 500'!A66))), (2-1)*LEN('top 500'!A66)+1, LEN('top 500'!A66)))</f>
        <v>CRV/USDT</v>
      </c>
    </row>
    <row r="67" ht="15.75" customHeight="1">
      <c r="A67" s="7" t="str">
        <f>TRIM(MID(SUBSTITUTE('top 500'!A67," ",REPT(" ",LEN('top 500'!A67))), (2-1)*LEN('top 500'!A67)+1, LEN('top 500'!A67)))</f>
        <v>ZIL/USDT</v>
      </c>
    </row>
    <row r="68" ht="15.75" customHeight="1">
      <c r="A68" s="7" t="str">
        <f>TRIM(MID(SUBSTITUTE('top 500'!A68," ",REPT(" ",LEN('top 500'!A68))), (2-1)*LEN('top 500'!A68)+1, LEN('top 500'!A68)))</f>
        <v>RAY/USDT</v>
      </c>
    </row>
    <row r="69" ht="15.75" customHeight="1">
      <c r="A69" s="7" t="str">
        <f>TRIM(MID(SUBSTITUTE('top 500'!A69," ",REPT(" ",LEN('top 500'!A69))), (2-1)*LEN('top 500'!A69)+1, LEN('top 500'!A69)))</f>
        <v>OP/USDT</v>
      </c>
    </row>
    <row r="70" ht="15.75" customHeight="1">
      <c r="A70" s="7" t="str">
        <f>TRIM(MID(SUBSTITUTE('top 500'!A70," ",REPT(" ",LEN('top 500'!A70))), (2-1)*LEN('top 500'!A70)+1, LEN('top 500'!A70)))</f>
        <v>AI/USDT</v>
      </c>
    </row>
    <row r="71" ht="15.75" customHeight="1">
      <c r="A71" s="7" t="str">
        <f>TRIM(MID(SUBSTITUTE('top 500'!A71," ",REPT(" ",LEN('top 500'!A71))), (2-1)*LEN('top 500'!A71)+1, LEN('top 500'!A71)))</f>
        <v>LTC/USDT</v>
      </c>
    </row>
    <row r="72" ht="15.75" customHeight="1">
      <c r="A72" s="7" t="str">
        <f>TRIM(MID(SUBSTITUTE('top 500'!A72," ",REPT(" ",LEN('top 500'!A72))), (2-1)*LEN('top 500'!A72)+1, LEN('top 500'!A72)))</f>
        <v>PROM/USDT</v>
      </c>
    </row>
    <row r="73" ht="15.75" customHeight="1">
      <c r="A73" s="7" t="str">
        <f>TRIM(MID(SUBSTITUTE('top 500'!A73," ",REPT(" ",LEN('top 500'!A73))), (2-1)*LEN('top 500'!A73)+1, LEN('top 500'!A73)))</f>
        <v>TIA/USDT</v>
      </c>
    </row>
    <row r="74" ht="15.75" customHeight="1">
      <c r="A74" s="7" t="str">
        <f>TRIM(MID(SUBSTITUTE('top 500'!A74," ",REPT(" ",LEN('top 500'!A74))), (2-1)*LEN('top 500'!A74)+1, LEN('top 500'!A74)))</f>
        <v>RIF/USDT</v>
      </c>
    </row>
    <row r="75" ht="15.75" customHeight="1">
      <c r="A75" s="7" t="str">
        <f>TRIM(MID(SUBSTITUTE('top 500'!A75," ",REPT(" ",LEN('top 500'!A75))), (2-1)*LEN('top 500'!A75)+1, LEN('top 500'!A75)))</f>
        <v>MATIC/USDT</v>
      </c>
    </row>
    <row r="76" ht="15.75" customHeight="1">
      <c r="A76" s="7" t="str">
        <f>TRIM(MID(SUBSTITUTE('top 500'!A76," ",REPT(" ",LEN('top 500'!A76))), (2-1)*LEN('top 500'!A76)+1, LEN('top 500'!A76)))</f>
        <v>LINK/FDUSD</v>
      </c>
    </row>
    <row r="77" ht="15.75" customHeight="1">
      <c r="A77" s="7" t="str">
        <f>TRIM(MID(SUBSTITUTE('top 500'!A77," ",REPT(" ",LEN('top 500'!A77))), (2-1)*LEN('top 500'!A77)+1, LEN('top 500'!A77)))</f>
        <v>AVAX/FDUSD</v>
      </c>
    </row>
    <row r="78" ht="15.75" customHeight="1">
      <c r="A78" s="7" t="str">
        <f>TRIM(MID(SUBSTITUTE('top 500'!A78," ",REPT(" ",LEN('top 500'!A78))), (2-1)*LEN('top 500'!A78)+1, LEN('top 500'!A78)))</f>
        <v>NMR/USDT</v>
      </c>
    </row>
    <row r="79" ht="15.75" customHeight="1">
      <c r="A79" s="7" t="str">
        <f>TRIM(MID(SUBSTITUTE('top 500'!A79," ",REPT(" ",LEN('top 500'!A79))), (2-1)*LEN('top 500'!A79)+1, LEN('top 500'!A79)))</f>
        <v>AVAX/TRY</v>
      </c>
    </row>
    <row r="80" ht="15.75" customHeight="1">
      <c r="A80" s="7" t="str">
        <f>TRIM(MID(SUBSTITUTE('top 500'!A80," ",REPT(" ",LEN('top 500'!A80))), (2-1)*LEN('top 500'!A80)+1, LEN('top 500'!A80)))</f>
        <v>DENT/USDT</v>
      </c>
    </row>
    <row r="81" ht="15.75" customHeight="1">
      <c r="A81" s="7" t="str">
        <f>TRIM(MID(SUBSTITUTE('top 500'!A81," ",REPT(" ",LEN('top 500'!A81))), (2-1)*LEN('top 500'!A81)+1, LEN('top 500'!A81)))</f>
        <v>NULS/USDT</v>
      </c>
    </row>
    <row r="82" ht="15.75" customHeight="1">
      <c r="A82" s="7" t="str">
        <f>TRIM(MID(SUBSTITUTE('top 500'!A82," ",REPT(" ",LEN('top 500'!A82))), (2-1)*LEN('top 500'!A82)+1, LEN('top 500'!A82)))</f>
        <v>LUNC/TRY</v>
      </c>
    </row>
    <row r="83" ht="15.75" customHeight="1">
      <c r="A83" s="7" t="str">
        <f>TRIM(MID(SUBSTITUTE('top 500'!A83," ",REPT(" ",LEN('top 500'!A83))), (2-1)*LEN('top 500'!A83)+1, LEN('top 500'!A83)))</f>
        <v>GMX/USDT</v>
      </c>
    </row>
    <row r="84" ht="15.75" customHeight="1">
      <c r="A84" s="7" t="str">
        <f>TRIM(MID(SUBSTITUTE('top 500'!A84," ",REPT(" ",LEN('top 500'!A84))), (2-1)*LEN('top 500'!A84)+1, LEN('top 500'!A84)))</f>
        <v>GAL/USDT</v>
      </c>
    </row>
    <row r="85" ht="15.75" customHeight="1">
      <c r="A85" s="7" t="str">
        <f>TRIM(MID(SUBSTITUTE('top 500'!A85," ",REPT(" ",LEN('top 500'!A85))), (2-1)*LEN('top 500'!A85)+1, LEN('top 500'!A85)))</f>
        <v>GLMR/USDT</v>
      </c>
    </row>
    <row r="86" ht="15.75" customHeight="1">
      <c r="A86" s="7" t="str">
        <f>TRIM(MID(SUBSTITUTE('top 500'!A86," ",REPT(" ",LEN('top 500'!A86))), (2-1)*LEN('top 500'!A86)+1, LEN('top 500'!A86)))</f>
        <v>AGIX/USDT</v>
      </c>
    </row>
    <row r="87" ht="15.75" customHeight="1">
      <c r="A87" s="7" t="str">
        <f>TRIM(MID(SUBSTITUTE('top 500'!A87," ",REPT(" ",LEN('top 500'!A87))), (2-1)*LEN('top 500'!A87)+1, LEN('top 500'!A87)))</f>
        <v>WAVES/USDT</v>
      </c>
    </row>
    <row r="88" ht="15.75" customHeight="1">
      <c r="A88" s="7" t="str">
        <f>TRIM(MID(SUBSTITUTE('top 500'!A88," ",REPT(" ",LEN('top 500'!A88))), (2-1)*LEN('top 500'!A88)+1, LEN('top 500'!A88)))</f>
        <v>MIOTA/USDT</v>
      </c>
    </row>
    <row r="89" ht="15.75" customHeight="1">
      <c r="A89" s="7" t="str">
        <f>TRIM(MID(SUBSTITUTE('top 500'!A89," ",REPT(" ",LEN('top 500'!A89))), (2-1)*LEN('top 500'!A89)+1, LEN('top 500'!A89)))</f>
        <v>TKO/USDT</v>
      </c>
    </row>
    <row r="90" ht="15.75" customHeight="1">
      <c r="A90" s="7" t="str">
        <f>TRIM(MID(SUBSTITUTE('top 500'!A90," ",REPT(" ",LEN('top 500'!A90))), (2-1)*LEN('top 500'!A90)+1, LEN('top 500'!A90)))</f>
        <v>BCH/USDT</v>
      </c>
    </row>
    <row r="91" ht="15.75" customHeight="1">
      <c r="A91" s="7" t="str">
        <f>TRIM(MID(SUBSTITUTE('top 500'!A91," ",REPT(" ",LEN('top 500'!A91))), (2-1)*LEN('top 500'!A91)+1, LEN('top 500'!A91)))</f>
        <v>BONK/USDT</v>
      </c>
    </row>
    <row r="92" ht="15.75" customHeight="1">
      <c r="A92" s="7" t="str">
        <f>TRIM(MID(SUBSTITUTE('top 500'!A92," ",REPT(" ",LEN('top 500'!A92))), (2-1)*LEN('top 500'!A92)+1, LEN('top 500'!A92)))</f>
        <v>PEPE/USDT</v>
      </c>
    </row>
    <row r="93" ht="15.75" customHeight="1">
      <c r="A93" s="7" t="str">
        <f>TRIM(MID(SUBSTITUTE('top 500'!A93," ",REPT(" ",LEN('top 500'!A93))), (2-1)*LEN('top 500'!A93)+1, LEN('top 500'!A93)))</f>
        <v>BTC/USDC</v>
      </c>
    </row>
    <row r="94" ht="15.75" customHeight="1">
      <c r="A94" s="7" t="str">
        <f>TRIM(MID(SUBSTITUTE('top 500'!A94," ",REPT(" ",LEN('top 500'!A94))), (2-1)*LEN('top 500'!A94)+1, LEN('top 500'!A94)))</f>
        <v>TRX/USDT</v>
      </c>
    </row>
    <row r="95" ht="15.75" customHeight="1">
      <c r="A95" s="7" t="str">
        <f>TRIM(MID(SUBSTITUTE('top 500'!A95," ",REPT(" ",LEN('top 500'!A95))), (2-1)*LEN('top 500'!A95)+1, LEN('top 500'!A95)))</f>
        <v>WLD/USDT</v>
      </c>
    </row>
    <row r="96" ht="15.75" customHeight="1">
      <c r="A96" s="7" t="str">
        <f>TRIM(MID(SUBSTITUTE('top 500'!A96," ",REPT(" ",LEN('top 500'!A96))), (2-1)*LEN('top 500'!A96)+1, LEN('top 500'!A96)))</f>
        <v>SOL/USDT</v>
      </c>
    </row>
    <row r="97" ht="15.75" customHeight="1">
      <c r="A97" s="7" t="str">
        <f>TRIM(MID(SUBSTITUTE('top 500'!A97," ",REPT(" ",LEN('top 500'!A97))), (2-1)*LEN('top 500'!A97)+1, LEN('top 500'!A97)))</f>
        <v>ACE/USDT</v>
      </c>
    </row>
    <row r="98" ht="15.75" customHeight="1">
      <c r="A98" s="7" t="str">
        <f>TRIM(MID(SUBSTITUTE('top 500'!A98," ",REPT(" ",LEN('top 500'!A98))), (2-1)*LEN('top 500'!A98)+1, LEN('top 500'!A98)))</f>
        <v>USDC/USDT</v>
      </c>
    </row>
    <row r="99" ht="15.75" customHeight="1">
      <c r="A99" s="7" t="str">
        <f>TRIM(MID(SUBSTITUTE('top 500'!A99," ",REPT(" ",LEN('top 500'!A99))), (2-1)*LEN('top 500'!A99)+1, LEN('top 500'!A99)))</f>
        <v>KEY/USDT</v>
      </c>
    </row>
    <row r="100" ht="15.75" customHeight="1">
      <c r="A100" s="7" t="str">
        <f>TRIM(MID(SUBSTITUTE('top 500'!A100," ",REPT(" ",LEN('top 500'!A100))), (2-1)*LEN('top 500'!A100)+1, LEN('top 500'!A100)))</f>
        <v>NEAR/USDT</v>
      </c>
    </row>
    <row r="101" ht="15.75" customHeight="1">
      <c r="A101" s="7" t="str">
        <f>TRIM(MID(SUBSTITUTE('top 500'!A101," ",REPT(" ",LEN('top 500'!A101))), (2-1)*LEN('top 500'!A101)+1, LEN('top 500'!A101)))</f>
        <v>DOT/USDT</v>
      </c>
    </row>
    <row r="102" ht="15.75" customHeight="1">
      <c r="A102" s="7" t="str">
        <f>TRIM(MID(SUBSTITUTE('top 500'!A102," ",REPT(" ",LEN('top 500'!A102))), (2-1)*LEN('top 500'!A102)+1, LEN('top 500'!A102)))</f>
        <v>CELO/USDT</v>
      </c>
    </row>
    <row r="103" ht="15.75" customHeight="1">
      <c r="A103" s="7" t="str">
        <f>TRIM(MID(SUBSTITUTE('top 500'!A103," ",REPT(" ",LEN('top 500'!A103))), (2-1)*LEN('top 500'!A103)+1, LEN('top 500'!A103)))</f>
        <v>ETH/TUSD</v>
      </c>
    </row>
    <row r="104" ht="15.75" customHeight="1">
      <c r="A104" s="7" t="str">
        <f>TRIM(MID(SUBSTITUTE('top 500'!A104," ",REPT(" ",LEN('top 500'!A104))), (2-1)*LEN('top 500'!A104)+1, LEN('top 500'!A104)))</f>
        <v>HFT/USDT</v>
      </c>
    </row>
    <row r="105" ht="15.75" customHeight="1">
      <c r="A105" s="7" t="str">
        <f>TRIM(MID(SUBSTITUTE('top 500'!A105," ",REPT(" ",LEN('top 500'!A105))), (2-1)*LEN('top 500'!A105)+1, LEN('top 500'!A105)))</f>
        <v>STG/USDT</v>
      </c>
    </row>
    <row r="106" ht="15.75" customHeight="1">
      <c r="A106" s="7" t="str">
        <f>TRIM(MID(SUBSTITUTE('top 500'!A106," ",REPT(" ",LEN('top 500'!A106))), (2-1)*LEN('top 500'!A106)+1, LEN('top 500'!A106)))</f>
        <v>VET/BTC</v>
      </c>
    </row>
    <row r="107" ht="15.75" customHeight="1">
      <c r="A107" s="7" t="str">
        <f>TRIM(MID(SUBSTITUTE('top 500'!A107," ",REPT(" ",LEN('top 500'!A107))), (2-1)*LEN('top 500'!A107)+1, LEN('top 500'!A107)))</f>
        <v>UMA/TRY</v>
      </c>
    </row>
    <row r="108" ht="15.75" customHeight="1">
      <c r="A108" s="7" t="str">
        <f>TRIM(MID(SUBSTITUTE('top 500'!A108," ",REPT(" ",LEN('top 500'!A108))), (2-1)*LEN('top 500'!A108)+1, LEN('top 500'!A108)))</f>
        <v>HOOK/USDT</v>
      </c>
    </row>
    <row r="109" ht="15.75" customHeight="1">
      <c r="A109" s="7" t="str">
        <f>TRIM(MID(SUBSTITUTE('top 500'!A109," ",REPT(" ",LEN('top 500'!A109))), (2-1)*LEN('top 500'!A109)+1, LEN('top 500'!A109)))</f>
        <v>OSMO/USDT</v>
      </c>
    </row>
    <row r="110" ht="15.75" customHeight="1">
      <c r="A110" s="7" t="str">
        <f>TRIM(MID(SUBSTITUTE('top 500'!A110," ",REPT(" ",LEN('top 500'!A110))), (2-1)*LEN('top 500'!A110)+1, LEN('top 500'!A110)))</f>
        <v>REEF/USDT</v>
      </c>
    </row>
    <row r="111" ht="15.75" customHeight="1">
      <c r="A111" s="7" t="str">
        <f>TRIM(MID(SUBSTITUTE('top 500'!A111," ",REPT(" ",LEN('top 500'!A111))), (2-1)*LEN('top 500'!A111)+1, LEN('top 500'!A111)))</f>
        <v>AR/USDT</v>
      </c>
    </row>
    <row r="112" ht="15.75" customHeight="1">
      <c r="A112" s="7" t="str">
        <f>TRIM(MID(SUBSTITUTE('top 500'!A112," ",REPT(" ",LEN('top 500'!A112))), (2-1)*LEN('top 500'!A112)+1, LEN('top 500'!A112)))</f>
        <v>PERP/USDT</v>
      </c>
    </row>
    <row r="113" ht="15.75" customHeight="1">
      <c r="A113" s="7" t="str">
        <f>TRIM(MID(SUBSTITUTE('top 500'!A113," ",REPT(" ",LEN('top 500'!A113))), (2-1)*LEN('top 500'!A113)+1, LEN('top 500'!A113)))</f>
        <v>ADA/BTC</v>
      </c>
    </row>
    <row r="114" ht="15.75" customHeight="1">
      <c r="A114" s="7" t="str">
        <f>TRIM(MID(SUBSTITUTE('top 500'!A114," ",REPT(" ",LEN('top 500'!A114))), (2-1)*LEN('top 500'!A114)+1, LEN('top 500'!A114)))</f>
        <v>EDU/USDT</v>
      </c>
    </row>
    <row r="115" ht="15.75" customHeight="1">
      <c r="A115" s="7" t="str">
        <f>TRIM(MID(SUBSTITUTE('top 500'!A115," ",REPT(" ",LEN('top 500'!A115))), (2-1)*LEN('top 500'!A115)+1, LEN('top 500'!A115)))</f>
        <v>MTL/USDT</v>
      </c>
    </row>
    <row r="116" ht="15.75" customHeight="1">
      <c r="A116" s="7" t="str">
        <f>TRIM(MID(SUBSTITUTE('top 500'!A116," ",REPT(" ",LEN('top 500'!A116))), (2-1)*LEN('top 500'!A116)+1, LEN('top 500'!A116)))</f>
        <v>VET/TRY</v>
      </c>
    </row>
    <row r="117" ht="15.75" customHeight="1">
      <c r="A117" s="7" t="str">
        <f>TRIM(MID(SUBSTITUTE('top 500'!A117," ",REPT(" ",LEN('top 500'!A117))), (2-1)*LEN('top 500'!A117)+1, LEN('top 500'!A117)))</f>
        <v>MEME/TRY</v>
      </c>
    </row>
    <row r="118" ht="15.75" customHeight="1">
      <c r="A118" s="7" t="str">
        <f>TRIM(MID(SUBSTITUTE('top 500'!A118," ",REPT(" ",LEN('top 500'!A118))), (2-1)*LEN('top 500'!A118)+1, LEN('top 500'!A118)))</f>
        <v>THETA/USDT</v>
      </c>
    </row>
    <row r="119" ht="15.75" customHeight="1">
      <c r="A119" s="7" t="str">
        <f>TRIM(MID(SUBSTITUTE('top 500'!A119," ",REPT(" ",LEN('top 500'!A119))), (2-1)*LEN('top 500'!A119)+1, LEN('top 500'!A119)))</f>
        <v>DODO/USDT</v>
      </c>
    </row>
    <row r="120" ht="15.75" customHeight="1">
      <c r="A120" s="7" t="str">
        <f>TRIM(MID(SUBSTITUTE('top 500'!A120," ",REPT(" ",LEN('top 500'!A120))), (2-1)*LEN('top 500'!A120)+1, LEN('top 500'!A120)))</f>
        <v>USTC/TRY</v>
      </c>
    </row>
    <row r="121" ht="15.75" customHeight="1">
      <c r="A121" s="7" t="str">
        <f>TRIM(MID(SUBSTITUTE('top 500'!A121," ",REPT(" ",LEN('top 500'!A121))), (2-1)*LEN('top 500'!A121)+1, LEN('top 500'!A121)))</f>
        <v>AI/TRY</v>
      </c>
    </row>
    <row r="122" ht="15.75" customHeight="1">
      <c r="A122" s="7" t="str">
        <f>TRIM(MID(SUBSTITUTE('top 500'!A122," ",REPT(" ",LEN('top 500'!A122))), (2-1)*LEN('top 500'!A122)+1, LEN('top 500'!A122)))</f>
        <v>WOO/USDT</v>
      </c>
    </row>
    <row r="123" ht="15.75" customHeight="1">
      <c r="A123" s="7" t="str">
        <f>TRIM(MID(SUBSTITUTE('top 500'!A123," ",REPT(" ",LEN('top 500'!A123))), (2-1)*LEN('top 500'!A123)+1, LEN('top 500'!A123)))</f>
        <v>HIGH/USDT</v>
      </c>
    </row>
    <row r="124" ht="15.75" customHeight="1">
      <c r="A124" s="7" t="str">
        <f>TRIM(MID(SUBSTITUTE('top 500'!A124," ",REPT(" ",LEN('top 500'!A124))), (2-1)*LEN('top 500'!A124)+1, LEN('top 500'!A124)))</f>
        <v>SEI/TRY</v>
      </c>
    </row>
    <row r="125" ht="15.75" customHeight="1">
      <c r="A125" s="7" t="str">
        <f>TRIM(MID(SUBSTITUTE('top 500'!A125," ",REPT(" ",LEN('top 500'!A125))), (2-1)*LEN('top 500'!A125)+1, LEN('top 500'!A125)))</f>
        <v>REN/USDT</v>
      </c>
    </row>
    <row r="126" ht="15.75" customHeight="1">
      <c r="A126" s="7" t="str">
        <f>TRIM(MID(SUBSTITUTE('top 500'!A126," ",REPT(" ",LEN('top 500'!A126))), (2-1)*LEN('top 500'!A126)+1, LEN('top 500'!A126)))</f>
        <v>RNDR/USDT</v>
      </c>
    </row>
    <row r="127" ht="15.75" customHeight="1">
      <c r="A127" s="7" t="str">
        <f>TRIM(MID(SUBSTITUTE('top 500'!A127," ",REPT(" ",LEN('top 500'!A127))), (2-1)*LEN('top 500'!A127)+1, LEN('top 500'!A127)))</f>
        <v>USTC/USDT</v>
      </c>
    </row>
    <row r="128" ht="15.75" customHeight="1">
      <c r="A128" s="7" t="str">
        <f>TRIM(MID(SUBSTITUTE('top 500'!A128," ",REPT(" ",LEN('top 500'!A128))), (2-1)*LEN('top 500'!A128)+1, LEN('top 500'!A128)))</f>
        <v>BTC/TUSD</v>
      </c>
    </row>
    <row r="129" ht="15.75" customHeight="1">
      <c r="A129" s="7" t="str">
        <f>TRIM(MID(SUBSTITUTE('top 500'!A129," ",REPT(" ",LEN('top 500'!A129))), (2-1)*LEN('top 500'!A129)+1, LEN('top 500'!A129)))</f>
        <v>SHIB/USDT</v>
      </c>
    </row>
    <row r="130" ht="15.75" customHeight="1">
      <c r="A130" s="7" t="str">
        <f>TRIM(MID(SUBSTITUTE('top 500'!A130," ",REPT(" ",LEN('top 500'!A130))), (2-1)*LEN('top 500'!A130)+1, LEN('top 500'!A130)))</f>
        <v>AUCTION/USDT</v>
      </c>
    </row>
    <row r="131" ht="15.75" customHeight="1">
      <c r="A131" s="7" t="str">
        <f>TRIM(MID(SUBSTITUTE('top 500'!A131," ",REPT(" ",LEN('top 500'!A131))), (2-1)*LEN('top 500'!A131)+1, LEN('top 500'!A131)))</f>
        <v>FIL/USDT</v>
      </c>
    </row>
    <row r="132" ht="15.75" customHeight="1">
      <c r="A132" s="7" t="str">
        <f>TRIM(MID(SUBSTITUTE('top 500'!A132," ",REPT(" ",LEN('top 500'!A132))), (2-1)*LEN('top 500'!A132)+1, LEN('top 500'!A132)))</f>
        <v>XAI/USDT</v>
      </c>
    </row>
    <row r="133" ht="15.75" customHeight="1">
      <c r="A133" s="7" t="str">
        <f>TRIM(MID(SUBSTITUTE('top 500'!A133," ",REPT(" ",LEN('top 500'!A133))), (2-1)*LEN('top 500'!A133)+1, LEN('top 500'!A133)))</f>
        <v>RLC/USDT</v>
      </c>
    </row>
    <row r="134" ht="15.75" customHeight="1">
      <c r="A134" s="7" t="str">
        <f>TRIM(MID(SUBSTITUTE('top 500'!A134," ",REPT(" ",LEN('top 500'!A134))), (2-1)*LEN('top 500'!A134)+1, LEN('top 500'!A134)))</f>
        <v>MDT/USDT</v>
      </c>
    </row>
    <row r="135" ht="15.75" customHeight="1">
      <c r="A135" s="7" t="str">
        <f>TRIM(MID(SUBSTITUTE('top 500'!A135," ",REPT(" ",LEN('top 500'!A135))), (2-1)*LEN('top 500'!A135)+1, LEN('top 500'!A135)))</f>
        <v>DAR/USDT</v>
      </c>
    </row>
    <row r="136" ht="15.75" customHeight="1">
      <c r="A136" s="7" t="str">
        <f>TRIM(MID(SUBSTITUTE('top 500'!A136," ",REPT(" ",LEN('top 500'!A136))), (2-1)*LEN('top 500'!A136)+1, LEN('top 500'!A136)))</f>
        <v>FLOKI/USDT</v>
      </c>
    </row>
    <row r="137" ht="15.75" customHeight="1">
      <c r="A137" s="7" t="str">
        <f>TRIM(MID(SUBSTITUTE('top 500'!A137," ",REPT(" ",LEN('top 500'!A137))), (2-1)*LEN('top 500'!A137)+1, LEN('top 500'!A137)))</f>
        <v>COMP/USDT</v>
      </c>
    </row>
    <row r="138" ht="15.75" customHeight="1">
      <c r="A138" s="7" t="str">
        <f>TRIM(MID(SUBSTITUTE('top 500'!A138," ",REPT(" ",LEN('top 500'!A138))), (2-1)*LEN('top 500'!A138)+1, LEN('top 500'!A138)))</f>
        <v>BTT/TRY</v>
      </c>
    </row>
    <row r="139" ht="15.75" customHeight="1">
      <c r="A139" s="7" t="str">
        <f>TRIM(MID(SUBSTITUTE('top 500'!A139," ",REPT(" ",LEN('top 500'!A139))), (2-1)*LEN('top 500'!A139)+1, LEN('top 500'!A139)))</f>
        <v>SOL/TRY</v>
      </c>
    </row>
    <row r="140" ht="15.75" customHeight="1">
      <c r="A140" s="7" t="str">
        <f>TRIM(MID(SUBSTITUTE('top 500'!A140," ",REPT(" ",LEN('top 500'!A140))), (2-1)*LEN('top 500'!A140)+1, LEN('top 500'!A140)))</f>
        <v>HOT/USDT</v>
      </c>
    </row>
    <row r="141" ht="15.75" customHeight="1">
      <c r="A141" s="7" t="str">
        <f>TRIM(MID(SUBSTITUTE('top 500'!A141," ",REPT(" ",LEN('top 500'!A141))), (2-1)*LEN('top 500'!A141)+1, LEN('top 500'!A141)))</f>
        <v>ARPA/USDT</v>
      </c>
    </row>
    <row r="142" ht="15.75" customHeight="1">
      <c r="A142" s="7" t="str">
        <f>TRIM(MID(SUBSTITUTE('top 500'!A142," ",REPT(" ",LEN('top 500'!A142))), (2-1)*LEN('top 500'!A142)+1, LEN('top 500'!A142)))</f>
        <v>HIFI/USDT</v>
      </c>
    </row>
    <row r="143" ht="15.75" customHeight="1">
      <c r="A143" s="7" t="str">
        <f>TRIM(MID(SUBSTITUTE('top 500'!A143," ",REPT(" ",LEN('top 500'!A143))), (2-1)*LEN('top 500'!A143)+1, LEN('top 500'!A143)))</f>
        <v>FRONT/USDT</v>
      </c>
    </row>
    <row r="144" ht="15.75" customHeight="1">
      <c r="A144" s="7" t="str">
        <f>TRIM(MID(SUBSTITUTE('top 500'!A144," ",REPT(" ",LEN('top 500'!A144))), (2-1)*LEN('top 500'!A144)+1, LEN('top 500'!A144)))</f>
        <v>LEVER/TRY</v>
      </c>
    </row>
    <row r="145" ht="15.75" customHeight="1">
      <c r="A145" s="7" t="str">
        <f>TRIM(MID(SUBSTITUTE('top 500'!A145," ",REPT(" ",LEN('top 500'!A145))), (2-1)*LEN('top 500'!A145)+1, LEN('top 500'!A145)))</f>
        <v>QNT/USDT</v>
      </c>
    </row>
    <row r="146" ht="15.75" customHeight="1">
      <c r="A146" s="7" t="str">
        <f>TRIM(MID(SUBSTITUTE('top 500'!A146," ",REPT(" ",LEN('top 500'!A146))), (2-1)*LEN('top 500'!A146)+1, LEN('top 500'!A146)))</f>
        <v>C98/USDT</v>
      </c>
    </row>
    <row r="147" ht="15.75" customHeight="1">
      <c r="A147" s="7" t="str">
        <f>TRIM(MID(SUBSTITUTE('top 500'!A147," ",REPT(" ",LEN('top 500'!A147))), (2-1)*LEN('top 500'!A147)+1, LEN('top 500'!A147)))</f>
        <v>ALT/TRY</v>
      </c>
    </row>
    <row r="148" ht="15.75" customHeight="1">
      <c r="A148" s="7" t="str">
        <f>TRIM(MID(SUBSTITUTE('top 500'!A148," ",REPT(" ",LEN('top 500'!A148))), (2-1)*LEN('top 500'!A148)+1, LEN('top 500'!A148)))</f>
        <v>TIA/TRY</v>
      </c>
    </row>
    <row r="149" ht="15.75" customHeight="1">
      <c r="A149" s="7" t="str">
        <f>TRIM(MID(SUBSTITUTE('top 500'!A149," ",REPT(" ",LEN('top 500'!A149))), (2-1)*LEN('top 500'!A149)+1, LEN('top 500'!A149)))</f>
        <v>DUSK/USDT</v>
      </c>
    </row>
    <row r="150" ht="15.75" customHeight="1">
      <c r="A150" s="7" t="str">
        <f>TRIM(MID(SUBSTITUTE('top 500'!A150," ",REPT(" ",LEN('top 500'!A150))), (2-1)*LEN('top 500'!A150)+1, LEN('top 500'!A150)))</f>
        <v>JASMY/USDT</v>
      </c>
    </row>
    <row r="151" ht="15.75" customHeight="1">
      <c r="A151" s="7" t="str">
        <f>TRIM(MID(SUBSTITUTE('top 500'!A151," ",REPT(" ",LEN('top 500'!A151))), (2-1)*LEN('top 500'!A151)+1, LEN('top 500'!A151)))</f>
        <v>BTC/FDUSD</v>
      </c>
    </row>
    <row r="152" ht="15.75" customHeight="1">
      <c r="A152" s="7" t="str">
        <f>TRIM(MID(SUBSTITUTE('top 500'!A152," ",REPT(" ",LEN('top 500'!A152))), (2-1)*LEN('top 500'!A152)+1, LEN('top 500'!A152)))</f>
        <v>FDUSD/TRY</v>
      </c>
    </row>
    <row r="153" ht="15.75" customHeight="1">
      <c r="A153" s="7" t="str">
        <f>TRIM(MID(SUBSTITUTE('top 500'!A153," ",REPT(" ",LEN('top 500'!A153))), (2-1)*LEN('top 500'!A153)+1, LEN('top 500'!A153)))</f>
        <v>MBOX/USDT</v>
      </c>
    </row>
    <row r="154" ht="15.75" customHeight="1">
      <c r="A154" s="7" t="str">
        <f>TRIM(MID(SUBSTITUTE('top 500'!A154," ",REPT(" ",LEN('top 500'!A154))), (2-1)*LEN('top 500'!A154)+1, LEN('top 500'!A154)))</f>
        <v>KDA/USDT</v>
      </c>
    </row>
    <row r="155" ht="15.75" customHeight="1">
      <c r="A155" s="7" t="str">
        <f>TRIM(MID(SUBSTITUTE('top 500'!A155," ",REPT(" ",LEN('top 500'!A155))), (2-1)*LEN('top 500'!A155)+1, LEN('top 500'!A155)))</f>
        <v>LRC/USDT</v>
      </c>
    </row>
    <row r="156" ht="15.75" customHeight="1">
      <c r="A156" s="7" t="str">
        <f>TRIM(MID(SUBSTITUTE('top 500'!A156," ",REPT(" ",LEN('top 500'!A156))), (2-1)*LEN('top 500'!A156)+1, LEN('top 500'!A156)))</f>
        <v>PYR/USDT</v>
      </c>
    </row>
    <row r="157" ht="15.75" customHeight="1">
      <c r="A157" s="7" t="str">
        <f>TRIM(MID(SUBSTITUTE('top 500'!A157," ",REPT(" ",LEN('top 500'!A157))), (2-1)*LEN('top 500'!A157)+1, LEN('top 500'!A157)))</f>
        <v>BCH/BTC</v>
      </c>
    </row>
    <row r="158" ht="15.75" customHeight="1">
      <c r="A158" s="7" t="str">
        <f>TRIM(MID(SUBSTITUTE('top 500'!A158," ",REPT(" ",LEN('top 500'!A158))), (2-1)*LEN('top 500'!A158)+1, LEN('top 500'!A158)))</f>
        <v>KSM/USDT</v>
      </c>
    </row>
    <row r="159" ht="15.75" customHeight="1">
      <c r="A159" s="7" t="str">
        <f>TRIM(MID(SUBSTITUTE('top 500'!A159," ",REPT(" ",LEN('top 500'!A159))), (2-1)*LEN('top 500'!A159)+1, LEN('top 500'!A159)))</f>
        <v>LINA/USDT</v>
      </c>
    </row>
    <row r="160" ht="15.75" customHeight="1">
      <c r="A160" s="7" t="str">
        <f>TRIM(MID(SUBSTITUTE('top 500'!A160," ",REPT(" ",LEN('top 500'!A160))), (2-1)*LEN('top 500'!A160)+1, LEN('top 500'!A160)))</f>
        <v>REI/USDT</v>
      </c>
    </row>
    <row r="161" ht="15.75" customHeight="1">
      <c r="A161" s="7" t="str">
        <f>TRIM(MID(SUBSTITUTE('top 500'!A161," ",REPT(" ",LEN('top 500'!A161))), (2-1)*LEN('top 500'!A161)+1, LEN('top 500'!A161)))</f>
        <v>QI/USDT</v>
      </c>
    </row>
    <row r="162" ht="15.75" customHeight="1">
      <c r="A162" s="7" t="str">
        <f>TRIM(MID(SUBSTITUTE('top 500'!A162," ",REPT(" ",LEN('top 500'!A162))), (2-1)*LEN('top 500'!A162)+1, LEN('top 500'!A162)))</f>
        <v>DOGE/BTC</v>
      </c>
    </row>
    <row r="163" ht="15.75" customHeight="1">
      <c r="A163" s="7" t="str">
        <f>TRIM(MID(SUBSTITUTE('top 500'!A163," ",REPT(" ",LEN('top 500'!A163))), (2-1)*LEN('top 500'!A163)+1, LEN('top 500'!A163)))</f>
        <v>BAND/USDT</v>
      </c>
    </row>
    <row r="164" ht="15.75" customHeight="1">
      <c r="A164" s="7" t="str">
        <f>TRIM(MID(SUBSTITUTE('top 500'!A164," ",REPT(" ",LEN('top 500'!A164))), (2-1)*LEN('top 500'!A164)+1, LEN('top 500'!A164)))</f>
        <v>BLUR/USDT</v>
      </c>
    </row>
    <row r="165" ht="15.75" customHeight="1">
      <c r="A165" s="7" t="str">
        <f>TRIM(MID(SUBSTITUTE('top 500'!A165," ",REPT(" ",LEN('top 500'!A165))), (2-1)*LEN('top 500'!A165)+1, LEN('top 500'!A165)))</f>
        <v>ICP/USDT</v>
      </c>
    </row>
    <row r="166" ht="15.75" customHeight="1">
      <c r="A166" s="7" t="str">
        <f>TRIM(MID(SUBSTITUTE('top 500'!A166," ",REPT(" ",LEN('top 500'!A166))), (2-1)*LEN('top 500'!A166)+1, LEN('top 500'!A166)))</f>
        <v>ETC/USDT</v>
      </c>
    </row>
    <row r="167" ht="15.75" customHeight="1">
      <c r="A167" s="7" t="str">
        <f>TRIM(MID(SUBSTITUTE('top 500'!A167," ",REPT(" ",LEN('top 500'!A167))), (2-1)*LEN('top 500'!A167)+1, LEN('top 500'!A167)))</f>
        <v>PYTH/USDT</v>
      </c>
    </row>
    <row r="168" ht="15.75" customHeight="1">
      <c r="A168" s="7" t="str">
        <f>TRIM(MID(SUBSTITUTE('top 500'!A168," ",REPT(" ",LEN('top 500'!A168))), (2-1)*LEN('top 500'!A168)+1, LEN('top 500'!A168)))</f>
        <v>IMX/USDT</v>
      </c>
    </row>
    <row r="169" ht="15.75" customHeight="1">
      <c r="A169" s="7" t="str">
        <f>TRIM(MID(SUBSTITUTE('top 500'!A169," ",REPT(" ",LEN('top 500'!A169))), (2-1)*LEN('top 500'!A169)+1, LEN('top 500'!A169)))</f>
        <v>ATOM/USDT</v>
      </c>
    </row>
    <row r="170" ht="15.75" customHeight="1">
      <c r="A170" s="7" t="str">
        <f>TRIM(MID(SUBSTITUTE('top 500'!A170," ",REPT(" ",LEN('top 500'!A170))), (2-1)*LEN('top 500'!A170)+1, LEN('top 500'!A170)))</f>
        <v>NTRN/USDT</v>
      </c>
    </row>
    <row r="171" ht="15.75" customHeight="1">
      <c r="A171" s="7" t="str">
        <f>TRIM(MID(SUBSTITUTE('top 500'!A171," ",REPT(" ",LEN('top 500'!A171))), (2-1)*LEN('top 500'!A171)+1, LEN('top 500'!A171)))</f>
        <v>LUNC/USDT</v>
      </c>
    </row>
    <row r="172" ht="15.75" customHeight="1">
      <c r="A172" s="7" t="str">
        <f>TRIM(MID(SUBSTITUTE('top 500'!A172," ",REPT(" ",LEN('top 500'!A172))), (2-1)*LEN('top 500'!A172)+1, LEN('top 500'!A172)))</f>
        <v>DYDX/USDT</v>
      </c>
    </row>
    <row r="173" ht="15.75" customHeight="1">
      <c r="A173" s="7" t="str">
        <f>TRIM(MID(SUBSTITUTE('top 500'!A173," ",REPT(" ",LEN('top 500'!A173))), (2-1)*LEN('top 500'!A173)+1, LEN('top 500'!A173)))</f>
        <v>XRP/FDUSD</v>
      </c>
    </row>
    <row r="174" ht="15.75" customHeight="1">
      <c r="A174" s="7" t="str">
        <f>TRIM(MID(SUBSTITUTE('top 500'!A174," ",REPT(" ",LEN('top 500'!A174))), (2-1)*LEN('top 500'!A174)+1, LEN('top 500'!A174)))</f>
        <v>OM/USDT</v>
      </c>
    </row>
    <row r="175" ht="15.75" customHeight="1">
      <c r="A175" s="7" t="str">
        <f>TRIM(MID(SUBSTITUTE('top 500'!A175," ",REPT(" ",LEN('top 500'!A175))), (2-1)*LEN('top 500'!A175)+1, LEN('top 500'!A175)))</f>
        <v>SUPER/USDT</v>
      </c>
    </row>
    <row r="176" ht="15.75" customHeight="1">
      <c r="A176" s="7" t="str">
        <f>TRIM(MID(SUBSTITUTE('top 500'!A176," ",REPT(" ",LEN('top 500'!A176))), (2-1)*LEN('top 500'!A176)+1, LEN('top 500'!A176)))</f>
        <v>BAKE/USDT</v>
      </c>
    </row>
    <row r="177" ht="15.75" customHeight="1">
      <c r="A177" s="7" t="str">
        <f>TRIM(MID(SUBSTITUTE('top 500'!A177," ",REPT(" ",LEN('top 500'!A177))), (2-1)*LEN('top 500'!A177)+1, LEN('top 500'!A177)))</f>
        <v>ENJ/USDT</v>
      </c>
    </row>
    <row r="178" ht="15.75" customHeight="1">
      <c r="A178" s="7" t="str">
        <f>TRIM(MID(SUBSTITUTE('top 500'!A178," ",REPT(" ",LEN('top 500'!A178))), (2-1)*LEN('top 500'!A178)+1, LEN('top 500'!A178)))</f>
        <v>SOL/ETH</v>
      </c>
    </row>
    <row r="179" ht="15.75" customHeight="1">
      <c r="A179" s="7" t="str">
        <f>TRIM(MID(SUBSTITUTE('top 500'!A179," ",REPT(" ",LEN('top 500'!A179))), (2-1)*LEN('top 500'!A179)+1, LEN('top 500'!A179)))</f>
        <v>LPT/USDT</v>
      </c>
    </row>
    <row r="180" ht="15.75" customHeight="1">
      <c r="A180" s="7" t="str">
        <f>TRIM(MID(SUBSTITUTE('top 500'!A180," ",REPT(" ",LEN('top 500'!A180))), (2-1)*LEN('top 500'!A180)+1, LEN('top 500'!A180)))</f>
        <v>TRU/USDT</v>
      </c>
    </row>
    <row r="181" ht="15.75" customHeight="1">
      <c r="A181" s="7" t="str">
        <f>TRIM(MID(SUBSTITUTE('top 500'!A181," ",REPT(" ",LEN('top 500'!A181))), (2-1)*LEN('top 500'!A181)+1, LEN('top 500'!A181)))</f>
        <v>LSK/USDT</v>
      </c>
    </row>
    <row r="182" ht="15.75" customHeight="1">
      <c r="A182" s="7" t="str">
        <f>TRIM(MID(SUBSTITUTE('top 500'!A182," ",REPT(" ",LEN('top 500'!A182))), (2-1)*LEN('top 500'!A182)+1, LEN('top 500'!A182)))</f>
        <v>LTC/BTC</v>
      </c>
    </row>
    <row r="183" ht="15.75" customHeight="1">
      <c r="A183" s="7" t="str">
        <f>TRIM(MID(SUBSTITUTE('top 500'!A183," ",REPT(" ",LEN('top 500'!A183))), (2-1)*LEN('top 500'!A183)+1, LEN('top 500'!A183)))</f>
        <v>UNFI/USDT</v>
      </c>
    </row>
    <row r="184" ht="15.75" customHeight="1">
      <c r="A184" s="7" t="str">
        <f>TRIM(MID(SUBSTITUTE('top 500'!A184," ",REPT(" ",LEN('top 500'!A184))), (2-1)*LEN('top 500'!A184)+1, LEN('top 500'!A184)))</f>
        <v>ACA/USDT</v>
      </c>
    </row>
    <row r="185" ht="15.75" customHeight="1">
      <c r="A185" s="7" t="str">
        <f>TRIM(MID(SUBSTITUTE('top 500'!A185," ",REPT(" ",LEN('top 500'!A185))), (2-1)*LEN('top 500'!A185)+1, LEN('top 500'!A185)))</f>
        <v>STRAX/USDT</v>
      </c>
    </row>
    <row r="186" ht="15.75" customHeight="1">
      <c r="A186" s="7" t="str">
        <f>TRIM(MID(SUBSTITUTE('top 500'!A186," ",REPT(" ",LEN('top 500'!A186))), (2-1)*LEN('top 500'!A186)+1, LEN('top 500'!A186)))</f>
        <v>SOL/EUR</v>
      </c>
    </row>
    <row r="187" ht="15.75" customHeight="1">
      <c r="A187" s="7" t="str">
        <f>TRIM(MID(SUBSTITUTE('top 500'!A187," ",REPT(" ",LEN('top 500'!A187))), (2-1)*LEN('top 500'!A187)+1, LEN('top 500'!A187)))</f>
        <v>REQ/USDT</v>
      </c>
    </row>
    <row r="188" ht="15.75" customHeight="1">
      <c r="A188" s="7" t="str">
        <f>TRIM(MID(SUBSTITUTE('top 500'!A188," ",REPT(" ",LEN('top 500'!A188))), (2-1)*LEN('top 500'!A188)+1, LEN('top 500'!A188)))</f>
        <v>XTZ/USDT</v>
      </c>
    </row>
    <row r="189" ht="15.75" customHeight="1">
      <c r="A189" s="7" t="str">
        <f>TRIM(MID(SUBSTITUTE('top 500'!A189," ",REPT(" ",LEN('top 500'!A189))), (2-1)*LEN('top 500'!A189)+1, LEN('top 500'!A189)))</f>
        <v>ORDI/BTC</v>
      </c>
    </row>
    <row r="190" ht="15.75" customHeight="1">
      <c r="A190" s="7" t="str">
        <f>TRIM(MID(SUBSTITUTE('top 500'!A190," ",REPT(" ",LEN('top 500'!A190))), (2-1)*LEN('top 500'!A190)+1, LEN('top 500'!A190)))</f>
        <v>POLYX/USDT</v>
      </c>
    </row>
    <row r="191" ht="15.75" customHeight="1">
      <c r="A191" s="7" t="str">
        <f>TRIM(MID(SUBSTITUTE('top 500'!A191," ",REPT(" ",LEN('top 500'!A191))), (2-1)*LEN('top 500'!A191)+1, LEN('top 500'!A191)))</f>
        <v>TLM/USDT</v>
      </c>
    </row>
    <row r="192" ht="15.75" customHeight="1">
      <c r="A192" s="7" t="str">
        <f>TRIM(MID(SUBSTITUTE('top 500'!A192," ",REPT(" ",LEN('top 500'!A192))), (2-1)*LEN('top 500'!A192)+1, LEN('top 500'!A192)))</f>
        <v>ETH/TRY</v>
      </c>
    </row>
    <row r="193" ht="15.75" customHeight="1">
      <c r="A193" s="7" t="str">
        <f>TRIM(MID(SUBSTITUTE('top 500'!A193," ",REPT(" ",LEN('top 500'!A193))), (2-1)*LEN('top 500'!A193)+1, LEN('top 500'!A193)))</f>
        <v>TWT/USDT</v>
      </c>
    </row>
    <row r="194" ht="15.75" customHeight="1">
      <c r="A194" s="7" t="str">
        <f>TRIM(MID(SUBSTITUTE('top 500'!A194," ",REPT(" ",LEN('top 500'!A194))), (2-1)*LEN('top 500'!A194)+1, LEN('top 500'!A194)))</f>
        <v>LQTY/USDT</v>
      </c>
    </row>
    <row r="195" ht="15.75" customHeight="1">
      <c r="A195" s="7" t="str">
        <f>TRIM(MID(SUBSTITUTE('top 500'!A195," ",REPT(" ",LEN('top 500'!A195))), (2-1)*LEN('top 500'!A195)+1, LEN('top 500'!A195)))</f>
        <v>ONE/USDT</v>
      </c>
    </row>
    <row r="196" ht="15.75" customHeight="1">
      <c r="A196" s="7" t="str">
        <f>TRIM(MID(SUBSTITUTE('top 500'!A196," ",REPT(" ",LEN('top 500'!A196))), (2-1)*LEN('top 500'!A196)+1, LEN('top 500'!A196)))</f>
        <v>ONT/USDT</v>
      </c>
    </row>
    <row r="197" ht="15.75" customHeight="1">
      <c r="A197" s="7" t="str">
        <f>TRIM(MID(SUBSTITUTE('top 500'!A197," ",REPT(" ",LEN('top 500'!A197))), (2-1)*LEN('top 500'!A197)+1, LEN('top 500'!A197)))</f>
        <v>VANRY/USDT</v>
      </c>
    </row>
    <row r="198" ht="15.75" customHeight="1">
      <c r="A198" s="7" t="str">
        <f>TRIM(MID(SUBSTITUTE('top 500'!A198," ",REPT(" ",LEN('top 500'!A198))), (2-1)*LEN('top 500'!A198)+1, LEN('top 500'!A198)))</f>
        <v>STMX/USDT</v>
      </c>
    </row>
    <row r="199" ht="15.75" customHeight="1">
      <c r="A199" s="7" t="str">
        <f>TRIM(MID(SUBSTITUTE('top 500'!A199," ",REPT(" ",LEN('top 500'!A199))), (2-1)*LEN('top 500'!A199)+1, LEN('top 500'!A199)))</f>
        <v>ETH/BRL</v>
      </c>
    </row>
    <row r="200" ht="15.75" customHeight="1">
      <c r="A200" s="7" t="str">
        <f>TRIM(MID(SUBSTITUTE('top 500'!A200," ",REPT(" ",LEN('top 500'!A200))), (2-1)*LEN('top 500'!A200)+1, LEN('top 500'!A200)))</f>
        <v>IOTX/USDT</v>
      </c>
    </row>
    <row r="201" ht="15.75" customHeight="1">
      <c r="A201" s="7" t="str">
        <f>TRIM(MID(SUBSTITUTE('top 500'!A201," ",REPT(" ",LEN('top 500'!A201))), (2-1)*LEN('top 500'!A201)+1, LEN('top 500'!A201)))</f>
        <v>AVAX/USDC</v>
      </c>
    </row>
    <row r="202" ht="15.75" customHeight="1">
      <c r="A202" s="7" t="str">
        <f>TRIM(MID(SUBSTITUTE('top 500'!A202," ",REPT(" ",LEN('top 500'!A202))), (2-1)*LEN('top 500'!A202)+1, LEN('top 500'!A202)))</f>
        <v>BLZ/USDT</v>
      </c>
    </row>
    <row r="203" ht="15.75" customHeight="1">
      <c r="A203" s="7" t="str">
        <f>TRIM(MID(SUBSTITUTE('top 500'!A203," ",REPT(" ",LEN('top 500'!A203))), (2-1)*LEN('top 500'!A203)+1, LEN('top 500'!A203)))</f>
        <v>QKC/USDT</v>
      </c>
    </row>
    <row r="204" ht="15.75" customHeight="1">
      <c r="A204" s="7" t="str">
        <f>TRIM(MID(SUBSTITUTE('top 500'!A204," ",REPT(" ",LEN('top 500'!A204))), (2-1)*LEN('top 500'!A204)+1, LEN('top 500'!A204)))</f>
        <v>CLV/USDT</v>
      </c>
    </row>
    <row r="205" ht="15.75" customHeight="1">
      <c r="A205" s="7" t="str">
        <f>TRIM(MID(SUBSTITUTE('top 500'!A205," ",REPT(" ",LEN('top 500'!A205))), (2-1)*LEN('top 500'!A205)+1, LEN('top 500'!A205)))</f>
        <v>ARK/USDT</v>
      </c>
    </row>
    <row r="206" ht="15.75" customHeight="1">
      <c r="A206" s="7" t="str">
        <f>TRIM(MID(SUBSTITUTE('top 500'!A206," ",REPT(" ",LEN('top 500'!A206))), (2-1)*LEN('top 500'!A206)+1, LEN('top 500'!A206)))</f>
        <v>AMB/USDT</v>
      </c>
    </row>
    <row r="207" ht="15.75" customHeight="1">
      <c r="A207" s="7" t="str">
        <f>TRIM(MID(SUBSTITUTE('top 500'!A207," ",REPT(" ",LEN('top 500'!A207))), (2-1)*LEN('top 500'!A207)+1, LEN('top 500'!A207)))</f>
        <v>PHB/USDT</v>
      </c>
    </row>
    <row r="208" ht="15.75" customHeight="1">
      <c r="A208" s="7" t="str">
        <f>TRIM(MID(SUBSTITUTE('top 500'!A208," ",REPT(" ",LEN('top 500'!A208))), (2-1)*LEN('top 500'!A208)+1, LEN('top 500'!A208)))</f>
        <v>CVP/USDT</v>
      </c>
    </row>
    <row r="209" ht="15.75" customHeight="1">
      <c r="A209" s="7" t="str">
        <f>TRIM(MID(SUBSTITUTE('top 500'!A209," ",REPT(" ",LEN('top 500'!A209))), (2-1)*LEN('top 500'!A209)+1, LEN('top 500'!A209)))</f>
        <v>XMR/BTC</v>
      </c>
    </row>
    <row r="210" ht="15.75" customHeight="1">
      <c r="A210" s="7" t="str">
        <f>TRIM(MID(SUBSTITUTE('top 500'!A210," ",REPT(" ",LEN('top 500'!A210))), (2-1)*LEN('top 500'!A210)+1, LEN('top 500'!A210)))</f>
        <v>SHIB/TRY</v>
      </c>
    </row>
    <row r="211" ht="15.75" customHeight="1">
      <c r="A211" s="7" t="str">
        <f>TRIM(MID(SUBSTITUTE('top 500'!A211," ",REPT(" ",LEN('top 500'!A211))), (2-1)*LEN('top 500'!A211)+1, LEN('top 500'!A211)))</f>
        <v>FIO/USDT</v>
      </c>
    </row>
    <row r="212" ht="15.75" customHeight="1">
      <c r="A212" s="7" t="str">
        <f>TRIM(MID(SUBSTITUTE('top 500'!A212," ",REPT(" ",LEN('top 500'!A212))), (2-1)*LEN('top 500'!A212)+1, LEN('top 500'!A212)))</f>
        <v>SUI/BTC</v>
      </c>
    </row>
    <row r="213" ht="15.75" customHeight="1">
      <c r="A213" s="7" t="str">
        <f>TRIM(MID(SUBSTITUTE('top 500'!A213," ",REPT(" ",LEN('top 500'!A213))), (2-1)*LEN('top 500'!A213)+1, LEN('top 500'!A213)))</f>
        <v>JST/USDT</v>
      </c>
    </row>
    <row r="214" ht="15.75" customHeight="1">
      <c r="A214" s="7" t="str">
        <f>TRIM(MID(SUBSTITUTE('top 500'!A214," ",REPT(" ",LEN('top 500'!A214))), (2-1)*LEN('top 500'!A214)+1, LEN('top 500'!A214)))</f>
        <v>WING/USDT</v>
      </c>
    </row>
    <row r="215" ht="15.75" customHeight="1">
      <c r="A215" s="7" t="str">
        <f>TRIM(MID(SUBSTITUTE('top 500'!A215," ",REPT(" ",LEN('top 500'!A215))), (2-1)*LEN('top 500'!A215)+1, LEN('top 500'!A215)))</f>
        <v>XRP/TRY</v>
      </c>
    </row>
    <row r="216" ht="15.75" customHeight="1">
      <c r="A216" s="7" t="str">
        <f>TRIM(MID(SUBSTITUTE('top 500'!A216," ",REPT(" ",LEN('top 500'!A216))), (2-1)*LEN('top 500'!A216)+1, LEN('top 500'!A216)))</f>
        <v>SXP/USDT</v>
      </c>
    </row>
    <row r="217" ht="15.75" customHeight="1">
      <c r="A217" s="7" t="str">
        <f>TRIM(MID(SUBSTITUTE('top 500'!A217," ",REPT(" ",LEN('top 500'!A217))), (2-1)*LEN('top 500'!A217)+1, LEN('top 500'!A217)))</f>
        <v>TRX/BTC</v>
      </c>
    </row>
    <row r="218" ht="15.75" customHeight="1">
      <c r="A218" s="7" t="str">
        <f>TRIM(MID(SUBSTITUTE('top 500'!A218," ",REPT(" ",LEN('top 500'!A218))), (2-1)*LEN('top 500'!A218)+1, LEN('top 500'!A218)))</f>
        <v>ZEC/USDT</v>
      </c>
    </row>
    <row r="219" ht="15.75" customHeight="1">
      <c r="A219" s="7" t="str">
        <f>TRIM(MID(SUBSTITUTE('top 500'!A219," ",REPT(" ",LEN('top 500'!A219))), (2-1)*LEN('top 500'!A219)+1, LEN('top 500'!A219)))</f>
        <v>ZRX/USDT</v>
      </c>
    </row>
    <row r="220" ht="15.75" customHeight="1">
      <c r="A220" s="7" t="str">
        <f>TRIM(MID(SUBSTITUTE('top 500'!A220," ",REPT(" ",LEN('top 500'!A220))), (2-1)*LEN('top 500'!A220)+1, LEN('top 500'!A220)))</f>
        <v>DASH/USDT</v>
      </c>
    </row>
    <row r="221" ht="15.75" customHeight="1">
      <c r="A221" s="7" t="str">
        <f>TRIM(MID(SUBSTITUTE('top 500'!A221," ",REPT(" ",LEN('top 500'!A221))), (2-1)*LEN('top 500'!A221)+1, LEN('top 500'!A221)))</f>
        <v>LEVER/USDT</v>
      </c>
    </row>
    <row r="222" ht="15.75" customHeight="1">
      <c r="A222" s="7" t="str">
        <f>TRIM(MID(SUBSTITUTE('top 500'!A222," ",REPT(" ",LEN('top 500'!A222))), (2-1)*LEN('top 500'!A222)+1, LEN('top 500'!A222)))</f>
        <v>NFP/USDT</v>
      </c>
    </row>
    <row r="223" ht="15.75" customHeight="1">
      <c r="A223" s="7" t="str">
        <f>TRIM(MID(SUBSTITUTE('top 500'!A223," ",REPT(" ",LEN('top 500'!A223))), (2-1)*LEN('top 500'!A223)+1, LEN('top 500'!A223)))</f>
        <v>XRP/USDT</v>
      </c>
    </row>
    <row r="224" ht="15.75" customHeight="1">
      <c r="A224" s="7" t="str">
        <f>TRIM(MID(SUBSTITUTE('top 500'!A224," ",REPT(" ",LEN('top 500'!A224))), (2-1)*LEN('top 500'!A224)+1, LEN('top 500'!A224)))</f>
        <v>EUR/USDT</v>
      </c>
    </row>
    <row r="225" ht="15.75" customHeight="1">
      <c r="A225" s="7" t="str">
        <f>TRIM(MID(SUBSTITUTE('top 500'!A225," ",REPT(" ",LEN('top 500'!A225))), (2-1)*LEN('top 500'!A225)+1, LEN('top 500'!A225)))</f>
        <v>SOL/BTC</v>
      </c>
    </row>
    <row r="226" ht="15.75" customHeight="1">
      <c r="A226" s="7" t="str">
        <f>TRIM(MID(SUBSTITUTE('top 500'!A226," ",REPT(" ",LEN('top 500'!A226))), (2-1)*LEN('top 500'!A226)+1, LEN('top 500'!A226)))</f>
        <v>CKB/USDT</v>
      </c>
    </row>
    <row r="227" ht="15.75" customHeight="1">
      <c r="A227" s="7" t="str">
        <f>TRIM(MID(SUBSTITUTE('top 500'!A227," ",REPT(" ",LEN('top 500'!A227))), (2-1)*LEN('top 500'!A227)+1, LEN('top 500'!A227)))</f>
        <v>UMA/USDT</v>
      </c>
    </row>
    <row r="228" ht="15.75" customHeight="1">
      <c r="A228" s="7" t="str">
        <f>TRIM(MID(SUBSTITUTE('top 500'!A228," ",REPT(" ",LEN('top 500'!A228))), (2-1)*LEN('top 500'!A228)+1, LEN('top 500'!A228)))</f>
        <v>ORN/USDT</v>
      </c>
    </row>
    <row r="229" ht="15.75" customHeight="1">
      <c r="A229" s="7" t="str">
        <f>TRIM(MID(SUBSTITUTE('top 500'!A229," ",REPT(" ",LEN('top 500'!A229))), (2-1)*LEN('top 500'!A229)+1, LEN('top 500'!A229)))</f>
        <v>BEAM/USDT</v>
      </c>
    </row>
    <row r="230" ht="15.75" customHeight="1">
      <c r="A230" s="7" t="str">
        <f>TRIM(MID(SUBSTITUTE('top 500'!A230," ",REPT(" ",LEN('top 500'!A230))), (2-1)*LEN('top 500'!A230)+1, LEN('top 500'!A230)))</f>
        <v>TUSD/USDT</v>
      </c>
    </row>
    <row r="231" ht="15.75" customHeight="1">
      <c r="A231" s="7" t="str">
        <f>TRIM(MID(SUBSTITUTE('top 500'!A231," ",REPT(" ",LEN('top 500'!A231))), (2-1)*LEN('top 500'!A231)+1, LEN('top 500'!A231)))</f>
        <v>ETH/USDC</v>
      </c>
    </row>
    <row r="232" ht="15.75" customHeight="1">
      <c r="A232" s="7" t="str">
        <f>TRIM(MID(SUBSTITUTE('top 500'!A232," ",REPT(" ",LEN('top 500'!A232))), (2-1)*LEN('top 500'!A232)+1, LEN('top 500'!A232)))</f>
        <v>MEME/USDT</v>
      </c>
    </row>
    <row r="233" ht="15.75" customHeight="1">
      <c r="A233" s="7" t="str">
        <f>TRIM(MID(SUBSTITUTE('top 500'!A233," ",REPT(" ",LEN('top 500'!A233))), (2-1)*LEN('top 500'!A233)+1, LEN('top 500'!A233)))</f>
        <v>CAKE/USDT</v>
      </c>
    </row>
    <row r="234" ht="15.75" customHeight="1">
      <c r="A234" s="7" t="str">
        <f>TRIM(MID(SUBSTITUTE('top 500'!A234," ",REPT(" ",LEN('top 500'!A234))), (2-1)*LEN('top 500'!A234)+1, LEN('top 500'!A234)))</f>
        <v>LDO/USDT</v>
      </c>
    </row>
    <row r="235" ht="15.75" customHeight="1">
      <c r="A235" s="7" t="str">
        <f>TRIM(MID(SUBSTITUTE('top 500'!A235," ",REPT(" ",LEN('top 500'!A235))), (2-1)*LEN('top 500'!A235)+1, LEN('top 500'!A235)))</f>
        <v>T/USDT</v>
      </c>
    </row>
    <row r="236" ht="15.75" customHeight="1">
      <c r="A236" s="7" t="str">
        <f>TRIM(MID(SUBSTITUTE('top 500'!A236," ",REPT(" ",LEN('top 500'!A236))), (2-1)*LEN('top 500'!A236)+1, LEN('top 500'!A236)))</f>
        <v>MINA/USDT</v>
      </c>
    </row>
    <row r="237" ht="15.75" customHeight="1">
      <c r="A237" s="7" t="str">
        <f>TRIM(MID(SUBSTITUTE('top 500'!A237," ",REPT(" ",LEN('top 500'!A237))), (2-1)*LEN('top 500'!A237)+1, LEN('top 500'!A237)))</f>
        <v>CHR/USDT</v>
      </c>
    </row>
    <row r="238" ht="15.75" customHeight="1">
      <c r="A238" s="7" t="str">
        <f>TRIM(MID(SUBSTITUTE('top 500'!A238," ",REPT(" ",LEN('top 500'!A238))), (2-1)*LEN('top 500'!A238)+1, LEN('top 500'!A238)))</f>
        <v>BNB/USDT</v>
      </c>
    </row>
    <row r="239" ht="15.75" customHeight="1">
      <c r="A239" s="7" t="str">
        <f>TRIM(MID(SUBSTITUTE('top 500'!A239," ",REPT(" ",LEN('top 500'!A239))), (2-1)*LEN('top 500'!A239)+1, LEN('top 500'!A239)))</f>
        <v>ENS/USDT</v>
      </c>
    </row>
    <row r="240" ht="15.75" customHeight="1">
      <c r="A240" s="7" t="str">
        <f>TRIM(MID(SUBSTITUTE('top 500'!A240," ",REPT(" ",LEN('top 500'!A240))), (2-1)*LEN('top 500'!A240)+1, LEN('top 500'!A240)))</f>
        <v>GAS/USDT</v>
      </c>
    </row>
    <row r="241" ht="15.75" customHeight="1">
      <c r="A241" s="7" t="str">
        <f>TRIM(MID(SUBSTITUTE('top 500'!A241," ",REPT(" ",LEN('top 500'!A241))), (2-1)*LEN('top 500'!A241)+1, LEN('top 500'!A241)))</f>
        <v>GALA/USDT</v>
      </c>
    </row>
    <row r="242" ht="15.75" customHeight="1">
      <c r="A242" s="7" t="str">
        <f>TRIM(MID(SUBSTITUTE('top 500'!A242," ",REPT(" ",LEN('top 500'!A242))), (2-1)*LEN('top 500'!A242)+1, LEN('top 500'!A242)))</f>
        <v>APE/USDT</v>
      </c>
    </row>
    <row r="243" ht="15.75" customHeight="1">
      <c r="A243" s="7" t="str">
        <f>TRIM(MID(SUBSTITUTE('top 500'!A243," ",REPT(" ",LEN('top 500'!A243))), (2-1)*LEN('top 500'!A243)+1, LEN('top 500'!A243)))</f>
        <v>FTM/USDT</v>
      </c>
    </row>
    <row r="244" ht="15.75" customHeight="1">
      <c r="A244" s="7" t="str">
        <f>TRIM(MID(SUBSTITUTE('top 500'!A244," ",REPT(" ",LEN('top 500'!A244))), (2-1)*LEN('top 500'!A244)+1, LEN('top 500'!A244)))</f>
        <v>ASTR/USDT</v>
      </c>
    </row>
    <row r="245" ht="15.75" customHeight="1">
      <c r="A245" s="7" t="str">
        <f>TRIM(MID(SUBSTITUTE('top 500'!A245," ",REPT(" ",LEN('top 500'!A245))), (2-1)*LEN('top 500'!A245)+1, LEN('top 500'!A245)))</f>
        <v>SEI/USDT</v>
      </c>
    </row>
    <row r="246" ht="15.75" customHeight="1">
      <c r="A246" s="7" t="str">
        <f>TRIM(MID(SUBSTITUTE('top 500'!A246," ",REPT(" ",LEN('top 500'!A246))), (2-1)*LEN('top 500'!A246)+1, LEN('top 500'!A246)))</f>
        <v>DATA/USDT</v>
      </c>
    </row>
    <row r="247" ht="15.75" customHeight="1">
      <c r="A247" s="7" t="str">
        <f>TRIM(MID(SUBSTITUTE('top 500'!A247," ",REPT(" ",LEN('top 500'!A247))), (2-1)*LEN('top 500'!A247)+1, LEN('top 500'!A247)))</f>
        <v>DYM/TRY</v>
      </c>
    </row>
    <row r="248" ht="15.75" customHeight="1">
      <c r="A248" s="7" t="str">
        <f>TRIM(MID(SUBSTITUTE('top 500'!A248," ",REPT(" ",LEN('top 500'!A248))), (2-1)*LEN('top 500'!A248)+1, LEN('top 500'!A248)))</f>
        <v>SOL/FDUSD</v>
      </c>
    </row>
    <row r="249" ht="15.75" customHeight="1">
      <c r="A249" s="7" t="str">
        <f>TRIM(MID(SUBSTITUTE('top 500'!A249," ",REPT(" ",LEN('top 500'!A249))), (2-1)*LEN('top 500'!A249)+1, LEN('top 500'!A249)))</f>
        <v>ID/USDT</v>
      </c>
    </row>
    <row r="250" ht="15.75" customHeight="1">
      <c r="A250" s="7" t="str">
        <f>TRIM(MID(SUBSTITUTE('top 500'!A250," ",REPT(" ",LEN('top 500'!A250))), (2-1)*LEN('top 500'!A250)+1, LEN('top 500'!A250)))</f>
        <v>NEO/USDT</v>
      </c>
    </row>
    <row r="251" ht="15.75" customHeight="1">
      <c r="A251" s="7" t="str">
        <f>TRIM(MID(SUBSTITUTE('top 500'!A251," ",REPT(" ",LEN('top 500'!A251))), (2-1)*LEN('top 500'!A251)+1, LEN('top 500'!A251)))</f>
        <v>CYBER/USDT</v>
      </c>
    </row>
    <row r="252" ht="15.75" customHeight="1">
      <c r="A252" s="7" t="str">
        <f>TRIM(MID(SUBSTITUTE('top 500'!A252," ",REPT(" ",LEN('top 500'!A252))), (2-1)*LEN('top 500'!A252)+1, LEN('top 500'!A252)))</f>
        <v>CHZ/USDT</v>
      </c>
    </row>
    <row r="253" ht="15.75" customHeight="1">
      <c r="A253" s="7" t="str">
        <f>TRIM(MID(SUBSTITUTE('top 500'!A253," ",REPT(" ",LEN('top 500'!A253))), (2-1)*LEN('top 500'!A253)+1, LEN('top 500'!A253)))</f>
        <v>ZEN/USDT</v>
      </c>
    </row>
    <row r="254" ht="15.75" customHeight="1">
      <c r="A254" s="7" t="str">
        <f>TRIM(MID(SUBSTITUTE('top 500'!A254," ",REPT(" ",LEN('top 500'!A254))), (2-1)*LEN('top 500'!A254)+1, LEN('top 500'!A254)))</f>
        <v>DOGE/TRY</v>
      </c>
    </row>
    <row r="255" ht="15.75" customHeight="1">
      <c r="A255" s="7" t="str">
        <f>TRIM(MID(SUBSTITUTE('top 500'!A255," ",REPT(" ",LEN('top 500'!A255))), (2-1)*LEN('top 500'!A255)+1, LEN('top 500'!A255)))</f>
        <v>SYS/USDT</v>
      </c>
    </row>
    <row r="256" ht="15.75" customHeight="1">
      <c r="A256" s="7" t="str">
        <f>TRIM(MID(SUBSTITUTE('top 500'!A256," ",REPT(" ",LEN('top 500'!A256))), (2-1)*LEN('top 500'!A256)+1, LEN('top 500'!A256)))</f>
        <v>PYTH/TRY</v>
      </c>
    </row>
    <row r="257" ht="15.75" customHeight="1">
      <c r="A257" s="7" t="str">
        <f>TRIM(MID(SUBSTITUTE('top 500'!A257," ",REPT(" ",LEN('top 500'!A257))), (2-1)*LEN('top 500'!A257)+1, LEN('top 500'!A257)))</f>
        <v>DOT/BTC</v>
      </c>
    </row>
    <row r="258" ht="15.75" customHeight="1">
      <c r="A258" s="7" t="str">
        <f>TRIM(MID(SUBSTITUTE('top 500'!A258," ",REPT(" ",LEN('top 500'!A258))), (2-1)*LEN('top 500'!A258)+1, LEN('top 500'!A258)))</f>
        <v>BNT/USDT</v>
      </c>
    </row>
    <row r="259" ht="15.75" customHeight="1">
      <c r="A259" s="7" t="str">
        <f>TRIM(MID(SUBSTITUTE('top 500'!A259," ",REPT(" ",LEN('top 500'!A259))), (2-1)*LEN('top 500'!A259)+1, LEN('top 500'!A259)))</f>
        <v>JOE/USDT</v>
      </c>
    </row>
    <row r="260" ht="15.75" customHeight="1">
      <c r="A260" s="7" t="str">
        <f>TRIM(MID(SUBSTITUTE('top 500'!A260," ",REPT(" ",LEN('top 500'!A260))), (2-1)*LEN('top 500'!A260)+1, LEN('top 500'!A260)))</f>
        <v>BNB/ETH</v>
      </c>
    </row>
    <row r="261" ht="15.75" customHeight="1">
      <c r="A261" s="7" t="str">
        <f>TRIM(MID(SUBSTITUTE('top 500'!A261," ",REPT(" ",LEN('top 500'!A261))), (2-1)*LEN('top 500'!A261)+1, LEN('top 500'!A261)))</f>
        <v>USDP/USDT</v>
      </c>
    </row>
    <row r="262" ht="15.75" customHeight="1">
      <c r="A262" s="7" t="str">
        <f>TRIM(MID(SUBSTITUTE('top 500'!A262," ",REPT(" ",LEN('top 500'!A262))), (2-1)*LEN('top 500'!A262)+1, LEN('top 500'!A262)))</f>
        <v>XEC/USDT</v>
      </c>
    </row>
    <row r="263" ht="15.75" customHeight="1">
      <c r="A263" s="7" t="str">
        <f>TRIM(MID(SUBSTITUTE('top 500'!A263," ",REPT(" ",LEN('top 500'!A263))), (2-1)*LEN('top 500'!A263)+1, LEN('top 500'!A263)))</f>
        <v>MATIC/BTC</v>
      </c>
    </row>
    <row r="264" ht="15.75" customHeight="1">
      <c r="A264" s="7" t="str">
        <f>TRIM(MID(SUBSTITUTE('top 500'!A264," ",REPT(" ",LEN('top 500'!A264))), (2-1)*LEN('top 500'!A264)+1, LEN('top 500'!A264)))</f>
        <v>SOL/USDC</v>
      </c>
    </row>
    <row r="265" ht="15.75" customHeight="1">
      <c r="A265" s="7" t="str">
        <f>TRIM(MID(SUBSTITUTE('top 500'!A265," ",REPT(" ",LEN('top 500'!A265))), (2-1)*LEN('top 500'!A265)+1, LEN('top 500'!A265)))</f>
        <v>BURGER/USDT</v>
      </c>
    </row>
    <row r="266" ht="15.75" customHeight="1">
      <c r="A266" s="7" t="str">
        <f>TRIM(MID(SUBSTITUTE('top 500'!A266," ",REPT(" ",LEN('top 500'!A266))), (2-1)*LEN('top 500'!A266)+1, LEN('top 500'!A266)))</f>
        <v>ARB/FDUSD</v>
      </c>
    </row>
    <row r="267" ht="15.75" customHeight="1">
      <c r="A267" s="7" t="str">
        <f>TRIM(MID(SUBSTITUTE('top 500'!A267," ",REPT(" ",LEN('top 500'!A267))), (2-1)*LEN('top 500'!A267)+1, LEN('top 500'!A267)))</f>
        <v>LIT/USDT</v>
      </c>
    </row>
    <row r="268" ht="15.75" customHeight="1">
      <c r="A268" s="7" t="str">
        <f>TRIM(MID(SUBSTITUTE('top 500'!A268," ",REPT(" ",LEN('top 500'!A268))), (2-1)*LEN('top 500'!A268)+1, LEN('top 500'!A268)))</f>
        <v>OGN/USDT</v>
      </c>
    </row>
    <row r="269" ht="15.75" customHeight="1">
      <c r="A269" s="7" t="str">
        <f>TRIM(MID(SUBSTITUTE('top 500'!A269," ",REPT(" ",LEN('top 500'!A269))), (2-1)*LEN('top 500'!A269)+1, LEN('top 500'!A269)))</f>
        <v>XAI/TRY</v>
      </c>
    </row>
    <row r="270" ht="15.75" customHeight="1">
      <c r="A270" s="7" t="str">
        <f>TRIM(MID(SUBSTITUTE('top 500'!A270," ",REPT(" ",LEN('top 500'!A270))), (2-1)*LEN('top 500'!A270)+1, LEN('top 500'!A270)))</f>
        <v>GTC/USDT</v>
      </c>
    </row>
    <row r="271" ht="15.75" customHeight="1">
      <c r="A271" s="7" t="str">
        <f>TRIM(MID(SUBSTITUTE('top 500'!A271," ",REPT(" ",LEN('top 500'!A271))), (2-1)*LEN('top 500'!A271)+1, LEN('top 500'!A271)))</f>
        <v>BAT/USDT</v>
      </c>
    </row>
    <row r="272" ht="15.75" customHeight="1">
      <c r="A272" s="7" t="str">
        <f>TRIM(MID(SUBSTITUTE('top 500'!A272," ",REPT(" ",LEN('top 500'!A272))), (2-1)*LEN('top 500'!A272)+1, LEN('top 500'!A272)))</f>
        <v>BTC/USDT</v>
      </c>
    </row>
    <row r="273" ht="15.75" customHeight="1">
      <c r="A273" s="7" t="str">
        <f>TRIM(MID(SUBSTITUTE('top 500'!A273," ",REPT(" ",LEN('top 500'!A273))), (2-1)*LEN('top 500'!A273)+1, LEN('top 500'!A273)))</f>
        <v>PAXG/USDT</v>
      </c>
    </row>
    <row r="274" ht="15.75" customHeight="1">
      <c r="A274" s="7" t="str">
        <f>TRIM(MID(SUBSTITUTE('top 500'!A274," ",REPT(" ",LEN('top 500'!A274))), (2-1)*LEN('top 500'!A274)+1, LEN('top 500'!A274)))</f>
        <v>RAD/USDT</v>
      </c>
    </row>
    <row r="275" ht="15.75" customHeight="1">
      <c r="A275" s="7" t="str">
        <f>TRIM(MID(SUBSTITUTE('top 500'!A275," ",REPT(" ",LEN('top 500'!A275))), (2-1)*LEN('top 500'!A275)+1, LEN('top 500'!A275)))</f>
        <v>YFI/USDT</v>
      </c>
    </row>
    <row r="276" ht="15.75" customHeight="1">
      <c r="A276" s="7" t="str">
        <f>TRIM(MID(SUBSTITUTE('top 500'!A276," ",REPT(" ",LEN('top 500'!A276))), (2-1)*LEN('top 500'!A276)+1, LEN('top 500'!A276)))</f>
        <v>TFUEL/USDT</v>
      </c>
    </row>
    <row r="277" ht="15.75" customHeight="1">
      <c r="A277" s="7" t="str">
        <f>TRIM(MID(SUBSTITUTE('top 500'!A277," ",REPT(" ",LEN('top 500'!A277))), (2-1)*LEN('top 500'!A277)+1, LEN('top 500'!A277)))</f>
        <v>RVN/USDT</v>
      </c>
    </row>
    <row r="278" ht="15.75" customHeight="1">
      <c r="A278" s="7" t="str">
        <f>TRIM(MID(SUBSTITUTE('top 500'!A278," ",REPT(" ",LEN('top 500'!A278))), (2-1)*LEN('top 500'!A278)+1, LEN('top 500'!A278)))</f>
        <v>IDEX/USDT</v>
      </c>
    </row>
    <row r="279" ht="15.75" customHeight="1">
      <c r="A279" s="7" t="str">
        <f>TRIM(MID(SUBSTITUTE('top 500'!A279," ",REPT(" ",LEN('top 500'!A279))), (2-1)*LEN('top 500'!A279)+1, LEN('top 500'!A279)))</f>
        <v>RSR/USDT</v>
      </c>
    </row>
    <row r="280" ht="15.75" customHeight="1">
      <c r="A280" s="7" t="str">
        <f>TRIM(MID(SUBSTITUTE('top 500'!A280," ",REPT(" ",LEN('top 500'!A280))), (2-1)*LEN('top 500'!A280)+1, LEN('top 500'!A280)))</f>
        <v>ADA/FDUSD</v>
      </c>
    </row>
    <row r="281" ht="15.75" customHeight="1">
      <c r="A281" s="7" t="str">
        <f>TRIM(MID(SUBSTITUTE('top 500'!A281," ",REPT(" ",LEN('top 500'!A281))), (2-1)*LEN('top 500'!A281)+1, LEN('top 500'!A281)))</f>
        <v>RIF/BTC</v>
      </c>
    </row>
    <row r="282" ht="15.75" customHeight="1">
      <c r="A282" s="7" t="str">
        <f>TRIM(MID(SUBSTITUTE('top 500'!A282," ",REPT(" ",LEN('top 500'!A282))), (2-1)*LEN('top 500'!A282)+1, LEN('top 500'!A282)))</f>
        <v>VET/ETH</v>
      </c>
    </row>
    <row r="283" ht="15.75" customHeight="1">
      <c r="A283" s="7" t="str">
        <f>TRIM(MID(SUBSTITUTE('top 500'!A283," ",REPT(" ",LEN('top 500'!A283))), (2-1)*LEN('top 500'!A283)+1, LEN('top 500'!A283)))</f>
        <v>USDT/DAI</v>
      </c>
    </row>
    <row r="284" ht="15.75" customHeight="1">
      <c r="A284" s="7" t="str">
        <f>TRIM(MID(SUBSTITUTE('top 500'!A284," ",REPT(" ",LEN('top 500'!A284))), (2-1)*LEN('top 500'!A284)+1, LEN('top 500'!A284)))</f>
        <v>VOXEL/USDT</v>
      </c>
    </row>
    <row r="285" ht="15.75" customHeight="1">
      <c r="A285" s="7" t="str">
        <f>TRIM(MID(SUBSTITUTE('top 500'!A285," ",REPT(" ",LEN('top 500'!A285))), (2-1)*LEN('top 500'!A285)+1, LEN('top 500'!A285)))</f>
        <v>BNB/TRY</v>
      </c>
    </row>
    <row r="286" ht="15.75" customHeight="1">
      <c r="A286" s="7" t="str">
        <f>TRIM(MID(SUBSTITUTE('top 500'!A286," ",REPT(" ",LEN('top 500'!A286))), (2-1)*LEN('top 500'!A286)+1, LEN('top 500'!A286)))</f>
        <v>IOST/USDT</v>
      </c>
    </row>
    <row r="287" ht="15.75" customHeight="1">
      <c r="A287" s="7" t="str">
        <f>TRIM(MID(SUBSTITUTE('top 500'!A287," ",REPT(" ",LEN('top 500'!A287))), (2-1)*LEN('top 500'!A287)+1, LEN('top 500'!A287)))</f>
        <v>BSW/USDT</v>
      </c>
    </row>
    <row r="288" ht="15.75" customHeight="1">
      <c r="A288" s="7" t="str">
        <f>TRIM(MID(SUBSTITUTE('top 500'!A288," ",REPT(" ",LEN('top 500'!A288))), (2-1)*LEN('top 500'!A288)+1, LEN('top 500'!A288)))</f>
        <v>QUICK/USDT</v>
      </c>
    </row>
    <row r="289" ht="15.75" customHeight="1">
      <c r="A289" s="7" t="str">
        <f>TRIM(MID(SUBSTITUTE('top 500'!A289," ",REPT(" ",LEN('top 500'!A289))), (2-1)*LEN('top 500'!A289)+1, LEN('top 500'!A289)))</f>
        <v>CYBER/TRY</v>
      </c>
    </row>
    <row r="290" ht="15.75" customHeight="1">
      <c r="A290" s="7" t="str">
        <f>TRIM(MID(SUBSTITUTE('top 500'!A290," ",REPT(" ",LEN('top 500'!A290))), (2-1)*LEN('top 500'!A290)+1, LEN('top 500'!A290)))</f>
        <v>AKRO/USDT</v>
      </c>
    </row>
    <row r="291" ht="15.75" customHeight="1">
      <c r="A291" s="7" t="str">
        <f>TRIM(MID(SUBSTITUTE('top 500'!A291," ",REPT(" ",LEN('top 500'!A291))), (2-1)*LEN('top 500'!A291)+1, LEN('top 500'!A291)))</f>
        <v>OCEAN/USDT</v>
      </c>
    </row>
    <row r="292" ht="15.75" customHeight="1">
      <c r="A292" s="7" t="str">
        <f>TRIM(MID(SUBSTITUTE('top 500'!A292," ",REPT(" ",LEN('top 500'!A292))), (2-1)*LEN('top 500'!A292)+1, LEN('top 500'!A292)))</f>
        <v>SNT/USDT</v>
      </c>
    </row>
    <row r="293" ht="15.75" customHeight="1">
      <c r="A293" s="7" t="str">
        <f>TRIM(MID(SUBSTITUTE('top 500'!A293," ",REPT(" ",LEN('top 500'!A293))), (2-1)*LEN('top 500'!A293)+1, LEN('top 500'!A293)))</f>
        <v>DEGO/USDT</v>
      </c>
    </row>
    <row r="294" ht="15.75" customHeight="1">
      <c r="A294" s="7" t="str">
        <f>TRIM(MID(SUBSTITUTE('top 500'!A294," ",REPT(" ",LEN('top 500'!A294))), (2-1)*LEN('top 500'!A294)+1, LEN('top 500'!A294)))</f>
        <v>STX/TRY</v>
      </c>
    </row>
    <row r="295" ht="15.75" customHeight="1">
      <c r="A295" s="7" t="str">
        <f>TRIM(MID(SUBSTITUTE('top 500'!A295," ",REPT(" ",LEN('top 500'!A295))), (2-1)*LEN('top 500'!A295)+1, LEN('top 500'!A295)))</f>
        <v>ALPHA/USDT</v>
      </c>
    </row>
    <row r="296" ht="15.75" customHeight="1">
      <c r="A296" s="7" t="str">
        <f>TRIM(MID(SUBSTITUTE('top 500'!A296," ",REPT(" ",LEN('top 500'!A296))), (2-1)*LEN('top 500'!A296)+1, LEN('top 500'!A296)))</f>
        <v>ACE/TRY</v>
      </c>
    </row>
    <row r="297" ht="15.75" customHeight="1">
      <c r="A297" s="7" t="str">
        <f>TRIM(MID(SUBSTITUTE('top 500'!A297," ",REPT(" ",LEN('top 500'!A297))), (2-1)*LEN('top 500'!A297)+1, LEN('top 500'!A297)))</f>
        <v>RARE/USDT</v>
      </c>
    </row>
    <row r="298" ht="15.75" customHeight="1">
      <c r="A298" s="7" t="str">
        <f>TRIM(MID(SUBSTITUTE('top 500'!A298," ",REPT(" ",LEN('top 500'!A298))), (2-1)*LEN('top 500'!A298)+1, LEN('top 500'!A298)))</f>
        <v>DGB/USDT</v>
      </c>
    </row>
    <row r="299" ht="15.75" customHeight="1">
      <c r="A299" s="7" t="str">
        <f>TRIM(MID(SUBSTITUTE('top 500'!A299," ",REPT(" ",LEN('top 500'!A299))), (2-1)*LEN('top 500'!A299)+1, LEN('top 500'!A299)))</f>
        <v>FIDA/USDT</v>
      </c>
    </row>
    <row r="300" ht="15.75" customHeight="1">
      <c r="A300" s="7" t="str">
        <f>TRIM(MID(SUBSTITUTE('top 500'!A300," ",REPT(" ",LEN('top 500'!A300))), (2-1)*LEN('top 500'!A300)+1, LEN('top 500'!A300)))</f>
        <v>ICX/USDT</v>
      </c>
    </row>
    <row r="301" ht="15.75" customHeight="1">
      <c r="A301" s="7" t="str">
        <f>TRIM(MID(SUBSTITUTE('top 500'!A301," ",REPT(" ",LEN('top 500'!A301))), (2-1)*LEN('top 500'!A301)+1, LEN('top 500'!A301)))</f>
        <v>AGLD/USDT</v>
      </c>
    </row>
    <row r="302" ht="15.75" customHeight="1">
      <c r="A302" s="7" t="str">
        <f>TRIM(MID(SUBSTITUTE('top 500'!A302," ",REPT(" ",LEN('top 500'!A302))), (2-1)*LEN('top 500'!A302)+1, LEN('top 500'!A302)))</f>
        <v>MULTI/USDT</v>
      </c>
    </row>
    <row r="303" ht="15.75" customHeight="1">
      <c r="A303" s="7" t="str">
        <f>TRIM(MID(SUBSTITUTE('top 500'!A303," ",REPT(" ",LEN('top 500'!A303))), (2-1)*LEN('top 500'!A303)+1, LEN('top 500'!A303)))</f>
        <v>API3/BTC</v>
      </c>
    </row>
    <row r="304" ht="15.75" customHeight="1">
      <c r="A304" s="7" t="str">
        <f>TRIM(MID(SUBSTITUTE('top 500'!A304," ",REPT(" ",LEN('top 500'!A304))), (2-1)*LEN('top 500'!A304)+1, LEN('top 500'!A304)))</f>
        <v>TRB/TRY</v>
      </c>
    </row>
    <row r="305" ht="15.75" customHeight="1">
      <c r="A305" s="7" t="str">
        <f>TRIM(MID(SUBSTITUTE('top 500'!A305," ",REPT(" ",LEN('top 500'!A305))), (2-1)*LEN('top 500'!A305)+1, LEN('top 500'!A305)))</f>
        <v>ARB/BTC</v>
      </c>
    </row>
    <row r="306" ht="15.75" customHeight="1">
      <c r="A306" s="7" t="str">
        <f>TRIM(MID(SUBSTITUTE('top 500'!A306," ",REPT(" ",LEN('top 500'!A306))), (2-1)*LEN('top 500'!A306)+1, LEN('top 500'!A306)))</f>
        <v>ALCX/USDT</v>
      </c>
    </row>
    <row r="307" ht="15.75" customHeight="1">
      <c r="A307" s="7" t="str">
        <f>TRIM(MID(SUBSTITUTE('top 500'!A307," ",REPT(" ",LEN('top 500'!A307))), (2-1)*LEN('top 500'!A307)+1, LEN('top 500'!A307)))</f>
        <v>ARB/TRY</v>
      </c>
    </row>
    <row r="308" ht="15.75" customHeight="1">
      <c r="A308" s="7" t="str">
        <f>TRIM(MID(SUBSTITUTE('top 500'!A308," ",REPT(" ",LEN('top 500'!A308))), (2-1)*LEN('top 500'!A308)+1, LEN('top 500'!A308)))</f>
        <v>BTC/EUR</v>
      </c>
    </row>
    <row r="309" ht="15.75" customHeight="1">
      <c r="A309" s="7" t="str">
        <f>TRIM(MID(SUBSTITUTE('top 500'!A309," ",REPT(" ",LEN('top 500'!A309))), (2-1)*LEN('top 500'!A309)+1, LEN('top 500'!A309)))</f>
        <v>USDT/BRL</v>
      </c>
    </row>
    <row r="310" ht="15.75" customHeight="1">
      <c r="A310" s="7" t="str">
        <f>TRIM(MID(SUBSTITUTE('top 500'!A310," ",REPT(" ",LEN('top 500'!A310))), (2-1)*LEN('top 500'!A310)+1, LEN('top 500'!A310)))</f>
        <v>CFX/USDT</v>
      </c>
    </row>
    <row r="311" ht="15.75" customHeight="1">
      <c r="A311" s="7" t="str">
        <f>TRIM(MID(SUBSTITUTE('top 500'!A311," ",REPT(" ",LEN('top 500'!A311))), (2-1)*LEN('top 500'!A311)+1, LEN('top 500'!A311)))</f>
        <v>BADGER/USDT</v>
      </c>
    </row>
    <row r="312" ht="15.75" customHeight="1">
      <c r="A312" s="7" t="str">
        <f>TRIM(MID(SUBSTITUTE('top 500'!A312," ",REPT(" ",LEN('top 500'!A312))), (2-1)*LEN('top 500'!A312)+1, LEN('top 500'!A312)))</f>
        <v>JTO/USDT</v>
      </c>
    </row>
    <row r="313" ht="15.75" customHeight="1">
      <c r="A313" s="7" t="str">
        <f>TRIM(MID(SUBSTITUTE('top 500'!A313," ",REPT(" ",LEN('top 500'!A313))), (2-1)*LEN('top 500'!A313)+1, LEN('top 500'!A313)))</f>
        <v>AVAX/USDT</v>
      </c>
    </row>
    <row r="314" ht="15.75" customHeight="1">
      <c r="A314" s="7" t="str">
        <f>TRIM(MID(SUBSTITUTE('top 500'!A314," ",REPT(" ",LEN('top 500'!A314))), (2-1)*LEN('top 500'!A314)+1, LEN('top 500'!A314)))</f>
        <v>AAVE/USDT</v>
      </c>
    </row>
    <row r="315" ht="15.75" customHeight="1">
      <c r="A315" s="7" t="str">
        <f>TRIM(MID(SUBSTITUTE('top 500'!A315," ",REPT(" ",LEN('top 500'!A315))), (2-1)*LEN('top 500'!A315)+1, LEN('top 500'!A315)))</f>
        <v>API3/TRY</v>
      </c>
    </row>
    <row r="316" ht="15.75" customHeight="1">
      <c r="A316" s="7" t="str">
        <f>TRIM(MID(SUBSTITUTE('top 500'!A316," ",REPT(" ",LEN('top 500'!A316))), (2-1)*LEN('top 500'!A316)+1, LEN('top 500'!A316)))</f>
        <v>DOGE/USDT</v>
      </c>
    </row>
    <row r="317" ht="15.75" customHeight="1">
      <c r="A317" s="7" t="str">
        <f>TRIM(MID(SUBSTITUTE('top 500'!A317," ",REPT(" ",LEN('top 500'!A317))), (2-1)*LEN('top 500'!A317)+1, LEN('top 500'!A317)))</f>
        <v>QTUM/USDT</v>
      </c>
    </row>
    <row r="318" ht="15.75" customHeight="1">
      <c r="A318" s="7" t="str">
        <f>TRIM(MID(SUBSTITUTE('top 500'!A318," ",REPT(" ",LEN('top 500'!A318))), (2-1)*LEN('top 500'!A318)+1, LEN('top 500'!A318)))</f>
        <v>TRB/USDT</v>
      </c>
    </row>
    <row r="319" ht="15.75" customHeight="1">
      <c r="A319" s="7" t="str">
        <f>TRIM(MID(SUBSTITUTE('top 500'!A319," ",REPT(" ",LEN('top 500'!A319))), (2-1)*LEN('top 500'!A319)+1, LEN('top 500'!A319)))</f>
        <v>STORJ/USDT</v>
      </c>
    </row>
    <row r="320" ht="15.75" customHeight="1">
      <c r="A320" s="7" t="str">
        <f>TRIM(MID(SUBSTITUTE('top 500'!A320," ",REPT(" ",LEN('top 500'!A320))), (2-1)*LEN('top 500'!A320)+1, LEN('top 500'!A320)))</f>
        <v>FET/USDT</v>
      </c>
    </row>
    <row r="321" ht="15.75" customHeight="1">
      <c r="A321" s="7" t="str">
        <f>TRIM(MID(SUBSTITUTE('top 500'!A321," ",REPT(" ",LEN('top 500'!A321))), (2-1)*LEN('top 500'!A321)+1, LEN('top 500'!A321)))</f>
        <v>HBAR/USDT</v>
      </c>
    </row>
    <row r="322" ht="15.75" customHeight="1">
      <c r="A322" s="7" t="str">
        <f>TRIM(MID(SUBSTITUTE('top 500'!A322," ",REPT(" ",LEN('top 500'!A322))), (2-1)*LEN('top 500'!A322)+1, LEN('top 500'!A322)))</f>
        <v>COTI/USDT</v>
      </c>
    </row>
    <row r="323" ht="15.75" customHeight="1">
      <c r="A323" s="7" t="str">
        <f>TRIM(MID(SUBSTITUTE('top 500'!A323," ",REPT(" ",LEN('top 500'!A323))), (2-1)*LEN('top 500'!A323)+1, LEN('top 500'!A323)))</f>
        <v>LOOM/USDT</v>
      </c>
    </row>
    <row r="324" ht="15.75" customHeight="1">
      <c r="A324" s="7" t="str">
        <f>TRIM(MID(SUBSTITUTE('top 500'!A324," ",REPT(" ",LEN('top 500'!A324))), (2-1)*LEN('top 500'!A324)+1, LEN('top 500'!A324)))</f>
        <v>BTT/USDT</v>
      </c>
    </row>
    <row r="325" ht="15.75" customHeight="1">
      <c r="A325" s="7" t="str">
        <f>TRIM(MID(SUBSTITUTE('top 500'!A325," ",REPT(" ",LEN('top 500'!A325))), (2-1)*LEN('top 500'!A325)+1, LEN('top 500'!A325)))</f>
        <v>WBTC/BTC</v>
      </c>
    </row>
    <row r="326" ht="15.75" customHeight="1">
      <c r="A326" s="7" t="str">
        <f>TRIM(MID(SUBSTITUTE('top 500'!A326," ",REPT(" ",LEN('top 500'!A326))), (2-1)*LEN('top 500'!A326)+1, LEN('top 500'!A326)))</f>
        <v>XRP/BTC</v>
      </c>
    </row>
    <row r="327" ht="15.75" customHeight="1">
      <c r="A327" s="7" t="str">
        <f>TRIM(MID(SUBSTITUTE('top 500'!A327," ",REPT(" ",LEN('top 500'!A327))), (2-1)*LEN('top 500'!A327)+1, LEN('top 500'!A327)))</f>
        <v>POWR/USDT</v>
      </c>
    </row>
    <row r="328" ht="15.75" customHeight="1">
      <c r="A328" s="7" t="str">
        <f>TRIM(MID(SUBSTITUTE('top 500'!A328," ",REPT(" ",LEN('top 500'!A328))), (2-1)*LEN('top 500'!A328)+1, LEN('top 500'!A328)))</f>
        <v>FLOW/USDT</v>
      </c>
    </row>
    <row r="329" ht="15.75" customHeight="1">
      <c r="A329" s="7" t="str">
        <f>TRIM(MID(SUBSTITUTE('top 500'!A329," ",REPT(" ",LEN('top 500'!A329))), (2-1)*LEN('top 500'!A329)+1, LEN('top 500'!A329)))</f>
        <v>SNX/USDT</v>
      </c>
    </row>
    <row r="330" ht="15.75" customHeight="1">
      <c r="A330" s="7" t="str">
        <f>TRIM(MID(SUBSTITUTE('top 500'!A330," ",REPT(" ",LEN('top 500'!A330))), (2-1)*LEN('top 500'!A330)+1, LEN('top 500'!A330)))</f>
        <v>SKL/USDT</v>
      </c>
    </row>
    <row r="331" ht="15.75" customHeight="1">
      <c r="A331" s="7" t="str">
        <f>TRIM(MID(SUBSTITUTE('top 500'!A331," ",REPT(" ",LEN('top 500'!A331))), (2-1)*LEN('top 500'!A331)+1, LEN('top 500'!A331)))</f>
        <v>DYM/USDT</v>
      </c>
    </row>
    <row r="332" ht="15.75" customHeight="1">
      <c r="A332" s="7" t="str">
        <f>TRIM(MID(SUBSTITUTE('top 500'!A332," ",REPT(" ",LEN('top 500'!A332))), (2-1)*LEN('top 500'!A332)+1, LEN('top 500'!A332)))</f>
        <v>PEPE/TRY</v>
      </c>
    </row>
    <row r="333" ht="15.75" customHeight="1">
      <c r="A333" s="7" t="str">
        <f>TRIM(MID(SUBSTITUTE('top 500'!A333," ",REPT(" ",LEN('top 500'!A333))), (2-1)*LEN('top 500'!A333)+1, LEN('top 500'!A333)))</f>
        <v>MAV/USDT</v>
      </c>
    </row>
    <row r="334" ht="15.75" customHeight="1">
      <c r="A334" s="7" t="str">
        <f>TRIM(MID(SUBSTITUTE('top 500'!A334," ",REPT(" ",LEN('top 500'!A334))), (2-1)*LEN('top 500'!A334)+1, LEN('top 500'!A334)))</f>
        <v>BNB/BTC</v>
      </c>
    </row>
    <row r="335" ht="15.75" customHeight="1">
      <c r="A335" s="7" t="str">
        <f>TRIM(MID(SUBSTITUTE('top 500'!A335," ",REPT(" ",LEN('top 500'!A335))), (2-1)*LEN('top 500'!A335)+1, LEN('top 500'!A335)))</f>
        <v>PENDLE/USDT</v>
      </c>
    </row>
    <row r="336" ht="15.75" customHeight="1">
      <c r="A336" s="7" t="str">
        <f>TRIM(MID(SUBSTITUTE('top 500'!A336," ",REPT(" ",LEN('top 500'!A336))), (2-1)*LEN('top 500'!A336)+1, LEN('top 500'!A336)))</f>
        <v>UNI/USDT</v>
      </c>
    </row>
    <row r="337" ht="15.75" customHeight="1">
      <c r="A337" s="7" t="str">
        <f>TRIM(MID(SUBSTITUTE('top 500'!A337," ",REPT(" ",LEN('top 500'!A337))), (2-1)*LEN('top 500'!A337)+1, LEN('top 500'!A337)))</f>
        <v>AVAX/BTC</v>
      </c>
    </row>
    <row r="338" ht="15.75" customHeight="1">
      <c r="A338" s="7" t="str">
        <f>TRIM(MID(SUBSTITUTE('top 500'!A338," ",REPT(" ",LEN('top 500'!A338))), (2-1)*LEN('top 500'!A338)+1, LEN('top 500'!A338)))</f>
        <v>XMR/USDT</v>
      </c>
    </row>
    <row r="339" ht="15.75" customHeight="1">
      <c r="A339" s="7" t="str">
        <f>TRIM(MID(SUBSTITUTE('top 500'!A339," ",REPT(" ",LEN('top 500'!A339))), (2-1)*LEN('top 500'!A339)+1, LEN('top 500'!A339)))</f>
        <v>STX/USDT</v>
      </c>
    </row>
    <row r="340" ht="15.75" customHeight="1">
      <c r="A340" s="7" t="str">
        <f>TRIM(MID(SUBSTITUTE('top 500'!A340," ",REPT(" ",LEN('top 500'!A340))), (2-1)*LEN('top 500'!A340)+1, LEN('top 500'!A340)))</f>
        <v>USDT/TRY</v>
      </c>
    </row>
    <row r="341" ht="15.75" customHeight="1">
      <c r="A341" s="7" t="str">
        <f>TRIM(MID(SUBSTITUTE('top 500'!A341," ",REPT(" ",LEN('top 500'!A341))), (2-1)*LEN('top 500'!A341)+1, LEN('top 500'!A341)))</f>
        <v>AXS/USDT</v>
      </c>
    </row>
    <row r="342" ht="15.75" customHeight="1">
      <c r="A342" s="7" t="str">
        <f>TRIM(MID(SUBSTITUTE('top 500'!A342," ",REPT(" ",LEN('top 500'!A342))), (2-1)*LEN('top 500'!A342)+1, LEN('top 500'!A342)))</f>
        <v>MANTA/USDT</v>
      </c>
    </row>
    <row r="343" ht="15.75" customHeight="1">
      <c r="A343" s="7" t="str">
        <f>TRIM(MID(SUBSTITUTE('top 500'!A343," ",REPT(" ",LEN('top 500'!A343))), (2-1)*LEN('top 500'!A343)+1, LEN('top 500'!A343)))</f>
        <v>SAND/USDT</v>
      </c>
    </row>
    <row r="344" ht="15.75" customHeight="1">
      <c r="A344" s="7" t="str">
        <f>TRIM(MID(SUBSTITUTE('top 500'!A344," ",REPT(" ",LEN('top 500'!A344))), (2-1)*LEN('top 500'!A344)+1, LEN('top 500'!A344)))</f>
        <v>BTC/BRL</v>
      </c>
    </row>
    <row r="345" ht="15.75" customHeight="1">
      <c r="A345" s="7" t="str">
        <f>TRIM(MID(SUBSTITUTE('top 500'!A345," ",REPT(" ",LEN('top 500'!A345))), (2-1)*LEN('top 500'!A345)+1, LEN('top 500'!A345)))</f>
        <v>GRT/USDT</v>
      </c>
    </row>
    <row r="346" ht="15.75" customHeight="1">
      <c r="A346" s="7" t="str">
        <f>TRIM(MID(SUBSTITUTE('top 500'!A346," ",REPT(" ",LEN('top 500'!A346))), (2-1)*LEN('top 500'!A346)+1, LEN('top 500'!A346)))</f>
        <v>ETH/EUR</v>
      </c>
    </row>
    <row r="347" ht="15.75" customHeight="1">
      <c r="A347" s="7" t="str">
        <f>TRIM(MID(SUBSTITUTE('top 500'!A347," ",REPT(" ",LEN('top 500'!A347))), (2-1)*LEN('top 500'!A347)+1, LEN('top 500'!A347)))</f>
        <v>KAVA/USDT</v>
      </c>
    </row>
    <row r="348" ht="15.75" customHeight="1">
      <c r="A348" s="7" t="str">
        <f>TRIM(MID(SUBSTITUTE('top 500'!A348," ",REPT(" ",LEN('top 500'!A348))), (2-1)*LEN('top 500'!A348)+1, LEN('top 500'!A348)))</f>
        <v>MAGIC/USDT</v>
      </c>
    </row>
    <row r="349" ht="15.75" customHeight="1">
      <c r="A349" s="7" t="str">
        <f>TRIM(MID(SUBSTITUTE('top 500'!A349," ",REPT(" ",LEN('top 500'!A349))), (2-1)*LEN('top 500'!A349)+1, LEN('top 500'!A349)))</f>
        <v>SEI/BTC</v>
      </c>
    </row>
    <row r="350" ht="15.75" customHeight="1">
      <c r="A350" s="7" t="str">
        <f>TRIM(MID(SUBSTITUTE('top 500'!A350," ",REPT(" ",LEN('top 500'!A350))), (2-1)*LEN('top 500'!A350)+1, LEN('top 500'!A350)))</f>
        <v>BOND/USDT</v>
      </c>
    </row>
    <row r="351" ht="15.75" customHeight="1">
      <c r="A351" s="7" t="str">
        <f>TRIM(MID(SUBSTITUTE('top 500'!A351," ",REPT(" ",LEN('top 500'!A351))), (2-1)*LEN('top 500'!A351)+1, LEN('top 500'!A351)))</f>
        <v>ARB/USDT</v>
      </c>
    </row>
    <row r="352" ht="15.75" customHeight="1">
      <c r="A352" s="7" t="str">
        <f>TRIM(MID(SUBSTITUTE('top 500'!A352," ",REPT(" ",LEN('top 500'!A352))), (2-1)*LEN('top 500'!A352)+1, LEN('top 500'!A352)))</f>
        <v>ETH/BTC</v>
      </c>
    </row>
    <row r="353" ht="15.75" customHeight="1">
      <c r="A353" s="7" t="str">
        <f>TRIM(MID(SUBSTITUTE('top 500'!A353," ",REPT(" ",LEN('top 500'!A353))), (2-1)*LEN('top 500'!A353)+1, LEN('top 500'!A353)))</f>
        <v>LINK/USDT</v>
      </c>
    </row>
    <row r="354" ht="15.75" customHeight="1">
      <c r="A354" s="7" t="str">
        <f>TRIM(MID(SUBSTITUTE('top 500'!A354," ",REPT(" ",LEN('top 500'!A354))), (2-1)*LEN('top 500'!A354)+1, LEN('top 500'!A354)))</f>
        <v>API3/USDT</v>
      </c>
    </row>
    <row r="355" ht="15.75" customHeight="1">
      <c r="A355" s="7" t="str">
        <f>TRIM(MID(SUBSTITUTE('top 500'!A355," ",REPT(" ",LEN('top 500'!A355))), (2-1)*LEN('top 500'!A355)+1, LEN('top 500'!A355)))</f>
        <v>SC/USDT</v>
      </c>
    </row>
    <row r="356" ht="15.75" customHeight="1">
      <c r="A356" s="7" t="str">
        <f>TRIM(MID(SUBSTITUTE('top 500'!A356," ",REPT(" ",LEN('top 500'!A356))), (2-1)*LEN('top 500'!A356)+1, LEN('top 500'!A356)))</f>
        <v>CTSI/USDT</v>
      </c>
    </row>
    <row r="357" ht="15.75" customHeight="1">
      <c r="A357" s="7" t="str">
        <f>TRIM(MID(SUBSTITUTE('top 500'!A357," ",REPT(" ",LEN('top 500'!A357))), (2-1)*LEN('top 500'!A357)+1, LEN('top 500'!A357)))</f>
        <v>EOS/USDT</v>
      </c>
    </row>
    <row r="358" ht="15.75" customHeight="1">
      <c r="A358" s="7" t="str">
        <f>TRIM(MID(SUBSTITUTE('top 500'!A358," ",REPT(" ",LEN('top 500'!A358))), (2-1)*LEN('top 500'!A358)+1, LEN('top 500'!A358)))</f>
        <v>JUP/TRY</v>
      </c>
    </row>
    <row r="359" ht="15.75" customHeight="1">
      <c r="A359" s="7" t="str">
        <f>TRIM(MID(SUBSTITUTE('top 500'!A359," ",REPT(" ",LEN('top 500'!A359))), (2-1)*LEN('top 500'!A359)+1, LEN('top 500'!A359)))</f>
        <v>ANKR/USDT</v>
      </c>
    </row>
    <row r="360" ht="15.75" customHeight="1">
      <c r="A360" s="7" t="str">
        <f>TRIM(MID(SUBSTITUTE('top 500'!A360," ",REPT(" ",LEN('top 500'!A360))), (2-1)*LEN('top 500'!A360)+1, LEN('top 500'!A360)))</f>
        <v>XLM/USDT</v>
      </c>
    </row>
    <row r="361" ht="15.75" customHeight="1">
      <c r="A361" s="7" t="str">
        <f>TRIM(MID(SUBSTITUTE('top 500'!A361," ",REPT(" ",LEN('top 500'!A361))), (2-1)*LEN('top 500'!A361)+1, LEN('top 500'!A361)))</f>
        <v>BONK/TRY</v>
      </c>
    </row>
    <row r="362" ht="15.75" customHeight="1">
      <c r="A362" s="7" t="str">
        <f>TRIM(MID(SUBSTITUTE('top 500'!A362," ",REPT(" ",LEN('top 500'!A362))), (2-1)*LEN('top 500'!A362)+1, LEN('top 500'!A362)))</f>
        <v>EGLD/USDT</v>
      </c>
    </row>
    <row r="363" ht="15.75" customHeight="1">
      <c r="A363" s="7" t="str">
        <f>TRIM(MID(SUBSTITUTE('top 500'!A363," ",REPT(" ",LEN('top 500'!A363))), (2-1)*LEN('top 500'!A363)+1, LEN('top 500'!A363)))</f>
        <v>ILV/USDT</v>
      </c>
    </row>
    <row r="364" ht="15.75" customHeight="1">
      <c r="A364" s="7" t="str">
        <f>TRIM(MID(SUBSTITUTE('top 500'!A364," ",REPT(" ",LEN('top 500'!A364))), (2-1)*LEN('top 500'!A364)+1, LEN('top 500'!A364)))</f>
        <v>OXT/USDT</v>
      </c>
    </row>
    <row r="365" ht="15.75" customHeight="1">
      <c r="A365" s="7" t="str">
        <f>TRIM(MID(SUBSTITUTE('top 500'!A365," ",REPT(" ",LEN('top 500'!A365))), (2-1)*LEN('top 500'!A365)+1, LEN('top 500'!A365)))</f>
        <v>NTRN/BTC</v>
      </c>
    </row>
    <row r="366" ht="15.75" customHeight="1">
      <c r="A366" s="7" t="str">
        <f>TRIM(MID(SUBSTITUTE('top 500'!A366," ",REPT(" ",LEN('top 500'!A366))), (2-1)*LEN('top 500'!A366)+1, LEN('top 500'!A366)))</f>
        <v>POND/USDT</v>
      </c>
    </row>
    <row r="367" ht="15.75" customHeight="1">
      <c r="A367" s="7" t="str">
        <f>TRIM(MID(SUBSTITUTE('top 500'!A367," ",REPT(" ",LEN('top 500'!A367))), (2-1)*LEN('top 500'!A367)+1, LEN('top 500'!A367)))</f>
        <v>SOL/BNB</v>
      </c>
    </row>
    <row r="368" ht="15.75" customHeight="1">
      <c r="A368" s="7" t="str">
        <f>TRIM(MID(SUBSTITUTE('top 500'!A368," ",REPT(" ",LEN('top 500'!A368))), (2-1)*LEN('top 500'!A368)+1, LEN('top 500'!A368)))</f>
        <v>ONG/USDT</v>
      </c>
    </row>
    <row r="369" ht="15.75" customHeight="1">
      <c r="A369" s="7" t="str">
        <f>TRIM(MID(SUBSTITUTE('top 500'!A369," ",REPT(" ",LEN('top 500'!A369))), (2-1)*LEN('top 500'!A369)+1, LEN('top 500'!A369)))</f>
        <v>ALT/FDUSD</v>
      </c>
    </row>
    <row r="370" ht="15.75" customHeight="1">
      <c r="A370" s="7" t="str">
        <f>TRIM(MID(SUBSTITUTE('top 500'!A370," ",REPT(" ",LEN('top 500'!A370))), (2-1)*LEN('top 500'!A370)+1, LEN('top 500'!A370)))</f>
        <v>APT/TRY</v>
      </c>
    </row>
    <row r="371" ht="15.75" customHeight="1">
      <c r="A371" s="7" t="str">
        <f>TRIM(MID(SUBSTITUTE('top 500'!A371," ",REPT(" ",LEN('top 500'!A371))), (2-1)*LEN('top 500'!A371)+1, LEN('top 500'!A371)))</f>
        <v>OMG/USDT</v>
      </c>
    </row>
    <row r="372" ht="15.75" customHeight="1">
      <c r="A372" s="7" t="str">
        <f>TRIM(MID(SUBSTITUTE('top 500'!A372," ",REPT(" ",LEN('top 500'!A372))), (2-1)*LEN('top 500'!A372)+1, LEN('top 500'!A372)))</f>
        <v>BEAM/TRY</v>
      </c>
    </row>
    <row r="373" ht="15.75" customHeight="1">
      <c r="A373" s="7" t="str">
        <f>TRIM(MID(SUBSTITUTE('top 500'!A373," ",REPT(" ",LEN('top 500'!A373))), (2-1)*LEN('top 500'!A373)+1, LEN('top 500'!A373)))</f>
        <v>WLD/BTC</v>
      </c>
    </row>
    <row r="374" ht="15.75" customHeight="1">
      <c r="A374" s="7" t="str">
        <f>TRIM(MID(SUBSTITUTE('top 500'!A374," ",REPT(" ",LEN('top 500'!A374))), (2-1)*LEN('top 500'!A374)+1, LEN('top 500'!A374)))</f>
        <v>TRX/TRY</v>
      </c>
    </row>
    <row r="375" ht="15.75" customHeight="1">
      <c r="A375" s="7" t="str">
        <f>TRIM(MID(SUBSTITUTE('top 500'!A375," ",REPT(" ",LEN('top 500'!A375))), (2-1)*LEN('top 500'!A375)+1, LEN('top 500'!A375)))</f>
        <v>XRP/EUR</v>
      </c>
    </row>
    <row r="376" ht="15.75" customHeight="1">
      <c r="A376" s="7" t="str">
        <f>TRIM(MID(SUBSTITUTE('top 500'!A376," ",REPT(" ",LEN('top 500'!A376))), (2-1)*LEN('top 500'!A376)+1, LEN('top 500'!A376)))</f>
        <v>SYN/USDT</v>
      </c>
    </row>
    <row r="377" ht="15.75" customHeight="1">
      <c r="A377" s="7" t="str">
        <f>TRIM(MID(SUBSTITUTE('top 500'!A377," ",REPT(" ",LEN('top 500'!A377))), (2-1)*LEN('top 500'!A377)+1, LEN('top 500'!A377)))</f>
        <v>CHZ/TRY</v>
      </c>
    </row>
    <row r="378" ht="15.75" customHeight="1">
      <c r="A378" s="7" t="str">
        <f>TRIM(MID(SUBSTITUTE('top 500'!A378," ",REPT(" ",LEN('top 500'!A378))), (2-1)*LEN('top 500'!A378)+1, LEN('top 500'!A378)))</f>
        <v>OP/USDC</v>
      </c>
    </row>
    <row r="379" ht="15.75" customHeight="1">
      <c r="A379" s="7" t="str">
        <f>TRIM(MID(SUBSTITUTE('top 500'!A379," ",REPT(" ",LEN('top 500'!A379))), (2-1)*LEN('top 500'!A379)+1, LEN('top 500'!A379)))</f>
        <v>ALICE/USDT</v>
      </c>
    </row>
    <row r="380" ht="15.75" customHeight="1">
      <c r="A380" s="7" t="str">
        <f>TRIM(MID(SUBSTITUTE('top 500'!A380," ",REPT(" ",LEN('top 500'!A380))), (2-1)*LEN('top 500'!A380)+1, LEN('top 500'!A380)))</f>
        <v>ALT/BTC</v>
      </c>
    </row>
    <row r="381" ht="15.75" customHeight="1">
      <c r="A381" s="7" t="str">
        <f>TRIM(MID(SUBSTITUTE('top 500'!A381," ",REPT(" ",LEN('top 500'!A381))), (2-1)*LEN('top 500'!A381)+1, LEN('top 500'!A381)))</f>
        <v>CTXC/USDT</v>
      </c>
    </row>
    <row r="382" ht="15.75" customHeight="1">
      <c r="A382" s="7" t="str">
        <f>TRIM(MID(SUBSTITUTE('top 500'!A382," ",REPT(" ",LEN('top 500'!A382))), (2-1)*LEN('top 500'!A382)+1, LEN('top 500'!A382)))</f>
        <v>ATOM/BTC</v>
      </c>
    </row>
    <row r="383" ht="15.75" customHeight="1">
      <c r="A383" s="7" t="str">
        <f>TRIM(MID(SUBSTITUTE('top 500'!A383," ",REPT(" ",LEN('top 500'!A383))), (2-1)*LEN('top 500'!A383)+1, LEN('top 500'!A383)))</f>
        <v>INJ/BTC</v>
      </c>
    </row>
    <row r="384" ht="15.75" customHeight="1">
      <c r="A384" s="7" t="str">
        <f>TRIM(MID(SUBSTITUTE('top 500'!A384," ",REPT(" ",LEN('top 500'!A384))), (2-1)*LEN('top 500'!A384)+1, LEN('top 500'!A384)))</f>
        <v>APT/BTC</v>
      </c>
    </row>
    <row r="385" ht="15.75" customHeight="1">
      <c r="A385" s="7" t="str">
        <f>TRIM(MID(SUBSTITUTE('top 500'!A385," ",REPT(" ",LEN('top 500'!A385))), (2-1)*LEN('top 500'!A385)+1, LEN('top 500'!A385)))</f>
        <v>DYM/BTC</v>
      </c>
    </row>
    <row r="386" ht="15.75" customHeight="1">
      <c r="A386" s="7" t="str">
        <f>TRIM(MID(SUBSTITUTE('top 500'!A386," ",REPT(" ",LEN('top 500'!A386))), (2-1)*LEN('top 500'!A386)+1, LEN('top 500'!A386)))</f>
        <v>WLD/TRY</v>
      </c>
    </row>
    <row r="387" ht="15.75" customHeight="1">
      <c r="A387" s="7" t="str">
        <f>TRIM(MID(SUBSTITUTE('top 500'!A387," ",REPT(" ",LEN('top 500'!A387))), (2-1)*LEN('top 500'!A387)+1, LEN('top 500'!A387)))</f>
        <v>INJ/TRY</v>
      </c>
    </row>
    <row r="388" ht="15.75" customHeight="1">
      <c r="A388" s="7" t="str">
        <f>TRIM(MID(SUBSTITUTE('top 500'!A388," ",REPT(" ",LEN('top 500'!A388))), (2-1)*LEN('top 500'!A388)+1, LEN('top 500'!A388)))</f>
        <v>AUDIO/USDT</v>
      </c>
    </row>
    <row r="389" ht="15.75" customHeight="1">
      <c r="A389" s="7" t="str">
        <f>TRIM(MID(SUBSTITUTE('top 500'!A389," ",REPT(" ",LEN('top 500'!A389))), (2-1)*LEN('top 500'!A389)+1, LEN('top 500'!A389)))</f>
        <v>EPX/USDT</v>
      </c>
    </row>
    <row r="390" ht="15.75" customHeight="1">
      <c r="A390" s="7" t="str">
        <f>TRIM(MID(SUBSTITUTE('top 500'!A390," ",REPT(" ",LEN('top 500'!A390))), (2-1)*LEN('top 500'!A390)+1, LEN('top 500'!A390)))</f>
        <v>SUN/USDT</v>
      </c>
    </row>
    <row r="391" ht="15.75" customHeight="1">
      <c r="A391" s="7" t="str">
        <f>TRIM(MID(SUBSTITUTE('top 500'!A391," ",REPT(" ",LEN('top 500'!A391))), (2-1)*LEN('top 500'!A391)+1, LEN('top 500'!A391)))</f>
        <v>BTC/DAI</v>
      </c>
    </row>
    <row r="392" ht="15.75" customHeight="1">
      <c r="A392" s="7" t="str">
        <f>TRIM(MID(SUBSTITUTE('top 500'!A392," ",REPT(" ",LEN('top 500'!A392))), (2-1)*LEN('top 500'!A392)+1, LEN('top 500'!A392)))</f>
        <v>SKL/TRY</v>
      </c>
    </row>
    <row r="393" ht="15.75" customHeight="1">
      <c r="A393" s="7" t="str">
        <f>TRIM(MID(SUBSTITUTE('top 500'!A393," ",REPT(" ",LEN('top 500'!A393))), (2-1)*LEN('top 500'!A393)+1, LEN('top 500'!A393)))</f>
        <v>FLM/USDT</v>
      </c>
    </row>
    <row r="394" ht="15.75" customHeight="1">
      <c r="A394" s="7" t="str">
        <f>TRIM(MID(SUBSTITUTE('top 500'!A394," ",REPT(" ",LEN('top 500'!A394))), (2-1)*LEN('top 500'!A394)+1, LEN('top 500'!A394)))</f>
        <v>DATA/BTC</v>
      </c>
    </row>
    <row r="395" ht="15.75" customHeight="1">
      <c r="A395" s="7" t="str">
        <f>TRIM(MID(SUBSTITUTE('top 500'!A395," ",REPT(" ",LEN('top 500'!A395))), (2-1)*LEN('top 500'!A395)+1, LEN('top 500'!A395)))</f>
        <v>SANTOS/USDT</v>
      </c>
    </row>
    <row r="396" ht="15.75" customHeight="1">
      <c r="A396" s="7" t="str">
        <f>TRIM(MID(SUBSTITUTE('top 500'!A396," ",REPT(" ",LEN('top 500'!A396))), (2-1)*LEN('top 500'!A396)+1, LEN('top 500'!A396)))</f>
        <v>NFP/TRY</v>
      </c>
    </row>
    <row r="397" ht="15.75" customHeight="1">
      <c r="A397" s="7" t="str">
        <f>TRIM(MID(SUBSTITUTE('top 500'!A397," ",REPT(" ",LEN('top 500'!A397))), (2-1)*LEN('top 500'!A397)+1, LEN('top 500'!A397)))</f>
        <v>SUPER/TRY</v>
      </c>
    </row>
    <row r="398" ht="15.75" customHeight="1">
      <c r="A398" s="7" t="str">
        <f>TRIM(MID(SUBSTITUTE('top 500'!A398," ",REPT(" ",LEN('top 500'!A398))), (2-1)*LEN('top 500'!A398)+1, LEN('top 500'!A398)))</f>
        <v>FLUX/USDT</v>
      </c>
    </row>
    <row r="399" ht="15.75" customHeight="1">
      <c r="A399" s="7" t="str">
        <f>TRIM(MID(SUBSTITUTE('top 500'!A399," ",REPT(" ",LEN('top 500'!A399))), (2-1)*LEN('top 500'!A399)+1, LEN('top 500'!A399)))</f>
        <v>AUCTION/BTC</v>
      </c>
    </row>
    <row r="400" ht="15.75" customHeight="1">
      <c r="A400" s="7" t="str">
        <f>TRIM(MID(SUBSTITUTE('top 500'!A400," ",REPT(" ",LEN('top 500'!A400))), (2-1)*LEN('top 500'!A400)+1, LEN('top 500'!A400)))</f>
        <v>ATA/USDT</v>
      </c>
    </row>
    <row r="401" ht="15.75" customHeight="1">
      <c r="A401" s="7" t="str">
        <f>TRIM(MID(SUBSTITUTE('top 500'!A401," ",REPT(" ",LEN('top 500'!A401))), (2-1)*LEN('top 500'!A401)+1, LEN('top 500'!A401)))</f>
        <v>MANTA/FDUSD</v>
      </c>
    </row>
    <row r="402" ht="15.75" customHeight="1">
      <c r="A402" s="7" t="str">
        <f>TRIM(MID(SUBSTITUTE('top 500'!A402," ",REPT(" ",LEN('top 500'!A402))), (2-1)*LEN('top 500'!A402)+1, LEN('top 500'!A402)))</f>
        <v>ARB/USDC</v>
      </c>
    </row>
    <row r="403" ht="15.75" customHeight="1">
      <c r="A403" s="7" t="str">
        <f>TRIM(MID(SUBSTITUTE('top 500'!A403," ",REPT(" ",LEN('top 500'!A403))), (2-1)*LEN('top 500'!A403)+1, LEN('top 500'!A403)))</f>
        <v>KP3R/USDT</v>
      </c>
    </row>
    <row r="404" ht="15.75" customHeight="1">
      <c r="A404" s="7" t="str">
        <f>TRIM(MID(SUBSTITUTE('top 500'!A404," ",REPT(" ",LEN('top 500'!A404))), (2-1)*LEN('top 500'!A404)+1, LEN('top 500'!A404)))</f>
        <v>PROM/BTC</v>
      </c>
    </row>
    <row r="405" ht="15.75" customHeight="1">
      <c r="A405" s="7" t="str">
        <f>TRIM(MID(SUBSTITUTE('top 500'!A405," ",REPT(" ",LEN('top 500'!A405))), (2-1)*LEN('top 500'!A405)+1, LEN('top 500'!A405)))</f>
        <v>VET/EUR</v>
      </c>
    </row>
    <row r="406" ht="15.75" customHeight="1">
      <c r="A406" s="7" t="str">
        <f>TRIM(MID(SUBSTITUTE('top 500'!A406," ",REPT(" ",LEN('top 500'!A406))), (2-1)*LEN('top 500'!A406)+1, LEN('top 500'!A406)))</f>
        <v>GNO/USDT</v>
      </c>
    </row>
    <row r="407" ht="15.75" customHeight="1">
      <c r="A407" s="7" t="str">
        <f>TRIM(MID(SUBSTITUTE('top 500'!A407," ",REPT(" ",LEN('top 500'!A407))), (2-1)*LEN('top 500'!A407)+1, LEN('top 500'!A407)))</f>
        <v>RNDR/BTC</v>
      </c>
    </row>
    <row r="408" ht="15.75" customHeight="1">
      <c r="A408" s="7" t="str">
        <f>TRIM(MID(SUBSTITUTE('top 500'!A408," ",REPT(" ",LEN('top 500'!A408))), (2-1)*LEN('top 500'!A408)+1, LEN('top 500'!A408)))</f>
        <v>JTO/TRY</v>
      </c>
    </row>
    <row r="409" ht="15.75" customHeight="1">
      <c r="A409" s="7" t="str">
        <f>TRIM(MID(SUBSTITUTE('top 500'!A409," ",REPT(" ",LEN('top 500'!A409))), (2-1)*LEN('top 500'!A409)+1, LEN('top 500'!A409)))</f>
        <v>DAR/TRY</v>
      </c>
    </row>
    <row r="410" ht="15.75" customHeight="1">
      <c r="A410" s="7" t="str">
        <f>TRIM(MID(SUBSTITUTE('top 500'!A410," ",REPT(" ",LEN('top 500'!A410))), (2-1)*LEN('top 500'!A410)+1, LEN('top 500'!A410)))</f>
        <v>AMP/USDT</v>
      </c>
    </row>
    <row r="411" ht="15.75" customHeight="1">
      <c r="A411" s="7" t="str">
        <f>TRIM(MID(SUBSTITUTE('top 500'!A411," ",REPT(" ",LEN('top 500'!A411))), (2-1)*LEN('top 500'!A411)+1, LEN('top 500'!A411)))</f>
        <v>XVS/USDT</v>
      </c>
    </row>
    <row r="412" ht="15.75" customHeight="1">
      <c r="A412" s="7" t="str">
        <f>TRIM(MID(SUBSTITUTE('top 500'!A412," ",REPT(" ",LEN('top 500'!A412))), (2-1)*LEN('top 500'!A412)+1, LEN('top 500'!A412)))</f>
        <v>BNB/TUSD</v>
      </c>
    </row>
    <row r="413" ht="15.75" customHeight="1">
      <c r="A413" s="7" t="str">
        <f>TRIM(MID(SUBSTITUTE('top 500'!A413," ",REPT(" ",LEN('top 500'!A413))), (2-1)*LEN('top 500'!A413)+1, LEN('top 500'!A413)))</f>
        <v>ERN/USDT</v>
      </c>
    </row>
    <row r="414" ht="15.75" customHeight="1">
      <c r="A414" s="7" t="str">
        <f>TRIM(MID(SUBSTITUTE('top 500'!A414," ",REPT(" ",LEN('top 500'!A414))), (2-1)*LEN('top 500'!A414)+1, LEN('top 500'!A414)))</f>
        <v>DIA/USDT</v>
      </c>
    </row>
    <row r="415" ht="15.75" customHeight="1">
      <c r="A415" s="7" t="str">
        <f>TRIM(MID(SUBSTITUTE('top 500'!A415," ",REPT(" ",LEN('top 500'!A415))), (2-1)*LEN('top 500'!A415)+1, LEN('top 500'!A415)))</f>
        <v>ADA/USDC</v>
      </c>
    </row>
    <row r="416" ht="15.75" customHeight="1">
      <c r="A416" s="7" t="str">
        <f>TRIM(MID(SUBSTITUTE('top 500'!A416," ",REPT(" ",LEN('top 500'!A416))), (2-1)*LEN('top 500'!A416)+1, LEN('top 500'!A416)))</f>
        <v>COMBO/USDT</v>
      </c>
    </row>
    <row r="417" ht="15.75" customHeight="1">
      <c r="A417" s="7" t="str">
        <f>TRIM(MID(SUBSTITUTE('top 500'!A417," ",REPT(" ",LEN('top 500'!A417))), (2-1)*LEN('top 500'!A417)+1, LEN('top 500'!A417)))</f>
        <v>SCRT/USDT</v>
      </c>
    </row>
    <row r="418" ht="15.75" customHeight="1">
      <c r="A418" s="7" t="str">
        <f>TRIM(MID(SUBSTITUTE('top 500'!A418," ",REPT(" ",LEN('top 500'!A418))), (2-1)*LEN('top 500'!A418)+1, LEN('top 500'!A418)))</f>
        <v>BAR/USDT</v>
      </c>
    </row>
    <row r="419" ht="15.75" customHeight="1">
      <c r="A419" s="7" t="str">
        <f>TRIM(MID(SUBSTITUTE('top 500'!A419," ",REPT(" ",LEN('top 500'!A419))), (2-1)*LEN('top 500'!A419)+1, LEN('top 500'!A419)))</f>
        <v>BNB/EUR</v>
      </c>
    </row>
    <row r="420" ht="15.75" customHeight="1">
      <c r="A420" s="7" t="str">
        <f>TRIM(MID(SUBSTITUTE('top 500'!A420," ",REPT(" ",LEN('top 500'!A420))), (2-1)*LEN('top 500'!A420)+1, LEN('top 500'!A420)))</f>
        <v>KNC/USDT</v>
      </c>
    </row>
    <row r="421" ht="15.75" customHeight="1">
      <c r="A421" s="7" t="str">
        <f>TRIM(MID(SUBSTITUTE('top 500'!A421," ",REPT(" ",LEN('top 500'!A421))), (2-1)*LEN('top 500'!A421)+1, LEN('top 500'!A421)))</f>
        <v>STORJ/TRY</v>
      </c>
    </row>
    <row r="422" ht="15.75" customHeight="1">
      <c r="A422" s="7" t="str">
        <f>TRIM(MID(SUBSTITUTE('top 500'!A422," ",REPT(" ",LEN('top 500'!A422))), (2-1)*LEN('top 500'!A422)+1, LEN('top 500'!A422)))</f>
        <v>USDT/PLN</v>
      </c>
    </row>
    <row r="423" ht="15.75" customHeight="1">
      <c r="A423" s="7" t="str">
        <f>TRIM(MID(SUBSTITUTE('top 500'!A423," ",REPT(" ",LEN('top 500'!A423))), (2-1)*LEN('top 500'!A423)+1, LEN('top 500'!A423)))</f>
        <v>NTRN/TRY</v>
      </c>
    </row>
    <row r="424" ht="15.75" customHeight="1">
      <c r="A424" s="7" t="str">
        <f>TRIM(MID(SUBSTITUTE('top 500'!A424," ",REPT(" ",LEN('top 500'!A424))), (2-1)*LEN('top 500'!A424)+1, LEN('top 500'!A424)))</f>
        <v>MATIC/FDUSD</v>
      </c>
    </row>
    <row r="425" ht="15.75" customHeight="1">
      <c r="A425" s="7" t="str">
        <f>TRIM(MID(SUBSTITUTE('top 500'!A425," ",REPT(" ",LEN('top 500'!A425))), (2-1)*LEN('top 500'!A425)+1, LEN('top 500'!A425)))</f>
        <v>OG/USDT</v>
      </c>
    </row>
    <row r="426" ht="15.75" customHeight="1">
      <c r="A426" s="7" t="str">
        <f>TRIM(MID(SUBSTITUTE('top 500'!A426," ",REPT(" ",LEN('top 500'!A426))), (2-1)*LEN('top 500'!A426)+1, LEN('top 500'!A426)))</f>
        <v>WIN/USDT</v>
      </c>
    </row>
    <row r="427" ht="15.75" customHeight="1">
      <c r="A427" s="7" t="str">
        <f>TRIM(MID(SUBSTITUTE('top 500'!A427," ",REPT(" ",LEN('top 500'!A427))), (2-1)*LEN('top 500'!A427)+1, LEN('top 500'!A427)))</f>
        <v>OOKI/USDT</v>
      </c>
    </row>
    <row r="428" ht="15.75" customHeight="1">
      <c r="A428" s="7" t="str">
        <f>TRIM(MID(SUBSTITUTE('top 500'!A428," ",REPT(" ",LEN('top 500'!A428))), (2-1)*LEN('top 500'!A428)+1, LEN('top 500'!A428)))</f>
        <v>XRP/USDC</v>
      </c>
    </row>
    <row r="429" ht="15.75" customHeight="1">
      <c r="A429" s="7" t="str">
        <f>TRIM(MID(SUBSTITUTE('top 500'!A429," ",REPT(" ",LEN('top 500'!A429))), (2-1)*LEN('top 500'!A429)+1, LEN('top 500'!A429)))</f>
        <v>FIS/USDT</v>
      </c>
    </row>
    <row r="430" ht="15.75" customHeight="1">
      <c r="A430" s="7" t="str">
        <f>TRIM(MID(SUBSTITUTE('top 500'!A430," ",REPT(" ",LEN('top 500'!A430))), (2-1)*LEN('top 500'!A430)+1, LEN('top 500'!A430)))</f>
        <v>MBL/USDT</v>
      </c>
    </row>
    <row r="431" ht="15.75" customHeight="1">
      <c r="A431" s="7" t="str">
        <f>TRIM(MID(SUBSTITUTE('top 500'!A431," ",REPT(" ",LEN('top 500'!A431))), (2-1)*LEN('top 500'!A431)+1, LEN('top 500'!A431)))</f>
        <v>SOL/TUSD</v>
      </c>
    </row>
    <row r="432" ht="15.75" customHeight="1">
      <c r="A432" s="7" t="str">
        <f>TRIM(MID(SUBSTITUTE('top 500'!A432," ",REPT(" ",LEN('top 500'!A432))), (2-1)*LEN('top 500'!A432)+1, LEN('top 500'!A432)))</f>
        <v>TROY/USDT</v>
      </c>
    </row>
    <row r="433" ht="15.75" customHeight="1">
      <c r="A433" s="7" t="str">
        <f>TRIM(MID(SUBSTITUTE('top 500'!A433," ",REPT(" ",LEN('top 500'!A433))), (2-1)*LEN('top 500'!A433)+1, LEN('top 500'!A433)))</f>
        <v>APE/TRY</v>
      </c>
    </row>
    <row r="434" ht="15.75" customHeight="1">
      <c r="A434" s="7" t="str">
        <f>TRIM(MID(SUBSTITUTE('top 500'!A434," ",REPT(" ",LEN('top 500'!A434))), (2-1)*LEN('top 500'!A434)+1, LEN('top 500'!A434)))</f>
        <v>ACA/TRY</v>
      </c>
    </row>
    <row r="435" ht="15.75" customHeight="1">
      <c r="A435" s="7" t="str">
        <f>TRIM(MID(SUBSTITUTE('top 500'!A435," ",REPT(" ",LEN('top 500'!A435))), (2-1)*LEN('top 500'!A435)+1, LEN('top 500'!A435)))</f>
        <v>NEXO/USDT</v>
      </c>
    </row>
    <row r="436" ht="15.75" customHeight="1">
      <c r="A436" s="7" t="str">
        <f>TRIM(MID(SUBSTITUTE('top 500'!A436," ",REPT(" ",LEN('top 500'!A436))), (2-1)*LEN('top 500'!A436)+1, LEN('top 500'!A436)))</f>
        <v>INJ/USDC</v>
      </c>
    </row>
    <row r="437" ht="15.75" customHeight="1">
      <c r="A437" s="7" t="str">
        <f>TRIM(MID(SUBSTITUTE('top 500'!A437," ",REPT(" ",LEN('top 500'!A437))), (2-1)*LEN('top 500'!A437)+1, LEN('top 500'!A437)))</f>
        <v>CELR/USDT</v>
      </c>
    </row>
    <row r="438" ht="15.75" customHeight="1">
      <c r="A438" s="7" t="str">
        <f>TRIM(MID(SUBSTITUTE('top 500'!A438," ",REPT(" ",LEN('top 500'!A438))), (2-1)*LEN('top 500'!A438)+1, LEN('top 500'!A438)))</f>
        <v>SUI/TRY</v>
      </c>
    </row>
    <row r="439" ht="15.75" customHeight="1">
      <c r="A439" s="7" t="str">
        <f>TRIM(MID(SUBSTITUTE('top 500'!A439," ",REPT(" ",LEN('top 500'!A439))), (2-1)*LEN('top 500'!A439)+1, LEN('top 500'!A439)))</f>
        <v>XVG/USDT</v>
      </c>
    </row>
    <row r="440" ht="15.75" customHeight="1">
      <c r="A440" s="7" t="str">
        <f>TRIM(MID(SUBSTITUTE('top 500'!A440," ",REPT(" ",LEN('top 500'!A440))), (2-1)*LEN('top 500'!A440)+1, LEN('top 500'!A440)))</f>
        <v>WAXP/USDT</v>
      </c>
    </row>
    <row r="441" ht="15.75" customHeight="1">
      <c r="A441" s="7" t="str">
        <f>TRIM(MID(SUBSTITUTE('top 500'!A441," ",REPT(" ",LEN('top 500'!A441))), (2-1)*LEN('top 500'!A441)+1, LEN('top 500'!A441)))</f>
        <v>MINA/TRY</v>
      </c>
    </row>
    <row r="442" ht="15.75" customHeight="1">
      <c r="A442" s="7" t="str">
        <f>TRIM(MID(SUBSTITUTE('top 500'!A442," ",REPT(" ",LEN('top 500'!A442))), (2-1)*LEN('top 500'!A442)+1, LEN('top 500'!A442)))</f>
        <v>LOKA/USDT</v>
      </c>
    </row>
    <row r="443" ht="15.75" customHeight="1">
      <c r="A443" s="7" t="str">
        <f>TRIM(MID(SUBSTITUTE('top 500'!A443," ",REPT(" ",LEN('top 500'!A443))), (2-1)*LEN('top 500'!A443)+1, LEN('top 500'!A443)))</f>
        <v>DYM/FDUSD</v>
      </c>
    </row>
    <row r="444" ht="15.75" customHeight="1">
      <c r="A444" s="7" t="str">
        <f>TRIM(MID(SUBSTITUTE('top 500'!A444," ",REPT(" ",LEN('top 500'!A444))), (2-1)*LEN('top 500'!A444)+1, LEN('top 500'!A444)))</f>
        <v>ADA/EUR</v>
      </c>
    </row>
    <row r="445" ht="15.75" customHeight="1">
      <c r="A445" s="7" t="str">
        <f>TRIM(MID(SUBSTITUTE('top 500'!A445," ",REPT(" ",LEN('top 500'!A445))), (2-1)*LEN('top 500'!A445)+1, LEN('top 500'!A445)))</f>
        <v>WAN/USDT</v>
      </c>
    </row>
    <row r="446" ht="15.75" customHeight="1">
      <c r="A446" s="7" t="str">
        <f>TRIM(MID(SUBSTITUTE('top 500'!A446," ",REPT(" ",LEN('top 500'!A446))), (2-1)*LEN('top 500'!A446)+1, LEN('top 500'!A446)))</f>
        <v>ORDI/TRY</v>
      </c>
    </row>
    <row r="447" ht="15.75" customHeight="1">
      <c r="A447" s="7" t="str">
        <f>TRIM(MID(SUBSTITUTE('top 500'!A447," ",REPT(" ",LEN('top 500'!A447))), (2-1)*LEN('top 500'!A447)+1, LEN('top 500'!A447)))</f>
        <v>MOB/USDT</v>
      </c>
    </row>
    <row r="448" ht="15.75" customHeight="1">
      <c r="A448" s="7" t="str">
        <f>TRIM(MID(SUBSTITUTE('top 500'!A448," ",REPT(" ",LEN('top 500'!A448))), (2-1)*LEN('top 500'!A448)+1, LEN('top 500'!A448)))</f>
        <v>VIC/USDT</v>
      </c>
    </row>
    <row r="449" ht="15.75" customHeight="1">
      <c r="A449" s="7" t="str">
        <f>TRIM(MID(SUBSTITUTE('top 500'!A449," ",REPT(" ",LEN('top 500'!A449))), (2-1)*LEN('top 500'!A449)+1, LEN('top 500'!A449)))</f>
        <v>MANTA/BTC</v>
      </c>
    </row>
    <row r="450" ht="15.75" customHeight="1">
      <c r="A450" s="7" t="str">
        <f>TRIM(MID(SUBSTITUTE('top 500'!A450," ",REPT(" ",LEN('top 500'!A450))), (2-1)*LEN('top 500'!A450)+1, LEN('top 500'!A450)))</f>
        <v>MAV/TRY</v>
      </c>
    </row>
    <row r="451" ht="15.75" customHeight="1">
      <c r="A451" s="7" t="str">
        <f>TRIM(MID(SUBSTITUTE('top 500'!A451," ",REPT(" ",LEN('top 500'!A451))), (2-1)*LEN('top 500'!A451)+1, LEN('top 500'!A451)))</f>
        <v>STPT/USDT</v>
      </c>
    </row>
    <row r="452" ht="15.75" customHeight="1">
      <c r="A452" s="7" t="str">
        <f>TRIM(MID(SUBSTITUTE('top 500'!A452," ",REPT(" ",LEN('top 500'!A452))), (2-1)*LEN('top 500'!A452)+1, LEN('top 500'!A452)))</f>
        <v>ELF/USDT</v>
      </c>
    </row>
    <row r="453" ht="15.75" customHeight="1">
      <c r="A453" s="7" t="str">
        <f>TRIM(MID(SUBSTITUTE('top 500'!A453," ",REPT(" ",LEN('top 500'!A453))), (2-1)*LEN('top 500'!A453)+1, LEN('top 500'!A453)))</f>
        <v>TIA/BTC</v>
      </c>
    </row>
    <row r="454" ht="15.75" customHeight="1">
      <c r="A454" s="7" t="str">
        <f>TRIM(MID(SUBSTITUTE('top 500'!A454," ",REPT(" ",LEN('top 500'!A454))), (2-1)*LEN('top 500'!A454)+1, LEN('top 500'!A454)))</f>
        <v>BICO/USDT</v>
      </c>
    </row>
    <row r="455" ht="15.75" customHeight="1">
      <c r="A455" s="7" t="str">
        <f>TRIM(MID(SUBSTITUTE('top 500'!A455," ",REPT(" ",LEN('top 500'!A455))), (2-1)*LEN('top 500'!A455)+1, LEN('top 500'!A455)))</f>
        <v>BEL/USDT</v>
      </c>
    </row>
    <row r="456" ht="15.75" customHeight="1">
      <c r="A456" s="7" t="str">
        <f>TRIM(MID(SUBSTITUTE('top 500'!A456," ",REPT(" ",LEN('top 500'!A456))), (2-1)*LEN('top 500'!A456)+1, LEN('top 500'!A456)))</f>
        <v>XNO/USDT</v>
      </c>
    </row>
    <row r="457" ht="15.75" customHeight="1">
      <c r="A457" s="7" t="str">
        <f>TRIM(MID(SUBSTITUTE('top 500'!A457," ",REPT(" ",LEN('top 500'!A457))), (2-1)*LEN('top 500'!A457)+1, LEN('top 500'!A457)))</f>
        <v>NKN/USDT</v>
      </c>
    </row>
    <row r="458" ht="15.75" customHeight="1">
      <c r="A458" s="7" t="str">
        <f>TRIM(MID(SUBSTITUTE('top 500'!A458," ",REPT(" ",LEN('top 500'!A458))), (2-1)*LEN('top 500'!A458)+1, LEN('top 500'!A458)))</f>
        <v>VITE/USDT</v>
      </c>
    </row>
    <row r="459" ht="15.75" customHeight="1">
      <c r="A459" s="7" t="str">
        <f>TRIM(MID(SUBSTITUTE('top 500'!A459," ",REPT(" ",LEN('top 500'!A459))), (2-1)*LEN('top 500'!A459)+1, LEN('top 500'!A459)))</f>
        <v>SOL/BRL</v>
      </c>
    </row>
    <row r="460" ht="15.75" customHeight="1">
      <c r="A460" s="7" t="str">
        <f>TRIM(MID(SUBSTITUTE('top 500'!A460," ",REPT(" ",LEN('top 500'!A460))), (2-1)*LEN('top 500'!A460)+1, LEN('top 500'!A460)))</f>
        <v>WRX/USDT</v>
      </c>
    </row>
    <row r="461" ht="15.75" customHeight="1">
      <c r="A461" s="7" t="str">
        <f>TRIM(MID(SUBSTITUTE('top 500'!A461," ",REPT(" ",LEN('top 500'!A461))), (2-1)*LEN('top 500'!A461)+1, LEN('top 500'!A461)))</f>
        <v>USDT/NGN</v>
      </c>
    </row>
    <row r="462" ht="15.75" customHeight="1">
      <c r="A462" s="7" t="str">
        <f>TRIM(MID(SUBSTITUTE('top 500'!A462," ",REPT(" ",LEN('top 500'!A462))), (2-1)*LEN('top 500'!A462)+1, LEN('top 500'!A462)))</f>
        <v>RPL/USDT</v>
      </c>
    </row>
    <row r="463" ht="15.75" customHeight="1">
      <c r="A463" s="7" t="str">
        <f>TRIM(MID(SUBSTITUTE('top 500'!A463," ",REPT(" ",LEN('top 500'!A463))), (2-1)*LEN('top 500'!A463)+1, LEN('top 500'!A463)))</f>
        <v>VET/BNB</v>
      </c>
    </row>
    <row r="464" ht="15.75" customHeight="1">
      <c r="A464" s="7" t="str">
        <f>TRIM(MID(SUBSTITUTE('top 500'!A464," ",REPT(" ",LEN('top 500'!A464))), (2-1)*LEN('top 500'!A464)+1, LEN('top 500'!A464)))</f>
        <v>SFP/USDT</v>
      </c>
    </row>
    <row r="465" ht="15.75" customHeight="1">
      <c r="A465" s="7" t="str">
        <f>TRIM(MID(SUBSTITUTE('top 500'!A465," ",REPT(" ",LEN('top 500'!A465))), (2-1)*LEN('top 500'!A465)+1, LEN('top 500'!A465)))</f>
        <v>FET/TRY</v>
      </c>
    </row>
    <row r="466" ht="15.75" customHeight="1">
      <c r="A466" s="7" t="str">
        <f>TRIM(MID(SUBSTITUTE('top 500'!A466," ",REPT(" ",LEN('top 500'!A466))), (2-1)*LEN('top 500'!A466)+1, LEN('top 500'!A466)))</f>
        <v>ARPA/TRY</v>
      </c>
    </row>
    <row r="467" ht="15.75" customHeight="1">
      <c r="A467" s="7" t="str">
        <f>TRIM(MID(SUBSTITUTE('top 500'!A467," ",REPT(" ",LEN('top 500'!A467))), (2-1)*LEN('top 500'!A467)+1, LEN('top 500'!A467)))</f>
        <v>ETH/USDT</v>
      </c>
    </row>
    <row r="468" ht="15.75" customHeight="1">
      <c r="A468" s="7" t="str">
        <f>TRIM(MID(SUBSTITUTE('top 500'!A468," ",REPT(" ",LEN('top 500'!A468))), (2-1)*LEN('top 500'!A468)+1, LEN('top 500'!A468)))</f>
        <v>CVX/USDT</v>
      </c>
    </row>
    <row r="469" ht="15.75" customHeight="1">
      <c r="A469" s="7" t="str">
        <f>TRIM(MID(SUBSTITUTE('top 500'!A469," ",REPT(" ",LEN('top 500'!A469))), (2-1)*LEN('top 500'!A469)+1, LEN('top 500'!A469)))</f>
        <v>COS/USDT</v>
      </c>
    </row>
    <row r="470" ht="15.75" customHeight="1">
      <c r="A470" s="7" t="str">
        <f>TRIM(MID(SUBSTITUTE('top 500'!A470," ",REPT(" ",LEN('top 500'!A470))), (2-1)*LEN('top 500'!A470)+1, LEN('top 500'!A470)))</f>
        <v>RNDR/TRY</v>
      </c>
    </row>
    <row r="471" ht="15.75" customHeight="1">
      <c r="A471" s="7" t="str">
        <f>TRIM(MID(SUBSTITUTE('top 500'!A471," ",REPT(" ",LEN('top 500'!A471))), (2-1)*LEN('top 500'!A471)+1, LEN('top 500'!A471)))</f>
        <v>CHR/BTC</v>
      </c>
    </row>
    <row r="472" ht="15.75" customHeight="1">
      <c r="A472" s="7" t="str">
        <f>TRIM(MID(SUBSTITUTE('top 500'!A472," ",REPT(" ",LEN('top 500'!A472))), (2-1)*LEN('top 500'!A472)+1, LEN('top 500'!A472)))</f>
        <v>MATIC/USDC</v>
      </c>
    </row>
    <row r="473" ht="15.75" customHeight="1">
      <c r="A473" s="7" t="str">
        <f>TRIM(MID(SUBSTITUTE('top 500'!A473," ",REPT(" ",LEN('top 500'!A473))), (2-1)*LEN('top 500'!A473)+1, LEN('top 500'!A473)))</f>
        <v>CVC/USDT</v>
      </c>
    </row>
    <row r="474" ht="15.75" customHeight="1">
      <c r="A474" s="7" t="str">
        <f>TRIM(MID(SUBSTITUTE('top 500'!A474," ",REPT(" ",LEN('top 500'!A474))), (2-1)*LEN('top 500'!A474)+1, LEN('top 500'!A474)))</f>
        <v>STEEM/USDT</v>
      </c>
    </row>
    <row r="475" ht="15.75" customHeight="1">
      <c r="A475" s="7" t="str">
        <f>TRIM(MID(SUBSTITUTE('top 500'!A475," ",REPT(" ",LEN('top 500'!A475))), (2-1)*LEN('top 500'!A475)+1, LEN('top 500'!A475)))</f>
        <v>VIDT/USDT</v>
      </c>
    </row>
    <row r="476" ht="15.75" customHeight="1">
      <c r="A476" s="7" t="str">
        <f>TRIM(MID(SUBSTITUTE('top 500'!A476," ",REPT(" ",LEN('top 500'!A476))), (2-1)*LEN('top 500'!A476)+1, LEN('top 500'!A476)))</f>
        <v>XRP/ETH</v>
      </c>
    </row>
    <row r="477" ht="15.75" customHeight="1">
      <c r="A477" s="7" t="str">
        <f>TRIM(MID(SUBSTITUTE('top 500'!A477," ",REPT(" ",LEN('top 500'!A477))), (2-1)*LEN('top 500'!A477)+1, LEN('top 500'!A477)))</f>
        <v>AVA/USDT</v>
      </c>
    </row>
    <row r="478" ht="15.75" customHeight="1">
      <c r="A478" s="7" t="str">
        <f>TRIM(MID(SUBSTITUTE('top 500'!A478," ",REPT(" ",LEN('top 500'!A478))), (2-1)*LEN('top 500'!A478)+1, LEN('top 500'!A478)))</f>
        <v>DCR/USDT</v>
      </c>
    </row>
    <row r="479" ht="15.75" customHeight="1">
      <c r="A479" s="7" t="str">
        <f>TRIM(MID(SUBSTITUTE('top 500'!A479," ",REPT(" ",LEN('top 500'!A479))), (2-1)*LEN('top 500'!A479)+1, LEN('top 500'!A479)))</f>
        <v>ANT/USDT</v>
      </c>
    </row>
    <row r="480" ht="15.75" customHeight="1">
      <c r="A480" s="7" t="str">
        <f>TRIM(MID(SUBSTITUTE('top 500'!A480," ",REPT(" ",LEN('top 500'!A480))), (2-1)*LEN('top 500'!A480)+1, LEN('top 500'!A480)))</f>
        <v>CTK/USDT</v>
      </c>
    </row>
    <row r="481" ht="15.75" customHeight="1">
      <c r="A481" s="7" t="str">
        <f>TRIM(MID(SUBSTITUTE('top 500'!A481," ",REPT(" ",LEN('top 500'!A481))), (2-1)*LEN('top 500'!A481)+1, LEN('top 500'!A481)))</f>
        <v>LAZIO/USDT</v>
      </c>
    </row>
    <row r="482" ht="15.75" customHeight="1">
      <c r="A482" s="7" t="str">
        <f>TRIM(MID(SUBSTITUTE('top 500'!A482," ",REPT(" ",LEN('top 500'!A482))), (2-1)*LEN('top 500'!A482)+1, LEN('top 500'!A482)))</f>
        <v>FUN/USDT</v>
      </c>
    </row>
    <row r="483" ht="15.75" customHeight="1">
      <c r="A483" s="7" t="str">
        <f>TRIM(MID(SUBSTITUTE('top 500'!A483," ",REPT(" ",LEN('top 500'!A483))), (2-1)*LEN('top 500'!A483)+1, LEN('top 500'!A483)))</f>
        <v>SANTOS/TRY</v>
      </c>
    </row>
    <row r="484" ht="15.75" customHeight="1">
      <c r="A484" s="7" t="str">
        <f>TRIM(MID(SUBSTITUTE('top 500'!A484," ",REPT(" ",LEN('top 500'!A484))), (2-1)*LEN('top 500'!A484)+1, LEN('top 500'!A484)))</f>
        <v>VGX/USDT</v>
      </c>
    </row>
    <row r="485" ht="15.75" customHeight="1">
      <c r="A485" s="7" t="str">
        <f>TRIM(MID(SUBSTITUTE('top 500'!A485," ",REPT(" ",LEN('top 500'!A485))), (2-1)*LEN('top 500'!A485)+1, LEN('top 500'!A485)))</f>
        <v>POLS/USDT</v>
      </c>
    </row>
    <row r="486" ht="15.75" customHeight="1">
      <c r="A486" s="7" t="str">
        <f>TRIM(MID(SUBSTITUTE('top 500'!A486," ",REPT(" ",LEN('top 500'!A486))), (2-1)*LEN('top 500'!A486)+1, LEN('top 500'!A486)))</f>
        <v>AI/FDUSD</v>
      </c>
    </row>
    <row r="487" ht="15.75" customHeight="1">
      <c r="A487" s="7" t="str">
        <f>TRIM(MID(SUBSTITUTE('top 500'!A487," ",REPT(" ",LEN('top 500'!A487))), (2-1)*LEN('top 500'!A487)+1, LEN('top 500'!A487)))</f>
        <v>FORTH/USDT</v>
      </c>
    </row>
    <row r="488" ht="15.75" customHeight="1">
      <c r="A488" s="7" t="str">
        <f>TRIM(MID(SUBSTITUTE('top 500'!A488," ",REPT(" ",LEN('top 500'!A488))), (2-1)*LEN('top 500'!A488)+1, LEN('top 500'!A488)))</f>
        <v>XEM/USDT</v>
      </c>
    </row>
    <row r="489" ht="15.75" customHeight="1">
      <c r="A489" s="7" t="str">
        <f>TRIM(MID(SUBSTITUTE('top 500'!A489," ",REPT(" ",LEN('top 500'!A489))), (2-1)*LEN('top 500'!A489)+1, LEN('top 500'!A489)))</f>
        <v>SEI/USDC</v>
      </c>
    </row>
    <row r="490" ht="15.75" customHeight="1">
      <c r="A490" s="7" t="str">
        <f>TRIM(MID(SUBSTITUTE('top 500'!A490," ",REPT(" ",LEN('top 500'!A490))), (2-1)*LEN('top 500'!A490)+1, LEN('top 500'!A490)))</f>
        <v>GNS/USDT</v>
      </c>
    </row>
    <row r="491" ht="15.75" customHeight="1">
      <c r="A491" s="7" t="str">
        <f>TRIM(MID(SUBSTITUTE('top 500'!A491," ",REPT(" ",LEN('top 500'!A491))), (2-1)*LEN('top 500'!A491)+1, LEN('top 500'!A491)))</f>
        <v>NEAR/BTC</v>
      </c>
    </row>
    <row r="492" ht="15.75" customHeight="1">
      <c r="A492" s="7" t="str">
        <f>TRIM(MID(SUBSTITUTE('top 500'!A492," ",REPT(" ",LEN('top 500'!A492))), (2-1)*LEN('top 500'!A492)+1, LEN('top 500'!A492)))</f>
        <v>FDUSD/USDT</v>
      </c>
    </row>
    <row r="493" ht="15.75" customHeight="1">
      <c r="A493" s="7" t="str">
        <f>TRIM(MID(SUBSTITUTE('top 500'!A493," ",REPT(" ",LEN('top 500'!A493))), (2-1)*LEN('top 500'!A493)+1, LEN('top 500'!A493)))</f>
        <v>UTK/USDT</v>
      </c>
    </row>
    <row r="494" ht="15.75" customHeight="1">
      <c r="A494" s="7" t="str">
        <f>TRIM(MID(SUBSTITUTE('top 500'!A494," ",REPT(" ",LEN('top 500'!A494))), (2-1)*LEN('top 500'!A494)+1, LEN('top 500'!A494)))</f>
        <v>DF/USDT</v>
      </c>
    </row>
    <row r="495" ht="15.75" customHeight="1">
      <c r="A495" s="7" t="str">
        <f>TRIM(MID(SUBSTITUTE('top 500'!A495," ",REPT(" ",LEN('top 500'!A495))), (2-1)*LEN('top 500'!A495)+1, LEN('top 500'!A495)))</f>
        <v>USTC/FDUSD</v>
      </c>
    </row>
    <row r="496" ht="15.75" customHeight="1">
      <c r="A496" s="7" t="str">
        <f>TRIM(MID(SUBSTITUTE('top 500'!A496," ",REPT(" ",LEN('top 500'!A496))), (2-1)*LEN('top 500'!A496)+1, LEN('top 500'!A496)))</f>
        <v>XAI/FDUSD</v>
      </c>
    </row>
    <row r="497" ht="15.75" customHeight="1">
      <c r="A497" s="7" t="str">
        <f>TRIM(MID(SUBSTITUTE('top 500'!A497," ",REPT(" ",LEN('top 500'!A497))), (2-1)*LEN('top 500'!A497)+1, LEN('top 500'!A497)))</f>
        <v>PSG/USDT</v>
      </c>
    </row>
    <row r="498" ht="15.75" customHeight="1">
      <c r="A498" s="7" t="str">
        <f>TRIM(MID(SUBSTITUTE('top 500'!A498," ",REPT(" ",LEN('top 500'!A498))), (2-1)*LEN('top 500'!A498)+1, LEN('top 500'!A498)))</f>
        <v>DENT/TRY</v>
      </c>
    </row>
    <row r="499" ht="15.75" customHeight="1">
      <c r="A499" s="7" t="str">
        <f>TRIM(MID(SUBSTITUTE('top 500'!A499," ",REPT(" ",LEN('top 500'!A499))), (2-1)*LEN('top 500'!A499)+1, LEN('top 500'!A499)))</f>
        <v>GHST/USDT</v>
      </c>
    </row>
    <row r="500" ht="15.75" customHeight="1">
      <c r="A500" s="7" t="str">
        <f>TRIM(MID(SUBSTITUTE('top 500'!A500," ",REPT(" ",LEN('top 500'!A500))), (2-1)*LEN('top 500'!A500)+1, LEN('top 500'!A500)))</f>
        <v>ALPACA/USDT</v>
      </c>
    </row>
    <row r="501" ht="15.75" customHeight="1">
      <c r="A501" s="7" t="str">
        <f>TRIM(MID(SUBSTITUTE('top 500'!A501," ",REPT(" ",LEN('top 500'!A501))), (2-1)*LEN('top 500'!A501)+1, LEN('top 500'!A501)))</f>
        <v>CHESS/USDT</v>
      </c>
    </row>
    <row r="502" ht="15.75" customHeight="1">
      <c r="A502" s="7" t="str">
        <f>TRIM(MID(SUBSTITUTE('top 500'!A502," ",REPT(" ",LEN('top 500'!A502))), (2-1)*LEN('top 500'!A502)+1, LEN('top 500'!A502)))</f>
        <v/>
      </c>
    </row>
    <row r="503" ht="15.75" customHeight="1">
      <c r="A503" s="7" t="str">
        <f>TRIM(MID(SUBSTITUTE('top 500'!A503," ",REPT(" ",LEN('top 500'!A503))), (2-1)*LEN('top 500'!A503)+1, LEN('top 500'!A503)))</f>
        <v/>
      </c>
    </row>
    <row r="504" ht="15.75" customHeight="1">
      <c r="A504" s="7" t="str">
        <f>TRIM(MID(SUBSTITUTE('top 500'!A504," ",REPT(" ",LEN('top 500'!A504))), (2-1)*LEN('top 500'!A504)+1, LEN('top 500'!A504)))</f>
        <v/>
      </c>
    </row>
    <row r="505" ht="15.75" customHeight="1">
      <c r="A505" s="7" t="str">
        <f>TRIM(MID(SUBSTITUTE('top 500'!A505," ",REPT(" ",LEN('top 500'!A505))), (2-1)*LEN('top 500'!A505)+1, LEN('top 500'!A505)))</f>
        <v/>
      </c>
    </row>
    <row r="506" ht="15.75" customHeight="1">
      <c r="A506" s="7" t="str">
        <f>TRIM(MID(SUBSTITUTE('top 500'!A506," ",REPT(" ",LEN('top 500'!A506))), (2-1)*LEN('top 500'!A506)+1, LEN('top 500'!A506)))</f>
        <v/>
      </c>
    </row>
    <row r="507" ht="15.75" customHeight="1">
      <c r="A507" s="7" t="str">
        <f>TRIM(MID(SUBSTITUTE('top 500'!A507," ",REPT(" ",LEN('top 500'!A507))), (2-1)*LEN('top 500'!A507)+1, LEN('top 500'!A507)))</f>
        <v/>
      </c>
    </row>
    <row r="508" ht="15.75" customHeight="1">
      <c r="A508" s="7" t="str">
        <f>TRIM(MID(SUBSTITUTE('top 500'!A508," ",REPT(" ",LEN('top 500'!A508))), (2-1)*LEN('top 500'!A508)+1, LEN('top 500'!A508)))</f>
        <v/>
      </c>
    </row>
    <row r="509" ht="15.75" customHeight="1">
      <c r="A509" s="7" t="str">
        <f>TRIM(MID(SUBSTITUTE('top 500'!A509," ",REPT(" ",LEN('top 500'!A509))), (2-1)*LEN('top 500'!A509)+1, LEN('top 500'!A509)))</f>
        <v/>
      </c>
    </row>
    <row r="510" ht="15.75" customHeight="1">
      <c r="A510" s="7" t="str">
        <f>TRIM(MID(SUBSTITUTE('top 500'!A510," ",REPT(" ",LEN('top 500'!A510))), (2-1)*LEN('top 500'!A510)+1, LEN('top 500'!A510)))</f>
        <v/>
      </c>
    </row>
    <row r="511" ht="15.75" customHeight="1">
      <c r="A511" s="7" t="str">
        <f>TRIM(MID(SUBSTITUTE('top 500'!A511," ",REPT(" ",LEN('top 500'!A511))), (2-1)*LEN('top 500'!A511)+1, LEN('top 500'!A511)))</f>
        <v/>
      </c>
    </row>
    <row r="512" ht="15.75" customHeight="1">
      <c r="A512" s="7" t="str">
        <f>TRIM(MID(SUBSTITUTE('top 500'!A512," ",REPT(" ",LEN('top 500'!A512))), (2-1)*LEN('top 500'!A512)+1, LEN('top 500'!A512)))</f>
        <v/>
      </c>
    </row>
    <row r="513" ht="15.75" customHeight="1">
      <c r="A513" s="7" t="str">
        <f>TRIM(MID(SUBSTITUTE('top 500'!A513," ",REPT(" ",LEN('top 500'!A513))), (2-1)*LEN('top 500'!A513)+1, LEN('top 500'!A513)))</f>
        <v/>
      </c>
    </row>
    <row r="514" ht="15.75" customHeight="1">
      <c r="A514" s="7" t="str">
        <f>TRIM(MID(SUBSTITUTE('top 500'!A514," ",REPT(" ",LEN('top 500'!A514))), (2-1)*LEN('top 500'!A514)+1, LEN('top 500'!A514)))</f>
        <v/>
      </c>
    </row>
    <row r="515" ht="15.75" customHeight="1">
      <c r="A515" s="7" t="str">
        <f>TRIM(MID(SUBSTITUTE('top 500'!A515," ",REPT(" ",LEN('top 500'!A515))), (2-1)*LEN('top 500'!A515)+1, LEN('top 500'!A515)))</f>
        <v/>
      </c>
    </row>
    <row r="516" ht="15.75" customHeight="1">
      <c r="A516" s="7" t="str">
        <f>TRIM(MID(SUBSTITUTE('top 500'!A516," ",REPT(" ",LEN('top 500'!A516))), (2-1)*LEN('top 500'!A516)+1, LEN('top 500'!A516)))</f>
        <v/>
      </c>
    </row>
    <row r="517" ht="15.75" customHeight="1">
      <c r="A517" s="7" t="str">
        <f>TRIM(MID(SUBSTITUTE('top 500'!A517," ",REPT(" ",LEN('top 500'!A517))), (2-1)*LEN('top 500'!A517)+1, LEN('top 500'!A517)))</f>
        <v/>
      </c>
    </row>
    <row r="518" ht="15.75" customHeight="1">
      <c r="A518" s="7" t="str">
        <f>TRIM(MID(SUBSTITUTE('top 500'!A518," ",REPT(" ",LEN('top 500'!A518))), (2-1)*LEN('top 500'!A518)+1, LEN('top 500'!A518)))</f>
        <v/>
      </c>
    </row>
    <row r="519" ht="15.75" customHeight="1">
      <c r="A519" s="7" t="str">
        <f>TRIM(MID(SUBSTITUTE('top 500'!A519," ",REPT(" ",LEN('top 500'!A519))), (2-1)*LEN('top 500'!A519)+1, LEN('top 500'!A519)))</f>
        <v/>
      </c>
    </row>
    <row r="520" ht="15.75" customHeight="1">
      <c r="A520" s="7" t="str">
        <f>TRIM(MID(SUBSTITUTE('top 500'!A520," ",REPT(" ",LEN('top 500'!A520))), (2-1)*LEN('top 500'!A520)+1, LEN('top 500'!A520)))</f>
        <v/>
      </c>
    </row>
    <row r="521" ht="15.75" customHeight="1">
      <c r="A521" s="7" t="str">
        <f>TRIM(MID(SUBSTITUTE('top 500'!A521," ",REPT(" ",LEN('top 500'!A521))), (2-1)*LEN('top 500'!A521)+1, LEN('top 500'!A521)))</f>
        <v/>
      </c>
    </row>
    <row r="522" ht="15.75" customHeight="1">
      <c r="A522" s="7" t="str">
        <f>TRIM(MID(SUBSTITUTE('top 500'!A522," ",REPT(" ",LEN('top 500'!A522))), (2-1)*LEN('top 500'!A522)+1, LEN('top 500'!A522)))</f>
        <v/>
      </c>
    </row>
    <row r="523" ht="15.75" customHeight="1">
      <c r="A523" s="7" t="str">
        <f>TRIM(MID(SUBSTITUTE('top 500'!A523," ",REPT(" ",LEN('top 500'!A523))), (2-1)*LEN('top 500'!A523)+1, LEN('top 500'!A523)))</f>
        <v/>
      </c>
    </row>
    <row r="524" ht="15.75" customHeight="1">
      <c r="A524" s="7" t="str">
        <f>TRIM(MID(SUBSTITUTE('top 500'!A524," ",REPT(" ",LEN('top 500'!A524))), (2-1)*LEN('top 500'!A524)+1, LEN('top 500'!A524)))</f>
        <v/>
      </c>
    </row>
    <row r="525" ht="15.75" customHeight="1">
      <c r="A525" s="7" t="str">
        <f>TRIM(MID(SUBSTITUTE('top 500'!A525," ",REPT(" ",LEN('top 500'!A525))), (2-1)*LEN('top 500'!A525)+1, LEN('top 500'!A525)))</f>
        <v/>
      </c>
    </row>
    <row r="526" ht="15.75" customHeight="1">
      <c r="A526" s="7" t="str">
        <f>TRIM(MID(SUBSTITUTE('top 500'!A526," ",REPT(" ",LEN('top 500'!A526))), (2-1)*LEN('top 500'!A526)+1, LEN('top 500'!A526)))</f>
        <v/>
      </c>
    </row>
    <row r="527" ht="15.75" customHeight="1">
      <c r="A527" s="7" t="str">
        <f>TRIM(MID(SUBSTITUTE('top 500'!A527," ",REPT(" ",LEN('top 500'!A527))), (2-1)*LEN('top 500'!A527)+1, LEN('top 500'!A527)))</f>
        <v/>
      </c>
    </row>
    <row r="528" ht="15.75" customHeight="1">
      <c r="A528" s="7" t="str">
        <f>TRIM(MID(SUBSTITUTE('top 500'!A528," ",REPT(" ",LEN('top 500'!A528))), (2-1)*LEN('top 500'!A528)+1, LEN('top 500'!A528)))</f>
        <v/>
      </c>
    </row>
    <row r="529" ht="15.75" customHeight="1">
      <c r="A529" s="7" t="str">
        <f>TRIM(MID(SUBSTITUTE('top 500'!A529," ",REPT(" ",LEN('top 500'!A529))), (2-1)*LEN('top 500'!A529)+1, LEN('top 500'!A529)))</f>
        <v/>
      </c>
    </row>
    <row r="530" ht="15.75" customHeight="1">
      <c r="A530" s="7" t="str">
        <f>TRIM(MID(SUBSTITUTE('top 500'!A530," ",REPT(" ",LEN('top 500'!A530))), (2-1)*LEN('top 500'!A530)+1, LEN('top 500'!A530)))</f>
        <v/>
      </c>
    </row>
    <row r="531" ht="15.75" customHeight="1">
      <c r="A531" s="7" t="str">
        <f>TRIM(MID(SUBSTITUTE('top 500'!A531," ",REPT(" ",LEN('top 500'!A531))), (2-1)*LEN('top 500'!A531)+1, LEN('top 500'!A531)))</f>
        <v/>
      </c>
    </row>
    <row r="532" ht="15.75" customHeight="1">
      <c r="A532" s="7" t="str">
        <f>TRIM(MID(SUBSTITUTE('top 500'!A532," ",REPT(" ",LEN('top 500'!A532))), (2-1)*LEN('top 500'!A532)+1, LEN('top 500'!A532)))</f>
        <v/>
      </c>
    </row>
    <row r="533" ht="15.75" customHeight="1">
      <c r="A533" s="7" t="str">
        <f>TRIM(MID(SUBSTITUTE('top 500'!A533," ",REPT(" ",LEN('top 500'!A533))), (2-1)*LEN('top 500'!A533)+1, LEN('top 500'!A533)))</f>
        <v/>
      </c>
    </row>
    <row r="534" ht="15.75" customHeight="1">
      <c r="A534" s="7" t="str">
        <f>TRIM(MID(SUBSTITUTE('top 500'!A534," ",REPT(" ",LEN('top 500'!A534))), (2-1)*LEN('top 500'!A534)+1, LEN('top 500'!A534)))</f>
        <v/>
      </c>
    </row>
    <row r="535" ht="15.75" customHeight="1">
      <c r="A535" s="7" t="str">
        <f>TRIM(MID(SUBSTITUTE('top 500'!A535," ",REPT(" ",LEN('top 500'!A535))), (2-1)*LEN('top 500'!A535)+1, LEN('top 500'!A535)))</f>
        <v/>
      </c>
    </row>
    <row r="536" ht="15.75" customHeight="1">
      <c r="A536" s="7" t="str">
        <f>TRIM(MID(SUBSTITUTE('top 500'!A536," ",REPT(" ",LEN('top 500'!A536))), (2-1)*LEN('top 500'!A536)+1, LEN('top 500'!A536)))</f>
        <v/>
      </c>
    </row>
    <row r="537" ht="15.75" customHeight="1">
      <c r="A537" s="7" t="str">
        <f>TRIM(MID(SUBSTITUTE('top 500'!A537," ",REPT(" ",LEN('top 500'!A537))), (2-1)*LEN('top 500'!A537)+1, LEN('top 500'!A537)))</f>
        <v/>
      </c>
    </row>
    <row r="538" ht="15.75" customHeight="1">
      <c r="A538" s="7" t="str">
        <f>TRIM(MID(SUBSTITUTE('top 500'!A538," ",REPT(" ",LEN('top 500'!A538))), (2-1)*LEN('top 500'!A538)+1, LEN('top 500'!A538)))</f>
        <v/>
      </c>
    </row>
    <row r="539" ht="15.75" customHeight="1">
      <c r="A539" s="7" t="str">
        <f>TRIM(MID(SUBSTITUTE('top 500'!A539," ",REPT(" ",LEN('top 500'!A539))), (2-1)*LEN('top 500'!A539)+1, LEN('top 500'!A539)))</f>
        <v/>
      </c>
    </row>
    <row r="540" ht="15.75" customHeight="1">
      <c r="A540" s="7" t="str">
        <f>TRIM(MID(SUBSTITUTE('top 500'!A540," ",REPT(" ",LEN('top 500'!A540))), (2-1)*LEN('top 500'!A540)+1, LEN('top 500'!A540)))</f>
        <v/>
      </c>
    </row>
    <row r="541" ht="15.75" customHeight="1">
      <c r="A541" s="7" t="str">
        <f>TRIM(MID(SUBSTITUTE('top 500'!A541," ",REPT(" ",LEN('top 500'!A541))), (2-1)*LEN('top 500'!A541)+1, LEN('top 500'!A541)))</f>
        <v/>
      </c>
    </row>
    <row r="542" ht="15.75" customHeight="1">
      <c r="A542" s="7" t="str">
        <f>TRIM(MID(SUBSTITUTE('top 500'!A542," ",REPT(" ",LEN('top 500'!A542))), (2-1)*LEN('top 500'!A542)+1, LEN('top 500'!A542)))</f>
        <v/>
      </c>
    </row>
    <row r="543" ht="15.75" customHeight="1">
      <c r="A543" s="7" t="str">
        <f>TRIM(MID(SUBSTITUTE('top 500'!A543," ",REPT(" ",LEN('top 500'!A543))), (2-1)*LEN('top 500'!A543)+1, LEN('top 500'!A543)))</f>
        <v/>
      </c>
    </row>
    <row r="544" ht="15.75" customHeight="1">
      <c r="A544" s="7" t="str">
        <f>TRIM(MID(SUBSTITUTE('top 500'!A544," ",REPT(" ",LEN('top 500'!A544))), (2-1)*LEN('top 500'!A544)+1, LEN('top 500'!A544)))</f>
        <v/>
      </c>
    </row>
    <row r="545" ht="15.75" customHeight="1">
      <c r="A545" s="7" t="str">
        <f>TRIM(MID(SUBSTITUTE('top 500'!A545," ",REPT(" ",LEN('top 500'!A545))), (2-1)*LEN('top 500'!A545)+1, LEN('top 500'!A545)))</f>
        <v/>
      </c>
    </row>
    <row r="546" ht="15.75" customHeight="1">
      <c r="A546" s="7" t="str">
        <f>TRIM(MID(SUBSTITUTE('top 500'!A546," ",REPT(" ",LEN('top 500'!A546))), (2-1)*LEN('top 500'!A546)+1, LEN('top 500'!A546)))</f>
        <v/>
      </c>
    </row>
    <row r="547" ht="15.75" customHeight="1">
      <c r="A547" s="7" t="str">
        <f>TRIM(MID(SUBSTITUTE('top 500'!A547," ",REPT(" ",LEN('top 500'!A547))), (2-1)*LEN('top 500'!A547)+1, LEN('top 500'!A547)))</f>
        <v/>
      </c>
    </row>
    <row r="548" ht="15.75" customHeight="1">
      <c r="A548" s="7" t="str">
        <f>TRIM(MID(SUBSTITUTE('top 500'!A548," ",REPT(" ",LEN('top 500'!A548))), (2-1)*LEN('top 500'!A548)+1, LEN('top 500'!A548)))</f>
        <v/>
      </c>
    </row>
    <row r="549" ht="15.75" customHeight="1">
      <c r="A549" s="7" t="str">
        <f>TRIM(MID(SUBSTITUTE('top 500'!A549," ",REPT(" ",LEN('top 500'!A549))), (2-1)*LEN('top 500'!A549)+1, LEN('top 500'!A549)))</f>
        <v/>
      </c>
    </row>
    <row r="550" ht="15.75" customHeight="1">
      <c r="A550" s="7" t="str">
        <f>TRIM(MID(SUBSTITUTE('top 500'!A550," ",REPT(" ",LEN('top 500'!A550))), (2-1)*LEN('top 500'!A550)+1, LEN('top 500'!A550)))</f>
        <v/>
      </c>
    </row>
    <row r="551" ht="15.75" customHeight="1">
      <c r="A551" s="7" t="str">
        <f>TRIM(MID(SUBSTITUTE('top 500'!A551," ",REPT(" ",LEN('top 500'!A551))), (2-1)*LEN('top 500'!A551)+1, LEN('top 500'!A551)))</f>
        <v/>
      </c>
    </row>
    <row r="552" ht="15.75" customHeight="1">
      <c r="A552" s="7" t="str">
        <f>TRIM(MID(SUBSTITUTE('top 500'!A552," ",REPT(" ",LEN('top 500'!A552))), (2-1)*LEN('top 500'!A552)+1, LEN('top 500'!A552)))</f>
        <v/>
      </c>
    </row>
    <row r="553" ht="15.75" customHeight="1">
      <c r="A553" s="7" t="str">
        <f>TRIM(MID(SUBSTITUTE('top 500'!A553," ",REPT(" ",LEN('top 500'!A553))), (2-1)*LEN('top 500'!A553)+1, LEN('top 500'!A553)))</f>
        <v/>
      </c>
    </row>
    <row r="554" ht="15.75" customHeight="1">
      <c r="A554" s="7" t="str">
        <f>TRIM(MID(SUBSTITUTE('top 500'!A554," ",REPT(" ",LEN('top 500'!A554))), (2-1)*LEN('top 500'!A554)+1, LEN('top 500'!A554)))</f>
        <v/>
      </c>
    </row>
    <row r="555" ht="15.75" customHeight="1">
      <c r="A555" s="7" t="str">
        <f>TRIM(MID(SUBSTITUTE('top 500'!A555," ",REPT(" ",LEN('top 500'!A555))), (2-1)*LEN('top 500'!A555)+1, LEN('top 500'!A555)))</f>
        <v/>
      </c>
    </row>
    <row r="556" ht="15.75" customHeight="1">
      <c r="A556" s="7" t="str">
        <f>TRIM(MID(SUBSTITUTE('top 500'!A556," ",REPT(" ",LEN('top 500'!A556))), (2-1)*LEN('top 500'!A556)+1, LEN('top 500'!A556)))</f>
        <v/>
      </c>
    </row>
    <row r="557" ht="15.75" customHeight="1">
      <c r="A557" s="7" t="str">
        <f>TRIM(MID(SUBSTITUTE('top 500'!A557," ",REPT(" ",LEN('top 500'!A557))), (2-1)*LEN('top 500'!A557)+1, LEN('top 500'!A557)))</f>
        <v/>
      </c>
    </row>
    <row r="558" ht="15.75" customHeight="1">
      <c r="A558" s="7" t="str">
        <f>TRIM(MID(SUBSTITUTE('top 500'!A558," ",REPT(" ",LEN('top 500'!A558))), (2-1)*LEN('top 500'!A558)+1, LEN('top 500'!A558)))</f>
        <v/>
      </c>
    </row>
    <row r="559" ht="15.75" customHeight="1">
      <c r="A559" s="7" t="str">
        <f>TRIM(MID(SUBSTITUTE('top 500'!A559," ",REPT(" ",LEN('top 500'!A559))), (2-1)*LEN('top 500'!A559)+1, LEN('top 500'!A559)))</f>
        <v/>
      </c>
    </row>
    <row r="560" ht="15.75" customHeight="1">
      <c r="A560" s="7" t="str">
        <f>TRIM(MID(SUBSTITUTE('top 500'!A560," ",REPT(" ",LEN('top 500'!A560))), (2-1)*LEN('top 500'!A560)+1, LEN('top 500'!A560)))</f>
        <v/>
      </c>
    </row>
    <row r="561" ht="15.75" customHeight="1">
      <c r="A561" s="7" t="str">
        <f>TRIM(MID(SUBSTITUTE('top 500'!A561," ",REPT(" ",LEN('top 500'!A561))), (2-1)*LEN('top 500'!A561)+1, LEN('top 500'!A561)))</f>
        <v/>
      </c>
    </row>
    <row r="562" ht="15.75" customHeight="1">
      <c r="A562" s="7" t="str">
        <f>TRIM(MID(SUBSTITUTE('top 500'!A562," ",REPT(" ",LEN('top 500'!A562))), (2-1)*LEN('top 500'!A562)+1, LEN('top 500'!A562)))</f>
        <v/>
      </c>
    </row>
    <row r="563" ht="15.75" customHeight="1">
      <c r="A563" s="7" t="str">
        <f>TRIM(MID(SUBSTITUTE('top 500'!A563," ",REPT(" ",LEN('top 500'!A563))), (2-1)*LEN('top 500'!A563)+1, LEN('top 500'!A563)))</f>
        <v/>
      </c>
    </row>
    <row r="564" ht="15.75" customHeight="1">
      <c r="A564" s="7" t="str">
        <f>TRIM(MID(SUBSTITUTE('top 500'!A564," ",REPT(" ",LEN('top 500'!A564))), (2-1)*LEN('top 500'!A564)+1, LEN('top 500'!A564)))</f>
        <v/>
      </c>
    </row>
    <row r="565" ht="15.75" customHeight="1">
      <c r="A565" s="7" t="str">
        <f>TRIM(MID(SUBSTITUTE('top 500'!A565," ",REPT(" ",LEN('top 500'!A565))), (2-1)*LEN('top 500'!A565)+1, LEN('top 500'!A565)))</f>
        <v/>
      </c>
    </row>
    <row r="566" ht="15.75" customHeight="1">
      <c r="A566" s="7" t="str">
        <f>TRIM(MID(SUBSTITUTE('top 500'!A566," ",REPT(" ",LEN('top 500'!A566))), (2-1)*LEN('top 500'!A566)+1, LEN('top 500'!A566)))</f>
        <v/>
      </c>
    </row>
    <row r="567" ht="15.75" customHeight="1">
      <c r="A567" s="7" t="str">
        <f>TRIM(MID(SUBSTITUTE('top 500'!A567," ",REPT(" ",LEN('top 500'!A567))), (2-1)*LEN('top 500'!A567)+1, LEN('top 500'!A567)))</f>
        <v/>
      </c>
    </row>
    <row r="568" ht="15.75" customHeight="1">
      <c r="A568" s="7" t="str">
        <f>TRIM(MID(SUBSTITUTE('top 500'!A568," ",REPT(" ",LEN('top 500'!A568))), (2-1)*LEN('top 500'!A568)+1, LEN('top 500'!A568)))</f>
        <v/>
      </c>
    </row>
    <row r="569" ht="15.75" customHeight="1">
      <c r="A569" s="7" t="str">
        <f>TRIM(MID(SUBSTITUTE('top 500'!A569," ",REPT(" ",LEN('top 500'!A569))), (2-1)*LEN('top 500'!A569)+1, LEN('top 500'!A569)))</f>
        <v/>
      </c>
    </row>
    <row r="570" ht="15.75" customHeight="1">
      <c r="A570" s="7" t="str">
        <f>TRIM(MID(SUBSTITUTE('top 500'!A570," ",REPT(" ",LEN('top 500'!A570))), (2-1)*LEN('top 500'!A570)+1, LEN('top 500'!A570)))</f>
        <v/>
      </c>
    </row>
    <row r="571" ht="15.75" customHeight="1">
      <c r="A571" s="7" t="str">
        <f>TRIM(MID(SUBSTITUTE('top 500'!A571," ",REPT(" ",LEN('top 500'!A571))), (2-1)*LEN('top 500'!A571)+1, LEN('top 500'!A571)))</f>
        <v/>
      </c>
    </row>
    <row r="572" ht="15.75" customHeight="1">
      <c r="A572" s="7" t="str">
        <f>TRIM(MID(SUBSTITUTE('top 500'!A572," ",REPT(" ",LEN('top 500'!A572))), (2-1)*LEN('top 500'!A572)+1, LEN('top 500'!A572)))</f>
        <v/>
      </c>
    </row>
    <row r="573" ht="15.75" customHeight="1">
      <c r="A573" s="7" t="str">
        <f>TRIM(MID(SUBSTITUTE('top 500'!A573," ",REPT(" ",LEN('top 500'!A573))), (2-1)*LEN('top 500'!A573)+1, LEN('top 500'!A573)))</f>
        <v/>
      </c>
    </row>
    <row r="574" ht="15.75" customHeight="1">
      <c r="A574" s="7" t="str">
        <f>TRIM(MID(SUBSTITUTE('top 500'!A574," ",REPT(" ",LEN('top 500'!A574))), (2-1)*LEN('top 500'!A574)+1, LEN('top 500'!A574)))</f>
        <v/>
      </c>
    </row>
    <row r="575" ht="15.75" customHeight="1">
      <c r="A575" s="7" t="str">
        <f>TRIM(MID(SUBSTITUTE('top 500'!A575," ",REPT(" ",LEN('top 500'!A575))), (2-1)*LEN('top 500'!A575)+1, LEN('top 500'!A575)))</f>
        <v/>
      </c>
    </row>
    <row r="576" ht="15.75" customHeight="1">
      <c r="A576" s="7" t="str">
        <f>TRIM(MID(SUBSTITUTE('top 500'!A576," ",REPT(" ",LEN('top 500'!A576))), (2-1)*LEN('top 500'!A576)+1, LEN('top 500'!A576)))</f>
        <v/>
      </c>
    </row>
    <row r="577" ht="15.75" customHeight="1">
      <c r="A577" s="7" t="str">
        <f>TRIM(MID(SUBSTITUTE('top 500'!A577," ",REPT(" ",LEN('top 500'!A577))), (2-1)*LEN('top 500'!A577)+1, LEN('top 500'!A577)))</f>
        <v/>
      </c>
    </row>
    <row r="578" ht="15.75" customHeight="1">
      <c r="A578" s="7" t="str">
        <f>TRIM(MID(SUBSTITUTE('top 500'!A578," ",REPT(" ",LEN('top 500'!A578))), (2-1)*LEN('top 500'!A578)+1, LEN('top 500'!A578)))</f>
        <v/>
      </c>
    </row>
    <row r="579" ht="15.75" customHeight="1">
      <c r="A579" s="7" t="str">
        <f>TRIM(MID(SUBSTITUTE('top 500'!A579," ",REPT(" ",LEN('top 500'!A579))), (2-1)*LEN('top 500'!A579)+1, LEN('top 500'!A579)))</f>
        <v/>
      </c>
    </row>
    <row r="580" ht="15.75" customHeight="1">
      <c r="A580" s="7" t="str">
        <f>TRIM(MID(SUBSTITUTE('top 500'!A580," ",REPT(" ",LEN('top 500'!A580))), (2-1)*LEN('top 500'!A580)+1, LEN('top 500'!A580)))</f>
        <v/>
      </c>
    </row>
    <row r="581" ht="15.75" customHeight="1">
      <c r="A581" s="7" t="str">
        <f>TRIM(MID(SUBSTITUTE('top 500'!A581," ",REPT(" ",LEN('top 500'!A581))), (2-1)*LEN('top 500'!A581)+1, LEN('top 500'!A581)))</f>
        <v/>
      </c>
    </row>
    <row r="582" ht="15.75" customHeight="1">
      <c r="A582" s="7" t="str">
        <f>TRIM(MID(SUBSTITUTE('top 500'!A582," ",REPT(" ",LEN('top 500'!A582))), (2-1)*LEN('top 500'!A582)+1, LEN('top 500'!A582)))</f>
        <v/>
      </c>
    </row>
    <row r="583" ht="15.75" customHeight="1">
      <c r="A583" s="7" t="str">
        <f>TRIM(MID(SUBSTITUTE('top 500'!A583," ",REPT(" ",LEN('top 500'!A583))), (2-1)*LEN('top 500'!A583)+1, LEN('top 500'!A583)))</f>
        <v/>
      </c>
    </row>
    <row r="584" ht="15.75" customHeight="1">
      <c r="A584" s="7" t="str">
        <f>TRIM(MID(SUBSTITUTE('top 500'!A584," ",REPT(" ",LEN('top 500'!A584))), (2-1)*LEN('top 500'!A584)+1, LEN('top 500'!A584)))</f>
        <v/>
      </c>
    </row>
    <row r="585" ht="15.75" customHeight="1">
      <c r="A585" s="7" t="str">
        <f>TRIM(MID(SUBSTITUTE('top 500'!A585," ",REPT(" ",LEN('top 500'!A585))), (2-1)*LEN('top 500'!A585)+1, LEN('top 500'!A585)))</f>
        <v/>
      </c>
    </row>
    <row r="586" ht="15.75" customHeight="1">
      <c r="A586" s="7" t="str">
        <f>TRIM(MID(SUBSTITUTE('top 500'!A586," ",REPT(" ",LEN('top 500'!A586))), (2-1)*LEN('top 500'!A586)+1, LEN('top 500'!A586)))</f>
        <v/>
      </c>
    </row>
    <row r="587" ht="15.75" customHeight="1">
      <c r="A587" s="7" t="str">
        <f>TRIM(MID(SUBSTITUTE('top 500'!A587," ",REPT(" ",LEN('top 500'!A587))), (2-1)*LEN('top 500'!A587)+1, LEN('top 500'!A587)))</f>
        <v/>
      </c>
    </row>
    <row r="588" ht="15.75" customHeight="1">
      <c r="A588" s="7" t="str">
        <f>TRIM(MID(SUBSTITUTE('top 500'!A588," ",REPT(" ",LEN('top 500'!A588))), (2-1)*LEN('top 500'!A588)+1, LEN('top 500'!A588)))</f>
        <v/>
      </c>
    </row>
    <row r="589" ht="15.75" customHeight="1">
      <c r="A589" s="7" t="str">
        <f>TRIM(MID(SUBSTITUTE('top 500'!A589," ",REPT(" ",LEN('top 500'!A589))), (2-1)*LEN('top 500'!A589)+1, LEN('top 500'!A589)))</f>
        <v/>
      </c>
    </row>
    <row r="590" ht="15.75" customHeight="1">
      <c r="A590" s="7" t="str">
        <f>TRIM(MID(SUBSTITUTE('top 500'!A590," ",REPT(" ",LEN('top 500'!A590))), (2-1)*LEN('top 500'!A590)+1, LEN('top 500'!A590)))</f>
        <v/>
      </c>
    </row>
    <row r="591" ht="15.75" customHeight="1">
      <c r="A591" s="7" t="str">
        <f>TRIM(MID(SUBSTITUTE('top 500'!A591," ",REPT(" ",LEN('top 500'!A591))), (2-1)*LEN('top 500'!A591)+1, LEN('top 500'!A591)))</f>
        <v/>
      </c>
    </row>
    <row r="592" ht="15.75" customHeight="1">
      <c r="A592" s="7" t="str">
        <f>TRIM(MID(SUBSTITUTE('top 500'!A592," ",REPT(" ",LEN('top 500'!A592))), (2-1)*LEN('top 500'!A592)+1, LEN('top 500'!A592)))</f>
        <v/>
      </c>
    </row>
    <row r="593" ht="15.75" customHeight="1">
      <c r="A593" s="7" t="str">
        <f>TRIM(MID(SUBSTITUTE('top 500'!A593," ",REPT(" ",LEN('top 500'!A593))), (2-1)*LEN('top 500'!A593)+1, LEN('top 500'!A593)))</f>
        <v/>
      </c>
    </row>
    <row r="594" ht="15.75" customHeight="1">
      <c r="A594" s="7" t="str">
        <f>TRIM(MID(SUBSTITUTE('top 500'!A594," ",REPT(" ",LEN('top 500'!A594))), (2-1)*LEN('top 500'!A594)+1, LEN('top 500'!A594)))</f>
        <v/>
      </c>
    </row>
    <row r="595" ht="15.75" customHeight="1">
      <c r="A595" s="7" t="str">
        <f>TRIM(MID(SUBSTITUTE('top 500'!A595," ",REPT(" ",LEN('top 500'!A595))), (2-1)*LEN('top 500'!A595)+1, LEN('top 500'!A595)))</f>
        <v/>
      </c>
    </row>
    <row r="596" ht="15.75" customHeight="1">
      <c r="A596" s="7" t="str">
        <f>TRIM(MID(SUBSTITUTE('top 500'!A596," ",REPT(" ",LEN('top 500'!A596))), (2-1)*LEN('top 500'!A596)+1, LEN('top 500'!A596)))</f>
        <v/>
      </c>
    </row>
    <row r="597" ht="15.75" customHeight="1">
      <c r="A597" s="7" t="str">
        <f>TRIM(MID(SUBSTITUTE('top 500'!A597," ",REPT(" ",LEN('top 500'!A597))), (2-1)*LEN('top 500'!A597)+1, LEN('top 500'!A597)))</f>
        <v/>
      </c>
    </row>
    <row r="598" ht="15.75" customHeight="1">
      <c r="A598" s="7" t="str">
        <f>TRIM(MID(SUBSTITUTE('top 500'!A598," ",REPT(" ",LEN('top 500'!A598))), (2-1)*LEN('top 500'!A598)+1, LEN('top 500'!A598)))</f>
        <v/>
      </c>
    </row>
    <row r="599" ht="15.75" customHeight="1">
      <c r="A599" s="7" t="str">
        <f>TRIM(MID(SUBSTITUTE('top 500'!A599," ",REPT(" ",LEN('top 500'!A599))), (2-1)*LEN('top 500'!A599)+1, LEN('top 500'!A599)))</f>
        <v/>
      </c>
    </row>
    <row r="600" ht="15.75" customHeight="1">
      <c r="A600" s="7" t="str">
        <f>TRIM(MID(SUBSTITUTE('top 500'!A600," ",REPT(" ",LEN('top 500'!A600))), (2-1)*LEN('top 500'!A600)+1, LEN('top 500'!A600)))</f>
        <v/>
      </c>
    </row>
    <row r="601" ht="15.75" customHeight="1">
      <c r="A601" s="7" t="str">
        <f>TRIM(MID(SUBSTITUTE('top 500'!A601," ",REPT(" ",LEN('top 500'!A601))), (2-1)*LEN('top 500'!A601)+1, LEN('top 500'!A601)))</f>
        <v/>
      </c>
    </row>
    <row r="602" ht="15.75" customHeight="1">
      <c r="A602" s="7" t="str">
        <f>TRIM(MID(SUBSTITUTE('top 500'!A602," ",REPT(" ",LEN('top 500'!A602))), (2-1)*LEN('top 500'!A602)+1, LEN('top 500'!A602)))</f>
        <v/>
      </c>
    </row>
    <row r="603" ht="15.75" customHeight="1">
      <c r="A603" s="7" t="str">
        <f>TRIM(MID(SUBSTITUTE('top 500'!A603," ",REPT(" ",LEN('top 500'!A603))), (2-1)*LEN('top 500'!A603)+1, LEN('top 500'!A603)))</f>
        <v/>
      </c>
    </row>
    <row r="604" ht="15.75" customHeight="1">
      <c r="A604" s="7" t="str">
        <f>TRIM(MID(SUBSTITUTE('top 500'!A604," ",REPT(" ",LEN('top 500'!A604))), (2-1)*LEN('top 500'!A604)+1, LEN('top 500'!A604)))</f>
        <v/>
      </c>
    </row>
    <row r="605" ht="15.75" customHeight="1">
      <c r="A605" s="7" t="str">
        <f>TRIM(MID(SUBSTITUTE('top 500'!A605," ",REPT(" ",LEN('top 500'!A605))), (2-1)*LEN('top 500'!A605)+1, LEN('top 500'!A605)))</f>
        <v/>
      </c>
    </row>
    <row r="606" ht="15.75" customHeight="1">
      <c r="A606" s="7" t="str">
        <f>TRIM(MID(SUBSTITUTE('top 500'!A606," ",REPT(" ",LEN('top 500'!A606))), (2-1)*LEN('top 500'!A606)+1, LEN('top 500'!A606)))</f>
        <v/>
      </c>
    </row>
    <row r="607" ht="15.75" customHeight="1">
      <c r="A607" s="7" t="str">
        <f>TRIM(MID(SUBSTITUTE('top 500'!A607," ",REPT(" ",LEN('top 500'!A607))), (2-1)*LEN('top 500'!A607)+1, LEN('top 500'!A607)))</f>
        <v/>
      </c>
    </row>
    <row r="608" ht="15.75" customHeight="1">
      <c r="A608" s="7" t="str">
        <f>TRIM(MID(SUBSTITUTE('top 500'!A608," ",REPT(" ",LEN('top 500'!A608))), (2-1)*LEN('top 500'!A608)+1, LEN('top 500'!A608)))</f>
        <v/>
      </c>
    </row>
    <row r="609" ht="15.75" customHeight="1">
      <c r="A609" s="7" t="str">
        <f>TRIM(MID(SUBSTITUTE('top 500'!A609," ",REPT(" ",LEN('top 500'!A609))), (2-1)*LEN('top 500'!A609)+1, LEN('top 500'!A609)))</f>
        <v/>
      </c>
    </row>
    <row r="610" ht="15.75" customHeight="1">
      <c r="A610" s="7" t="str">
        <f>TRIM(MID(SUBSTITUTE('top 500'!A610," ",REPT(" ",LEN('top 500'!A610))), (2-1)*LEN('top 500'!A610)+1, LEN('top 500'!A610)))</f>
        <v/>
      </c>
    </row>
    <row r="611" ht="15.75" customHeight="1">
      <c r="A611" s="7" t="str">
        <f>TRIM(MID(SUBSTITUTE('top 500'!A611," ",REPT(" ",LEN('top 500'!A611))), (2-1)*LEN('top 500'!A611)+1, LEN('top 500'!A611)))</f>
        <v/>
      </c>
    </row>
    <row r="612" ht="15.75" customHeight="1">
      <c r="A612" s="7" t="str">
        <f>TRIM(MID(SUBSTITUTE('top 500'!A612," ",REPT(" ",LEN('top 500'!A612))), (2-1)*LEN('top 500'!A612)+1, LEN('top 500'!A612)))</f>
        <v/>
      </c>
    </row>
    <row r="613" ht="15.75" customHeight="1">
      <c r="A613" s="7" t="str">
        <f>TRIM(MID(SUBSTITUTE('top 500'!A613," ",REPT(" ",LEN('top 500'!A613))), (2-1)*LEN('top 500'!A613)+1, LEN('top 500'!A613)))</f>
        <v/>
      </c>
    </row>
    <row r="614" ht="15.75" customHeight="1">
      <c r="A614" s="7" t="str">
        <f>TRIM(MID(SUBSTITUTE('top 500'!A614," ",REPT(" ",LEN('top 500'!A614))), (2-1)*LEN('top 500'!A614)+1, LEN('top 500'!A614)))</f>
        <v/>
      </c>
    </row>
    <row r="615" ht="15.75" customHeight="1">
      <c r="A615" s="7" t="str">
        <f>TRIM(MID(SUBSTITUTE('top 500'!A615," ",REPT(" ",LEN('top 500'!A615))), (2-1)*LEN('top 500'!A615)+1, LEN('top 500'!A615)))</f>
        <v/>
      </c>
    </row>
    <row r="616" ht="15.75" customHeight="1">
      <c r="A616" s="7" t="str">
        <f>TRIM(MID(SUBSTITUTE('top 500'!A616," ",REPT(" ",LEN('top 500'!A616))), (2-1)*LEN('top 500'!A616)+1, LEN('top 500'!A616)))</f>
        <v/>
      </c>
    </row>
    <row r="617" ht="15.75" customHeight="1">
      <c r="A617" s="7" t="str">
        <f>TRIM(MID(SUBSTITUTE('top 500'!A617," ",REPT(" ",LEN('top 500'!A617))), (2-1)*LEN('top 500'!A617)+1, LEN('top 500'!A617)))</f>
        <v/>
      </c>
    </row>
    <row r="618" ht="15.75" customHeight="1">
      <c r="A618" s="7" t="str">
        <f>TRIM(MID(SUBSTITUTE('top 500'!A618," ",REPT(" ",LEN('top 500'!A618))), (2-1)*LEN('top 500'!A618)+1, LEN('top 500'!A618)))</f>
        <v/>
      </c>
    </row>
    <row r="619" ht="15.75" customHeight="1">
      <c r="A619" s="7" t="str">
        <f>TRIM(MID(SUBSTITUTE('top 500'!A619," ",REPT(" ",LEN('top 500'!A619))), (2-1)*LEN('top 500'!A619)+1, LEN('top 500'!A619)))</f>
        <v/>
      </c>
    </row>
    <row r="620" ht="15.75" customHeight="1">
      <c r="A620" s="7" t="str">
        <f>TRIM(MID(SUBSTITUTE('top 500'!A620," ",REPT(" ",LEN('top 500'!A620))), (2-1)*LEN('top 500'!A620)+1, LEN('top 500'!A620)))</f>
        <v/>
      </c>
    </row>
    <row r="621" ht="15.75" customHeight="1">
      <c r="A621" s="7" t="str">
        <f>TRIM(MID(SUBSTITUTE('top 500'!A621," ",REPT(" ",LEN('top 500'!A621))), (2-1)*LEN('top 500'!A621)+1, LEN('top 500'!A621)))</f>
        <v/>
      </c>
    </row>
    <row r="622" ht="15.75" customHeight="1">
      <c r="A622" s="7" t="str">
        <f>TRIM(MID(SUBSTITUTE('top 500'!A622," ",REPT(" ",LEN('top 500'!A622))), (2-1)*LEN('top 500'!A622)+1, LEN('top 500'!A622)))</f>
        <v/>
      </c>
    </row>
    <row r="623" ht="15.75" customHeight="1">
      <c r="A623" s="7" t="str">
        <f>TRIM(MID(SUBSTITUTE('top 500'!A623," ",REPT(" ",LEN('top 500'!A623))), (2-1)*LEN('top 500'!A623)+1, LEN('top 500'!A623)))</f>
        <v/>
      </c>
    </row>
    <row r="624" ht="15.75" customHeight="1">
      <c r="A624" s="7" t="str">
        <f>TRIM(MID(SUBSTITUTE('top 500'!A624," ",REPT(" ",LEN('top 500'!A624))), (2-1)*LEN('top 500'!A624)+1, LEN('top 500'!A624)))</f>
        <v/>
      </c>
    </row>
    <row r="625" ht="15.75" customHeight="1">
      <c r="A625" s="7" t="str">
        <f>TRIM(MID(SUBSTITUTE('top 500'!A625," ",REPT(" ",LEN('top 500'!A625))), (2-1)*LEN('top 500'!A625)+1, LEN('top 500'!A625)))</f>
        <v/>
      </c>
    </row>
    <row r="626" ht="15.75" customHeight="1">
      <c r="A626" s="7" t="str">
        <f>TRIM(MID(SUBSTITUTE('top 500'!A626," ",REPT(" ",LEN('top 500'!A626))), (2-1)*LEN('top 500'!A626)+1, LEN('top 500'!A626)))</f>
        <v/>
      </c>
    </row>
    <row r="627" ht="15.75" customHeight="1">
      <c r="A627" s="7" t="str">
        <f>TRIM(MID(SUBSTITUTE('top 500'!A627," ",REPT(" ",LEN('top 500'!A627))), (2-1)*LEN('top 500'!A627)+1, LEN('top 500'!A627)))</f>
        <v/>
      </c>
    </row>
    <row r="628" ht="15.75" customHeight="1">
      <c r="A628" s="7" t="str">
        <f>TRIM(MID(SUBSTITUTE('top 500'!A628," ",REPT(" ",LEN('top 500'!A628))), (2-1)*LEN('top 500'!A628)+1, LEN('top 500'!A628)))</f>
        <v/>
      </c>
    </row>
    <row r="629" ht="15.75" customHeight="1">
      <c r="A629" s="7" t="str">
        <f>TRIM(MID(SUBSTITUTE('top 500'!A629," ",REPT(" ",LEN('top 500'!A629))), (2-1)*LEN('top 500'!A629)+1, LEN('top 500'!A629)))</f>
        <v/>
      </c>
    </row>
    <row r="630" ht="15.75" customHeight="1">
      <c r="A630" s="7" t="str">
        <f>TRIM(MID(SUBSTITUTE('top 500'!A630," ",REPT(" ",LEN('top 500'!A630))), (2-1)*LEN('top 500'!A630)+1, LEN('top 500'!A630)))</f>
        <v/>
      </c>
    </row>
    <row r="631" ht="15.75" customHeight="1">
      <c r="A631" s="7" t="str">
        <f>TRIM(MID(SUBSTITUTE('top 500'!A631," ",REPT(" ",LEN('top 500'!A631))), (2-1)*LEN('top 500'!A631)+1, LEN('top 500'!A631)))</f>
        <v/>
      </c>
    </row>
    <row r="632" ht="15.75" customHeight="1">
      <c r="A632" s="7" t="str">
        <f>TRIM(MID(SUBSTITUTE('top 500'!A632," ",REPT(" ",LEN('top 500'!A632))), (2-1)*LEN('top 500'!A632)+1, LEN('top 500'!A632)))</f>
        <v/>
      </c>
    </row>
    <row r="633" ht="15.75" customHeight="1">
      <c r="A633" s="7" t="str">
        <f>TRIM(MID(SUBSTITUTE('top 500'!A633," ",REPT(" ",LEN('top 500'!A633))), (2-1)*LEN('top 500'!A633)+1, LEN('top 500'!A633)))</f>
        <v/>
      </c>
    </row>
    <row r="634" ht="15.75" customHeight="1">
      <c r="A634" s="7" t="str">
        <f>TRIM(MID(SUBSTITUTE('top 500'!A634," ",REPT(" ",LEN('top 500'!A634))), (2-1)*LEN('top 500'!A634)+1, LEN('top 500'!A634)))</f>
        <v/>
      </c>
    </row>
    <row r="635" ht="15.75" customHeight="1">
      <c r="A635" s="7" t="str">
        <f>TRIM(MID(SUBSTITUTE('top 500'!A635," ",REPT(" ",LEN('top 500'!A635))), (2-1)*LEN('top 500'!A635)+1, LEN('top 500'!A635)))</f>
        <v/>
      </c>
    </row>
    <row r="636" ht="15.75" customHeight="1">
      <c r="A636" s="7" t="str">
        <f>TRIM(MID(SUBSTITUTE('top 500'!A636," ",REPT(" ",LEN('top 500'!A636))), (2-1)*LEN('top 500'!A636)+1, LEN('top 500'!A636)))</f>
        <v/>
      </c>
    </row>
    <row r="637" ht="15.75" customHeight="1">
      <c r="A637" s="7" t="str">
        <f>TRIM(MID(SUBSTITUTE('top 500'!A637," ",REPT(" ",LEN('top 500'!A637))), (2-1)*LEN('top 500'!A637)+1, LEN('top 500'!A637)))</f>
        <v/>
      </c>
    </row>
    <row r="638" ht="15.75" customHeight="1">
      <c r="A638" s="7" t="str">
        <f>TRIM(MID(SUBSTITUTE('top 500'!A638," ",REPT(" ",LEN('top 500'!A638))), (2-1)*LEN('top 500'!A638)+1, LEN('top 500'!A638)))</f>
        <v/>
      </c>
    </row>
    <row r="639" ht="15.75" customHeight="1">
      <c r="A639" s="7" t="str">
        <f>TRIM(MID(SUBSTITUTE('top 500'!A639," ",REPT(" ",LEN('top 500'!A639))), (2-1)*LEN('top 500'!A639)+1, LEN('top 500'!A639)))</f>
        <v/>
      </c>
    </row>
    <row r="640" ht="15.75" customHeight="1">
      <c r="A640" s="7" t="str">
        <f>TRIM(MID(SUBSTITUTE('top 500'!A640," ",REPT(" ",LEN('top 500'!A640))), (2-1)*LEN('top 500'!A640)+1, LEN('top 500'!A640)))</f>
        <v/>
      </c>
    </row>
    <row r="641" ht="15.75" customHeight="1">
      <c r="A641" s="7" t="str">
        <f>TRIM(MID(SUBSTITUTE('top 500'!A641," ",REPT(" ",LEN('top 500'!A641))), (2-1)*LEN('top 500'!A641)+1, LEN('top 500'!A641)))</f>
        <v/>
      </c>
    </row>
    <row r="642" ht="15.75" customHeight="1">
      <c r="A642" s="7" t="str">
        <f>TRIM(MID(SUBSTITUTE('top 500'!A642," ",REPT(" ",LEN('top 500'!A642))), (2-1)*LEN('top 500'!A642)+1, LEN('top 500'!A642)))</f>
        <v/>
      </c>
    </row>
    <row r="643" ht="15.75" customHeight="1">
      <c r="A643" s="7" t="str">
        <f>TRIM(MID(SUBSTITUTE('top 500'!A643," ",REPT(" ",LEN('top 500'!A643))), (2-1)*LEN('top 500'!A643)+1, LEN('top 500'!A643)))</f>
        <v/>
      </c>
    </row>
    <row r="644" ht="15.75" customHeight="1">
      <c r="A644" s="7" t="str">
        <f>TRIM(MID(SUBSTITUTE('top 500'!A644," ",REPT(" ",LEN('top 500'!A644))), (2-1)*LEN('top 500'!A644)+1, LEN('top 500'!A644)))</f>
        <v/>
      </c>
    </row>
    <row r="645" ht="15.75" customHeight="1">
      <c r="A645" s="7" t="str">
        <f>TRIM(MID(SUBSTITUTE('top 500'!A645," ",REPT(" ",LEN('top 500'!A645))), (2-1)*LEN('top 500'!A645)+1, LEN('top 500'!A645)))</f>
        <v/>
      </c>
    </row>
    <row r="646" ht="15.75" customHeight="1">
      <c r="A646" s="7" t="str">
        <f>TRIM(MID(SUBSTITUTE('top 500'!A646," ",REPT(" ",LEN('top 500'!A646))), (2-1)*LEN('top 500'!A646)+1, LEN('top 500'!A646)))</f>
        <v/>
      </c>
    </row>
    <row r="647" ht="15.75" customHeight="1">
      <c r="A647" s="7" t="str">
        <f>TRIM(MID(SUBSTITUTE('top 500'!A647," ",REPT(" ",LEN('top 500'!A647))), (2-1)*LEN('top 500'!A647)+1, LEN('top 500'!A647)))</f>
        <v/>
      </c>
    </row>
    <row r="648" ht="15.75" customHeight="1">
      <c r="A648" s="7" t="str">
        <f>TRIM(MID(SUBSTITUTE('top 500'!A648," ",REPT(" ",LEN('top 500'!A648))), (2-1)*LEN('top 500'!A648)+1, LEN('top 500'!A648)))</f>
        <v/>
      </c>
    </row>
    <row r="649" ht="15.75" customHeight="1">
      <c r="A649" s="7" t="str">
        <f>TRIM(MID(SUBSTITUTE('top 500'!A649," ",REPT(" ",LEN('top 500'!A649))), (2-1)*LEN('top 500'!A649)+1, LEN('top 500'!A649)))</f>
        <v/>
      </c>
    </row>
    <row r="650" ht="15.75" customHeight="1">
      <c r="A650" s="7" t="str">
        <f>TRIM(MID(SUBSTITUTE('top 500'!A650," ",REPT(" ",LEN('top 500'!A650))), (2-1)*LEN('top 500'!A650)+1, LEN('top 500'!A650)))</f>
        <v/>
      </c>
    </row>
    <row r="651" ht="15.75" customHeight="1">
      <c r="A651" s="7" t="str">
        <f>TRIM(MID(SUBSTITUTE('top 500'!A651," ",REPT(" ",LEN('top 500'!A651))), (2-1)*LEN('top 500'!A651)+1, LEN('top 500'!A651)))</f>
        <v/>
      </c>
    </row>
    <row r="652" ht="15.75" customHeight="1">
      <c r="A652" s="7" t="str">
        <f>TRIM(MID(SUBSTITUTE('top 500'!A652," ",REPT(" ",LEN('top 500'!A652))), (2-1)*LEN('top 500'!A652)+1, LEN('top 500'!A652)))</f>
        <v/>
      </c>
    </row>
    <row r="653" ht="15.75" customHeight="1">
      <c r="A653" s="7" t="str">
        <f>TRIM(MID(SUBSTITUTE('top 500'!A653," ",REPT(" ",LEN('top 500'!A653))), (2-1)*LEN('top 500'!A653)+1, LEN('top 500'!A653)))</f>
        <v/>
      </c>
    </row>
    <row r="654" ht="15.75" customHeight="1">
      <c r="A654" s="7" t="str">
        <f>TRIM(MID(SUBSTITUTE('top 500'!A654," ",REPT(" ",LEN('top 500'!A654))), (2-1)*LEN('top 500'!A654)+1, LEN('top 500'!A654)))</f>
        <v/>
      </c>
    </row>
    <row r="655" ht="15.75" customHeight="1">
      <c r="A655" s="7" t="str">
        <f>TRIM(MID(SUBSTITUTE('top 500'!A655," ",REPT(" ",LEN('top 500'!A655))), (2-1)*LEN('top 500'!A655)+1, LEN('top 500'!A655)))</f>
        <v/>
      </c>
    </row>
    <row r="656" ht="15.75" customHeight="1">
      <c r="A656" s="7" t="str">
        <f>TRIM(MID(SUBSTITUTE('top 500'!A656," ",REPT(" ",LEN('top 500'!A656))), (2-1)*LEN('top 500'!A656)+1, LEN('top 500'!A656)))</f>
        <v/>
      </c>
    </row>
    <row r="657" ht="15.75" customHeight="1">
      <c r="A657" s="7" t="str">
        <f>TRIM(MID(SUBSTITUTE('top 500'!A657," ",REPT(" ",LEN('top 500'!A657))), (2-1)*LEN('top 500'!A657)+1, LEN('top 500'!A657)))</f>
        <v/>
      </c>
    </row>
    <row r="658" ht="15.75" customHeight="1">
      <c r="A658" s="7" t="str">
        <f>TRIM(MID(SUBSTITUTE('top 500'!A658," ",REPT(" ",LEN('top 500'!A658))), (2-1)*LEN('top 500'!A658)+1, LEN('top 500'!A658)))</f>
        <v/>
      </c>
    </row>
    <row r="659" ht="15.75" customHeight="1">
      <c r="A659" s="7" t="str">
        <f>TRIM(MID(SUBSTITUTE('top 500'!A659," ",REPT(" ",LEN('top 500'!A659))), (2-1)*LEN('top 500'!A659)+1, LEN('top 500'!A659)))</f>
        <v/>
      </c>
    </row>
    <row r="660" ht="15.75" customHeight="1">
      <c r="A660" s="7" t="str">
        <f>TRIM(MID(SUBSTITUTE('top 500'!A660," ",REPT(" ",LEN('top 500'!A660))), (2-1)*LEN('top 500'!A660)+1, LEN('top 500'!A660)))</f>
        <v/>
      </c>
    </row>
    <row r="661" ht="15.75" customHeight="1">
      <c r="A661" s="7" t="str">
        <f>TRIM(MID(SUBSTITUTE('top 500'!A661," ",REPT(" ",LEN('top 500'!A661))), (2-1)*LEN('top 500'!A661)+1, LEN('top 500'!A661)))</f>
        <v/>
      </c>
    </row>
    <row r="662" ht="15.75" customHeight="1">
      <c r="A662" s="7" t="str">
        <f>TRIM(MID(SUBSTITUTE('top 500'!A662," ",REPT(" ",LEN('top 500'!A662))), (2-1)*LEN('top 500'!A662)+1, LEN('top 500'!A662)))</f>
        <v/>
      </c>
    </row>
    <row r="663" ht="15.75" customHeight="1">
      <c r="A663" s="7" t="str">
        <f>TRIM(MID(SUBSTITUTE('top 500'!A663," ",REPT(" ",LEN('top 500'!A663))), (2-1)*LEN('top 500'!A663)+1, LEN('top 500'!A663)))</f>
        <v/>
      </c>
    </row>
    <row r="664" ht="15.75" customHeight="1">
      <c r="A664" s="7" t="str">
        <f>TRIM(MID(SUBSTITUTE('top 500'!A664," ",REPT(" ",LEN('top 500'!A664))), (2-1)*LEN('top 500'!A664)+1, LEN('top 500'!A664)))</f>
        <v/>
      </c>
    </row>
    <row r="665" ht="15.75" customHeight="1">
      <c r="A665" s="7" t="str">
        <f>TRIM(MID(SUBSTITUTE('top 500'!A665," ",REPT(" ",LEN('top 500'!A665))), (2-1)*LEN('top 500'!A665)+1, LEN('top 500'!A665)))</f>
        <v/>
      </c>
    </row>
    <row r="666" ht="15.75" customHeight="1">
      <c r="A666" s="7" t="str">
        <f>TRIM(MID(SUBSTITUTE('top 500'!A666," ",REPT(" ",LEN('top 500'!A666))), (2-1)*LEN('top 500'!A666)+1, LEN('top 500'!A666)))</f>
        <v/>
      </c>
    </row>
    <row r="667" ht="15.75" customHeight="1">
      <c r="A667" s="7" t="str">
        <f>TRIM(MID(SUBSTITUTE('top 500'!A667," ",REPT(" ",LEN('top 500'!A667))), (2-1)*LEN('top 500'!A667)+1, LEN('top 500'!A667)))</f>
        <v/>
      </c>
    </row>
    <row r="668" ht="15.75" customHeight="1">
      <c r="A668" s="7" t="str">
        <f>TRIM(MID(SUBSTITUTE('top 500'!A668," ",REPT(" ",LEN('top 500'!A668))), (2-1)*LEN('top 500'!A668)+1, LEN('top 500'!A668)))</f>
        <v/>
      </c>
    </row>
    <row r="669" ht="15.75" customHeight="1">
      <c r="A669" s="7" t="str">
        <f>TRIM(MID(SUBSTITUTE('top 500'!A669," ",REPT(" ",LEN('top 500'!A669))), (2-1)*LEN('top 500'!A669)+1, LEN('top 500'!A669)))</f>
        <v/>
      </c>
    </row>
    <row r="670" ht="15.75" customHeight="1">
      <c r="A670" s="7" t="str">
        <f>TRIM(MID(SUBSTITUTE('top 500'!A670," ",REPT(" ",LEN('top 500'!A670))), (2-1)*LEN('top 500'!A670)+1, LEN('top 500'!A670)))</f>
        <v/>
      </c>
    </row>
    <row r="671" ht="15.75" customHeight="1">
      <c r="A671" s="7" t="str">
        <f>TRIM(MID(SUBSTITUTE('top 500'!A671," ",REPT(" ",LEN('top 500'!A671))), (2-1)*LEN('top 500'!A671)+1, LEN('top 500'!A671)))</f>
        <v/>
      </c>
    </row>
    <row r="672" ht="15.75" customHeight="1">
      <c r="A672" s="7" t="str">
        <f>TRIM(MID(SUBSTITUTE('top 500'!A672," ",REPT(" ",LEN('top 500'!A672))), (2-1)*LEN('top 500'!A672)+1, LEN('top 500'!A672)))</f>
        <v/>
      </c>
    </row>
    <row r="673" ht="15.75" customHeight="1">
      <c r="A673" s="7" t="str">
        <f>TRIM(MID(SUBSTITUTE('top 500'!A673," ",REPT(" ",LEN('top 500'!A673))), (2-1)*LEN('top 500'!A673)+1, LEN('top 500'!A673)))</f>
        <v/>
      </c>
    </row>
    <row r="674" ht="15.75" customHeight="1">
      <c r="A674" s="7" t="str">
        <f>TRIM(MID(SUBSTITUTE('top 500'!A674," ",REPT(" ",LEN('top 500'!A674))), (2-1)*LEN('top 500'!A674)+1, LEN('top 500'!A674)))</f>
        <v/>
      </c>
    </row>
    <row r="675" ht="15.75" customHeight="1">
      <c r="A675" s="7" t="str">
        <f>TRIM(MID(SUBSTITUTE('top 500'!A675," ",REPT(" ",LEN('top 500'!A675))), (2-1)*LEN('top 500'!A675)+1, LEN('top 500'!A675)))</f>
        <v/>
      </c>
    </row>
    <row r="676" ht="15.75" customHeight="1">
      <c r="A676" s="7" t="str">
        <f>TRIM(MID(SUBSTITUTE('top 500'!A676," ",REPT(" ",LEN('top 500'!A676))), (2-1)*LEN('top 500'!A676)+1, LEN('top 500'!A676)))</f>
        <v/>
      </c>
    </row>
    <row r="677" ht="15.75" customHeight="1">
      <c r="A677" s="7" t="str">
        <f>TRIM(MID(SUBSTITUTE('top 500'!A677," ",REPT(" ",LEN('top 500'!A677))), (2-1)*LEN('top 500'!A677)+1, LEN('top 500'!A677)))</f>
        <v/>
      </c>
    </row>
    <row r="678" ht="15.75" customHeight="1">
      <c r="A678" s="7" t="str">
        <f>TRIM(MID(SUBSTITUTE('top 500'!A678," ",REPT(" ",LEN('top 500'!A678))), (2-1)*LEN('top 500'!A678)+1, LEN('top 500'!A678)))</f>
        <v/>
      </c>
    </row>
    <row r="679" ht="15.75" customHeight="1">
      <c r="A679" s="7" t="str">
        <f>TRIM(MID(SUBSTITUTE('top 500'!A679," ",REPT(" ",LEN('top 500'!A679))), (2-1)*LEN('top 500'!A679)+1, LEN('top 500'!A679)))</f>
        <v/>
      </c>
    </row>
    <row r="680" ht="15.75" customHeight="1">
      <c r="A680" s="7" t="str">
        <f>TRIM(MID(SUBSTITUTE('top 500'!A680," ",REPT(" ",LEN('top 500'!A680))), (2-1)*LEN('top 500'!A680)+1, LEN('top 500'!A680)))</f>
        <v/>
      </c>
    </row>
    <row r="681" ht="15.75" customHeight="1">
      <c r="A681" s="7" t="str">
        <f>TRIM(MID(SUBSTITUTE('top 500'!A681," ",REPT(" ",LEN('top 500'!A681))), (2-1)*LEN('top 500'!A681)+1, LEN('top 500'!A681)))</f>
        <v/>
      </c>
    </row>
    <row r="682" ht="15.75" customHeight="1">
      <c r="A682" s="7" t="str">
        <f>TRIM(MID(SUBSTITUTE('top 500'!A682," ",REPT(" ",LEN('top 500'!A682))), (2-1)*LEN('top 500'!A682)+1, LEN('top 500'!A682)))</f>
        <v/>
      </c>
    </row>
    <row r="683" ht="15.75" customHeight="1">
      <c r="A683" s="7" t="str">
        <f>TRIM(MID(SUBSTITUTE('top 500'!A683," ",REPT(" ",LEN('top 500'!A683))), (2-1)*LEN('top 500'!A683)+1, LEN('top 500'!A683)))</f>
        <v/>
      </c>
    </row>
    <row r="684" ht="15.75" customHeight="1">
      <c r="A684" s="7" t="str">
        <f>TRIM(MID(SUBSTITUTE('top 500'!A684," ",REPT(" ",LEN('top 500'!A684))), (2-1)*LEN('top 500'!A684)+1, LEN('top 500'!A684)))</f>
        <v/>
      </c>
    </row>
    <row r="685" ht="15.75" customHeight="1">
      <c r="A685" s="7" t="str">
        <f>TRIM(MID(SUBSTITUTE('top 500'!A685," ",REPT(" ",LEN('top 500'!A685))), (2-1)*LEN('top 500'!A685)+1, LEN('top 500'!A685)))</f>
        <v/>
      </c>
    </row>
    <row r="686" ht="15.75" customHeight="1">
      <c r="A686" s="7" t="str">
        <f>TRIM(MID(SUBSTITUTE('top 500'!A686," ",REPT(" ",LEN('top 500'!A686))), (2-1)*LEN('top 500'!A686)+1, LEN('top 500'!A686)))</f>
        <v/>
      </c>
    </row>
    <row r="687" ht="15.75" customHeight="1">
      <c r="A687" s="7" t="str">
        <f>TRIM(MID(SUBSTITUTE('top 500'!A687," ",REPT(" ",LEN('top 500'!A687))), (2-1)*LEN('top 500'!A687)+1, LEN('top 500'!A687)))</f>
        <v/>
      </c>
    </row>
    <row r="688" ht="15.75" customHeight="1">
      <c r="A688" s="7" t="str">
        <f>TRIM(MID(SUBSTITUTE('top 500'!A688," ",REPT(" ",LEN('top 500'!A688))), (2-1)*LEN('top 500'!A688)+1, LEN('top 500'!A688)))</f>
        <v/>
      </c>
    </row>
    <row r="689" ht="15.75" customHeight="1">
      <c r="A689" s="7" t="str">
        <f>TRIM(MID(SUBSTITUTE('top 500'!A689," ",REPT(" ",LEN('top 500'!A689))), (2-1)*LEN('top 500'!A689)+1, LEN('top 500'!A689)))</f>
        <v/>
      </c>
    </row>
    <row r="690" ht="15.75" customHeight="1">
      <c r="A690" s="7" t="str">
        <f>TRIM(MID(SUBSTITUTE('top 500'!A690," ",REPT(" ",LEN('top 500'!A690))), (2-1)*LEN('top 500'!A690)+1, LEN('top 500'!A690)))</f>
        <v/>
      </c>
    </row>
    <row r="691" ht="15.75" customHeight="1">
      <c r="A691" s="7" t="str">
        <f>TRIM(MID(SUBSTITUTE('top 500'!A691," ",REPT(" ",LEN('top 500'!A691))), (2-1)*LEN('top 500'!A691)+1, LEN('top 500'!A691)))</f>
        <v/>
      </c>
    </row>
    <row r="692" ht="15.75" customHeight="1">
      <c r="A692" s="7" t="str">
        <f>TRIM(MID(SUBSTITUTE('top 500'!A692," ",REPT(" ",LEN('top 500'!A692))), (2-1)*LEN('top 500'!A692)+1, LEN('top 500'!A692)))</f>
        <v/>
      </c>
    </row>
    <row r="693" ht="15.75" customHeight="1">
      <c r="A693" s="7" t="str">
        <f>TRIM(MID(SUBSTITUTE('top 500'!A693," ",REPT(" ",LEN('top 500'!A693))), (2-1)*LEN('top 500'!A693)+1, LEN('top 500'!A693)))</f>
        <v/>
      </c>
    </row>
    <row r="694" ht="15.75" customHeight="1">
      <c r="A694" s="7" t="str">
        <f>TRIM(MID(SUBSTITUTE('top 500'!A694," ",REPT(" ",LEN('top 500'!A694))), (2-1)*LEN('top 500'!A694)+1, LEN('top 500'!A694)))</f>
        <v/>
      </c>
    </row>
    <row r="695" ht="15.75" customHeight="1">
      <c r="A695" s="7" t="str">
        <f>TRIM(MID(SUBSTITUTE('top 500'!A695," ",REPT(" ",LEN('top 500'!A695))), (2-1)*LEN('top 500'!A695)+1, LEN('top 500'!A695)))</f>
        <v/>
      </c>
    </row>
    <row r="696" ht="15.75" customHeight="1">
      <c r="A696" s="7" t="str">
        <f>TRIM(MID(SUBSTITUTE('top 500'!A696," ",REPT(" ",LEN('top 500'!A696))), (2-1)*LEN('top 500'!A696)+1, LEN('top 500'!A696)))</f>
        <v/>
      </c>
    </row>
    <row r="697" ht="15.75" customHeight="1">
      <c r="A697" s="7" t="str">
        <f>TRIM(MID(SUBSTITUTE('top 500'!A697," ",REPT(" ",LEN('top 500'!A697))), (2-1)*LEN('top 500'!A697)+1, LEN('top 500'!A697)))</f>
        <v/>
      </c>
    </row>
    <row r="698" ht="15.75" customHeight="1">
      <c r="A698" s="7" t="str">
        <f>TRIM(MID(SUBSTITUTE('top 500'!A698," ",REPT(" ",LEN('top 500'!A698))), (2-1)*LEN('top 500'!A698)+1, LEN('top 500'!A698)))</f>
        <v/>
      </c>
    </row>
    <row r="699" ht="15.75" customHeight="1">
      <c r="A699" s="7" t="str">
        <f>TRIM(MID(SUBSTITUTE('top 500'!A699," ",REPT(" ",LEN('top 500'!A699))), (2-1)*LEN('top 500'!A699)+1, LEN('top 500'!A699)))</f>
        <v/>
      </c>
    </row>
    <row r="700" ht="15.75" customHeight="1">
      <c r="A700" s="7" t="str">
        <f>TRIM(MID(SUBSTITUTE('top 500'!A700," ",REPT(" ",LEN('top 500'!A700))), (2-1)*LEN('top 500'!A700)+1, LEN('top 500'!A700)))</f>
        <v/>
      </c>
    </row>
    <row r="701" ht="15.75" customHeight="1">
      <c r="A701" s="7" t="str">
        <f>TRIM(MID(SUBSTITUTE('top 500'!A701," ",REPT(" ",LEN('top 500'!A701))), (2-1)*LEN('top 500'!A701)+1, LEN('top 500'!A701)))</f>
        <v/>
      </c>
    </row>
    <row r="702" ht="15.75" customHeight="1">
      <c r="A702" s="7" t="str">
        <f>TRIM(MID(SUBSTITUTE('top 500'!A702," ",REPT(" ",LEN('top 500'!A702))), (2-1)*LEN('top 500'!A702)+1, LEN('top 500'!A702)))</f>
        <v/>
      </c>
    </row>
    <row r="703" ht="15.75" customHeight="1">
      <c r="A703" s="7" t="str">
        <f>TRIM(MID(SUBSTITUTE('top 500'!A703," ",REPT(" ",LEN('top 500'!A703))), (2-1)*LEN('top 500'!A703)+1, LEN('top 500'!A703)))</f>
        <v/>
      </c>
    </row>
    <row r="704" ht="15.75" customHeight="1">
      <c r="A704" s="7" t="str">
        <f>TRIM(MID(SUBSTITUTE('top 500'!A704," ",REPT(" ",LEN('top 500'!A704))), (2-1)*LEN('top 500'!A704)+1, LEN('top 500'!A704)))</f>
        <v/>
      </c>
    </row>
    <row r="705" ht="15.75" customHeight="1">
      <c r="A705" s="7" t="str">
        <f>TRIM(MID(SUBSTITUTE('top 500'!A705," ",REPT(" ",LEN('top 500'!A705))), (2-1)*LEN('top 500'!A705)+1, LEN('top 500'!A705)))</f>
        <v/>
      </c>
    </row>
    <row r="706" ht="15.75" customHeight="1">
      <c r="A706" s="7" t="str">
        <f>TRIM(MID(SUBSTITUTE('top 500'!A706," ",REPT(" ",LEN('top 500'!A706))), (2-1)*LEN('top 500'!A706)+1, LEN('top 500'!A706)))</f>
        <v/>
      </c>
    </row>
    <row r="707" ht="15.75" customHeight="1">
      <c r="A707" s="7" t="str">
        <f>TRIM(MID(SUBSTITUTE('top 500'!A707," ",REPT(" ",LEN('top 500'!A707))), (2-1)*LEN('top 500'!A707)+1, LEN('top 500'!A707)))</f>
        <v/>
      </c>
    </row>
    <row r="708" ht="15.75" customHeight="1">
      <c r="A708" s="7" t="str">
        <f>TRIM(MID(SUBSTITUTE('top 500'!A708," ",REPT(" ",LEN('top 500'!A708))), (2-1)*LEN('top 500'!A708)+1, LEN('top 500'!A708)))</f>
        <v/>
      </c>
    </row>
    <row r="709" ht="15.75" customHeight="1">
      <c r="A709" s="7" t="str">
        <f>TRIM(MID(SUBSTITUTE('top 500'!A709," ",REPT(" ",LEN('top 500'!A709))), (2-1)*LEN('top 500'!A709)+1, LEN('top 500'!A709)))</f>
        <v/>
      </c>
    </row>
    <row r="710" ht="15.75" customHeight="1">
      <c r="A710" s="7" t="str">
        <f>TRIM(MID(SUBSTITUTE('top 500'!A710," ",REPT(" ",LEN('top 500'!A710))), (2-1)*LEN('top 500'!A710)+1, LEN('top 500'!A710)))</f>
        <v/>
      </c>
    </row>
    <row r="711" ht="15.75" customHeight="1">
      <c r="A711" s="7" t="str">
        <f>TRIM(MID(SUBSTITUTE('top 500'!A711," ",REPT(" ",LEN('top 500'!A711))), (2-1)*LEN('top 500'!A711)+1, LEN('top 500'!A711)))</f>
        <v/>
      </c>
    </row>
    <row r="712" ht="15.75" customHeight="1">
      <c r="A712" s="7" t="str">
        <f>TRIM(MID(SUBSTITUTE('top 500'!A712," ",REPT(" ",LEN('top 500'!A712))), (2-1)*LEN('top 500'!A712)+1, LEN('top 500'!A712)))</f>
        <v/>
      </c>
    </row>
    <row r="713" ht="15.75" customHeight="1">
      <c r="A713" s="7" t="str">
        <f>TRIM(MID(SUBSTITUTE('top 500'!A713," ",REPT(" ",LEN('top 500'!A713))), (2-1)*LEN('top 500'!A713)+1, LEN('top 500'!A713)))</f>
        <v/>
      </c>
    </row>
    <row r="714" ht="15.75" customHeight="1">
      <c r="A714" s="7" t="str">
        <f>TRIM(MID(SUBSTITUTE('top 500'!A714," ",REPT(" ",LEN('top 500'!A714))), (2-1)*LEN('top 500'!A714)+1, LEN('top 500'!A714)))</f>
        <v/>
      </c>
    </row>
    <row r="715" ht="15.75" customHeight="1">
      <c r="A715" s="7" t="str">
        <f>TRIM(MID(SUBSTITUTE('top 500'!A715," ",REPT(" ",LEN('top 500'!A715))), (2-1)*LEN('top 500'!A715)+1, LEN('top 500'!A715)))</f>
        <v/>
      </c>
    </row>
    <row r="716" ht="15.75" customHeight="1">
      <c r="A716" s="7" t="str">
        <f>TRIM(MID(SUBSTITUTE('top 500'!A716," ",REPT(" ",LEN('top 500'!A716))), (2-1)*LEN('top 500'!A716)+1, LEN('top 500'!A716)))</f>
        <v/>
      </c>
    </row>
    <row r="717" ht="15.75" customHeight="1">
      <c r="A717" s="7" t="str">
        <f>TRIM(MID(SUBSTITUTE('top 500'!A717," ",REPT(" ",LEN('top 500'!A717))), (2-1)*LEN('top 500'!A717)+1, LEN('top 500'!A717)))</f>
        <v/>
      </c>
    </row>
    <row r="718" ht="15.75" customHeight="1">
      <c r="A718" s="7" t="str">
        <f>TRIM(MID(SUBSTITUTE('top 500'!A718," ",REPT(" ",LEN('top 500'!A718))), (2-1)*LEN('top 500'!A718)+1, LEN('top 500'!A718)))</f>
        <v/>
      </c>
    </row>
    <row r="719" ht="15.75" customHeight="1">
      <c r="A719" s="7" t="str">
        <f>TRIM(MID(SUBSTITUTE('top 500'!A719," ",REPT(" ",LEN('top 500'!A719))), (2-1)*LEN('top 500'!A719)+1, LEN('top 500'!A719)))</f>
        <v/>
      </c>
    </row>
    <row r="720" ht="15.75" customHeight="1">
      <c r="A720" s="7" t="str">
        <f>TRIM(MID(SUBSTITUTE('top 500'!A720," ",REPT(" ",LEN('top 500'!A720))), (2-1)*LEN('top 500'!A720)+1, LEN('top 500'!A720)))</f>
        <v/>
      </c>
    </row>
    <row r="721" ht="15.75" customHeight="1">
      <c r="A721" s="7" t="str">
        <f>TRIM(MID(SUBSTITUTE('top 500'!A721," ",REPT(" ",LEN('top 500'!A721))), (2-1)*LEN('top 500'!A721)+1, LEN('top 500'!A721)))</f>
        <v/>
      </c>
    </row>
    <row r="722" ht="15.75" customHeight="1">
      <c r="A722" s="7" t="str">
        <f>TRIM(MID(SUBSTITUTE('top 500'!A722," ",REPT(" ",LEN('top 500'!A722))), (2-1)*LEN('top 500'!A722)+1, LEN('top 500'!A722)))</f>
        <v/>
      </c>
    </row>
    <row r="723" ht="15.75" customHeight="1">
      <c r="A723" s="7" t="str">
        <f>TRIM(MID(SUBSTITUTE('top 500'!A723," ",REPT(" ",LEN('top 500'!A723))), (2-1)*LEN('top 500'!A723)+1, LEN('top 500'!A723)))</f>
        <v/>
      </c>
    </row>
    <row r="724" ht="15.75" customHeight="1">
      <c r="A724" s="7" t="str">
        <f>TRIM(MID(SUBSTITUTE('top 500'!A724," ",REPT(" ",LEN('top 500'!A724))), (2-1)*LEN('top 500'!A724)+1, LEN('top 500'!A724)))</f>
        <v/>
      </c>
    </row>
    <row r="725" ht="15.75" customHeight="1">
      <c r="A725" s="7" t="str">
        <f>TRIM(MID(SUBSTITUTE('top 500'!A725," ",REPT(" ",LEN('top 500'!A725))), (2-1)*LEN('top 500'!A725)+1, LEN('top 500'!A725)))</f>
        <v/>
      </c>
    </row>
    <row r="726" ht="15.75" customHeight="1">
      <c r="A726" s="7" t="str">
        <f>TRIM(MID(SUBSTITUTE('top 500'!A726," ",REPT(" ",LEN('top 500'!A726))), (2-1)*LEN('top 500'!A726)+1, LEN('top 500'!A726)))</f>
        <v/>
      </c>
    </row>
    <row r="727" ht="15.75" customHeight="1">
      <c r="A727" s="7" t="str">
        <f>TRIM(MID(SUBSTITUTE('top 500'!A727," ",REPT(" ",LEN('top 500'!A727))), (2-1)*LEN('top 500'!A727)+1, LEN('top 500'!A727)))</f>
        <v/>
      </c>
    </row>
    <row r="728" ht="15.75" customHeight="1">
      <c r="A728" s="7" t="str">
        <f>TRIM(MID(SUBSTITUTE('top 500'!A728," ",REPT(" ",LEN('top 500'!A728))), (2-1)*LEN('top 500'!A728)+1, LEN('top 500'!A728)))</f>
        <v/>
      </c>
    </row>
    <row r="729" ht="15.75" customHeight="1">
      <c r="A729" s="7" t="str">
        <f>TRIM(MID(SUBSTITUTE('top 500'!A729," ",REPT(" ",LEN('top 500'!A729))), (2-1)*LEN('top 500'!A729)+1, LEN('top 500'!A729)))</f>
        <v/>
      </c>
    </row>
    <row r="730" ht="15.75" customHeight="1">
      <c r="A730" s="7" t="str">
        <f>TRIM(MID(SUBSTITUTE('top 500'!A730," ",REPT(" ",LEN('top 500'!A730))), (2-1)*LEN('top 500'!A730)+1, LEN('top 500'!A730)))</f>
        <v/>
      </c>
    </row>
    <row r="731" ht="15.75" customHeight="1">
      <c r="A731" s="7" t="str">
        <f>TRIM(MID(SUBSTITUTE('top 500'!A731," ",REPT(" ",LEN('top 500'!A731))), (2-1)*LEN('top 500'!A731)+1, LEN('top 500'!A731)))</f>
        <v/>
      </c>
    </row>
    <row r="732" ht="15.75" customHeight="1">
      <c r="A732" s="7" t="str">
        <f>TRIM(MID(SUBSTITUTE('top 500'!A732," ",REPT(" ",LEN('top 500'!A732))), (2-1)*LEN('top 500'!A732)+1, LEN('top 500'!A732)))</f>
        <v/>
      </c>
    </row>
    <row r="733" ht="15.75" customHeight="1">
      <c r="A733" s="7" t="str">
        <f>TRIM(MID(SUBSTITUTE('top 500'!A733," ",REPT(" ",LEN('top 500'!A733))), (2-1)*LEN('top 500'!A733)+1, LEN('top 500'!A733)))</f>
        <v/>
      </c>
    </row>
    <row r="734" ht="15.75" customHeight="1">
      <c r="A734" s="7" t="str">
        <f>TRIM(MID(SUBSTITUTE('top 500'!A734," ",REPT(" ",LEN('top 500'!A734))), (2-1)*LEN('top 500'!A734)+1, LEN('top 500'!A734)))</f>
        <v/>
      </c>
    </row>
    <row r="735" ht="15.75" customHeight="1">
      <c r="A735" s="7" t="str">
        <f>TRIM(MID(SUBSTITUTE('top 500'!A735," ",REPT(" ",LEN('top 500'!A735))), (2-1)*LEN('top 500'!A735)+1, LEN('top 500'!A735)))</f>
        <v/>
      </c>
    </row>
    <row r="736" ht="15.75" customHeight="1">
      <c r="A736" s="7" t="str">
        <f>TRIM(MID(SUBSTITUTE('top 500'!A736," ",REPT(" ",LEN('top 500'!A736))), (2-1)*LEN('top 500'!A736)+1, LEN('top 500'!A736)))</f>
        <v/>
      </c>
    </row>
    <row r="737" ht="15.75" customHeight="1">
      <c r="A737" s="7" t="str">
        <f>TRIM(MID(SUBSTITUTE('top 500'!A737," ",REPT(" ",LEN('top 500'!A737))), (2-1)*LEN('top 500'!A737)+1, LEN('top 500'!A737)))</f>
        <v/>
      </c>
    </row>
    <row r="738" ht="15.75" customHeight="1">
      <c r="A738" s="7" t="str">
        <f>TRIM(MID(SUBSTITUTE('top 500'!A738," ",REPT(" ",LEN('top 500'!A738))), (2-1)*LEN('top 500'!A738)+1, LEN('top 500'!A738)))</f>
        <v/>
      </c>
    </row>
    <row r="739" ht="15.75" customHeight="1">
      <c r="A739" s="7" t="str">
        <f>TRIM(MID(SUBSTITUTE('top 500'!A739," ",REPT(" ",LEN('top 500'!A739))), (2-1)*LEN('top 500'!A739)+1, LEN('top 500'!A739)))</f>
        <v/>
      </c>
    </row>
    <row r="740" ht="15.75" customHeight="1">
      <c r="A740" s="7" t="str">
        <f>TRIM(MID(SUBSTITUTE('top 500'!A740," ",REPT(" ",LEN('top 500'!A740))), (2-1)*LEN('top 500'!A740)+1, LEN('top 500'!A740)))</f>
        <v/>
      </c>
    </row>
    <row r="741" ht="15.75" customHeight="1">
      <c r="A741" s="7" t="str">
        <f>TRIM(MID(SUBSTITUTE('top 500'!A741," ",REPT(" ",LEN('top 500'!A741))), (2-1)*LEN('top 500'!A741)+1, LEN('top 500'!A741)))</f>
        <v/>
      </c>
    </row>
    <row r="742" ht="15.75" customHeight="1">
      <c r="A742" s="7" t="str">
        <f>TRIM(MID(SUBSTITUTE('top 500'!A742," ",REPT(" ",LEN('top 500'!A742))), (2-1)*LEN('top 500'!A742)+1, LEN('top 500'!A742)))</f>
        <v/>
      </c>
    </row>
    <row r="743" ht="15.75" customHeight="1">
      <c r="A743" s="7" t="str">
        <f>TRIM(MID(SUBSTITUTE('top 500'!A743," ",REPT(" ",LEN('top 500'!A743))), (2-1)*LEN('top 500'!A743)+1, LEN('top 500'!A743)))</f>
        <v/>
      </c>
    </row>
    <row r="744" ht="15.75" customHeight="1">
      <c r="A744" s="7" t="str">
        <f>TRIM(MID(SUBSTITUTE('top 500'!A744," ",REPT(" ",LEN('top 500'!A744))), (2-1)*LEN('top 500'!A744)+1, LEN('top 500'!A744)))</f>
        <v/>
      </c>
    </row>
    <row r="745" ht="15.75" customHeight="1">
      <c r="A745" s="7" t="str">
        <f>TRIM(MID(SUBSTITUTE('top 500'!A745," ",REPT(" ",LEN('top 500'!A745))), (2-1)*LEN('top 500'!A745)+1, LEN('top 500'!A745)))</f>
        <v/>
      </c>
    </row>
    <row r="746" ht="15.75" customHeight="1">
      <c r="A746" s="7" t="str">
        <f>TRIM(MID(SUBSTITUTE('top 500'!A746," ",REPT(" ",LEN('top 500'!A746))), (2-1)*LEN('top 500'!A746)+1, LEN('top 500'!A746)))</f>
        <v/>
      </c>
    </row>
    <row r="747" ht="15.75" customHeight="1">
      <c r="A747" s="7" t="str">
        <f>TRIM(MID(SUBSTITUTE('top 500'!A747," ",REPT(" ",LEN('top 500'!A747))), (2-1)*LEN('top 500'!A747)+1, LEN('top 500'!A747)))</f>
        <v/>
      </c>
    </row>
    <row r="748" ht="15.75" customHeight="1">
      <c r="A748" s="7" t="str">
        <f>TRIM(MID(SUBSTITUTE('top 500'!A748," ",REPT(" ",LEN('top 500'!A748))), (2-1)*LEN('top 500'!A748)+1, LEN('top 500'!A748)))</f>
        <v/>
      </c>
    </row>
    <row r="749" ht="15.75" customHeight="1">
      <c r="A749" s="7" t="str">
        <f>TRIM(MID(SUBSTITUTE('top 500'!A749," ",REPT(" ",LEN('top 500'!A749))), (2-1)*LEN('top 500'!A749)+1, LEN('top 500'!A749)))</f>
        <v/>
      </c>
    </row>
    <row r="750" ht="15.75" customHeight="1">
      <c r="A750" s="7" t="str">
        <f>TRIM(MID(SUBSTITUTE('top 500'!A750," ",REPT(" ",LEN('top 500'!A750))), (2-1)*LEN('top 500'!A750)+1, LEN('top 500'!A750)))</f>
        <v/>
      </c>
    </row>
    <row r="751" ht="15.75" customHeight="1">
      <c r="A751" s="7" t="str">
        <f>TRIM(MID(SUBSTITUTE('top 500'!A751," ",REPT(" ",LEN('top 500'!A751))), (2-1)*LEN('top 500'!A751)+1, LEN('top 500'!A751)))</f>
        <v/>
      </c>
    </row>
    <row r="752" ht="15.75" customHeight="1">
      <c r="A752" s="7" t="str">
        <f>TRIM(MID(SUBSTITUTE('top 500'!A752," ",REPT(" ",LEN('top 500'!A752))), (2-1)*LEN('top 500'!A752)+1, LEN('top 500'!A752)))</f>
        <v/>
      </c>
    </row>
    <row r="753" ht="15.75" customHeight="1">
      <c r="A753" s="7" t="str">
        <f>TRIM(MID(SUBSTITUTE('top 500'!A753," ",REPT(" ",LEN('top 500'!A753))), (2-1)*LEN('top 500'!A753)+1, LEN('top 500'!A753)))</f>
        <v/>
      </c>
    </row>
    <row r="754" ht="15.75" customHeight="1">
      <c r="A754" s="7" t="str">
        <f>TRIM(MID(SUBSTITUTE('top 500'!A754," ",REPT(" ",LEN('top 500'!A754))), (2-1)*LEN('top 500'!A754)+1, LEN('top 500'!A754)))</f>
        <v/>
      </c>
    </row>
    <row r="755" ht="15.75" customHeight="1">
      <c r="A755" s="7" t="str">
        <f>TRIM(MID(SUBSTITUTE('top 500'!A755," ",REPT(" ",LEN('top 500'!A755))), (2-1)*LEN('top 500'!A755)+1, LEN('top 500'!A755)))</f>
        <v/>
      </c>
    </row>
    <row r="756" ht="15.75" customHeight="1">
      <c r="A756" s="7" t="str">
        <f>TRIM(MID(SUBSTITUTE('top 500'!A756," ",REPT(" ",LEN('top 500'!A756))), (2-1)*LEN('top 500'!A756)+1, LEN('top 500'!A756)))</f>
        <v/>
      </c>
    </row>
    <row r="757" ht="15.75" customHeight="1">
      <c r="A757" s="7" t="str">
        <f>TRIM(MID(SUBSTITUTE('top 500'!A757," ",REPT(" ",LEN('top 500'!A757))), (2-1)*LEN('top 500'!A757)+1, LEN('top 500'!A757)))</f>
        <v/>
      </c>
    </row>
    <row r="758" ht="15.75" customHeight="1">
      <c r="A758" s="7" t="str">
        <f>TRIM(MID(SUBSTITUTE('top 500'!A758," ",REPT(" ",LEN('top 500'!A758))), (2-1)*LEN('top 500'!A758)+1, LEN('top 500'!A758)))</f>
        <v/>
      </c>
    </row>
    <row r="759" ht="15.75" customHeight="1">
      <c r="A759" s="7" t="str">
        <f>TRIM(MID(SUBSTITUTE('top 500'!A759," ",REPT(" ",LEN('top 500'!A759))), (2-1)*LEN('top 500'!A759)+1, LEN('top 500'!A759)))</f>
        <v/>
      </c>
    </row>
    <row r="760" ht="15.75" customHeight="1">
      <c r="A760" s="7" t="str">
        <f>TRIM(MID(SUBSTITUTE('top 500'!A760," ",REPT(" ",LEN('top 500'!A760))), (2-1)*LEN('top 500'!A760)+1, LEN('top 500'!A760)))</f>
        <v/>
      </c>
    </row>
    <row r="761" ht="15.75" customHeight="1">
      <c r="A761" s="7" t="str">
        <f>TRIM(MID(SUBSTITUTE('top 500'!A761," ",REPT(" ",LEN('top 500'!A761))), (2-1)*LEN('top 500'!A761)+1, LEN('top 500'!A761)))</f>
        <v/>
      </c>
    </row>
    <row r="762" ht="15.75" customHeight="1">
      <c r="A762" s="7" t="str">
        <f>TRIM(MID(SUBSTITUTE('top 500'!A762," ",REPT(" ",LEN('top 500'!A762))), (2-1)*LEN('top 500'!A762)+1, LEN('top 500'!A762)))</f>
        <v/>
      </c>
    </row>
    <row r="763" ht="15.75" customHeight="1">
      <c r="A763" s="7" t="str">
        <f>TRIM(MID(SUBSTITUTE('top 500'!A763," ",REPT(" ",LEN('top 500'!A763))), (2-1)*LEN('top 500'!A763)+1, LEN('top 500'!A763)))</f>
        <v/>
      </c>
    </row>
    <row r="764" ht="15.75" customHeight="1">
      <c r="A764" s="7" t="str">
        <f>TRIM(MID(SUBSTITUTE('top 500'!A764," ",REPT(" ",LEN('top 500'!A764))), (2-1)*LEN('top 500'!A764)+1, LEN('top 500'!A764)))</f>
        <v/>
      </c>
    </row>
    <row r="765" ht="15.75" customHeight="1">
      <c r="A765" s="7" t="str">
        <f>TRIM(MID(SUBSTITUTE('top 500'!A765," ",REPT(" ",LEN('top 500'!A765))), (2-1)*LEN('top 500'!A765)+1, LEN('top 500'!A765)))</f>
        <v/>
      </c>
    </row>
    <row r="766" ht="15.75" customHeight="1">
      <c r="A766" s="7" t="str">
        <f>TRIM(MID(SUBSTITUTE('top 500'!A766," ",REPT(" ",LEN('top 500'!A766))), (2-1)*LEN('top 500'!A766)+1, LEN('top 500'!A766)))</f>
        <v/>
      </c>
    </row>
    <row r="767" ht="15.75" customHeight="1">
      <c r="A767" s="7" t="str">
        <f>TRIM(MID(SUBSTITUTE('top 500'!A767," ",REPT(" ",LEN('top 500'!A767))), (2-1)*LEN('top 500'!A767)+1, LEN('top 500'!A767)))</f>
        <v/>
      </c>
    </row>
    <row r="768" ht="15.75" customHeight="1">
      <c r="A768" s="7" t="str">
        <f>TRIM(MID(SUBSTITUTE('top 500'!A768," ",REPT(" ",LEN('top 500'!A768))), (2-1)*LEN('top 500'!A768)+1, LEN('top 500'!A768)))</f>
        <v/>
      </c>
    </row>
    <row r="769" ht="15.75" customHeight="1">
      <c r="A769" s="7" t="str">
        <f>TRIM(MID(SUBSTITUTE('top 500'!A769," ",REPT(" ",LEN('top 500'!A769))), (2-1)*LEN('top 500'!A769)+1, LEN('top 500'!A769)))</f>
        <v/>
      </c>
    </row>
    <row r="770" ht="15.75" customHeight="1">
      <c r="A770" s="7" t="str">
        <f>TRIM(MID(SUBSTITUTE('top 500'!A770," ",REPT(" ",LEN('top 500'!A770))), (2-1)*LEN('top 500'!A770)+1, LEN('top 500'!A770)))</f>
        <v/>
      </c>
    </row>
    <row r="771" ht="15.75" customHeight="1">
      <c r="A771" s="7" t="str">
        <f>TRIM(MID(SUBSTITUTE('top 500'!A771," ",REPT(" ",LEN('top 500'!A771))), (2-1)*LEN('top 500'!A771)+1, LEN('top 500'!A771)))</f>
        <v/>
      </c>
    </row>
    <row r="772" ht="15.75" customHeight="1">
      <c r="A772" s="7" t="str">
        <f>TRIM(MID(SUBSTITUTE('top 500'!A772," ",REPT(" ",LEN('top 500'!A772))), (2-1)*LEN('top 500'!A772)+1, LEN('top 500'!A772)))</f>
        <v/>
      </c>
    </row>
    <row r="773" ht="15.75" customHeight="1">
      <c r="A773" s="7" t="str">
        <f>TRIM(MID(SUBSTITUTE('top 500'!A773," ",REPT(" ",LEN('top 500'!A773))), (2-1)*LEN('top 500'!A773)+1, LEN('top 500'!A773)))</f>
        <v/>
      </c>
    </row>
    <row r="774" ht="15.75" customHeight="1">
      <c r="A774" s="7" t="str">
        <f>TRIM(MID(SUBSTITUTE('top 500'!A774," ",REPT(" ",LEN('top 500'!A774))), (2-1)*LEN('top 500'!A774)+1, LEN('top 500'!A774)))</f>
        <v/>
      </c>
    </row>
    <row r="775" ht="15.75" customHeight="1">
      <c r="A775" s="7" t="str">
        <f>TRIM(MID(SUBSTITUTE('top 500'!A775," ",REPT(" ",LEN('top 500'!A775))), (2-1)*LEN('top 500'!A775)+1, LEN('top 500'!A775)))</f>
        <v/>
      </c>
    </row>
    <row r="776" ht="15.75" customHeight="1">
      <c r="A776" s="7" t="str">
        <f>TRIM(MID(SUBSTITUTE('top 500'!A776," ",REPT(" ",LEN('top 500'!A776))), (2-1)*LEN('top 500'!A776)+1, LEN('top 500'!A776)))</f>
        <v/>
      </c>
    </row>
    <row r="777" ht="15.75" customHeight="1">
      <c r="A777" s="7" t="str">
        <f>TRIM(MID(SUBSTITUTE('top 500'!A777," ",REPT(" ",LEN('top 500'!A777))), (2-1)*LEN('top 500'!A777)+1, LEN('top 500'!A777)))</f>
        <v/>
      </c>
    </row>
    <row r="778" ht="15.75" customHeight="1">
      <c r="A778" s="7" t="str">
        <f>TRIM(MID(SUBSTITUTE('top 500'!A778," ",REPT(" ",LEN('top 500'!A778))), (2-1)*LEN('top 500'!A778)+1, LEN('top 500'!A778)))</f>
        <v/>
      </c>
    </row>
    <row r="779" ht="15.75" customHeight="1">
      <c r="A779" s="7" t="str">
        <f>TRIM(MID(SUBSTITUTE('top 500'!A779," ",REPT(" ",LEN('top 500'!A779))), (2-1)*LEN('top 500'!A779)+1, LEN('top 500'!A779)))</f>
        <v/>
      </c>
    </row>
    <row r="780" ht="15.75" customHeight="1">
      <c r="A780" s="7" t="str">
        <f>TRIM(MID(SUBSTITUTE('top 500'!A780," ",REPT(" ",LEN('top 500'!A780))), (2-1)*LEN('top 500'!A780)+1, LEN('top 500'!A780)))</f>
        <v/>
      </c>
    </row>
    <row r="781" ht="15.75" customHeight="1">
      <c r="A781" s="7" t="str">
        <f>TRIM(MID(SUBSTITUTE('top 500'!A781," ",REPT(" ",LEN('top 500'!A781))), (2-1)*LEN('top 500'!A781)+1, LEN('top 500'!A781)))</f>
        <v/>
      </c>
    </row>
    <row r="782" ht="15.75" customHeight="1">
      <c r="A782" s="7" t="str">
        <f>TRIM(MID(SUBSTITUTE('top 500'!A782," ",REPT(" ",LEN('top 500'!A782))), (2-1)*LEN('top 500'!A782)+1, LEN('top 500'!A782)))</f>
        <v/>
      </c>
    </row>
    <row r="783" ht="15.75" customHeight="1">
      <c r="A783" s="7" t="str">
        <f>TRIM(MID(SUBSTITUTE('top 500'!A783," ",REPT(" ",LEN('top 500'!A783))), (2-1)*LEN('top 500'!A783)+1, LEN('top 500'!A783)))</f>
        <v/>
      </c>
    </row>
    <row r="784" ht="15.75" customHeight="1">
      <c r="A784" s="7" t="str">
        <f>TRIM(MID(SUBSTITUTE('top 500'!A784," ",REPT(" ",LEN('top 500'!A784))), (2-1)*LEN('top 500'!A784)+1, LEN('top 500'!A784)))</f>
        <v/>
      </c>
    </row>
    <row r="785" ht="15.75" customHeight="1">
      <c r="A785" s="7" t="str">
        <f>TRIM(MID(SUBSTITUTE('top 500'!A785," ",REPT(" ",LEN('top 500'!A785))), (2-1)*LEN('top 500'!A785)+1, LEN('top 500'!A785)))</f>
        <v/>
      </c>
    </row>
    <row r="786" ht="15.75" customHeight="1">
      <c r="A786" s="7" t="str">
        <f>TRIM(MID(SUBSTITUTE('top 500'!A786," ",REPT(" ",LEN('top 500'!A786))), (2-1)*LEN('top 500'!A786)+1, LEN('top 500'!A786)))</f>
        <v/>
      </c>
    </row>
    <row r="787" ht="15.75" customHeight="1">
      <c r="A787" s="7" t="str">
        <f>TRIM(MID(SUBSTITUTE('top 500'!A787," ",REPT(" ",LEN('top 500'!A787))), (2-1)*LEN('top 500'!A787)+1, LEN('top 500'!A787)))</f>
        <v/>
      </c>
    </row>
    <row r="788" ht="15.75" customHeight="1">
      <c r="A788" s="7" t="str">
        <f>TRIM(MID(SUBSTITUTE('top 500'!A788," ",REPT(" ",LEN('top 500'!A788))), (2-1)*LEN('top 500'!A788)+1, LEN('top 500'!A788)))</f>
        <v/>
      </c>
    </row>
    <row r="789" ht="15.75" customHeight="1">
      <c r="A789" s="7" t="str">
        <f>TRIM(MID(SUBSTITUTE('top 500'!A789," ",REPT(" ",LEN('top 500'!A789))), (2-1)*LEN('top 500'!A789)+1, LEN('top 500'!A789)))</f>
        <v/>
      </c>
    </row>
    <row r="790" ht="15.75" customHeight="1">
      <c r="A790" s="7" t="str">
        <f>TRIM(MID(SUBSTITUTE('top 500'!A790," ",REPT(" ",LEN('top 500'!A790))), (2-1)*LEN('top 500'!A790)+1, LEN('top 500'!A790)))</f>
        <v/>
      </c>
    </row>
    <row r="791" ht="15.75" customHeight="1">
      <c r="A791" s="7" t="str">
        <f>TRIM(MID(SUBSTITUTE('top 500'!A791," ",REPT(" ",LEN('top 500'!A791))), (2-1)*LEN('top 500'!A791)+1, LEN('top 500'!A791)))</f>
        <v/>
      </c>
    </row>
    <row r="792" ht="15.75" customHeight="1">
      <c r="A792" s="7" t="str">
        <f>TRIM(MID(SUBSTITUTE('top 500'!A792," ",REPT(" ",LEN('top 500'!A792))), (2-1)*LEN('top 500'!A792)+1, LEN('top 500'!A792)))</f>
        <v/>
      </c>
    </row>
    <row r="793" ht="15.75" customHeight="1">
      <c r="A793" s="7" t="str">
        <f>TRIM(MID(SUBSTITUTE('top 500'!A793," ",REPT(" ",LEN('top 500'!A793))), (2-1)*LEN('top 500'!A793)+1, LEN('top 500'!A793)))</f>
        <v/>
      </c>
    </row>
    <row r="794" ht="15.75" customHeight="1">
      <c r="A794" s="7" t="str">
        <f>TRIM(MID(SUBSTITUTE('top 500'!A794," ",REPT(" ",LEN('top 500'!A794))), (2-1)*LEN('top 500'!A794)+1, LEN('top 500'!A794)))</f>
        <v/>
      </c>
    </row>
    <row r="795" ht="15.75" customHeight="1">
      <c r="A795" s="7" t="str">
        <f>TRIM(MID(SUBSTITUTE('top 500'!A795," ",REPT(" ",LEN('top 500'!A795))), (2-1)*LEN('top 500'!A795)+1, LEN('top 500'!A795)))</f>
        <v/>
      </c>
    </row>
    <row r="796" ht="15.75" customHeight="1">
      <c r="A796" s="7" t="str">
        <f>TRIM(MID(SUBSTITUTE('top 500'!A796," ",REPT(" ",LEN('top 500'!A796))), (2-1)*LEN('top 500'!A796)+1, LEN('top 500'!A796)))</f>
        <v/>
      </c>
    </row>
    <row r="797" ht="15.75" customHeight="1">
      <c r="A797" s="7" t="str">
        <f>TRIM(MID(SUBSTITUTE('top 500'!A797," ",REPT(" ",LEN('top 500'!A797))), (2-1)*LEN('top 500'!A797)+1, LEN('top 500'!A797)))</f>
        <v/>
      </c>
    </row>
    <row r="798" ht="15.75" customHeight="1">
      <c r="A798" s="7" t="str">
        <f>TRIM(MID(SUBSTITUTE('top 500'!A798," ",REPT(" ",LEN('top 500'!A798))), (2-1)*LEN('top 500'!A798)+1, LEN('top 500'!A798)))</f>
        <v/>
      </c>
    </row>
    <row r="799" ht="15.75" customHeight="1">
      <c r="A799" s="7" t="str">
        <f>TRIM(MID(SUBSTITUTE('top 500'!A799," ",REPT(" ",LEN('top 500'!A799))), (2-1)*LEN('top 500'!A799)+1, LEN('top 500'!A799)))</f>
        <v/>
      </c>
    </row>
    <row r="800" ht="15.75" customHeight="1">
      <c r="A800" s="7" t="str">
        <f>TRIM(MID(SUBSTITUTE('top 500'!A800," ",REPT(" ",LEN('top 500'!A800))), (2-1)*LEN('top 500'!A800)+1, LEN('top 500'!A800)))</f>
        <v/>
      </c>
    </row>
    <row r="801" ht="15.75" customHeight="1">
      <c r="A801" s="7" t="str">
        <f>TRIM(MID(SUBSTITUTE('top 500'!A801," ",REPT(" ",LEN('top 500'!A801))), (2-1)*LEN('top 500'!A801)+1, LEN('top 500'!A801)))</f>
        <v/>
      </c>
    </row>
    <row r="802" ht="15.75" customHeight="1">
      <c r="A802" s="7" t="str">
        <f>TRIM(MID(SUBSTITUTE('top 500'!A802," ",REPT(" ",LEN('top 500'!A802))), (2-1)*LEN('top 500'!A802)+1, LEN('top 500'!A802)))</f>
        <v/>
      </c>
    </row>
    <row r="803" ht="15.75" customHeight="1">
      <c r="A803" s="7" t="str">
        <f>TRIM(MID(SUBSTITUTE('top 500'!A803," ",REPT(" ",LEN('top 500'!A803))), (2-1)*LEN('top 500'!A803)+1, LEN('top 500'!A803)))</f>
        <v/>
      </c>
    </row>
    <row r="804" ht="15.75" customHeight="1">
      <c r="A804" s="7" t="str">
        <f>TRIM(MID(SUBSTITUTE('top 500'!A804," ",REPT(" ",LEN('top 500'!A804))), (2-1)*LEN('top 500'!A804)+1, LEN('top 500'!A804)))</f>
        <v/>
      </c>
    </row>
    <row r="805" ht="15.75" customHeight="1">
      <c r="A805" s="7" t="str">
        <f>TRIM(MID(SUBSTITUTE('top 500'!A805," ",REPT(" ",LEN('top 500'!A805))), (2-1)*LEN('top 500'!A805)+1, LEN('top 500'!A805)))</f>
        <v/>
      </c>
    </row>
    <row r="806" ht="15.75" customHeight="1">
      <c r="A806" s="7" t="str">
        <f>TRIM(MID(SUBSTITUTE('top 500'!A806," ",REPT(" ",LEN('top 500'!A806))), (2-1)*LEN('top 500'!A806)+1, LEN('top 500'!A806)))</f>
        <v/>
      </c>
    </row>
    <row r="807" ht="15.75" customHeight="1">
      <c r="A807" s="7" t="str">
        <f>TRIM(MID(SUBSTITUTE('top 500'!A807," ",REPT(" ",LEN('top 500'!A807))), (2-1)*LEN('top 500'!A807)+1, LEN('top 500'!A807)))</f>
        <v/>
      </c>
    </row>
    <row r="808" ht="15.75" customHeight="1">
      <c r="A808" s="7" t="str">
        <f>TRIM(MID(SUBSTITUTE('top 500'!A808," ",REPT(" ",LEN('top 500'!A808))), (2-1)*LEN('top 500'!A808)+1, LEN('top 500'!A808)))</f>
        <v/>
      </c>
    </row>
    <row r="809" ht="15.75" customHeight="1">
      <c r="A809" s="7" t="str">
        <f>TRIM(MID(SUBSTITUTE('top 500'!A809," ",REPT(" ",LEN('top 500'!A809))), (2-1)*LEN('top 500'!A809)+1, LEN('top 500'!A809)))</f>
        <v/>
      </c>
    </row>
    <row r="810" ht="15.75" customHeight="1">
      <c r="A810" s="7" t="str">
        <f>TRIM(MID(SUBSTITUTE('top 500'!A810," ",REPT(" ",LEN('top 500'!A810))), (2-1)*LEN('top 500'!A810)+1, LEN('top 500'!A810)))</f>
        <v/>
      </c>
    </row>
    <row r="811" ht="15.75" customHeight="1">
      <c r="A811" s="7" t="str">
        <f>TRIM(MID(SUBSTITUTE('top 500'!A811," ",REPT(" ",LEN('top 500'!A811))), (2-1)*LEN('top 500'!A811)+1, LEN('top 500'!A811)))</f>
        <v/>
      </c>
    </row>
    <row r="812" ht="15.75" customHeight="1">
      <c r="A812" s="7" t="str">
        <f>TRIM(MID(SUBSTITUTE('top 500'!A812," ",REPT(" ",LEN('top 500'!A812))), (2-1)*LEN('top 500'!A812)+1, LEN('top 500'!A812)))</f>
        <v/>
      </c>
    </row>
    <row r="813" ht="15.75" customHeight="1">
      <c r="A813" s="7" t="str">
        <f>TRIM(MID(SUBSTITUTE('top 500'!A813," ",REPT(" ",LEN('top 500'!A813))), (2-1)*LEN('top 500'!A813)+1, LEN('top 500'!A813)))</f>
        <v/>
      </c>
    </row>
    <row r="814" ht="15.75" customHeight="1">
      <c r="A814" s="7" t="str">
        <f>TRIM(MID(SUBSTITUTE('top 500'!A814," ",REPT(" ",LEN('top 500'!A814))), (2-1)*LEN('top 500'!A814)+1, LEN('top 500'!A814)))</f>
        <v/>
      </c>
    </row>
    <row r="815" ht="15.75" customHeight="1">
      <c r="A815" s="7" t="str">
        <f>TRIM(MID(SUBSTITUTE('top 500'!A815," ",REPT(" ",LEN('top 500'!A815))), (2-1)*LEN('top 500'!A815)+1, LEN('top 500'!A815)))</f>
        <v/>
      </c>
    </row>
    <row r="816" ht="15.75" customHeight="1">
      <c r="A816" s="7" t="str">
        <f>TRIM(MID(SUBSTITUTE('top 500'!A816," ",REPT(" ",LEN('top 500'!A816))), (2-1)*LEN('top 500'!A816)+1, LEN('top 500'!A816)))</f>
        <v/>
      </c>
    </row>
    <row r="817" ht="15.75" customHeight="1">
      <c r="A817" s="7" t="str">
        <f>TRIM(MID(SUBSTITUTE('top 500'!A817," ",REPT(" ",LEN('top 500'!A817))), (2-1)*LEN('top 500'!A817)+1, LEN('top 500'!A817)))</f>
        <v/>
      </c>
    </row>
    <row r="818" ht="15.75" customHeight="1">
      <c r="A818" s="7" t="str">
        <f>TRIM(MID(SUBSTITUTE('top 500'!A818," ",REPT(" ",LEN('top 500'!A818))), (2-1)*LEN('top 500'!A818)+1, LEN('top 500'!A818)))</f>
        <v/>
      </c>
    </row>
    <row r="819" ht="15.75" customHeight="1">
      <c r="A819" s="7" t="str">
        <f>TRIM(MID(SUBSTITUTE('top 500'!A819," ",REPT(" ",LEN('top 500'!A819))), (2-1)*LEN('top 500'!A819)+1, LEN('top 500'!A819)))</f>
        <v/>
      </c>
    </row>
    <row r="820" ht="15.75" customHeight="1">
      <c r="A820" s="7" t="str">
        <f>TRIM(MID(SUBSTITUTE('top 500'!A820," ",REPT(" ",LEN('top 500'!A820))), (2-1)*LEN('top 500'!A820)+1, LEN('top 500'!A820)))</f>
        <v/>
      </c>
    </row>
    <row r="821" ht="15.75" customHeight="1">
      <c r="A821" s="7" t="str">
        <f>TRIM(MID(SUBSTITUTE('top 500'!A821," ",REPT(" ",LEN('top 500'!A821))), (2-1)*LEN('top 500'!A821)+1, LEN('top 500'!A821)))</f>
        <v/>
      </c>
    </row>
    <row r="822" ht="15.75" customHeight="1">
      <c r="A822" s="7" t="str">
        <f>TRIM(MID(SUBSTITUTE('top 500'!A822," ",REPT(" ",LEN('top 500'!A822))), (2-1)*LEN('top 500'!A822)+1, LEN('top 500'!A822)))</f>
        <v/>
      </c>
    </row>
    <row r="823" ht="15.75" customHeight="1">
      <c r="A823" s="7" t="str">
        <f>TRIM(MID(SUBSTITUTE('top 500'!A823," ",REPT(" ",LEN('top 500'!A823))), (2-1)*LEN('top 500'!A823)+1, LEN('top 500'!A823)))</f>
        <v/>
      </c>
    </row>
    <row r="824" ht="15.75" customHeight="1">
      <c r="A824" s="7" t="str">
        <f>TRIM(MID(SUBSTITUTE('top 500'!A824," ",REPT(" ",LEN('top 500'!A824))), (2-1)*LEN('top 500'!A824)+1, LEN('top 500'!A824)))</f>
        <v/>
      </c>
    </row>
    <row r="825" ht="15.75" customHeight="1">
      <c r="A825" s="7" t="str">
        <f>TRIM(MID(SUBSTITUTE('top 500'!A825," ",REPT(" ",LEN('top 500'!A825))), (2-1)*LEN('top 500'!A825)+1, LEN('top 500'!A825)))</f>
        <v/>
      </c>
    </row>
    <row r="826" ht="15.75" customHeight="1">
      <c r="A826" s="7" t="str">
        <f>TRIM(MID(SUBSTITUTE('top 500'!A826," ",REPT(" ",LEN('top 500'!A826))), (2-1)*LEN('top 500'!A826)+1, LEN('top 500'!A826)))</f>
        <v/>
      </c>
    </row>
    <row r="827" ht="15.75" customHeight="1">
      <c r="A827" s="7" t="str">
        <f>TRIM(MID(SUBSTITUTE('top 500'!A827," ",REPT(" ",LEN('top 500'!A827))), (2-1)*LEN('top 500'!A827)+1, LEN('top 500'!A827)))</f>
        <v/>
      </c>
    </row>
    <row r="828" ht="15.75" customHeight="1">
      <c r="A828" s="7" t="str">
        <f>TRIM(MID(SUBSTITUTE('top 500'!A828," ",REPT(" ",LEN('top 500'!A828))), (2-1)*LEN('top 500'!A828)+1, LEN('top 500'!A828)))</f>
        <v/>
      </c>
    </row>
    <row r="829" ht="15.75" customHeight="1">
      <c r="A829" s="7" t="str">
        <f>TRIM(MID(SUBSTITUTE('top 500'!A829," ",REPT(" ",LEN('top 500'!A829))), (2-1)*LEN('top 500'!A829)+1, LEN('top 500'!A829)))</f>
        <v/>
      </c>
    </row>
    <row r="830" ht="15.75" customHeight="1">
      <c r="A830" s="7" t="str">
        <f>TRIM(MID(SUBSTITUTE('top 500'!A830," ",REPT(" ",LEN('top 500'!A830))), (2-1)*LEN('top 500'!A830)+1, LEN('top 500'!A830)))</f>
        <v/>
      </c>
    </row>
    <row r="831" ht="15.75" customHeight="1">
      <c r="A831" s="7" t="str">
        <f>TRIM(MID(SUBSTITUTE('top 500'!A831," ",REPT(" ",LEN('top 500'!A831))), (2-1)*LEN('top 500'!A831)+1, LEN('top 500'!A831)))</f>
        <v/>
      </c>
    </row>
    <row r="832" ht="15.75" customHeight="1">
      <c r="A832" s="7" t="str">
        <f>TRIM(MID(SUBSTITUTE('top 500'!A832," ",REPT(" ",LEN('top 500'!A832))), (2-1)*LEN('top 500'!A832)+1, LEN('top 500'!A832)))</f>
        <v/>
      </c>
    </row>
    <row r="833" ht="15.75" customHeight="1">
      <c r="A833" s="7" t="str">
        <f>TRIM(MID(SUBSTITUTE('top 500'!A833," ",REPT(" ",LEN('top 500'!A833))), (2-1)*LEN('top 500'!A833)+1, LEN('top 500'!A833)))</f>
        <v/>
      </c>
    </row>
    <row r="834" ht="15.75" customHeight="1">
      <c r="A834" s="7" t="str">
        <f>TRIM(MID(SUBSTITUTE('top 500'!A834," ",REPT(" ",LEN('top 500'!A834))), (2-1)*LEN('top 500'!A834)+1, LEN('top 500'!A834)))</f>
        <v/>
      </c>
    </row>
    <row r="835" ht="15.75" customHeight="1">
      <c r="A835" s="7" t="str">
        <f>TRIM(MID(SUBSTITUTE('top 500'!A835," ",REPT(" ",LEN('top 500'!A835))), (2-1)*LEN('top 500'!A835)+1, LEN('top 500'!A835)))</f>
        <v/>
      </c>
    </row>
    <row r="836" ht="15.75" customHeight="1">
      <c r="A836" s="7" t="str">
        <f>TRIM(MID(SUBSTITUTE('top 500'!A836," ",REPT(" ",LEN('top 500'!A836))), (2-1)*LEN('top 500'!A836)+1, LEN('top 500'!A836)))</f>
        <v/>
      </c>
    </row>
    <row r="837" ht="15.75" customHeight="1">
      <c r="A837" s="7" t="str">
        <f>TRIM(MID(SUBSTITUTE('top 500'!A837," ",REPT(" ",LEN('top 500'!A837))), (2-1)*LEN('top 500'!A837)+1, LEN('top 500'!A837)))</f>
        <v/>
      </c>
    </row>
    <row r="838" ht="15.75" customHeight="1">
      <c r="A838" s="7" t="str">
        <f>TRIM(MID(SUBSTITUTE('top 500'!A838," ",REPT(" ",LEN('top 500'!A838))), (2-1)*LEN('top 500'!A838)+1, LEN('top 500'!A838)))</f>
        <v/>
      </c>
    </row>
    <row r="839" ht="15.75" customHeight="1">
      <c r="A839" s="7" t="str">
        <f>TRIM(MID(SUBSTITUTE('top 500'!A839," ",REPT(" ",LEN('top 500'!A839))), (2-1)*LEN('top 500'!A839)+1, LEN('top 500'!A839)))</f>
        <v/>
      </c>
    </row>
    <row r="840" ht="15.75" customHeight="1">
      <c r="A840" s="7" t="str">
        <f>TRIM(MID(SUBSTITUTE('top 500'!A840," ",REPT(" ",LEN('top 500'!A840))), (2-1)*LEN('top 500'!A840)+1, LEN('top 500'!A840)))</f>
        <v/>
      </c>
    </row>
    <row r="841" ht="15.75" customHeight="1">
      <c r="A841" s="7" t="str">
        <f>TRIM(MID(SUBSTITUTE('top 500'!A841," ",REPT(" ",LEN('top 500'!A841))), (2-1)*LEN('top 500'!A841)+1, LEN('top 500'!A841)))</f>
        <v/>
      </c>
    </row>
    <row r="842" ht="15.75" customHeight="1">
      <c r="A842" s="7" t="str">
        <f>TRIM(MID(SUBSTITUTE('top 500'!A842," ",REPT(" ",LEN('top 500'!A842))), (2-1)*LEN('top 500'!A842)+1, LEN('top 500'!A842)))</f>
        <v/>
      </c>
    </row>
    <row r="843" ht="15.75" customHeight="1">
      <c r="A843" s="7" t="str">
        <f>TRIM(MID(SUBSTITUTE('top 500'!A843," ",REPT(" ",LEN('top 500'!A843))), (2-1)*LEN('top 500'!A843)+1, LEN('top 500'!A843)))</f>
        <v/>
      </c>
    </row>
    <row r="844" ht="15.75" customHeight="1">
      <c r="A844" s="7" t="str">
        <f>TRIM(MID(SUBSTITUTE('top 500'!A844," ",REPT(" ",LEN('top 500'!A844))), (2-1)*LEN('top 500'!A844)+1, LEN('top 500'!A844)))</f>
        <v/>
      </c>
    </row>
    <row r="845" ht="15.75" customHeight="1">
      <c r="A845" s="7" t="str">
        <f>TRIM(MID(SUBSTITUTE('top 500'!A845," ",REPT(" ",LEN('top 500'!A845))), (2-1)*LEN('top 500'!A845)+1, LEN('top 500'!A845)))</f>
        <v/>
      </c>
    </row>
    <row r="846" ht="15.75" customHeight="1">
      <c r="A846" s="7" t="str">
        <f>TRIM(MID(SUBSTITUTE('top 500'!A846," ",REPT(" ",LEN('top 500'!A846))), (2-1)*LEN('top 500'!A846)+1, LEN('top 500'!A846)))</f>
        <v/>
      </c>
    </row>
    <row r="847" ht="15.75" customHeight="1">
      <c r="A847" s="7" t="str">
        <f>TRIM(MID(SUBSTITUTE('top 500'!A847," ",REPT(" ",LEN('top 500'!A847))), (2-1)*LEN('top 500'!A847)+1, LEN('top 500'!A847)))</f>
        <v/>
      </c>
    </row>
    <row r="848" ht="15.75" customHeight="1">
      <c r="A848" s="7" t="str">
        <f>TRIM(MID(SUBSTITUTE('top 500'!A848," ",REPT(" ",LEN('top 500'!A848))), (2-1)*LEN('top 500'!A848)+1, LEN('top 500'!A848)))</f>
        <v/>
      </c>
    </row>
    <row r="849" ht="15.75" customHeight="1">
      <c r="A849" s="7" t="str">
        <f>TRIM(MID(SUBSTITUTE('top 500'!A849," ",REPT(" ",LEN('top 500'!A849))), (2-1)*LEN('top 500'!A849)+1, LEN('top 500'!A849)))</f>
        <v/>
      </c>
    </row>
    <row r="850" ht="15.75" customHeight="1">
      <c r="A850" s="7" t="str">
        <f>TRIM(MID(SUBSTITUTE('top 500'!A850," ",REPT(" ",LEN('top 500'!A850))), (2-1)*LEN('top 500'!A850)+1, LEN('top 500'!A850)))</f>
        <v/>
      </c>
    </row>
    <row r="851" ht="15.75" customHeight="1">
      <c r="A851" s="7" t="str">
        <f>TRIM(MID(SUBSTITUTE('top 500'!A851," ",REPT(" ",LEN('top 500'!A851))), (2-1)*LEN('top 500'!A851)+1, LEN('top 500'!A851)))</f>
        <v/>
      </c>
    </row>
    <row r="852" ht="15.75" customHeight="1">
      <c r="A852" s="7" t="str">
        <f>TRIM(MID(SUBSTITUTE('top 500'!A852," ",REPT(" ",LEN('top 500'!A852))), (2-1)*LEN('top 500'!A852)+1, LEN('top 500'!A852)))</f>
        <v/>
      </c>
    </row>
    <row r="853" ht="15.75" customHeight="1">
      <c r="A853" s="7" t="str">
        <f>TRIM(MID(SUBSTITUTE('top 500'!A853," ",REPT(" ",LEN('top 500'!A853))), (2-1)*LEN('top 500'!A853)+1, LEN('top 500'!A853)))</f>
        <v/>
      </c>
    </row>
    <row r="854" ht="15.75" customHeight="1">
      <c r="A854" s="7" t="str">
        <f>TRIM(MID(SUBSTITUTE('top 500'!A854," ",REPT(" ",LEN('top 500'!A854))), (2-1)*LEN('top 500'!A854)+1, LEN('top 500'!A854)))</f>
        <v/>
      </c>
    </row>
    <row r="855" ht="15.75" customHeight="1">
      <c r="A855" s="7" t="str">
        <f>TRIM(MID(SUBSTITUTE('top 500'!A855," ",REPT(" ",LEN('top 500'!A855))), (2-1)*LEN('top 500'!A855)+1, LEN('top 500'!A855)))</f>
        <v/>
      </c>
    </row>
    <row r="856" ht="15.75" customHeight="1">
      <c r="A856" s="7" t="str">
        <f>TRIM(MID(SUBSTITUTE('top 500'!A856," ",REPT(" ",LEN('top 500'!A856))), (2-1)*LEN('top 500'!A856)+1, LEN('top 500'!A856)))</f>
        <v/>
      </c>
    </row>
    <row r="857" ht="15.75" customHeight="1">
      <c r="A857" s="7" t="str">
        <f>TRIM(MID(SUBSTITUTE('top 500'!A857," ",REPT(" ",LEN('top 500'!A857))), (2-1)*LEN('top 500'!A857)+1, LEN('top 500'!A857)))</f>
        <v/>
      </c>
    </row>
    <row r="858" ht="15.75" customHeight="1">
      <c r="A858" s="7" t="str">
        <f>TRIM(MID(SUBSTITUTE('top 500'!A858," ",REPT(" ",LEN('top 500'!A858))), (2-1)*LEN('top 500'!A858)+1, LEN('top 500'!A858)))</f>
        <v/>
      </c>
    </row>
    <row r="859" ht="15.75" customHeight="1">
      <c r="A859" s="7" t="str">
        <f>TRIM(MID(SUBSTITUTE('top 500'!A859," ",REPT(" ",LEN('top 500'!A859))), (2-1)*LEN('top 500'!A859)+1, LEN('top 500'!A859)))</f>
        <v/>
      </c>
    </row>
    <row r="860" ht="15.75" customHeight="1">
      <c r="A860" s="7" t="str">
        <f>TRIM(MID(SUBSTITUTE('top 500'!A860," ",REPT(" ",LEN('top 500'!A860))), (2-1)*LEN('top 500'!A860)+1, LEN('top 500'!A860)))</f>
        <v/>
      </c>
    </row>
    <row r="861" ht="15.75" customHeight="1">
      <c r="A861" s="7" t="str">
        <f>TRIM(MID(SUBSTITUTE('top 500'!A861," ",REPT(" ",LEN('top 500'!A861))), (2-1)*LEN('top 500'!A861)+1, LEN('top 500'!A861)))</f>
        <v/>
      </c>
    </row>
    <row r="862" ht="15.75" customHeight="1">
      <c r="A862" s="7" t="str">
        <f>TRIM(MID(SUBSTITUTE('top 500'!A862," ",REPT(" ",LEN('top 500'!A862))), (2-1)*LEN('top 500'!A862)+1, LEN('top 500'!A862)))</f>
        <v/>
      </c>
    </row>
    <row r="863" ht="15.75" customHeight="1">
      <c r="A863" s="7" t="str">
        <f>TRIM(MID(SUBSTITUTE('top 500'!A863," ",REPT(" ",LEN('top 500'!A863))), (2-1)*LEN('top 500'!A863)+1, LEN('top 500'!A863)))</f>
        <v/>
      </c>
    </row>
    <row r="864" ht="15.75" customHeight="1">
      <c r="A864" s="7" t="str">
        <f>TRIM(MID(SUBSTITUTE('top 500'!A864," ",REPT(" ",LEN('top 500'!A864))), (2-1)*LEN('top 500'!A864)+1, LEN('top 500'!A864)))</f>
        <v/>
      </c>
    </row>
    <row r="865" ht="15.75" customHeight="1">
      <c r="A865" s="7" t="str">
        <f>TRIM(MID(SUBSTITUTE('top 500'!A865," ",REPT(" ",LEN('top 500'!A865))), (2-1)*LEN('top 500'!A865)+1, LEN('top 500'!A865)))</f>
        <v/>
      </c>
    </row>
    <row r="866" ht="15.75" customHeight="1">
      <c r="A866" s="7" t="str">
        <f>TRIM(MID(SUBSTITUTE('top 500'!A866," ",REPT(" ",LEN('top 500'!A866))), (2-1)*LEN('top 500'!A866)+1, LEN('top 500'!A866)))</f>
        <v/>
      </c>
    </row>
    <row r="867" ht="15.75" customHeight="1">
      <c r="A867" s="7" t="str">
        <f>TRIM(MID(SUBSTITUTE('top 500'!A867," ",REPT(" ",LEN('top 500'!A867))), (2-1)*LEN('top 500'!A867)+1, LEN('top 500'!A867)))</f>
        <v/>
      </c>
    </row>
    <row r="868" ht="15.75" customHeight="1">
      <c r="A868" s="7" t="str">
        <f>TRIM(MID(SUBSTITUTE('top 500'!A868," ",REPT(" ",LEN('top 500'!A868))), (2-1)*LEN('top 500'!A868)+1, LEN('top 500'!A868)))</f>
        <v/>
      </c>
    </row>
    <row r="869" ht="15.75" customHeight="1">
      <c r="A869" s="7" t="str">
        <f>TRIM(MID(SUBSTITUTE('top 500'!A869," ",REPT(" ",LEN('top 500'!A869))), (2-1)*LEN('top 500'!A869)+1, LEN('top 500'!A869)))</f>
        <v/>
      </c>
    </row>
    <row r="870" ht="15.75" customHeight="1">
      <c r="A870" s="7" t="str">
        <f>TRIM(MID(SUBSTITUTE('top 500'!A870," ",REPT(" ",LEN('top 500'!A870))), (2-1)*LEN('top 500'!A870)+1, LEN('top 500'!A870)))</f>
        <v/>
      </c>
    </row>
    <row r="871" ht="15.75" customHeight="1">
      <c r="A871" s="7" t="str">
        <f>TRIM(MID(SUBSTITUTE('top 500'!A871," ",REPT(" ",LEN('top 500'!A871))), (2-1)*LEN('top 500'!A871)+1, LEN('top 500'!A871)))</f>
        <v/>
      </c>
    </row>
    <row r="872" ht="15.75" customHeight="1">
      <c r="A872" s="7" t="str">
        <f>TRIM(MID(SUBSTITUTE('top 500'!A872," ",REPT(" ",LEN('top 500'!A872))), (2-1)*LEN('top 500'!A872)+1, LEN('top 500'!A872)))</f>
        <v/>
      </c>
    </row>
    <row r="873" ht="15.75" customHeight="1">
      <c r="A873" s="7" t="str">
        <f>TRIM(MID(SUBSTITUTE('top 500'!A873," ",REPT(" ",LEN('top 500'!A873))), (2-1)*LEN('top 500'!A873)+1, LEN('top 500'!A873)))</f>
        <v/>
      </c>
    </row>
    <row r="874" ht="15.75" customHeight="1">
      <c r="A874" s="7" t="str">
        <f>TRIM(MID(SUBSTITUTE('top 500'!A874," ",REPT(" ",LEN('top 500'!A874))), (2-1)*LEN('top 500'!A874)+1, LEN('top 500'!A874)))</f>
        <v/>
      </c>
    </row>
    <row r="875" ht="15.75" customHeight="1">
      <c r="A875" s="7" t="str">
        <f>TRIM(MID(SUBSTITUTE('top 500'!A875," ",REPT(" ",LEN('top 500'!A875))), (2-1)*LEN('top 500'!A875)+1, LEN('top 500'!A875)))</f>
        <v/>
      </c>
    </row>
    <row r="876" ht="15.75" customHeight="1">
      <c r="A876" s="7" t="str">
        <f>TRIM(MID(SUBSTITUTE('top 500'!A876," ",REPT(" ",LEN('top 500'!A876))), (2-1)*LEN('top 500'!A876)+1, LEN('top 500'!A876)))</f>
        <v/>
      </c>
    </row>
    <row r="877" ht="15.75" customHeight="1">
      <c r="A877" s="7" t="str">
        <f>TRIM(MID(SUBSTITUTE('top 500'!A877," ",REPT(" ",LEN('top 500'!A877))), (2-1)*LEN('top 500'!A877)+1, LEN('top 500'!A877)))</f>
        <v/>
      </c>
    </row>
    <row r="878" ht="15.75" customHeight="1">
      <c r="A878" s="7" t="str">
        <f>TRIM(MID(SUBSTITUTE('top 500'!A878," ",REPT(" ",LEN('top 500'!A878))), (2-1)*LEN('top 500'!A878)+1, LEN('top 500'!A878)))</f>
        <v/>
      </c>
    </row>
    <row r="879" ht="15.75" customHeight="1">
      <c r="A879" s="7" t="str">
        <f>TRIM(MID(SUBSTITUTE('top 500'!A879," ",REPT(" ",LEN('top 500'!A879))), (2-1)*LEN('top 500'!A879)+1, LEN('top 500'!A879)))</f>
        <v/>
      </c>
    </row>
    <row r="880" ht="15.75" customHeight="1">
      <c r="A880" s="7" t="str">
        <f>TRIM(MID(SUBSTITUTE('top 500'!A880," ",REPT(" ",LEN('top 500'!A880))), (2-1)*LEN('top 500'!A880)+1, LEN('top 500'!A880)))</f>
        <v/>
      </c>
    </row>
    <row r="881" ht="15.75" customHeight="1">
      <c r="A881" s="7" t="str">
        <f>TRIM(MID(SUBSTITUTE('top 500'!A881," ",REPT(" ",LEN('top 500'!A881))), (2-1)*LEN('top 500'!A881)+1, LEN('top 500'!A881)))</f>
        <v/>
      </c>
    </row>
    <row r="882" ht="15.75" customHeight="1">
      <c r="A882" s="7" t="str">
        <f>TRIM(MID(SUBSTITUTE('top 500'!A882," ",REPT(" ",LEN('top 500'!A882))), (2-1)*LEN('top 500'!A882)+1, LEN('top 500'!A882)))</f>
        <v/>
      </c>
    </row>
    <row r="883" ht="15.75" customHeight="1">
      <c r="A883" s="7" t="str">
        <f>TRIM(MID(SUBSTITUTE('top 500'!A883," ",REPT(" ",LEN('top 500'!A883))), (2-1)*LEN('top 500'!A883)+1, LEN('top 500'!A883)))</f>
        <v/>
      </c>
    </row>
    <row r="884" ht="15.75" customHeight="1">
      <c r="A884" s="7" t="str">
        <f>TRIM(MID(SUBSTITUTE('top 500'!A884," ",REPT(" ",LEN('top 500'!A884))), (2-1)*LEN('top 500'!A884)+1, LEN('top 500'!A884)))</f>
        <v/>
      </c>
    </row>
    <row r="885" ht="15.75" customHeight="1">
      <c r="A885" s="7" t="str">
        <f>TRIM(MID(SUBSTITUTE('top 500'!A885," ",REPT(" ",LEN('top 500'!A885))), (2-1)*LEN('top 500'!A885)+1, LEN('top 500'!A885)))</f>
        <v/>
      </c>
    </row>
    <row r="886" ht="15.75" customHeight="1">
      <c r="A886" s="7" t="str">
        <f>TRIM(MID(SUBSTITUTE('top 500'!A886," ",REPT(" ",LEN('top 500'!A886))), (2-1)*LEN('top 500'!A886)+1, LEN('top 500'!A886)))</f>
        <v/>
      </c>
    </row>
    <row r="887" ht="15.75" customHeight="1">
      <c r="A887" s="7" t="str">
        <f>TRIM(MID(SUBSTITUTE('top 500'!A887," ",REPT(" ",LEN('top 500'!A887))), (2-1)*LEN('top 500'!A887)+1, LEN('top 500'!A887)))</f>
        <v/>
      </c>
    </row>
    <row r="888" ht="15.75" customHeight="1">
      <c r="A888" s="7" t="str">
        <f>TRIM(MID(SUBSTITUTE('top 500'!A888," ",REPT(" ",LEN('top 500'!A888))), (2-1)*LEN('top 500'!A888)+1, LEN('top 500'!A888)))</f>
        <v/>
      </c>
    </row>
    <row r="889" ht="15.75" customHeight="1">
      <c r="A889" s="7" t="str">
        <f>TRIM(MID(SUBSTITUTE('top 500'!A889," ",REPT(" ",LEN('top 500'!A889))), (2-1)*LEN('top 500'!A889)+1, LEN('top 500'!A889)))</f>
        <v/>
      </c>
    </row>
    <row r="890" ht="15.75" customHeight="1">
      <c r="A890" s="7" t="str">
        <f>TRIM(MID(SUBSTITUTE('top 500'!A890," ",REPT(" ",LEN('top 500'!A890))), (2-1)*LEN('top 500'!A890)+1, LEN('top 500'!A890)))</f>
        <v/>
      </c>
    </row>
    <row r="891" ht="15.75" customHeight="1">
      <c r="A891" s="7" t="str">
        <f>TRIM(MID(SUBSTITUTE('top 500'!A891," ",REPT(" ",LEN('top 500'!A891))), (2-1)*LEN('top 500'!A891)+1, LEN('top 500'!A891)))</f>
        <v/>
      </c>
    </row>
    <row r="892" ht="15.75" customHeight="1">
      <c r="A892" s="7" t="str">
        <f>TRIM(MID(SUBSTITUTE('top 500'!A892," ",REPT(" ",LEN('top 500'!A892))), (2-1)*LEN('top 500'!A892)+1, LEN('top 500'!A892)))</f>
        <v/>
      </c>
    </row>
    <row r="893" ht="15.75" customHeight="1">
      <c r="A893" s="7" t="str">
        <f>TRIM(MID(SUBSTITUTE('top 500'!A893," ",REPT(" ",LEN('top 500'!A893))), (2-1)*LEN('top 500'!A893)+1, LEN('top 500'!A893)))</f>
        <v/>
      </c>
    </row>
    <row r="894" ht="15.75" customHeight="1">
      <c r="A894" s="7" t="str">
        <f>TRIM(MID(SUBSTITUTE('top 500'!A894," ",REPT(" ",LEN('top 500'!A894))), (2-1)*LEN('top 500'!A894)+1, LEN('top 500'!A894)))</f>
        <v/>
      </c>
    </row>
    <row r="895" ht="15.75" customHeight="1">
      <c r="A895" s="7" t="str">
        <f>TRIM(MID(SUBSTITUTE('top 500'!A895," ",REPT(" ",LEN('top 500'!A895))), (2-1)*LEN('top 500'!A895)+1, LEN('top 500'!A895)))</f>
        <v/>
      </c>
    </row>
    <row r="896" ht="15.75" customHeight="1">
      <c r="A896" s="7" t="str">
        <f>TRIM(MID(SUBSTITUTE('top 500'!A896," ",REPT(" ",LEN('top 500'!A896))), (2-1)*LEN('top 500'!A896)+1, LEN('top 500'!A896)))</f>
        <v/>
      </c>
    </row>
    <row r="897" ht="15.75" customHeight="1">
      <c r="A897" s="7" t="str">
        <f>TRIM(MID(SUBSTITUTE('top 500'!A897," ",REPT(" ",LEN('top 500'!A897))), (2-1)*LEN('top 500'!A897)+1, LEN('top 500'!A897)))</f>
        <v/>
      </c>
    </row>
    <row r="898" ht="15.75" customHeight="1">
      <c r="A898" s="7" t="str">
        <f>TRIM(MID(SUBSTITUTE('top 500'!A898," ",REPT(" ",LEN('top 500'!A898))), (2-1)*LEN('top 500'!A898)+1, LEN('top 500'!A898)))</f>
        <v/>
      </c>
    </row>
    <row r="899" ht="15.75" customHeight="1">
      <c r="A899" s="7" t="str">
        <f>TRIM(MID(SUBSTITUTE('top 500'!A899," ",REPT(" ",LEN('top 500'!A899))), (2-1)*LEN('top 500'!A899)+1, LEN('top 500'!A899)))</f>
        <v/>
      </c>
    </row>
    <row r="900" ht="15.75" customHeight="1">
      <c r="A900" s="7" t="str">
        <f>TRIM(MID(SUBSTITUTE('top 500'!A900," ",REPT(" ",LEN('top 500'!A900))), (2-1)*LEN('top 500'!A900)+1, LEN('top 500'!A900)))</f>
        <v/>
      </c>
    </row>
    <row r="901" ht="15.75" customHeight="1">
      <c r="A901" s="7" t="str">
        <f>TRIM(MID(SUBSTITUTE('top 500'!A901," ",REPT(" ",LEN('top 500'!A901))), (2-1)*LEN('top 500'!A901)+1, LEN('top 500'!A901)))</f>
        <v/>
      </c>
    </row>
    <row r="902" ht="15.75" customHeight="1">
      <c r="A902" s="7" t="str">
        <f>TRIM(MID(SUBSTITUTE('top 500'!A902," ",REPT(" ",LEN('top 500'!A902))), (2-1)*LEN('top 500'!A902)+1, LEN('top 500'!A902)))</f>
        <v/>
      </c>
    </row>
    <row r="903" ht="15.75" customHeight="1">
      <c r="A903" s="7" t="str">
        <f>TRIM(MID(SUBSTITUTE('top 500'!A903," ",REPT(" ",LEN('top 500'!A903))), (2-1)*LEN('top 500'!A903)+1, LEN('top 500'!A903)))</f>
        <v/>
      </c>
    </row>
    <row r="904" ht="15.75" customHeight="1">
      <c r="A904" s="7" t="str">
        <f>TRIM(MID(SUBSTITUTE('top 500'!A904," ",REPT(" ",LEN('top 500'!A904))), (2-1)*LEN('top 500'!A904)+1, LEN('top 500'!A904)))</f>
        <v/>
      </c>
    </row>
    <row r="905" ht="15.75" customHeight="1">
      <c r="A905" s="7" t="str">
        <f>TRIM(MID(SUBSTITUTE('top 500'!A905," ",REPT(" ",LEN('top 500'!A905))), (2-1)*LEN('top 500'!A905)+1, LEN('top 500'!A905)))</f>
        <v/>
      </c>
    </row>
    <row r="906" ht="15.75" customHeight="1">
      <c r="A906" s="7" t="str">
        <f>TRIM(MID(SUBSTITUTE('top 500'!A906," ",REPT(" ",LEN('top 500'!A906))), (2-1)*LEN('top 500'!A906)+1, LEN('top 500'!A906)))</f>
        <v/>
      </c>
    </row>
    <row r="907" ht="15.75" customHeight="1">
      <c r="A907" s="7" t="str">
        <f>TRIM(MID(SUBSTITUTE('top 500'!A907," ",REPT(" ",LEN('top 500'!A907))), (2-1)*LEN('top 500'!A907)+1, LEN('top 500'!A907)))</f>
        <v/>
      </c>
    </row>
    <row r="908" ht="15.75" customHeight="1">
      <c r="A908" s="7" t="str">
        <f>TRIM(MID(SUBSTITUTE('top 500'!A908," ",REPT(" ",LEN('top 500'!A908))), (2-1)*LEN('top 500'!A908)+1, LEN('top 500'!A908)))</f>
        <v/>
      </c>
    </row>
    <row r="909" ht="15.75" customHeight="1">
      <c r="A909" s="7" t="str">
        <f>TRIM(MID(SUBSTITUTE('top 500'!A909," ",REPT(" ",LEN('top 500'!A909))), (2-1)*LEN('top 500'!A909)+1, LEN('top 500'!A909)))</f>
        <v/>
      </c>
    </row>
    <row r="910" ht="15.75" customHeight="1">
      <c r="A910" s="7" t="str">
        <f>TRIM(MID(SUBSTITUTE('top 500'!A910," ",REPT(" ",LEN('top 500'!A910))), (2-1)*LEN('top 500'!A910)+1, LEN('top 500'!A910)))</f>
        <v/>
      </c>
    </row>
    <row r="911" ht="15.75" customHeight="1">
      <c r="A911" s="7" t="str">
        <f>TRIM(MID(SUBSTITUTE('top 500'!A911," ",REPT(" ",LEN('top 500'!A911))), (2-1)*LEN('top 500'!A911)+1, LEN('top 500'!A911)))</f>
        <v/>
      </c>
    </row>
    <row r="912" ht="15.75" customHeight="1">
      <c r="A912" s="7" t="str">
        <f>TRIM(MID(SUBSTITUTE('top 500'!A912," ",REPT(" ",LEN('top 500'!A912))), (2-1)*LEN('top 500'!A912)+1, LEN('top 500'!A912)))</f>
        <v/>
      </c>
    </row>
    <row r="913" ht="15.75" customHeight="1">
      <c r="A913" s="7" t="str">
        <f>TRIM(MID(SUBSTITUTE('top 500'!A913," ",REPT(" ",LEN('top 500'!A913))), (2-1)*LEN('top 500'!A913)+1, LEN('top 500'!A913)))</f>
        <v/>
      </c>
    </row>
    <row r="914" ht="15.75" customHeight="1">
      <c r="A914" s="7" t="str">
        <f>TRIM(MID(SUBSTITUTE('top 500'!A914," ",REPT(" ",LEN('top 500'!A914))), (2-1)*LEN('top 500'!A914)+1, LEN('top 500'!A914)))</f>
        <v/>
      </c>
    </row>
    <row r="915" ht="15.75" customHeight="1">
      <c r="A915" s="7" t="str">
        <f>TRIM(MID(SUBSTITUTE('top 500'!A915," ",REPT(" ",LEN('top 500'!A915))), (2-1)*LEN('top 500'!A915)+1, LEN('top 500'!A915)))</f>
        <v/>
      </c>
    </row>
    <row r="916" ht="15.75" customHeight="1">
      <c r="A916" s="7" t="str">
        <f>TRIM(MID(SUBSTITUTE('top 500'!A916," ",REPT(" ",LEN('top 500'!A916))), (2-1)*LEN('top 500'!A916)+1, LEN('top 500'!A916)))</f>
        <v/>
      </c>
    </row>
    <row r="917" ht="15.75" customHeight="1">
      <c r="A917" s="7" t="str">
        <f>TRIM(MID(SUBSTITUTE('top 500'!A917," ",REPT(" ",LEN('top 500'!A917))), (2-1)*LEN('top 500'!A917)+1, LEN('top 500'!A917)))</f>
        <v/>
      </c>
    </row>
    <row r="918" ht="15.75" customHeight="1">
      <c r="A918" s="7" t="str">
        <f>TRIM(MID(SUBSTITUTE('top 500'!A918," ",REPT(" ",LEN('top 500'!A918))), (2-1)*LEN('top 500'!A918)+1, LEN('top 500'!A918)))</f>
        <v/>
      </c>
    </row>
    <row r="919" ht="15.75" customHeight="1">
      <c r="A919" s="7" t="str">
        <f>TRIM(MID(SUBSTITUTE('top 500'!A919," ",REPT(" ",LEN('top 500'!A919))), (2-1)*LEN('top 500'!A919)+1, LEN('top 500'!A919)))</f>
        <v/>
      </c>
    </row>
    <row r="920" ht="15.75" customHeight="1">
      <c r="A920" s="7" t="str">
        <f>TRIM(MID(SUBSTITUTE('top 500'!A920," ",REPT(" ",LEN('top 500'!A920))), (2-1)*LEN('top 500'!A920)+1, LEN('top 500'!A920)))</f>
        <v/>
      </c>
    </row>
    <row r="921" ht="15.75" customHeight="1">
      <c r="A921" s="7" t="str">
        <f>TRIM(MID(SUBSTITUTE('top 500'!A921," ",REPT(" ",LEN('top 500'!A921))), (2-1)*LEN('top 500'!A921)+1, LEN('top 500'!A921)))</f>
        <v/>
      </c>
    </row>
    <row r="922" ht="15.75" customHeight="1">
      <c r="A922" s="7" t="str">
        <f>TRIM(MID(SUBSTITUTE('top 500'!A922," ",REPT(" ",LEN('top 500'!A922))), (2-1)*LEN('top 500'!A922)+1, LEN('top 500'!A922)))</f>
        <v/>
      </c>
    </row>
    <row r="923" ht="15.75" customHeight="1">
      <c r="A923" s="7" t="str">
        <f>TRIM(MID(SUBSTITUTE('top 500'!A923," ",REPT(" ",LEN('top 500'!A923))), (2-1)*LEN('top 500'!A923)+1, LEN('top 500'!A923)))</f>
        <v/>
      </c>
    </row>
    <row r="924" ht="15.75" customHeight="1">
      <c r="A924" s="7" t="str">
        <f>TRIM(MID(SUBSTITUTE('top 500'!A924," ",REPT(" ",LEN('top 500'!A924))), (2-1)*LEN('top 500'!A924)+1, LEN('top 500'!A924)))</f>
        <v/>
      </c>
    </row>
    <row r="925" ht="15.75" customHeight="1">
      <c r="A925" s="7" t="str">
        <f>TRIM(MID(SUBSTITUTE('top 500'!A925," ",REPT(" ",LEN('top 500'!A925))), (2-1)*LEN('top 500'!A925)+1, LEN('top 500'!A925)))</f>
        <v/>
      </c>
    </row>
    <row r="926" ht="15.75" customHeight="1">
      <c r="A926" s="7" t="str">
        <f>TRIM(MID(SUBSTITUTE('top 500'!A926," ",REPT(" ",LEN('top 500'!A926))), (2-1)*LEN('top 500'!A926)+1, LEN('top 500'!A926)))</f>
        <v/>
      </c>
    </row>
    <row r="927" ht="15.75" customHeight="1">
      <c r="A927" s="7" t="str">
        <f>TRIM(MID(SUBSTITUTE('top 500'!A927," ",REPT(" ",LEN('top 500'!A927))), (2-1)*LEN('top 500'!A927)+1, LEN('top 500'!A927)))</f>
        <v/>
      </c>
    </row>
    <row r="928" ht="15.75" customHeight="1">
      <c r="A928" s="7" t="str">
        <f>TRIM(MID(SUBSTITUTE('top 500'!A928," ",REPT(" ",LEN('top 500'!A928))), (2-1)*LEN('top 500'!A928)+1, LEN('top 500'!A928)))</f>
        <v/>
      </c>
    </row>
    <row r="929" ht="15.75" customHeight="1">
      <c r="A929" s="7" t="str">
        <f>TRIM(MID(SUBSTITUTE('top 500'!A929," ",REPT(" ",LEN('top 500'!A929))), (2-1)*LEN('top 500'!A929)+1, LEN('top 500'!A929)))</f>
        <v/>
      </c>
    </row>
    <row r="930" ht="15.75" customHeight="1">
      <c r="A930" s="7" t="str">
        <f>TRIM(MID(SUBSTITUTE('top 500'!A930," ",REPT(" ",LEN('top 500'!A930))), (2-1)*LEN('top 500'!A930)+1, LEN('top 500'!A930)))</f>
        <v/>
      </c>
    </row>
    <row r="931" ht="15.75" customHeight="1">
      <c r="A931" s="7" t="str">
        <f>TRIM(MID(SUBSTITUTE('top 500'!A931," ",REPT(" ",LEN('top 500'!A931))), (2-1)*LEN('top 500'!A931)+1, LEN('top 500'!A931)))</f>
        <v/>
      </c>
    </row>
    <row r="932" ht="15.75" customHeight="1">
      <c r="A932" s="7" t="str">
        <f>TRIM(MID(SUBSTITUTE('top 500'!A932," ",REPT(" ",LEN('top 500'!A932))), (2-1)*LEN('top 500'!A932)+1, LEN('top 500'!A932)))</f>
        <v/>
      </c>
    </row>
    <row r="933" ht="15.75" customHeight="1">
      <c r="A933" s="7" t="str">
        <f>TRIM(MID(SUBSTITUTE('top 500'!A933," ",REPT(" ",LEN('top 500'!A933))), (2-1)*LEN('top 500'!A933)+1, LEN('top 500'!A933)))</f>
        <v/>
      </c>
    </row>
    <row r="934" ht="15.75" customHeight="1">
      <c r="A934" s="7" t="str">
        <f>TRIM(MID(SUBSTITUTE('top 500'!A934," ",REPT(" ",LEN('top 500'!A934))), (2-1)*LEN('top 500'!A934)+1, LEN('top 500'!A934)))</f>
        <v/>
      </c>
    </row>
    <row r="935" ht="15.75" customHeight="1">
      <c r="A935" s="7" t="str">
        <f>TRIM(MID(SUBSTITUTE('top 500'!A935," ",REPT(" ",LEN('top 500'!A935))), (2-1)*LEN('top 500'!A935)+1, LEN('top 500'!A935)))</f>
        <v/>
      </c>
    </row>
    <row r="936" ht="15.75" customHeight="1">
      <c r="A936" s="7" t="str">
        <f>TRIM(MID(SUBSTITUTE('top 500'!A936," ",REPT(" ",LEN('top 500'!A936))), (2-1)*LEN('top 500'!A936)+1, LEN('top 500'!A936)))</f>
        <v/>
      </c>
    </row>
    <row r="937" ht="15.75" customHeight="1">
      <c r="A937" s="7" t="str">
        <f>TRIM(MID(SUBSTITUTE('top 500'!A937," ",REPT(" ",LEN('top 500'!A937))), (2-1)*LEN('top 500'!A937)+1, LEN('top 500'!A937)))</f>
        <v/>
      </c>
    </row>
    <row r="938" ht="15.75" customHeight="1">
      <c r="A938" s="7" t="str">
        <f>TRIM(MID(SUBSTITUTE('top 500'!A938," ",REPT(" ",LEN('top 500'!A938))), (2-1)*LEN('top 500'!A938)+1, LEN('top 500'!A938)))</f>
        <v/>
      </c>
    </row>
    <row r="939" ht="15.75" customHeight="1">
      <c r="A939" s="7" t="str">
        <f>TRIM(MID(SUBSTITUTE('top 500'!A939," ",REPT(" ",LEN('top 500'!A939))), (2-1)*LEN('top 500'!A939)+1, LEN('top 500'!A939)))</f>
        <v/>
      </c>
    </row>
    <row r="940" ht="15.75" customHeight="1">
      <c r="A940" s="7" t="str">
        <f>TRIM(MID(SUBSTITUTE('top 500'!A940," ",REPT(" ",LEN('top 500'!A940))), (2-1)*LEN('top 500'!A940)+1, LEN('top 500'!A940)))</f>
        <v/>
      </c>
    </row>
    <row r="941" ht="15.75" customHeight="1">
      <c r="A941" s="7" t="str">
        <f>TRIM(MID(SUBSTITUTE('top 500'!A941," ",REPT(" ",LEN('top 500'!A941))), (2-1)*LEN('top 500'!A941)+1, LEN('top 500'!A941)))</f>
        <v/>
      </c>
    </row>
    <row r="942" ht="15.75" customHeight="1">
      <c r="A942" s="7" t="str">
        <f>TRIM(MID(SUBSTITUTE('top 500'!A942," ",REPT(" ",LEN('top 500'!A942))), (2-1)*LEN('top 500'!A942)+1, LEN('top 500'!A942)))</f>
        <v/>
      </c>
    </row>
    <row r="943" ht="15.75" customHeight="1">
      <c r="A943" s="7" t="str">
        <f>TRIM(MID(SUBSTITUTE('top 500'!A943," ",REPT(" ",LEN('top 500'!A943))), (2-1)*LEN('top 500'!A943)+1, LEN('top 500'!A943)))</f>
        <v/>
      </c>
    </row>
    <row r="944" ht="15.75" customHeight="1">
      <c r="A944" s="7" t="str">
        <f>TRIM(MID(SUBSTITUTE('top 500'!A944," ",REPT(" ",LEN('top 500'!A944))), (2-1)*LEN('top 500'!A944)+1, LEN('top 500'!A944)))</f>
        <v/>
      </c>
    </row>
    <row r="945" ht="15.75" customHeight="1">
      <c r="A945" s="7" t="str">
        <f>TRIM(MID(SUBSTITUTE('top 500'!A945," ",REPT(" ",LEN('top 500'!A945))), (2-1)*LEN('top 500'!A945)+1, LEN('top 500'!A945)))</f>
        <v/>
      </c>
    </row>
    <row r="946" ht="15.75" customHeight="1">
      <c r="A946" s="7" t="str">
        <f>TRIM(MID(SUBSTITUTE('top 500'!A946," ",REPT(" ",LEN('top 500'!A946))), (2-1)*LEN('top 500'!A946)+1, LEN('top 500'!A946)))</f>
        <v/>
      </c>
    </row>
    <row r="947" ht="15.75" customHeight="1">
      <c r="A947" s="7" t="str">
        <f>TRIM(MID(SUBSTITUTE('top 500'!A947," ",REPT(" ",LEN('top 500'!A947))), (2-1)*LEN('top 500'!A947)+1, LEN('top 500'!A947)))</f>
        <v/>
      </c>
    </row>
    <row r="948" ht="15.75" customHeight="1">
      <c r="A948" s="7" t="str">
        <f>TRIM(MID(SUBSTITUTE('top 500'!A948," ",REPT(" ",LEN('top 500'!A948))), (2-1)*LEN('top 500'!A948)+1, LEN('top 500'!A948)))</f>
        <v/>
      </c>
    </row>
    <row r="949" ht="15.75" customHeight="1">
      <c r="A949" s="7" t="str">
        <f>TRIM(MID(SUBSTITUTE('top 500'!A949," ",REPT(" ",LEN('top 500'!A949))), (2-1)*LEN('top 500'!A949)+1, LEN('top 500'!A949)))</f>
        <v/>
      </c>
    </row>
    <row r="950" ht="15.75" customHeight="1">
      <c r="A950" s="7" t="str">
        <f>TRIM(MID(SUBSTITUTE('top 500'!A950," ",REPT(" ",LEN('top 500'!A950))), (2-1)*LEN('top 500'!A950)+1, LEN('top 500'!A950)))</f>
        <v/>
      </c>
    </row>
    <row r="951" ht="15.75" customHeight="1">
      <c r="A951" s="7" t="str">
        <f>TRIM(MID(SUBSTITUTE('top 500'!A951," ",REPT(" ",LEN('top 500'!A951))), (2-1)*LEN('top 500'!A951)+1, LEN('top 500'!A951)))</f>
        <v/>
      </c>
    </row>
    <row r="952" ht="15.75" customHeight="1">
      <c r="A952" s="7" t="str">
        <f>TRIM(MID(SUBSTITUTE('top 500'!A952," ",REPT(" ",LEN('top 500'!A952))), (2-1)*LEN('top 500'!A952)+1, LEN('top 500'!A952)))</f>
        <v/>
      </c>
    </row>
    <row r="953" ht="15.75" customHeight="1">
      <c r="A953" s="7" t="str">
        <f>TRIM(MID(SUBSTITUTE('top 500'!A953," ",REPT(" ",LEN('top 500'!A953))), (2-1)*LEN('top 500'!A953)+1, LEN('top 500'!A953)))</f>
        <v/>
      </c>
    </row>
    <row r="954" ht="15.75" customHeight="1">
      <c r="A954" s="7" t="str">
        <f>TRIM(MID(SUBSTITUTE('top 500'!A954," ",REPT(" ",LEN('top 500'!A954))), (2-1)*LEN('top 500'!A954)+1, LEN('top 500'!A954)))</f>
        <v/>
      </c>
    </row>
    <row r="955" ht="15.75" customHeight="1">
      <c r="A955" s="7" t="str">
        <f>TRIM(MID(SUBSTITUTE('top 500'!A955," ",REPT(" ",LEN('top 500'!A955))), (2-1)*LEN('top 500'!A955)+1, LEN('top 500'!A955)))</f>
        <v/>
      </c>
    </row>
    <row r="956" ht="15.75" customHeight="1">
      <c r="A956" s="7" t="str">
        <f>TRIM(MID(SUBSTITUTE('top 500'!A956," ",REPT(" ",LEN('top 500'!A956))), (2-1)*LEN('top 500'!A956)+1, LEN('top 500'!A956)))</f>
        <v/>
      </c>
    </row>
    <row r="957" ht="15.75" customHeight="1">
      <c r="A957" s="7" t="str">
        <f>TRIM(MID(SUBSTITUTE('top 500'!A957," ",REPT(" ",LEN('top 500'!A957))), (2-1)*LEN('top 500'!A957)+1, LEN('top 500'!A957)))</f>
        <v/>
      </c>
    </row>
    <row r="958" ht="15.75" customHeight="1">
      <c r="A958" s="7" t="str">
        <f>TRIM(MID(SUBSTITUTE('top 500'!A958," ",REPT(" ",LEN('top 500'!A958))), (2-1)*LEN('top 500'!A958)+1, LEN('top 500'!A958)))</f>
        <v/>
      </c>
    </row>
    <row r="959" ht="15.75" customHeight="1">
      <c r="A959" s="7" t="str">
        <f>TRIM(MID(SUBSTITUTE('top 500'!A959," ",REPT(" ",LEN('top 500'!A959))), (2-1)*LEN('top 500'!A959)+1, LEN('top 500'!A959)))</f>
        <v/>
      </c>
    </row>
    <row r="960" ht="15.75" customHeight="1">
      <c r="A960" s="7" t="str">
        <f>TRIM(MID(SUBSTITUTE('top 500'!A960," ",REPT(" ",LEN('top 500'!A960))), (2-1)*LEN('top 500'!A960)+1, LEN('top 500'!A960)))</f>
        <v/>
      </c>
    </row>
    <row r="961" ht="15.75" customHeight="1">
      <c r="A961" s="7" t="str">
        <f>TRIM(MID(SUBSTITUTE('top 500'!A961," ",REPT(" ",LEN('top 500'!A961))), (2-1)*LEN('top 500'!A961)+1, LEN('top 500'!A961)))</f>
        <v/>
      </c>
    </row>
    <row r="962" ht="15.75" customHeight="1">
      <c r="A962" s="7" t="str">
        <f>TRIM(MID(SUBSTITUTE('top 500'!A962," ",REPT(" ",LEN('top 500'!A962))), (2-1)*LEN('top 500'!A962)+1, LEN('top 500'!A962)))</f>
        <v/>
      </c>
    </row>
    <row r="963" ht="15.75" customHeight="1">
      <c r="A963" s="7" t="str">
        <f>TRIM(MID(SUBSTITUTE('top 500'!A963," ",REPT(" ",LEN('top 500'!A963))), (2-1)*LEN('top 500'!A963)+1, LEN('top 500'!A963)))</f>
        <v/>
      </c>
    </row>
    <row r="964" ht="15.75" customHeight="1">
      <c r="A964" s="7" t="str">
        <f>TRIM(MID(SUBSTITUTE('top 500'!A964," ",REPT(" ",LEN('top 500'!A964))), (2-1)*LEN('top 500'!A964)+1, LEN('top 500'!A964)))</f>
        <v/>
      </c>
    </row>
    <row r="965" ht="15.75" customHeight="1">
      <c r="A965" s="7" t="str">
        <f>TRIM(MID(SUBSTITUTE('top 500'!A965," ",REPT(" ",LEN('top 500'!A965))), (2-1)*LEN('top 500'!A965)+1, LEN('top 500'!A965)))</f>
        <v/>
      </c>
    </row>
    <row r="966" ht="15.75" customHeight="1">
      <c r="A966" s="7" t="str">
        <f>TRIM(MID(SUBSTITUTE('top 500'!A966," ",REPT(" ",LEN('top 500'!A966))), (2-1)*LEN('top 500'!A966)+1, LEN('top 500'!A966)))</f>
        <v/>
      </c>
    </row>
    <row r="967" ht="15.75" customHeight="1">
      <c r="A967" s="7" t="str">
        <f>TRIM(MID(SUBSTITUTE('top 500'!A967," ",REPT(" ",LEN('top 500'!A967))), (2-1)*LEN('top 500'!A967)+1, LEN('top 500'!A967)))</f>
        <v/>
      </c>
    </row>
    <row r="968" ht="15.75" customHeight="1">
      <c r="A968" s="7" t="str">
        <f>TRIM(MID(SUBSTITUTE('top 500'!A968," ",REPT(" ",LEN('top 500'!A968))), (2-1)*LEN('top 500'!A968)+1, LEN('top 500'!A968)))</f>
        <v/>
      </c>
    </row>
    <row r="969" ht="15.75" customHeight="1">
      <c r="A969" s="7" t="str">
        <f>TRIM(MID(SUBSTITUTE('top 500'!A969," ",REPT(" ",LEN('top 500'!A969))), (2-1)*LEN('top 500'!A969)+1, LEN('top 500'!A969)))</f>
        <v/>
      </c>
    </row>
    <row r="970" ht="15.75" customHeight="1">
      <c r="A970" s="7" t="str">
        <f>TRIM(MID(SUBSTITUTE('top 500'!A970," ",REPT(" ",LEN('top 500'!A970))), (2-1)*LEN('top 500'!A970)+1, LEN('top 500'!A970)))</f>
        <v/>
      </c>
    </row>
    <row r="971" ht="15.75" customHeight="1">
      <c r="A971" s="7" t="str">
        <f>TRIM(MID(SUBSTITUTE('top 500'!A971," ",REPT(" ",LEN('top 500'!A971))), (2-1)*LEN('top 500'!A971)+1, LEN('top 500'!A971)))</f>
        <v/>
      </c>
    </row>
    <row r="972" ht="15.75" customHeight="1">
      <c r="A972" s="7" t="str">
        <f>TRIM(MID(SUBSTITUTE('top 500'!A972," ",REPT(" ",LEN('top 500'!A972))), (2-1)*LEN('top 500'!A972)+1, LEN('top 500'!A972)))</f>
        <v/>
      </c>
    </row>
    <row r="973" ht="15.75" customHeight="1">
      <c r="A973" s="7" t="str">
        <f>TRIM(MID(SUBSTITUTE('top 500'!A973," ",REPT(" ",LEN('top 500'!A973))), (2-1)*LEN('top 500'!A973)+1, LEN('top 500'!A973)))</f>
        <v/>
      </c>
    </row>
    <row r="974" ht="15.75" customHeight="1">
      <c r="A974" s="7" t="str">
        <f>TRIM(MID(SUBSTITUTE('top 500'!A974," ",REPT(" ",LEN('top 500'!A974))), (2-1)*LEN('top 500'!A974)+1, LEN('top 500'!A974)))</f>
        <v/>
      </c>
    </row>
    <row r="975" ht="15.75" customHeight="1">
      <c r="A975" s="7" t="str">
        <f>TRIM(MID(SUBSTITUTE('top 500'!A975," ",REPT(" ",LEN('top 500'!A975))), (2-1)*LEN('top 500'!A975)+1, LEN('top 500'!A975)))</f>
        <v/>
      </c>
    </row>
    <row r="976" ht="15.75" customHeight="1">
      <c r="A976" s="7" t="str">
        <f>TRIM(MID(SUBSTITUTE('top 500'!A976," ",REPT(" ",LEN('top 500'!A976))), (2-1)*LEN('top 500'!A976)+1, LEN('top 500'!A976)))</f>
        <v/>
      </c>
    </row>
    <row r="977" ht="15.75" customHeight="1">
      <c r="A977" s="7" t="str">
        <f>TRIM(MID(SUBSTITUTE('top 500'!A977," ",REPT(" ",LEN('top 500'!A977))), (2-1)*LEN('top 500'!A977)+1, LEN('top 500'!A977)))</f>
        <v/>
      </c>
    </row>
    <row r="978" ht="15.75" customHeight="1">
      <c r="A978" s="7" t="str">
        <f>TRIM(MID(SUBSTITUTE('top 500'!A978," ",REPT(" ",LEN('top 500'!A978))), (2-1)*LEN('top 500'!A978)+1, LEN('top 500'!A978)))</f>
        <v/>
      </c>
    </row>
    <row r="979" ht="15.75" customHeight="1">
      <c r="A979" s="7" t="str">
        <f>TRIM(MID(SUBSTITUTE('top 500'!A979," ",REPT(" ",LEN('top 500'!A979))), (2-1)*LEN('top 500'!A979)+1, LEN('top 500'!A979)))</f>
        <v/>
      </c>
    </row>
    <row r="980" ht="15.75" customHeight="1">
      <c r="A980" s="7" t="str">
        <f>TRIM(MID(SUBSTITUTE('top 500'!A980," ",REPT(" ",LEN('top 500'!A980))), (2-1)*LEN('top 500'!A980)+1, LEN('top 500'!A980)))</f>
        <v/>
      </c>
    </row>
    <row r="981" ht="15.75" customHeight="1">
      <c r="A981" s="7" t="str">
        <f>TRIM(MID(SUBSTITUTE('top 500'!A981," ",REPT(" ",LEN('top 500'!A981))), (2-1)*LEN('top 500'!A981)+1, LEN('top 500'!A981)))</f>
        <v/>
      </c>
    </row>
    <row r="982" ht="15.75" customHeight="1">
      <c r="A982" s="7" t="str">
        <f>TRIM(MID(SUBSTITUTE('top 500'!A982," ",REPT(" ",LEN('top 500'!A982))), (2-1)*LEN('top 500'!A982)+1, LEN('top 500'!A982)))</f>
        <v/>
      </c>
    </row>
    <row r="983" ht="15.75" customHeight="1">
      <c r="A983" s="7" t="str">
        <f>TRIM(MID(SUBSTITUTE('top 500'!A983," ",REPT(" ",LEN('top 500'!A983))), (2-1)*LEN('top 500'!A983)+1, LEN('top 500'!A983)))</f>
        <v/>
      </c>
    </row>
    <row r="984" ht="15.75" customHeight="1">
      <c r="A984" s="7" t="str">
        <f>TRIM(MID(SUBSTITUTE('top 500'!A984," ",REPT(" ",LEN('top 500'!A984))), (2-1)*LEN('top 500'!A984)+1, LEN('top 500'!A984)))</f>
        <v/>
      </c>
    </row>
    <row r="985" ht="15.75" customHeight="1">
      <c r="A985" s="7" t="str">
        <f>TRIM(MID(SUBSTITUTE('top 500'!A985," ",REPT(" ",LEN('top 500'!A985))), (2-1)*LEN('top 500'!A985)+1, LEN('top 500'!A985)))</f>
        <v/>
      </c>
    </row>
    <row r="986" ht="15.75" customHeight="1">
      <c r="A986" s="7" t="str">
        <f>TRIM(MID(SUBSTITUTE('top 500'!A986," ",REPT(" ",LEN('top 500'!A986))), (2-1)*LEN('top 500'!A986)+1, LEN('top 500'!A986)))</f>
        <v/>
      </c>
    </row>
    <row r="987" ht="15.75" customHeight="1">
      <c r="A987" s="7" t="str">
        <f>TRIM(MID(SUBSTITUTE('top 500'!A987," ",REPT(" ",LEN('top 500'!A987))), (2-1)*LEN('top 500'!A987)+1, LEN('top 500'!A987)))</f>
        <v/>
      </c>
    </row>
    <row r="988" ht="15.75" customHeight="1">
      <c r="A988" s="7" t="str">
        <f>TRIM(MID(SUBSTITUTE('top 500'!A988," ",REPT(" ",LEN('top 500'!A988))), (2-1)*LEN('top 500'!A988)+1, LEN('top 500'!A988)))</f>
        <v/>
      </c>
    </row>
    <row r="989" ht="15.75" customHeight="1">
      <c r="A989" s="7" t="str">
        <f>TRIM(MID(SUBSTITUTE('top 500'!A989," ",REPT(" ",LEN('top 500'!A989))), (2-1)*LEN('top 500'!A989)+1, LEN('top 500'!A989)))</f>
        <v/>
      </c>
    </row>
    <row r="990" ht="15.75" customHeight="1">
      <c r="A990" s="7" t="str">
        <f>TRIM(MID(SUBSTITUTE('top 500'!A990," ",REPT(" ",LEN('top 500'!A990))), (2-1)*LEN('top 500'!A990)+1, LEN('top 500'!A990)))</f>
        <v/>
      </c>
    </row>
    <row r="991" ht="15.75" customHeight="1">
      <c r="A991" s="7" t="str">
        <f>TRIM(MID(SUBSTITUTE('top 500'!A991," ",REPT(" ",LEN('top 500'!A991))), (2-1)*LEN('top 500'!A991)+1, LEN('top 500'!A991)))</f>
        <v/>
      </c>
    </row>
    <row r="992" ht="15.75" customHeight="1">
      <c r="A992" s="7" t="str">
        <f>TRIM(MID(SUBSTITUTE('top 500'!A992," ",REPT(" ",LEN('top 500'!A992))), (2-1)*LEN('top 500'!A992)+1, LEN('top 500'!A992)))</f>
        <v/>
      </c>
    </row>
    <row r="993" ht="15.75" customHeight="1">
      <c r="A993" s="7" t="str">
        <f>TRIM(MID(SUBSTITUTE('top 500'!A993," ",REPT(" ",LEN('top 500'!A993))), (2-1)*LEN('top 500'!A993)+1, LEN('top 500'!A993)))</f>
        <v/>
      </c>
    </row>
    <row r="994" ht="15.75" customHeight="1">
      <c r="A994" s="7" t="str">
        <f>TRIM(MID(SUBSTITUTE('top 500'!A994," ",REPT(" ",LEN('top 500'!A994))), (2-1)*LEN('top 500'!A994)+1, LEN('top 500'!A994)))</f>
        <v/>
      </c>
    </row>
    <row r="995" ht="15.75" customHeight="1">
      <c r="A995" s="7" t="str">
        <f>TRIM(MID(SUBSTITUTE('top 500'!A995," ",REPT(" ",LEN('top 500'!A995))), (2-1)*LEN('top 500'!A995)+1, LEN('top 500'!A995)))</f>
        <v/>
      </c>
    </row>
    <row r="996" ht="15.75" customHeight="1">
      <c r="A996" s="7" t="str">
        <f>TRIM(MID(SUBSTITUTE('top 500'!A996," ",REPT(" ",LEN('top 500'!A996))), (2-1)*LEN('top 500'!A996)+1, LEN('top 500'!A996)))</f>
        <v/>
      </c>
    </row>
    <row r="997" ht="15.75" customHeight="1">
      <c r="A997" s="7" t="str">
        <f>TRIM(MID(SUBSTITUTE('top 500'!A997," ",REPT(" ",LEN('top 500'!A997))), (2-1)*LEN('top 500'!A997)+1, LEN('top 500'!A997)))</f>
        <v/>
      </c>
    </row>
    <row r="998" ht="15.75" customHeight="1">
      <c r="A998" s="7" t="str">
        <f>TRIM(MID(SUBSTITUTE('top 500'!A998," ",REPT(" ",LEN('top 500'!A998))), (2-1)*LEN('top 500'!A998)+1, LEN('top 500'!A998)))</f>
        <v/>
      </c>
    </row>
    <row r="999" ht="15.75" customHeight="1">
      <c r="A999" s="7" t="str">
        <f>TRIM(MID(SUBSTITUTE('top 500'!A999," ",REPT(" ",LEN('top 500'!A999))), (2-1)*LEN('top 500'!A999)+1, LEN('top 500'!A999)))</f>
        <v/>
      </c>
    </row>
    <row r="1000" ht="15.75" customHeight="1">
      <c r="A1000" s="7" t="str">
        <f>TRIM(MID(SUBSTITUTE('top 500'!A1000," ",REPT(" ",LEN('top 500'!A1000))), (2-1)*LEN('top 500'!A1000)+1, LEN('top 500'!A1000)))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13"/>
  </cols>
  <sheetData>
    <row r="1">
      <c r="A1" s="8" t="s">
        <v>0</v>
      </c>
    </row>
    <row r="2">
      <c r="A2" s="9" t="s">
        <v>1</v>
      </c>
    </row>
    <row r="3">
      <c r="A3" s="9" t="s">
        <v>2</v>
      </c>
    </row>
    <row r="4">
      <c r="A4" s="9" t="s">
        <v>3</v>
      </c>
    </row>
    <row r="5">
      <c r="A5" s="9" t="s">
        <v>4</v>
      </c>
    </row>
    <row r="6">
      <c r="A6" s="9" t="s">
        <v>5</v>
      </c>
    </row>
    <row r="7">
      <c r="A7" s="9" t="s">
        <v>6</v>
      </c>
    </row>
    <row r="8">
      <c r="A8" s="9" t="s">
        <v>7</v>
      </c>
    </row>
    <row r="9">
      <c r="A9" s="9" t="s">
        <v>8</v>
      </c>
    </row>
    <row r="10">
      <c r="A10" s="9" t="s">
        <v>9</v>
      </c>
    </row>
    <row r="11">
      <c r="A11" s="9" t="s">
        <v>10</v>
      </c>
    </row>
    <row r="12">
      <c r="A12" s="9" t="s">
        <v>11</v>
      </c>
    </row>
    <row r="13">
      <c r="A13" s="9" t="s">
        <v>12</v>
      </c>
    </row>
    <row r="14">
      <c r="A14" s="9" t="s">
        <v>13</v>
      </c>
    </row>
    <row r="15">
      <c r="A15" s="9" t="s">
        <v>14</v>
      </c>
    </row>
    <row r="16">
      <c r="A16" s="9" t="s">
        <v>15</v>
      </c>
    </row>
    <row r="17">
      <c r="A17" s="9" t="s">
        <v>16</v>
      </c>
    </row>
    <row r="18">
      <c r="A18" s="9" t="s">
        <v>17</v>
      </c>
    </row>
    <row r="19">
      <c r="A19" s="9" t="s">
        <v>18</v>
      </c>
    </row>
    <row r="20">
      <c r="A20" s="9" t="s">
        <v>19</v>
      </c>
    </row>
    <row r="21">
      <c r="A21" s="9" t="s">
        <v>20</v>
      </c>
    </row>
    <row r="22">
      <c r="A22" s="9" t="s">
        <v>21</v>
      </c>
    </row>
    <row r="23">
      <c r="A23" s="9" t="s">
        <v>22</v>
      </c>
    </row>
    <row r="24">
      <c r="A24" s="9" t="s">
        <v>23</v>
      </c>
    </row>
    <row r="25">
      <c r="A25" s="9" t="s">
        <v>24</v>
      </c>
    </row>
    <row r="26">
      <c r="A26" s="9" t="s">
        <v>25</v>
      </c>
    </row>
    <row r="27">
      <c r="A27" s="9" t="s">
        <v>26</v>
      </c>
    </row>
    <row r="28">
      <c r="A28" s="9" t="s">
        <v>27</v>
      </c>
    </row>
    <row r="29">
      <c r="A29" s="9" t="s">
        <v>28</v>
      </c>
    </row>
    <row r="30">
      <c r="A30" s="9" t="s">
        <v>29</v>
      </c>
    </row>
    <row r="31">
      <c r="A31" s="9" t="s">
        <v>30</v>
      </c>
    </row>
    <row r="32">
      <c r="A32" s="9" t="s">
        <v>31</v>
      </c>
    </row>
    <row r="33">
      <c r="A33" s="9" t="s">
        <v>32</v>
      </c>
    </row>
    <row r="34">
      <c r="A34" s="9" t="s">
        <v>33</v>
      </c>
    </row>
    <row r="35">
      <c r="A35" s="9" t="s">
        <v>34</v>
      </c>
    </row>
    <row r="36">
      <c r="A36" s="9" t="s">
        <v>35</v>
      </c>
    </row>
    <row r="37">
      <c r="A37" s="9" t="s">
        <v>36</v>
      </c>
    </row>
    <row r="38">
      <c r="A38" s="9" t="s">
        <v>37</v>
      </c>
    </row>
    <row r="39">
      <c r="A39" s="9" t="s">
        <v>38</v>
      </c>
    </row>
    <row r="40">
      <c r="A40" s="9" t="s">
        <v>39</v>
      </c>
    </row>
    <row r="41">
      <c r="A41" s="9" t="s">
        <v>40</v>
      </c>
    </row>
    <row r="42">
      <c r="A42" s="9" t="s">
        <v>41</v>
      </c>
    </row>
    <row r="43">
      <c r="A43" s="9" t="s">
        <v>42</v>
      </c>
    </row>
    <row r="44">
      <c r="A44" s="9" t="s">
        <v>43</v>
      </c>
    </row>
    <row r="45">
      <c r="A45" s="9" t="s">
        <v>44</v>
      </c>
    </row>
    <row r="46">
      <c r="A46" s="9" t="s">
        <v>45</v>
      </c>
    </row>
    <row r="47">
      <c r="A47" s="9" t="s">
        <v>46</v>
      </c>
    </row>
    <row r="48">
      <c r="A48" s="9" t="s">
        <v>47</v>
      </c>
    </row>
    <row r="49">
      <c r="A49" s="9" t="s">
        <v>48</v>
      </c>
    </row>
    <row r="50">
      <c r="A50" s="9" t="s">
        <v>49</v>
      </c>
    </row>
    <row r="51">
      <c r="A51" s="9" t="s">
        <v>50</v>
      </c>
    </row>
    <row r="52">
      <c r="A52" s="9" t="s">
        <v>51</v>
      </c>
    </row>
    <row r="53">
      <c r="A53" s="9" t="s">
        <v>52</v>
      </c>
    </row>
    <row r="54">
      <c r="A54" s="9" t="s">
        <v>53</v>
      </c>
    </row>
    <row r="55">
      <c r="A55" s="9" t="s">
        <v>54</v>
      </c>
    </row>
    <row r="56">
      <c r="A56" s="9" t="s">
        <v>55</v>
      </c>
    </row>
    <row r="57">
      <c r="A57" s="9" t="s">
        <v>56</v>
      </c>
    </row>
    <row r="58">
      <c r="A58" s="9" t="s">
        <v>57</v>
      </c>
    </row>
    <row r="59">
      <c r="A59" s="9" t="s">
        <v>58</v>
      </c>
    </row>
    <row r="60">
      <c r="A60" s="9" t="s">
        <v>59</v>
      </c>
    </row>
    <row r="61">
      <c r="A61" s="9" t="s">
        <v>60</v>
      </c>
    </row>
    <row r="62">
      <c r="A62" s="9" t="s">
        <v>61</v>
      </c>
    </row>
    <row r="63">
      <c r="A63" s="9" t="s">
        <v>62</v>
      </c>
    </row>
    <row r="64">
      <c r="A64" s="9" t="s">
        <v>63</v>
      </c>
    </row>
    <row r="65">
      <c r="A65" s="9" t="s">
        <v>64</v>
      </c>
    </row>
    <row r="66">
      <c r="A66" s="9" t="s">
        <v>65</v>
      </c>
    </row>
    <row r="67">
      <c r="A67" s="9" t="s">
        <v>66</v>
      </c>
    </row>
    <row r="68">
      <c r="A68" s="9" t="s">
        <v>67</v>
      </c>
    </row>
    <row r="69">
      <c r="A69" s="9" t="s">
        <v>68</v>
      </c>
    </row>
    <row r="70">
      <c r="A70" s="9" t="s">
        <v>69</v>
      </c>
    </row>
    <row r="71">
      <c r="A71" s="9" t="s">
        <v>70</v>
      </c>
    </row>
    <row r="72">
      <c r="A72" s="9" t="s">
        <v>71</v>
      </c>
    </row>
    <row r="73">
      <c r="A73" s="9" t="s">
        <v>72</v>
      </c>
    </row>
    <row r="74">
      <c r="A74" s="9" t="s">
        <v>73</v>
      </c>
    </row>
    <row r="75">
      <c r="A75" s="9" t="s">
        <v>74</v>
      </c>
    </row>
    <row r="76">
      <c r="A76" s="9" t="s">
        <v>75</v>
      </c>
    </row>
    <row r="77">
      <c r="A77" s="9" t="s">
        <v>76</v>
      </c>
    </row>
    <row r="78">
      <c r="A78" s="9" t="s">
        <v>77</v>
      </c>
    </row>
    <row r="79">
      <c r="A79" s="9" t="s">
        <v>78</v>
      </c>
    </row>
    <row r="80">
      <c r="A80" s="9" t="s">
        <v>79</v>
      </c>
    </row>
    <row r="81">
      <c r="A81" s="9" t="s">
        <v>80</v>
      </c>
    </row>
    <row r="82">
      <c r="A82" s="9" t="s">
        <v>81</v>
      </c>
    </row>
    <row r="83">
      <c r="A83" s="9" t="s">
        <v>82</v>
      </c>
    </row>
    <row r="84">
      <c r="A84" s="9" t="s">
        <v>83</v>
      </c>
    </row>
    <row r="85">
      <c r="A85" s="9" t="s">
        <v>84</v>
      </c>
    </row>
    <row r="86">
      <c r="A86" s="9" t="s">
        <v>85</v>
      </c>
    </row>
    <row r="87">
      <c r="A87" s="9" t="s">
        <v>86</v>
      </c>
    </row>
    <row r="88">
      <c r="A88" s="9" t="s">
        <v>87</v>
      </c>
    </row>
    <row r="89">
      <c r="A89" s="9" t="s">
        <v>88</v>
      </c>
    </row>
    <row r="90">
      <c r="A90" s="9" t="s">
        <v>89</v>
      </c>
    </row>
    <row r="91">
      <c r="A91" s="9" t="s">
        <v>90</v>
      </c>
    </row>
    <row r="92">
      <c r="A92" s="9" t="s">
        <v>91</v>
      </c>
    </row>
    <row r="93">
      <c r="A93" s="9" t="s">
        <v>92</v>
      </c>
    </row>
    <row r="94">
      <c r="A94" s="9" t="s">
        <v>93</v>
      </c>
    </row>
    <row r="95">
      <c r="A95" s="9" t="s">
        <v>94</v>
      </c>
    </row>
    <row r="96">
      <c r="A96" s="9" t="s">
        <v>95</v>
      </c>
    </row>
    <row r="97">
      <c r="A97" s="9" t="s">
        <v>96</v>
      </c>
    </row>
    <row r="98">
      <c r="A98" s="9" t="s">
        <v>97</v>
      </c>
    </row>
    <row r="99">
      <c r="A99" s="9" t="s">
        <v>98</v>
      </c>
    </row>
    <row r="100">
      <c r="A100" s="9" t="s">
        <v>99</v>
      </c>
    </row>
    <row r="101">
      <c r="A101" s="9" t="s">
        <v>100</v>
      </c>
    </row>
    <row r="102">
      <c r="A102" s="9" t="s">
        <v>101</v>
      </c>
    </row>
    <row r="103">
      <c r="A103" s="9" t="s">
        <v>102</v>
      </c>
    </row>
    <row r="104">
      <c r="A104" s="9" t="s">
        <v>103</v>
      </c>
    </row>
    <row r="105">
      <c r="A105" s="9" t="s">
        <v>104</v>
      </c>
    </row>
    <row r="106">
      <c r="A106" s="9" t="s">
        <v>105</v>
      </c>
    </row>
    <row r="107">
      <c r="A107" s="9" t="s">
        <v>106</v>
      </c>
    </row>
    <row r="108">
      <c r="A108" s="9" t="s">
        <v>107</v>
      </c>
    </row>
    <row r="109">
      <c r="A109" s="9" t="s">
        <v>108</v>
      </c>
    </row>
    <row r="110">
      <c r="A110" s="9" t="s">
        <v>109</v>
      </c>
    </row>
    <row r="111">
      <c r="A111" s="9" t="s">
        <v>110</v>
      </c>
    </row>
    <row r="112">
      <c r="A112" s="9" t="s">
        <v>111</v>
      </c>
    </row>
    <row r="113">
      <c r="A113" s="9" t="s">
        <v>112</v>
      </c>
    </row>
    <row r="114">
      <c r="A114" s="9" t="s">
        <v>113</v>
      </c>
    </row>
    <row r="115">
      <c r="A115" s="9" t="s">
        <v>114</v>
      </c>
    </row>
    <row r="116">
      <c r="A116" s="9" t="s">
        <v>115</v>
      </c>
    </row>
    <row r="117">
      <c r="A117" s="9" t="s">
        <v>116</v>
      </c>
    </row>
    <row r="118">
      <c r="A118" s="9" t="s">
        <v>117</v>
      </c>
    </row>
    <row r="119">
      <c r="A119" s="9" t="s">
        <v>118</v>
      </c>
    </row>
    <row r="120">
      <c r="A120" s="9" t="s">
        <v>119</v>
      </c>
    </row>
    <row r="121">
      <c r="A121" s="9" t="s">
        <v>120</v>
      </c>
    </row>
    <row r="122">
      <c r="A122" s="9" t="s">
        <v>121</v>
      </c>
    </row>
    <row r="123">
      <c r="A123" s="9" t="s">
        <v>122</v>
      </c>
    </row>
    <row r="124">
      <c r="A124" s="9" t="s">
        <v>123</v>
      </c>
    </row>
    <row r="125">
      <c r="A125" s="9" t="s">
        <v>124</v>
      </c>
    </row>
    <row r="126">
      <c r="A126" s="9" t="s">
        <v>125</v>
      </c>
    </row>
    <row r="127">
      <c r="A127" s="9" t="s">
        <v>126</v>
      </c>
    </row>
    <row r="128">
      <c r="A128" s="9" t="s">
        <v>127</v>
      </c>
    </row>
    <row r="129">
      <c r="A129" s="9" t="s">
        <v>128</v>
      </c>
    </row>
    <row r="130">
      <c r="A130" s="9" t="s">
        <v>129</v>
      </c>
    </row>
    <row r="131">
      <c r="A131" s="9" t="s">
        <v>130</v>
      </c>
    </row>
    <row r="132">
      <c r="A132" s="9" t="s">
        <v>131</v>
      </c>
    </row>
    <row r="133">
      <c r="A133" s="9" t="s">
        <v>132</v>
      </c>
    </row>
    <row r="134">
      <c r="A134" s="9" t="s">
        <v>133</v>
      </c>
    </row>
    <row r="135">
      <c r="A135" s="9" t="s">
        <v>134</v>
      </c>
    </row>
    <row r="136">
      <c r="A136" s="9" t="s">
        <v>135</v>
      </c>
    </row>
    <row r="137">
      <c r="A137" s="9" t="s">
        <v>136</v>
      </c>
    </row>
    <row r="138">
      <c r="A138" s="9" t="s">
        <v>137</v>
      </c>
    </row>
    <row r="139">
      <c r="A139" s="9" t="s">
        <v>138</v>
      </c>
    </row>
    <row r="140">
      <c r="A140" s="9" t="s">
        <v>139</v>
      </c>
    </row>
    <row r="141">
      <c r="A141" s="9" t="s">
        <v>140</v>
      </c>
    </row>
    <row r="142">
      <c r="A142" s="9" t="s">
        <v>141</v>
      </c>
    </row>
    <row r="143">
      <c r="A143" s="9" t="s">
        <v>142</v>
      </c>
    </row>
    <row r="144">
      <c r="A144" s="9" t="s">
        <v>143</v>
      </c>
    </row>
    <row r="145">
      <c r="A145" s="9" t="s">
        <v>144</v>
      </c>
    </row>
    <row r="146">
      <c r="A146" s="9" t="s">
        <v>145</v>
      </c>
    </row>
    <row r="147">
      <c r="A147" s="9" t="s">
        <v>146</v>
      </c>
    </row>
    <row r="148">
      <c r="A148" s="9" t="s">
        <v>147</v>
      </c>
    </row>
    <row r="149">
      <c r="A149" s="9" t="s">
        <v>148</v>
      </c>
    </row>
    <row r="150">
      <c r="A150" s="9" t="s">
        <v>149</v>
      </c>
    </row>
    <row r="151">
      <c r="A151" s="9" t="s">
        <v>150</v>
      </c>
    </row>
    <row r="152">
      <c r="A152" s="9" t="s">
        <v>151</v>
      </c>
    </row>
    <row r="153">
      <c r="A153" s="9" t="s">
        <v>152</v>
      </c>
    </row>
    <row r="154">
      <c r="A154" s="9" t="s">
        <v>153</v>
      </c>
    </row>
    <row r="155">
      <c r="A155" s="9" t="s">
        <v>154</v>
      </c>
    </row>
    <row r="156">
      <c r="A156" s="9" t="s">
        <v>155</v>
      </c>
    </row>
    <row r="157">
      <c r="A157" s="9" t="s">
        <v>156</v>
      </c>
    </row>
    <row r="158">
      <c r="A158" s="9" t="s">
        <v>157</v>
      </c>
    </row>
    <row r="159">
      <c r="A159" s="9" t="s">
        <v>158</v>
      </c>
    </row>
    <row r="160">
      <c r="A160" s="9" t="s">
        <v>159</v>
      </c>
    </row>
    <row r="161">
      <c r="A161" s="9" t="s">
        <v>160</v>
      </c>
    </row>
    <row r="162">
      <c r="A162" s="9" t="s">
        <v>161</v>
      </c>
    </row>
    <row r="163">
      <c r="A163" s="9" t="s">
        <v>162</v>
      </c>
    </row>
    <row r="164">
      <c r="A164" s="9" t="s">
        <v>163</v>
      </c>
    </row>
    <row r="165">
      <c r="A165" s="9" t="s">
        <v>164</v>
      </c>
    </row>
    <row r="166">
      <c r="A166" s="9" t="s">
        <v>165</v>
      </c>
    </row>
    <row r="167">
      <c r="A167" s="9" t="s">
        <v>166</v>
      </c>
    </row>
    <row r="168">
      <c r="A168" s="9" t="s">
        <v>167</v>
      </c>
    </row>
    <row r="169">
      <c r="A169" s="9" t="s">
        <v>168</v>
      </c>
    </row>
    <row r="170">
      <c r="A170" s="9" t="s">
        <v>169</v>
      </c>
    </row>
    <row r="171">
      <c r="A171" s="9" t="s">
        <v>170</v>
      </c>
    </row>
    <row r="172">
      <c r="A172" s="9" t="s">
        <v>171</v>
      </c>
    </row>
    <row r="173">
      <c r="A173" s="9" t="s">
        <v>172</v>
      </c>
    </row>
    <row r="174">
      <c r="A174" s="9" t="s">
        <v>173</v>
      </c>
    </row>
    <row r="175">
      <c r="A175" s="9" t="s">
        <v>174</v>
      </c>
    </row>
    <row r="176">
      <c r="A176" s="9" t="s">
        <v>175</v>
      </c>
    </row>
    <row r="177">
      <c r="A177" s="9" t="s">
        <v>176</v>
      </c>
    </row>
    <row r="178">
      <c r="A178" s="9" t="s">
        <v>177</v>
      </c>
    </row>
    <row r="179">
      <c r="A179" s="9" t="s">
        <v>178</v>
      </c>
    </row>
    <row r="180">
      <c r="A180" s="9" t="s">
        <v>179</v>
      </c>
    </row>
    <row r="181">
      <c r="A181" s="9" t="s">
        <v>180</v>
      </c>
    </row>
    <row r="182">
      <c r="A182" s="9" t="s">
        <v>181</v>
      </c>
    </row>
    <row r="183">
      <c r="A183" s="9" t="s">
        <v>182</v>
      </c>
    </row>
    <row r="184">
      <c r="A184" s="9" t="s">
        <v>183</v>
      </c>
    </row>
    <row r="185">
      <c r="A185" s="9" t="s">
        <v>184</v>
      </c>
    </row>
    <row r="186">
      <c r="A186" s="9" t="s">
        <v>185</v>
      </c>
    </row>
    <row r="187">
      <c r="A187" s="9" t="s">
        <v>186</v>
      </c>
    </row>
    <row r="188">
      <c r="A188" s="9" t="s">
        <v>187</v>
      </c>
    </row>
    <row r="189">
      <c r="A189" s="9" t="s">
        <v>188</v>
      </c>
    </row>
    <row r="190">
      <c r="A190" s="9" t="s">
        <v>189</v>
      </c>
    </row>
    <row r="191">
      <c r="A191" s="9" t="s">
        <v>190</v>
      </c>
    </row>
    <row r="192">
      <c r="A192" s="9" t="s">
        <v>191</v>
      </c>
    </row>
    <row r="193">
      <c r="A193" s="9" t="s">
        <v>192</v>
      </c>
    </row>
    <row r="194">
      <c r="A194" s="9" t="s">
        <v>193</v>
      </c>
    </row>
    <row r="195">
      <c r="A195" s="9" t="s">
        <v>194</v>
      </c>
    </row>
    <row r="196">
      <c r="A196" s="9" t="s">
        <v>195</v>
      </c>
    </row>
    <row r="197">
      <c r="A197" s="9" t="s">
        <v>196</v>
      </c>
    </row>
    <row r="198">
      <c r="A198" s="9" t="s">
        <v>197</v>
      </c>
    </row>
    <row r="199">
      <c r="A199" s="9" t="s">
        <v>198</v>
      </c>
    </row>
    <row r="200">
      <c r="A200" s="9" t="s">
        <v>199</v>
      </c>
    </row>
    <row r="201">
      <c r="A201" s="9" t="s">
        <v>200</v>
      </c>
    </row>
    <row r="202">
      <c r="A202" s="9" t="s">
        <v>201</v>
      </c>
    </row>
    <row r="203">
      <c r="A203" s="9" t="s">
        <v>202</v>
      </c>
    </row>
    <row r="204">
      <c r="A204" s="9" t="s">
        <v>203</v>
      </c>
    </row>
    <row r="205">
      <c r="A205" s="9" t="s">
        <v>204</v>
      </c>
    </row>
    <row r="206">
      <c r="A206" s="9" t="s">
        <v>205</v>
      </c>
    </row>
    <row r="207">
      <c r="A207" s="9" t="s">
        <v>206</v>
      </c>
    </row>
    <row r="208">
      <c r="A208" s="9" t="s">
        <v>207</v>
      </c>
    </row>
    <row r="209">
      <c r="A209" s="9" t="s">
        <v>208</v>
      </c>
    </row>
    <row r="210">
      <c r="A210" s="9" t="s">
        <v>209</v>
      </c>
    </row>
    <row r="211">
      <c r="A211" s="9" t="s">
        <v>210</v>
      </c>
    </row>
    <row r="212">
      <c r="A212" s="9" t="s">
        <v>211</v>
      </c>
    </row>
    <row r="213">
      <c r="A213" s="9" t="s">
        <v>212</v>
      </c>
    </row>
    <row r="214">
      <c r="A214" s="9" t="s">
        <v>213</v>
      </c>
    </row>
    <row r="215">
      <c r="A215" s="9" t="s">
        <v>214</v>
      </c>
    </row>
    <row r="216">
      <c r="A216" s="9" t="s">
        <v>215</v>
      </c>
    </row>
    <row r="217">
      <c r="A217" s="9" t="s">
        <v>216</v>
      </c>
    </row>
    <row r="218">
      <c r="A218" s="9" t="s">
        <v>217</v>
      </c>
    </row>
    <row r="219">
      <c r="A219" s="9" t="s">
        <v>218</v>
      </c>
    </row>
    <row r="220">
      <c r="A220" s="9" t="s">
        <v>219</v>
      </c>
    </row>
    <row r="221">
      <c r="A221" s="9" t="s">
        <v>220</v>
      </c>
    </row>
    <row r="222">
      <c r="A222" s="9" t="s">
        <v>221</v>
      </c>
    </row>
    <row r="223">
      <c r="A223" s="9" t="s">
        <v>222</v>
      </c>
    </row>
    <row r="224">
      <c r="A224" s="9" t="s">
        <v>223</v>
      </c>
    </row>
    <row r="225">
      <c r="A225" s="9" t="s">
        <v>224</v>
      </c>
    </row>
    <row r="226">
      <c r="A226" s="9" t="s">
        <v>225</v>
      </c>
    </row>
    <row r="227">
      <c r="A227" s="9" t="s">
        <v>226</v>
      </c>
    </row>
    <row r="228">
      <c r="A228" s="9" t="s">
        <v>227</v>
      </c>
    </row>
    <row r="229">
      <c r="A229" s="9" t="s">
        <v>228</v>
      </c>
    </row>
    <row r="230">
      <c r="A230" s="9" t="s">
        <v>229</v>
      </c>
    </row>
    <row r="231">
      <c r="A231" s="9" t="s">
        <v>230</v>
      </c>
    </row>
    <row r="232">
      <c r="A232" s="9" t="s">
        <v>231</v>
      </c>
    </row>
    <row r="233">
      <c r="A233" s="9" t="s">
        <v>232</v>
      </c>
    </row>
    <row r="234">
      <c r="A234" s="9" t="s">
        <v>233</v>
      </c>
    </row>
    <row r="235">
      <c r="A235" s="9" t="s">
        <v>234</v>
      </c>
    </row>
    <row r="236">
      <c r="A236" s="9" t="s">
        <v>235</v>
      </c>
    </row>
    <row r="237">
      <c r="A237" s="9" t="s">
        <v>236</v>
      </c>
    </row>
    <row r="238">
      <c r="A238" s="9" t="s">
        <v>237</v>
      </c>
    </row>
    <row r="239">
      <c r="A239" s="9" t="s">
        <v>238</v>
      </c>
    </row>
    <row r="240">
      <c r="A240" s="9" t="s">
        <v>239</v>
      </c>
    </row>
    <row r="241">
      <c r="A241" s="9" t="s">
        <v>240</v>
      </c>
    </row>
    <row r="242">
      <c r="A242" s="9" t="s">
        <v>241</v>
      </c>
    </row>
    <row r="243">
      <c r="A243" s="9" t="s">
        <v>242</v>
      </c>
    </row>
    <row r="244">
      <c r="A244" s="9" t="s">
        <v>243</v>
      </c>
    </row>
    <row r="245">
      <c r="A245" s="9" t="s">
        <v>244</v>
      </c>
    </row>
    <row r="246">
      <c r="A246" s="9" t="s">
        <v>245</v>
      </c>
    </row>
    <row r="247">
      <c r="A247" s="9" t="s">
        <v>246</v>
      </c>
    </row>
    <row r="248">
      <c r="A248" s="9" t="s">
        <v>247</v>
      </c>
    </row>
    <row r="249">
      <c r="A249" s="9" t="s">
        <v>248</v>
      </c>
    </row>
    <row r="250">
      <c r="A250" s="9" t="s">
        <v>249</v>
      </c>
    </row>
    <row r="251">
      <c r="A251" s="9" t="s">
        <v>250</v>
      </c>
    </row>
    <row r="252">
      <c r="A252" s="9" t="s">
        <v>251</v>
      </c>
    </row>
    <row r="253">
      <c r="A253" s="9" t="s">
        <v>252</v>
      </c>
    </row>
    <row r="254">
      <c r="A254" s="9" t="s">
        <v>253</v>
      </c>
    </row>
    <row r="255">
      <c r="A255" s="9" t="s">
        <v>254</v>
      </c>
    </row>
    <row r="256">
      <c r="A256" s="9" t="s">
        <v>255</v>
      </c>
    </row>
    <row r="257">
      <c r="A257" s="9" t="s">
        <v>256</v>
      </c>
    </row>
    <row r="258">
      <c r="A258" s="9" t="s">
        <v>257</v>
      </c>
    </row>
    <row r="259">
      <c r="A259" s="9" t="s">
        <v>258</v>
      </c>
    </row>
    <row r="260">
      <c r="A260" s="9" t="s">
        <v>259</v>
      </c>
    </row>
    <row r="261">
      <c r="A261" s="9" t="s">
        <v>260</v>
      </c>
    </row>
    <row r="262">
      <c r="A262" s="9" t="s">
        <v>261</v>
      </c>
    </row>
    <row r="263">
      <c r="A263" s="9" t="s">
        <v>262</v>
      </c>
    </row>
    <row r="264">
      <c r="A264" s="9" t="s">
        <v>263</v>
      </c>
    </row>
    <row r="265">
      <c r="A265" s="9" t="s">
        <v>264</v>
      </c>
    </row>
    <row r="266">
      <c r="A266" s="9" t="s">
        <v>265</v>
      </c>
    </row>
    <row r="267">
      <c r="A267" s="9" t="s">
        <v>266</v>
      </c>
    </row>
    <row r="268">
      <c r="A268" s="9" t="s">
        <v>267</v>
      </c>
    </row>
    <row r="269">
      <c r="A269" s="9" t="s">
        <v>268</v>
      </c>
    </row>
    <row r="270">
      <c r="A270" s="9" t="s">
        <v>269</v>
      </c>
    </row>
    <row r="271">
      <c r="A271" s="9" t="s">
        <v>270</v>
      </c>
    </row>
    <row r="272">
      <c r="A272" s="9" t="s">
        <v>271</v>
      </c>
    </row>
    <row r="273">
      <c r="A273" s="9" t="s">
        <v>272</v>
      </c>
    </row>
    <row r="274">
      <c r="A274" s="9" t="s">
        <v>273</v>
      </c>
    </row>
    <row r="275">
      <c r="A275" s="9" t="s">
        <v>274</v>
      </c>
    </row>
    <row r="276">
      <c r="A276" s="9" t="s">
        <v>275</v>
      </c>
    </row>
    <row r="277">
      <c r="A277" s="9" t="s">
        <v>276</v>
      </c>
    </row>
    <row r="278">
      <c r="A278" s="9" t="s">
        <v>277</v>
      </c>
    </row>
    <row r="279">
      <c r="A279" s="9" t="s">
        <v>278</v>
      </c>
    </row>
    <row r="280">
      <c r="A280" s="9" t="s">
        <v>279</v>
      </c>
    </row>
    <row r="281">
      <c r="A281" s="9" t="s">
        <v>280</v>
      </c>
    </row>
    <row r="282">
      <c r="A282" s="9" t="s">
        <v>281</v>
      </c>
    </row>
    <row r="283">
      <c r="A283" s="9" t="s">
        <v>282</v>
      </c>
    </row>
    <row r="284">
      <c r="A284" s="9" t="s">
        <v>283</v>
      </c>
    </row>
    <row r="285">
      <c r="A285" s="9" t="s">
        <v>284</v>
      </c>
    </row>
    <row r="286">
      <c r="A286" s="9" t="s">
        <v>285</v>
      </c>
    </row>
    <row r="287">
      <c r="A287" s="9" t="s">
        <v>286</v>
      </c>
    </row>
    <row r="288">
      <c r="A288" s="9" t="s">
        <v>287</v>
      </c>
    </row>
    <row r="289">
      <c r="A289" s="9" t="s">
        <v>288</v>
      </c>
    </row>
    <row r="290">
      <c r="A290" s="9" t="s">
        <v>289</v>
      </c>
    </row>
    <row r="291">
      <c r="A291" s="9" t="s">
        <v>290</v>
      </c>
    </row>
    <row r="292">
      <c r="A292" s="9" t="s">
        <v>291</v>
      </c>
    </row>
    <row r="293">
      <c r="A293" s="9" t="s">
        <v>292</v>
      </c>
    </row>
    <row r="294">
      <c r="A294" s="9" t="s">
        <v>293</v>
      </c>
    </row>
    <row r="295">
      <c r="A295" s="9" t="s">
        <v>294</v>
      </c>
    </row>
    <row r="296">
      <c r="A296" s="9" t="s">
        <v>295</v>
      </c>
    </row>
    <row r="297">
      <c r="A297" s="9" t="s">
        <v>296</v>
      </c>
    </row>
    <row r="298">
      <c r="A298" s="9" t="s">
        <v>297</v>
      </c>
    </row>
    <row r="299">
      <c r="A299" s="9" t="s">
        <v>298</v>
      </c>
    </row>
    <row r="300">
      <c r="A300" s="9" t="s">
        <v>299</v>
      </c>
    </row>
    <row r="301">
      <c r="A301" s="9" t="s">
        <v>300</v>
      </c>
    </row>
    <row r="302">
      <c r="A302" s="9" t="s">
        <v>301</v>
      </c>
    </row>
    <row r="303">
      <c r="A303" s="9" t="s">
        <v>302</v>
      </c>
    </row>
    <row r="304">
      <c r="A304" s="9" t="s">
        <v>303</v>
      </c>
    </row>
    <row r="305">
      <c r="A305" s="9" t="s">
        <v>304</v>
      </c>
    </row>
    <row r="306">
      <c r="A306" s="9" t="s">
        <v>305</v>
      </c>
    </row>
    <row r="307">
      <c r="A307" s="9" t="s">
        <v>306</v>
      </c>
    </row>
    <row r="308">
      <c r="A308" s="9" t="s">
        <v>307</v>
      </c>
    </row>
    <row r="309">
      <c r="A309" s="9" t="s">
        <v>308</v>
      </c>
    </row>
    <row r="310">
      <c r="A310" s="9" t="s">
        <v>309</v>
      </c>
    </row>
    <row r="311">
      <c r="A311" s="9" t="s">
        <v>310</v>
      </c>
    </row>
    <row r="312">
      <c r="A312" s="9" t="s">
        <v>311</v>
      </c>
    </row>
    <row r="313">
      <c r="A313" s="9" t="s">
        <v>312</v>
      </c>
    </row>
    <row r="314">
      <c r="A314" s="9" t="s">
        <v>313</v>
      </c>
    </row>
    <row r="315">
      <c r="A315" s="9" t="s">
        <v>314</v>
      </c>
    </row>
    <row r="316">
      <c r="A316" s="9" t="s">
        <v>315</v>
      </c>
    </row>
    <row r="317">
      <c r="A317" s="9" t="s">
        <v>316</v>
      </c>
    </row>
    <row r="318">
      <c r="A318" s="9" t="s">
        <v>317</v>
      </c>
    </row>
    <row r="319">
      <c r="A319" s="9" t="s">
        <v>318</v>
      </c>
    </row>
    <row r="320">
      <c r="A320" s="9" t="s">
        <v>319</v>
      </c>
    </row>
    <row r="321">
      <c r="A321" s="9" t="s">
        <v>320</v>
      </c>
    </row>
    <row r="322">
      <c r="A322" s="9" t="s">
        <v>321</v>
      </c>
    </row>
    <row r="323">
      <c r="A323" s="9" t="s">
        <v>322</v>
      </c>
    </row>
    <row r="324">
      <c r="A324" s="9" t="s">
        <v>323</v>
      </c>
    </row>
    <row r="325">
      <c r="A325" s="9" t="s">
        <v>324</v>
      </c>
    </row>
    <row r="326">
      <c r="A326" s="9" t="s">
        <v>325</v>
      </c>
    </row>
    <row r="327">
      <c r="A327" s="9" t="s">
        <v>326</v>
      </c>
    </row>
    <row r="328">
      <c r="A328" s="9" t="s">
        <v>327</v>
      </c>
    </row>
    <row r="329">
      <c r="A329" s="9" t="s">
        <v>328</v>
      </c>
    </row>
    <row r="330">
      <c r="A330" s="9" t="s">
        <v>329</v>
      </c>
    </row>
    <row r="331">
      <c r="A331" s="9" t="s">
        <v>330</v>
      </c>
    </row>
    <row r="332">
      <c r="A332" s="9" t="s">
        <v>331</v>
      </c>
    </row>
    <row r="333">
      <c r="A333" s="9" t="s">
        <v>332</v>
      </c>
    </row>
    <row r="334">
      <c r="A334" s="9" t="s">
        <v>333</v>
      </c>
    </row>
    <row r="335">
      <c r="A335" s="9" t="s">
        <v>334</v>
      </c>
    </row>
    <row r="336">
      <c r="A336" s="9" t="s">
        <v>335</v>
      </c>
    </row>
    <row r="337">
      <c r="A337" s="9" t="s">
        <v>336</v>
      </c>
    </row>
    <row r="338">
      <c r="A338" s="9" t="s">
        <v>337</v>
      </c>
    </row>
    <row r="339">
      <c r="A339" s="9" t="s">
        <v>338</v>
      </c>
    </row>
    <row r="340">
      <c r="A340" s="9" t="s">
        <v>339</v>
      </c>
    </row>
    <row r="341">
      <c r="A341" s="9" t="s">
        <v>340</v>
      </c>
    </row>
    <row r="342">
      <c r="A342" s="9" t="s">
        <v>341</v>
      </c>
    </row>
    <row r="343">
      <c r="A343" s="9" t="s">
        <v>342</v>
      </c>
    </row>
    <row r="344">
      <c r="A344" s="9" t="s">
        <v>343</v>
      </c>
    </row>
    <row r="345">
      <c r="A345" s="9" t="s">
        <v>344</v>
      </c>
    </row>
    <row r="346">
      <c r="A346" s="9" t="s">
        <v>345</v>
      </c>
    </row>
    <row r="347">
      <c r="A347" s="9" t="s">
        <v>346</v>
      </c>
    </row>
    <row r="348">
      <c r="A348" s="9" t="s">
        <v>347</v>
      </c>
    </row>
    <row r="349">
      <c r="A349" s="9" t="s">
        <v>348</v>
      </c>
    </row>
    <row r="350">
      <c r="A350" s="9" t="s">
        <v>349</v>
      </c>
    </row>
    <row r="351">
      <c r="A351" s="9" t="s">
        <v>350</v>
      </c>
    </row>
    <row r="352">
      <c r="A352" s="9" t="s">
        <v>351</v>
      </c>
    </row>
    <row r="353">
      <c r="A353" s="9" t="s">
        <v>352</v>
      </c>
    </row>
    <row r="354">
      <c r="A354" s="9" t="s">
        <v>353</v>
      </c>
    </row>
    <row r="355">
      <c r="A355" s="9" t="s">
        <v>354</v>
      </c>
    </row>
    <row r="356">
      <c r="A356" s="9" t="s">
        <v>355</v>
      </c>
    </row>
    <row r="357">
      <c r="A357" s="9" t="s">
        <v>356</v>
      </c>
    </row>
    <row r="358">
      <c r="A358" s="9" t="s">
        <v>357</v>
      </c>
    </row>
    <row r="359">
      <c r="A359" s="9" t="s">
        <v>358</v>
      </c>
    </row>
    <row r="360">
      <c r="A360" s="9" t="s">
        <v>359</v>
      </c>
    </row>
    <row r="361">
      <c r="A361" s="9" t="s">
        <v>360</v>
      </c>
    </row>
    <row r="362">
      <c r="A362" s="9" t="s">
        <v>361</v>
      </c>
    </row>
    <row r="363">
      <c r="A363" s="9" t="s">
        <v>362</v>
      </c>
    </row>
    <row r="364">
      <c r="A364" s="9" t="s">
        <v>363</v>
      </c>
    </row>
    <row r="365">
      <c r="A365" s="9" t="s">
        <v>364</v>
      </c>
    </row>
    <row r="366">
      <c r="A366" s="9" t="s">
        <v>365</v>
      </c>
    </row>
    <row r="367">
      <c r="A367" s="9" t="s">
        <v>366</v>
      </c>
    </row>
    <row r="368">
      <c r="A368" s="9" t="s">
        <v>367</v>
      </c>
    </row>
    <row r="369">
      <c r="A369" s="9" t="s">
        <v>368</v>
      </c>
    </row>
    <row r="370">
      <c r="A370" s="9" t="s">
        <v>369</v>
      </c>
    </row>
    <row r="371">
      <c r="A371" s="9" t="s">
        <v>370</v>
      </c>
    </row>
    <row r="372">
      <c r="A372" s="9" t="s">
        <v>371</v>
      </c>
    </row>
    <row r="373">
      <c r="A373" s="9" t="s">
        <v>372</v>
      </c>
    </row>
    <row r="374">
      <c r="A374" s="9" t="s">
        <v>373</v>
      </c>
    </row>
    <row r="375">
      <c r="A375" s="9" t="s">
        <v>374</v>
      </c>
    </row>
    <row r="376">
      <c r="A376" s="9" t="s">
        <v>375</v>
      </c>
    </row>
    <row r="377">
      <c r="A377" s="9" t="s">
        <v>376</v>
      </c>
    </row>
    <row r="378">
      <c r="A378" s="9" t="s">
        <v>377</v>
      </c>
    </row>
    <row r="379">
      <c r="A379" s="9" t="s">
        <v>378</v>
      </c>
    </row>
    <row r="380">
      <c r="A380" s="9" t="s">
        <v>379</v>
      </c>
    </row>
    <row r="381">
      <c r="A381" s="9" t="s">
        <v>380</v>
      </c>
    </row>
    <row r="382">
      <c r="A382" s="9" t="s">
        <v>381</v>
      </c>
    </row>
    <row r="383">
      <c r="A383" s="9" t="s">
        <v>382</v>
      </c>
    </row>
    <row r="384">
      <c r="A384" s="9" t="s">
        <v>383</v>
      </c>
    </row>
    <row r="385">
      <c r="A385" s="9" t="s">
        <v>384</v>
      </c>
    </row>
    <row r="386">
      <c r="A386" s="9" t="s">
        <v>385</v>
      </c>
    </row>
    <row r="387">
      <c r="A387" s="9" t="s">
        <v>386</v>
      </c>
    </row>
    <row r="388">
      <c r="A388" s="9" t="s">
        <v>387</v>
      </c>
    </row>
    <row r="389">
      <c r="A389" s="9" t="s">
        <v>388</v>
      </c>
    </row>
    <row r="390">
      <c r="A390" s="9" t="s">
        <v>389</v>
      </c>
    </row>
    <row r="391">
      <c r="A391" s="9" t="s">
        <v>390</v>
      </c>
    </row>
    <row r="392">
      <c r="A392" s="9" t="s">
        <v>391</v>
      </c>
    </row>
    <row r="393">
      <c r="A393" s="9" t="s">
        <v>392</v>
      </c>
    </row>
    <row r="394">
      <c r="A394" s="9" t="s">
        <v>393</v>
      </c>
    </row>
    <row r="395">
      <c r="A395" s="9" t="s">
        <v>394</v>
      </c>
    </row>
    <row r="396">
      <c r="A396" s="9" t="s">
        <v>395</v>
      </c>
    </row>
    <row r="397">
      <c r="A397" s="9" t="s">
        <v>396</v>
      </c>
    </row>
    <row r="398">
      <c r="A398" s="9" t="s">
        <v>397</v>
      </c>
    </row>
    <row r="399">
      <c r="A399" s="9" t="s">
        <v>398</v>
      </c>
    </row>
    <row r="400">
      <c r="A400" s="9" t="s">
        <v>399</v>
      </c>
    </row>
    <row r="401">
      <c r="A401" s="9" t="s">
        <v>400</v>
      </c>
    </row>
    <row r="402">
      <c r="A402" s="9" t="s">
        <v>401</v>
      </c>
    </row>
    <row r="403">
      <c r="A403" s="9" t="s">
        <v>402</v>
      </c>
    </row>
    <row r="404">
      <c r="A404" s="9" t="s">
        <v>403</v>
      </c>
    </row>
    <row r="405">
      <c r="A405" s="9" t="s">
        <v>404</v>
      </c>
    </row>
    <row r="406">
      <c r="A406" s="9" t="s">
        <v>405</v>
      </c>
    </row>
    <row r="407">
      <c r="A407" s="9" t="s">
        <v>406</v>
      </c>
    </row>
    <row r="408">
      <c r="A408" s="9" t="s">
        <v>407</v>
      </c>
    </row>
    <row r="409">
      <c r="A409" s="9" t="s">
        <v>408</v>
      </c>
    </row>
    <row r="410">
      <c r="A410" s="9" t="s">
        <v>409</v>
      </c>
    </row>
    <row r="411">
      <c r="A411" s="9" t="s">
        <v>410</v>
      </c>
    </row>
    <row r="412">
      <c r="A412" s="9" t="s">
        <v>411</v>
      </c>
    </row>
    <row r="413">
      <c r="A413" s="9" t="s">
        <v>412</v>
      </c>
    </row>
    <row r="414">
      <c r="A414" s="9" t="s">
        <v>413</v>
      </c>
    </row>
    <row r="415">
      <c r="A415" s="9" t="s">
        <v>414</v>
      </c>
    </row>
    <row r="416">
      <c r="A416" s="9" t="s">
        <v>415</v>
      </c>
    </row>
    <row r="417">
      <c r="A417" s="9" t="s">
        <v>416</v>
      </c>
    </row>
    <row r="418">
      <c r="A418" s="9" t="s">
        <v>417</v>
      </c>
    </row>
    <row r="419">
      <c r="A419" s="9" t="s">
        <v>418</v>
      </c>
    </row>
    <row r="420">
      <c r="A420" s="9" t="s">
        <v>419</v>
      </c>
    </row>
    <row r="421">
      <c r="A421" s="9" t="s">
        <v>420</v>
      </c>
    </row>
    <row r="422">
      <c r="A422" s="9" t="s">
        <v>421</v>
      </c>
    </row>
    <row r="423">
      <c r="A423" s="9" t="s">
        <v>422</v>
      </c>
    </row>
    <row r="424">
      <c r="A424" s="9" t="s">
        <v>423</v>
      </c>
    </row>
    <row r="425">
      <c r="A425" s="9" t="s">
        <v>424</v>
      </c>
    </row>
    <row r="426">
      <c r="A426" s="9" t="s">
        <v>425</v>
      </c>
    </row>
    <row r="427">
      <c r="A427" s="9" t="s">
        <v>426</v>
      </c>
    </row>
    <row r="428">
      <c r="A428" s="9" t="s">
        <v>427</v>
      </c>
    </row>
    <row r="429">
      <c r="A429" s="9" t="s">
        <v>428</v>
      </c>
    </row>
    <row r="430">
      <c r="A430" s="9" t="s">
        <v>429</v>
      </c>
    </row>
    <row r="431">
      <c r="A431" s="9" t="s">
        <v>430</v>
      </c>
    </row>
    <row r="432">
      <c r="A432" s="9" t="s">
        <v>431</v>
      </c>
    </row>
    <row r="433">
      <c r="A433" s="9" t="s">
        <v>432</v>
      </c>
    </row>
    <row r="434">
      <c r="A434" s="9" t="s">
        <v>433</v>
      </c>
    </row>
    <row r="435">
      <c r="A435" s="9" t="s">
        <v>434</v>
      </c>
    </row>
    <row r="436">
      <c r="A436" s="9" t="s">
        <v>435</v>
      </c>
    </row>
    <row r="437">
      <c r="A437" s="9" t="s">
        <v>436</v>
      </c>
    </row>
    <row r="438">
      <c r="A438" s="9" t="s">
        <v>437</v>
      </c>
    </row>
    <row r="439">
      <c r="A439" s="9" t="s">
        <v>438</v>
      </c>
    </row>
    <row r="440">
      <c r="A440" s="9" t="s">
        <v>439</v>
      </c>
    </row>
    <row r="441">
      <c r="A441" s="9" t="s">
        <v>440</v>
      </c>
    </row>
    <row r="442">
      <c r="A442" s="9" t="s">
        <v>441</v>
      </c>
    </row>
    <row r="443">
      <c r="A443" s="9" t="s">
        <v>442</v>
      </c>
    </row>
    <row r="444">
      <c r="A444" s="9" t="s">
        <v>443</v>
      </c>
    </row>
    <row r="445">
      <c r="A445" s="9" t="s">
        <v>444</v>
      </c>
    </row>
    <row r="446">
      <c r="A446" s="9" t="s">
        <v>445</v>
      </c>
    </row>
    <row r="447">
      <c r="A447" s="9" t="s">
        <v>446</v>
      </c>
    </row>
    <row r="448">
      <c r="A448" s="9" t="s">
        <v>447</v>
      </c>
    </row>
    <row r="449">
      <c r="A449" s="9" t="s">
        <v>448</v>
      </c>
    </row>
    <row r="450">
      <c r="A450" s="9" t="s">
        <v>449</v>
      </c>
    </row>
    <row r="451">
      <c r="A451" s="9" t="s">
        <v>450</v>
      </c>
    </row>
    <row r="452">
      <c r="A452" s="9" t="s">
        <v>451</v>
      </c>
    </row>
    <row r="453">
      <c r="A453" s="9" t="s">
        <v>452</v>
      </c>
    </row>
    <row r="454">
      <c r="A454" s="9" t="s">
        <v>453</v>
      </c>
    </row>
    <row r="455">
      <c r="A455" s="9" t="s">
        <v>454</v>
      </c>
    </row>
    <row r="456">
      <c r="A456" s="9" t="s">
        <v>455</v>
      </c>
    </row>
    <row r="457">
      <c r="A457" s="9" t="s">
        <v>456</v>
      </c>
    </row>
    <row r="458">
      <c r="A458" s="9" t="s">
        <v>457</v>
      </c>
    </row>
    <row r="459">
      <c r="A459" s="9" t="s">
        <v>458</v>
      </c>
    </row>
    <row r="460">
      <c r="A460" s="9" t="s">
        <v>459</v>
      </c>
    </row>
    <row r="461">
      <c r="A461" s="9" t="s">
        <v>460</v>
      </c>
    </row>
    <row r="462">
      <c r="A462" s="9" t="s">
        <v>461</v>
      </c>
    </row>
    <row r="463">
      <c r="A463" s="9" t="s">
        <v>462</v>
      </c>
    </row>
    <row r="464">
      <c r="A464" s="9" t="s">
        <v>463</v>
      </c>
    </row>
    <row r="465">
      <c r="A465" s="9" t="s">
        <v>464</v>
      </c>
    </row>
    <row r="466">
      <c r="A466" s="9" t="s">
        <v>465</v>
      </c>
    </row>
    <row r="467">
      <c r="A467" s="9" t="s">
        <v>466</v>
      </c>
    </row>
    <row r="468">
      <c r="A468" s="9" t="s">
        <v>467</v>
      </c>
    </row>
    <row r="469">
      <c r="A469" s="9" t="s">
        <v>468</v>
      </c>
    </row>
    <row r="470">
      <c r="A470" s="9" t="s">
        <v>469</v>
      </c>
    </row>
    <row r="471">
      <c r="A471" s="9" t="s">
        <v>470</v>
      </c>
    </row>
    <row r="472">
      <c r="A472" s="9" t="s">
        <v>471</v>
      </c>
    </row>
    <row r="473">
      <c r="A473" s="9" t="s">
        <v>472</v>
      </c>
    </row>
    <row r="474">
      <c r="A474" s="9" t="s">
        <v>473</v>
      </c>
    </row>
    <row r="475">
      <c r="A475" s="9" t="s">
        <v>474</v>
      </c>
    </row>
    <row r="476">
      <c r="A476" s="9" t="s">
        <v>475</v>
      </c>
    </row>
    <row r="477">
      <c r="A477" s="9" t="s">
        <v>476</v>
      </c>
    </row>
    <row r="478">
      <c r="A478" s="9" t="s">
        <v>477</v>
      </c>
    </row>
    <row r="479">
      <c r="A479" s="9" t="s">
        <v>478</v>
      </c>
    </row>
    <row r="480">
      <c r="A480" s="9" t="s">
        <v>479</v>
      </c>
    </row>
    <row r="481">
      <c r="A481" s="9" t="s">
        <v>480</v>
      </c>
    </row>
    <row r="482">
      <c r="A482" s="9" t="s">
        <v>481</v>
      </c>
    </row>
    <row r="483">
      <c r="A483" s="9" t="s">
        <v>482</v>
      </c>
    </row>
    <row r="484">
      <c r="A484" s="9" t="s">
        <v>483</v>
      </c>
    </row>
    <row r="485">
      <c r="A485" s="9" t="s">
        <v>484</v>
      </c>
    </row>
    <row r="486">
      <c r="A486" s="9" t="s">
        <v>485</v>
      </c>
    </row>
    <row r="487">
      <c r="A487" s="9" t="s">
        <v>486</v>
      </c>
    </row>
    <row r="488">
      <c r="A488" s="9" t="s">
        <v>487</v>
      </c>
    </row>
    <row r="489">
      <c r="A489" s="9" t="s">
        <v>488</v>
      </c>
    </row>
    <row r="490">
      <c r="A490" s="9" t="s">
        <v>489</v>
      </c>
    </row>
    <row r="491">
      <c r="A491" s="9" t="s">
        <v>490</v>
      </c>
    </row>
    <row r="492">
      <c r="A492" s="9" t="s">
        <v>491</v>
      </c>
    </row>
    <row r="493">
      <c r="A493" s="9" t="s">
        <v>492</v>
      </c>
    </row>
    <row r="494">
      <c r="A494" s="9" t="s">
        <v>493</v>
      </c>
    </row>
    <row r="495">
      <c r="A495" s="9" t="s">
        <v>494</v>
      </c>
    </row>
    <row r="496">
      <c r="A496" s="9" t="s">
        <v>495</v>
      </c>
    </row>
    <row r="497">
      <c r="A497" s="9" t="s">
        <v>496</v>
      </c>
    </row>
    <row r="498">
      <c r="A498" s="9" t="s">
        <v>497</v>
      </c>
    </row>
    <row r="499">
      <c r="A499" s="9" t="s">
        <v>498</v>
      </c>
    </row>
    <row r="500">
      <c r="A500" s="9" t="s">
        <v>499</v>
      </c>
    </row>
    <row r="501">
      <c r="A501" s="9" t="s">
        <v>500</v>
      </c>
    </row>
    <row r="502">
      <c r="A502" s="9" t="s">
        <v>501</v>
      </c>
    </row>
    <row r="503">
      <c r="A503" s="9" t="s">
        <v>501</v>
      </c>
    </row>
    <row r="504">
      <c r="A504" s="9" t="s">
        <v>501</v>
      </c>
    </row>
    <row r="505">
      <c r="A505" s="9" t="s">
        <v>501</v>
      </c>
    </row>
    <row r="506">
      <c r="A506" s="9" t="s">
        <v>501</v>
      </c>
    </row>
    <row r="507">
      <c r="A507" s="9" t="s">
        <v>501</v>
      </c>
    </row>
    <row r="508">
      <c r="A508" s="9" t="s">
        <v>501</v>
      </c>
    </row>
    <row r="509">
      <c r="A509" s="9" t="s">
        <v>501</v>
      </c>
    </row>
    <row r="510">
      <c r="A510" s="9" t="s">
        <v>501</v>
      </c>
    </row>
    <row r="511">
      <c r="A511" s="9" t="s">
        <v>501</v>
      </c>
    </row>
    <row r="512">
      <c r="A512" s="9" t="s">
        <v>501</v>
      </c>
    </row>
    <row r="513">
      <c r="A513" s="9" t="s">
        <v>501</v>
      </c>
    </row>
    <row r="514">
      <c r="A514" s="9" t="s">
        <v>501</v>
      </c>
    </row>
    <row r="515">
      <c r="A515" s="9" t="s">
        <v>501</v>
      </c>
    </row>
    <row r="516">
      <c r="A516" s="9" t="s">
        <v>501</v>
      </c>
    </row>
    <row r="517">
      <c r="A517" s="9" t="s">
        <v>501</v>
      </c>
    </row>
    <row r="518">
      <c r="A518" s="9" t="s">
        <v>501</v>
      </c>
    </row>
    <row r="519">
      <c r="A519" s="9" t="s">
        <v>501</v>
      </c>
    </row>
    <row r="520">
      <c r="A520" s="9" t="s">
        <v>501</v>
      </c>
    </row>
    <row r="521">
      <c r="A521" s="9" t="s">
        <v>501</v>
      </c>
    </row>
    <row r="522">
      <c r="A522" s="9" t="s">
        <v>501</v>
      </c>
    </row>
    <row r="523">
      <c r="A523" s="9" t="s">
        <v>501</v>
      </c>
    </row>
    <row r="524">
      <c r="A524" s="9" t="s">
        <v>501</v>
      </c>
    </row>
    <row r="525">
      <c r="A525" s="9" t="s">
        <v>501</v>
      </c>
    </row>
    <row r="526">
      <c r="A526" s="9" t="s">
        <v>501</v>
      </c>
    </row>
    <row r="527">
      <c r="A527" s="9" t="s">
        <v>501</v>
      </c>
    </row>
    <row r="528">
      <c r="A528" s="9" t="s">
        <v>501</v>
      </c>
    </row>
    <row r="529">
      <c r="A529" s="9" t="s">
        <v>501</v>
      </c>
    </row>
    <row r="530">
      <c r="A530" s="9" t="s">
        <v>501</v>
      </c>
    </row>
    <row r="531">
      <c r="A531" s="9" t="s">
        <v>501</v>
      </c>
    </row>
    <row r="532">
      <c r="A532" s="9" t="s">
        <v>501</v>
      </c>
    </row>
    <row r="533">
      <c r="A533" s="9" t="s">
        <v>501</v>
      </c>
    </row>
    <row r="534">
      <c r="A534" s="9" t="s">
        <v>501</v>
      </c>
    </row>
    <row r="535">
      <c r="A535" s="9" t="s">
        <v>501</v>
      </c>
    </row>
    <row r="536">
      <c r="A536" s="9" t="s">
        <v>501</v>
      </c>
    </row>
    <row r="537">
      <c r="A537" s="9" t="s">
        <v>501</v>
      </c>
    </row>
    <row r="538">
      <c r="A538" s="9" t="s">
        <v>501</v>
      </c>
    </row>
    <row r="539">
      <c r="A539" s="9" t="s">
        <v>501</v>
      </c>
    </row>
    <row r="540">
      <c r="A540" s="9" t="s">
        <v>501</v>
      </c>
    </row>
    <row r="541">
      <c r="A541" s="9" t="s">
        <v>501</v>
      </c>
    </row>
    <row r="542">
      <c r="A542" s="9" t="s">
        <v>501</v>
      </c>
    </row>
    <row r="543">
      <c r="A543" s="9" t="s">
        <v>501</v>
      </c>
    </row>
    <row r="544">
      <c r="A544" s="9" t="s">
        <v>501</v>
      </c>
    </row>
    <row r="545">
      <c r="A545" s="9" t="s">
        <v>501</v>
      </c>
    </row>
    <row r="546">
      <c r="A546" s="9" t="s">
        <v>501</v>
      </c>
    </row>
    <row r="547">
      <c r="A547" s="9" t="s">
        <v>501</v>
      </c>
    </row>
    <row r="548">
      <c r="A548" s="9" t="s">
        <v>501</v>
      </c>
    </row>
    <row r="549">
      <c r="A549" s="9" t="s">
        <v>501</v>
      </c>
    </row>
    <row r="550">
      <c r="A550" s="9" t="s">
        <v>501</v>
      </c>
    </row>
    <row r="551">
      <c r="A551" s="9" t="s">
        <v>501</v>
      </c>
    </row>
    <row r="552">
      <c r="A552" s="9" t="s">
        <v>501</v>
      </c>
    </row>
    <row r="553">
      <c r="A553" s="9" t="s">
        <v>501</v>
      </c>
    </row>
    <row r="554">
      <c r="A554" s="9" t="s">
        <v>501</v>
      </c>
    </row>
    <row r="555">
      <c r="A555" s="9" t="s">
        <v>501</v>
      </c>
    </row>
    <row r="556">
      <c r="A556" s="9" t="s">
        <v>501</v>
      </c>
    </row>
    <row r="557">
      <c r="A557" s="9" t="s">
        <v>501</v>
      </c>
    </row>
    <row r="558">
      <c r="A558" s="9" t="s">
        <v>501</v>
      </c>
    </row>
    <row r="559">
      <c r="A559" s="9" t="s">
        <v>501</v>
      </c>
    </row>
    <row r="560">
      <c r="A560" s="9" t="s">
        <v>501</v>
      </c>
    </row>
    <row r="561">
      <c r="A561" s="9" t="s">
        <v>501</v>
      </c>
    </row>
    <row r="562">
      <c r="A562" s="9" t="s">
        <v>501</v>
      </c>
    </row>
    <row r="563">
      <c r="A563" s="9" t="s">
        <v>501</v>
      </c>
    </row>
    <row r="564">
      <c r="A564" s="9" t="s">
        <v>501</v>
      </c>
    </row>
    <row r="565">
      <c r="A565" s="9" t="s">
        <v>501</v>
      </c>
    </row>
    <row r="566">
      <c r="A566" s="9" t="s">
        <v>501</v>
      </c>
    </row>
    <row r="567">
      <c r="A567" s="9" t="s">
        <v>501</v>
      </c>
    </row>
    <row r="568">
      <c r="A568" s="9" t="s">
        <v>501</v>
      </c>
    </row>
    <row r="569">
      <c r="A569" s="9" t="s">
        <v>501</v>
      </c>
    </row>
    <row r="570">
      <c r="A570" s="9" t="s">
        <v>501</v>
      </c>
    </row>
    <row r="571">
      <c r="A571" s="9" t="s">
        <v>501</v>
      </c>
    </row>
    <row r="572">
      <c r="A572" s="9" t="s">
        <v>501</v>
      </c>
    </row>
    <row r="573">
      <c r="A573" s="9" t="s">
        <v>501</v>
      </c>
    </row>
    <row r="574">
      <c r="A574" s="9" t="s">
        <v>501</v>
      </c>
    </row>
    <row r="575">
      <c r="A575" s="9" t="s">
        <v>501</v>
      </c>
    </row>
    <row r="576">
      <c r="A576" s="9" t="s">
        <v>501</v>
      </c>
    </row>
    <row r="577">
      <c r="A577" s="9" t="s">
        <v>501</v>
      </c>
    </row>
    <row r="578">
      <c r="A578" s="9" t="s">
        <v>501</v>
      </c>
    </row>
    <row r="579">
      <c r="A579" s="9" t="s">
        <v>501</v>
      </c>
    </row>
    <row r="580">
      <c r="A580" s="9" t="s">
        <v>501</v>
      </c>
    </row>
    <row r="581">
      <c r="A581" s="9" t="s">
        <v>501</v>
      </c>
    </row>
    <row r="582">
      <c r="A582" s="9" t="s">
        <v>501</v>
      </c>
    </row>
    <row r="583">
      <c r="A583" s="9" t="s">
        <v>501</v>
      </c>
    </row>
    <row r="584">
      <c r="A584" s="9" t="s">
        <v>501</v>
      </c>
    </row>
    <row r="585">
      <c r="A585" s="9" t="s">
        <v>501</v>
      </c>
    </row>
    <row r="586">
      <c r="A586" s="9" t="s">
        <v>501</v>
      </c>
    </row>
    <row r="587">
      <c r="A587" s="9" t="s">
        <v>501</v>
      </c>
    </row>
    <row r="588">
      <c r="A588" s="9" t="s">
        <v>501</v>
      </c>
    </row>
    <row r="589">
      <c r="A589" s="9" t="s">
        <v>501</v>
      </c>
    </row>
    <row r="590">
      <c r="A590" s="9" t="s">
        <v>501</v>
      </c>
    </row>
    <row r="591">
      <c r="A591" s="9" t="s">
        <v>501</v>
      </c>
    </row>
    <row r="592">
      <c r="A592" s="9" t="s">
        <v>501</v>
      </c>
    </row>
    <row r="593">
      <c r="A593" s="9" t="s">
        <v>501</v>
      </c>
    </row>
    <row r="594">
      <c r="A594" s="9" t="s">
        <v>501</v>
      </c>
    </row>
    <row r="595">
      <c r="A595" s="9" t="s">
        <v>501</v>
      </c>
    </row>
    <row r="596">
      <c r="A596" s="9" t="s">
        <v>501</v>
      </c>
    </row>
    <row r="597">
      <c r="A597" s="9" t="s">
        <v>501</v>
      </c>
    </row>
    <row r="598">
      <c r="A598" s="9" t="s">
        <v>501</v>
      </c>
    </row>
    <row r="599">
      <c r="A599" s="9" t="s">
        <v>501</v>
      </c>
    </row>
    <row r="600">
      <c r="A600" s="9" t="s">
        <v>501</v>
      </c>
    </row>
    <row r="601">
      <c r="A601" s="9" t="s">
        <v>501</v>
      </c>
    </row>
    <row r="602">
      <c r="A602" s="9" t="s">
        <v>501</v>
      </c>
    </row>
    <row r="603">
      <c r="A603" s="9" t="s">
        <v>501</v>
      </c>
    </row>
    <row r="604">
      <c r="A604" s="9" t="s">
        <v>501</v>
      </c>
    </row>
    <row r="605">
      <c r="A605" s="9" t="s">
        <v>501</v>
      </c>
    </row>
    <row r="606">
      <c r="A606" s="9" t="s">
        <v>501</v>
      </c>
    </row>
    <row r="607">
      <c r="A607" s="9" t="s">
        <v>501</v>
      </c>
    </row>
    <row r="608">
      <c r="A608" s="9" t="s">
        <v>501</v>
      </c>
    </row>
    <row r="609">
      <c r="A609" s="9" t="s">
        <v>501</v>
      </c>
    </row>
    <row r="610">
      <c r="A610" s="9" t="s">
        <v>501</v>
      </c>
    </row>
    <row r="611">
      <c r="A611" s="9" t="s">
        <v>501</v>
      </c>
    </row>
    <row r="612">
      <c r="A612" s="9" t="s">
        <v>501</v>
      </c>
    </row>
    <row r="613">
      <c r="A613" s="9" t="s">
        <v>501</v>
      </c>
    </row>
    <row r="614">
      <c r="A614" s="9" t="s">
        <v>501</v>
      </c>
    </row>
    <row r="615">
      <c r="A615" s="9" t="s">
        <v>501</v>
      </c>
    </row>
    <row r="616">
      <c r="A616" s="9" t="s">
        <v>501</v>
      </c>
    </row>
    <row r="617">
      <c r="A617" s="9" t="s">
        <v>501</v>
      </c>
    </row>
    <row r="618">
      <c r="A618" s="9" t="s">
        <v>501</v>
      </c>
    </row>
    <row r="619">
      <c r="A619" s="9" t="s">
        <v>501</v>
      </c>
    </row>
    <row r="620">
      <c r="A620" s="9" t="s">
        <v>501</v>
      </c>
    </row>
    <row r="621">
      <c r="A621" s="9" t="s">
        <v>501</v>
      </c>
    </row>
    <row r="622">
      <c r="A622" s="9" t="s">
        <v>501</v>
      </c>
    </row>
    <row r="623">
      <c r="A623" s="9" t="s">
        <v>501</v>
      </c>
    </row>
    <row r="624">
      <c r="A624" s="9" t="s">
        <v>501</v>
      </c>
    </row>
    <row r="625">
      <c r="A625" s="9" t="s">
        <v>501</v>
      </c>
    </row>
    <row r="626">
      <c r="A626" s="9" t="s">
        <v>501</v>
      </c>
    </row>
    <row r="627">
      <c r="A627" s="9" t="s">
        <v>501</v>
      </c>
    </row>
    <row r="628">
      <c r="A628" s="9" t="s">
        <v>501</v>
      </c>
    </row>
    <row r="629">
      <c r="A629" s="9" t="s">
        <v>501</v>
      </c>
    </row>
    <row r="630">
      <c r="A630" s="9" t="s">
        <v>501</v>
      </c>
    </row>
    <row r="631">
      <c r="A631" s="9" t="s">
        <v>501</v>
      </c>
    </row>
    <row r="632">
      <c r="A632" s="9" t="s">
        <v>501</v>
      </c>
    </row>
    <row r="633">
      <c r="A633" s="9" t="s">
        <v>501</v>
      </c>
    </row>
    <row r="634">
      <c r="A634" s="9" t="s">
        <v>501</v>
      </c>
    </row>
    <row r="635">
      <c r="A635" s="9" t="s">
        <v>501</v>
      </c>
    </row>
    <row r="636">
      <c r="A636" s="9" t="s">
        <v>501</v>
      </c>
    </row>
    <row r="637">
      <c r="A637" s="9" t="s">
        <v>501</v>
      </c>
    </row>
    <row r="638">
      <c r="A638" s="9" t="s">
        <v>501</v>
      </c>
    </row>
    <row r="639">
      <c r="A639" s="9" t="s">
        <v>501</v>
      </c>
    </row>
    <row r="640">
      <c r="A640" s="9" t="s">
        <v>501</v>
      </c>
    </row>
    <row r="641">
      <c r="A641" s="9" t="s">
        <v>501</v>
      </c>
    </row>
    <row r="642">
      <c r="A642" s="9" t="s">
        <v>501</v>
      </c>
    </row>
    <row r="643">
      <c r="A643" s="9" t="s">
        <v>501</v>
      </c>
    </row>
    <row r="644">
      <c r="A644" s="9" t="s">
        <v>501</v>
      </c>
    </row>
    <row r="645">
      <c r="A645" s="9" t="s">
        <v>501</v>
      </c>
    </row>
    <row r="646">
      <c r="A646" s="9" t="s">
        <v>501</v>
      </c>
    </row>
    <row r="647">
      <c r="A647" s="9" t="s">
        <v>501</v>
      </c>
    </row>
    <row r="648">
      <c r="A648" s="9" t="s">
        <v>501</v>
      </c>
    </row>
    <row r="649">
      <c r="A649" s="9" t="s">
        <v>501</v>
      </c>
    </row>
    <row r="650">
      <c r="A650" s="9" t="s">
        <v>501</v>
      </c>
    </row>
    <row r="651">
      <c r="A651" s="9" t="s">
        <v>501</v>
      </c>
    </row>
    <row r="652">
      <c r="A652" s="9" t="s">
        <v>501</v>
      </c>
    </row>
    <row r="653">
      <c r="A653" s="9" t="s">
        <v>501</v>
      </c>
    </row>
    <row r="654">
      <c r="A654" s="9" t="s">
        <v>501</v>
      </c>
    </row>
    <row r="655">
      <c r="A655" s="9" t="s">
        <v>501</v>
      </c>
    </row>
    <row r="656">
      <c r="A656" s="9" t="s">
        <v>501</v>
      </c>
    </row>
    <row r="657">
      <c r="A657" s="9" t="s">
        <v>501</v>
      </c>
    </row>
    <row r="658">
      <c r="A658" s="9" t="s">
        <v>501</v>
      </c>
    </row>
    <row r="659">
      <c r="A659" s="9" t="s">
        <v>501</v>
      </c>
    </row>
    <row r="660">
      <c r="A660" s="9" t="s">
        <v>501</v>
      </c>
    </row>
    <row r="661">
      <c r="A661" s="9" t="s">
        <v>501</v>
      </c>
    </row>
    <row r="662">
      <c r="A662" s="9" t="s">
        <v>501</v>
      </c>
    </row>
    <row r="663">
      <c r="A663" s="9" t="s">
        <v>501</v>
      </c>
    </row>
    <row r="664">
      <c r="A664" s="9" t="s">
        <v>501</v>
      </c>
    </row>
    <row r="665">
      <c r="A665" s="9" t="s">
        <v>501</v>
      </c>
    </row>
    <row r="666">
      <c r="A666" s="9" t="s">
        <v>501</v>
      </c>
    </row>
    <row r="667">
      <c r="A667" s="9" t="s">
        <v>501</v>
      </c>
    </row>
    <row r="668">
      <c r="A668" s="9" t="s">
        <v>501</v>
      </c>
    </row>
    <row r="669">
      <c r="A669" s="9" t="s">
        <v>501</v>
      </c>
    </row>
    <row r="670">
      <c r="A670" s="9" t="s">
        <v>501</v>
      </c>
    </row>
    <row r="671">
      <c r="A671" s="9" t="s">
        <v>501</v>
      </c>
    </row>
    <row r="672">
      <c r="A672" s="9" t="s">
        <v>501</v>
      </c>
    </row>
    <row r="673">
      <c r="A673" s="9" t="s">
        <v>501</v>
      </c>
    </row>
    <row r="674">
      <c r="A674" s="9" t="s">
        <v>501</v>
      </c>
    </row>
    <row r="675">
      <c r="A675" s="9" t="s">
        <v>501</v>
      </c>
    </row>
    <row r="676">
      <c r="A676" s="9" t="s">
        <v>501</v>
      </c>
    </row>
    <row r="677">
      <c r="A677" s="9" t="s">
        <v>501</v>
      </c>
    </row>
    <row r="678">
      <c r="A678" s="9" t="s">
        <v>501</v>
      </c>
    </row>
    <row r="679">
      <c r="A679" s="9" t="s">
        <v>501</v>
      </c>
    </row>
    <row r="680">
      <c r="A680" s="9" t="s">
        <v>501</v>
      </c>
    </row>
    <row r="681">
      <c r="A681" s="9" t="s">
        <v>501</v>
      </c>
    </row>
    <row r="682">
      <c r="A682" s="9" t="s">
        <v>501</v>
      </c>
    </row>
    <row r="683">
      <c r="A683" s="9" t="s">
        <v>501</v>
      </c>
    </row>
    <row r="684">
      <c r="A684" s="9" t="s">
        <v>501</v>
      </c>
    </row>
    <row r="685">
      <c r="A685" s="9" t="s">
        <v>501</v>
      </c>
    </row>
    <row r="686">
      <c r="A686" s="9" t="s">
        <v>501</v>
      </c>
    </row>
    <row r="687">
      <c r="A687" s="9" t="s">
        <v>501</v>
      </c>
    </row>
    <row r="688">
      <c r="A688" s="9" t="s">
        <v>501</v>
      </c>
    </row>
    <row r="689">
      <c r="A689" s="9" t="s">
        <v>501</v>
      </c>
    </row>
    <row r="690">
      <c r="A690" s="9" t="s">
        <v>501</v>
      </c>
    </row>
    <row r="691">
      <c r="A691" s="9" t="s">
        <v>501</v>
      </c>
    </row>
    <row r="692">
      <c r="A692" s="9" t="s">
        <v>501</v>
      </c>
    </row>
    <row r="693">
      <c r="A693" s="9" t="s">
        <v>501</v>
      </c>
    </row>
    <row r="694">
      <c r="A694" s="9" t="s">
        <v>501</v>
      </c>
    </row>
    <row r="695">
      <c r="A695" s="9" t="s">
        <v>501</v>
      </c>
    </row>
    <row r="696">
      <c r="A696" s="9" t="s">
        <v>501</v>
      </c>
    </row>
    <row r="697">
      <c r="A697" s="9" t="s">
        <v>501</v>
      </c>
    </row>
    <row r="698">
      <c r="A698" s="9" t="s">
        <v>501</v>
      </c>
    </row>
    <row r="699">
      <c r="A699" s="9" t="s">
        <v>501</v>
      </c>
    </row>
    <row r="700">
      <c r="A700" s="9" t="s">
        <v>501</v>
      </c>
    </row>
    <row r="701">
      <c r="A701" s="9" t="s">
        <v>501</v>
      </c>
    </row>
    <row r="702">
      <c r="A702" s="9" t="s">
        <v>501</v>
      </c>
    </row>
    <row r="703">
      <c r="A703" s="9" t="s">
        <v>501</v>
      </c>
    </row>
    <row r="704">
      <c r="A704" s="9" t="s">
        <v>501</v>
      </c>
    </row>
    <row r="705">
      <c r="A705" s="9" t="s">
        <v>501</v>
      </c>
    </row>
    <row r="706">
      <c r="A706" s="9" t="s">
        <v>501</v>
      </c>
    </row>
    <row r="707">
      <c r="A707" s="9" t="s">
        <v>501</v>
      </c>
    </row>
    <row r="708">
      <c r="A708" s="9" t="s">
        <v>501</v>
      </c>
    </row>
    <row r="709">
      <c r="A709" s="9" t="s">
        <v>501</v>
      </c>
    </row>
    <row r="710">
      <c r="A710" s="9" t="s">
        <v>501</v>
      </c>
    </row>
    <row r="711">
      <c r="A711" s="9" t="s">
        <v>501</v>
      </c>
    </row>
    <row r="712">
      <c r="A712" s="9" t="s">
        <v>501</v>
      </c>
    </row>
    <row r="713">
      <c r="A713" s="9" t="s">
        <v>501</v>
      </c>
    </row>
    <row r="714">
      <c r="A714" s="9" t="s">
        <v>501</v>
      </c>
    </row>
    <row r="715">
      <c r="A715" s="9" t="s">
        <v>501</v>
      </c>
    </row>
    <row r="716">
      <c r="A716" s="9" t="s">
        <v>501</v>
      </c>
    </row>
    <row r="717">
      <c r="A717" s="9" t="s">
        <v>501</v>
      </c>
    </row>
    <row r="718">
      <c r="A718" s="9" t="s">
        <v>501</v>
      </c>
    </row>
    <row r="719">
      <c r="A719" s="9" t="s">
        <v>501</v>
      </c>
    </row>
    <row r="720">
      <c r="A720" s="9" t="s">
        <v>501</v>
      </c>
    </row>
    <row r="721">
      <c r="A721" s="9" t="s">
        <v>501</v>
      </c>
    </row>
    <row r="722">
      <c r="A722" s="9" t="s">
        <v>501</v>
      </c>
    </row>
    <row r="723">
      <c r="A723" s="9" t="s">
        <v>501</v>
      </c>
    </row>
    <row r="724">
      <c r="A724" s="9" t="s">
        <v>501</v>
      </c>
    </row>
    <row r="725">
      <c r="A725" s="9" t="s">
        <v>501</v>
      </c>
    </row>
    <row r="726">
      <c r="A726" s="9" t="s">
        <v>501</v>
      </c>
    </row>
    <row r="727">
      <c r="A727" s="9" t="s">
        <v>501</v>
      </c>
    </row>
    <row r="728">
      <c r="A728" s="9" t="s">
        <v>501</v>
      </c>
    </row>
    <row r="729">
      <c r="A729" s="9" t="s">
        <v>501</v>
      </c>
    </row>
    <row r="730">
      <c r="A730" s="9" t="s">
        <v>501</v>
      </c>
    </row>
    <row r="731">
      <c r="A731" s="9" t="s">
        <v>501</v>
      </c>
    </row>
    <row r="732">
      <c r="A732" s="9" t="s">
        <v>501</v>
      </c>
    </row>
    <row r="733">
      <c r="A733" s="9" t="s">
        <v>501</v>
      </c>
    </row>
    <row r="734">
      <c r="A734" s="9" t="s">
        <v>501</v>
      </c>
    </row>
    <row r="735">
      <c r="A735" s="9" t="s">
        <v>501</v>
      </c>
    </row>
    <row r="736">
      <c r="A736" s="9" t="s">
        <v>501</v>
      </c>
    </row>
    <row r="737">
      <c r="A737" s="9" t="s">
        <v>501</v>
      </c>
    </row>
    <row r="738">
      <c r="A738" s="9" t="s">
        <v>501</v>
      </c>
    </row>
    <row r="739">
      <c r="A739" s="9" t="s">
        <v>501</v>
      </c>
    </row>
    <row r="740">
      <c r="A740" s="9" t="s">
        <v>501</v>
      </c>
    </row>
    <row r="741">
      <c r="A741" s="9" t="s">
        <v>501</v>
      </c>
    </row>
    <row r="742">
      <c r="A742" s="9" t="s">
        <v>501</v>
      </c>
    </row>
    <row r="743">
      <c r="A743" s="9" t="s">
        <v>501</v>
      </c>
    </row>
    <row r="744">
      <c r="A744" s="9" t="s">
        <v>501</v>
      </c>
    </row>
    <row r="745">
      <c r="A745" s="9" t="s">
        <v>501</v>
      </c>
    </row>
    <row r="746">
      <c r="A746" s="9" t="s">
        <v>501</v>
      </c>
    </row>
    <row r="747">
      <c r="A747" s="9" t="s">
        <v>501</v>
      </c>
    </row>
    <row r="748">
      <c r="A748" s="9" t="s">
        <v>501</v>
      </c>
    </row>
    <row r="749">
      <c r="A749" s="9" t="s">
        <v>501</v>
      </c>
    </row>
    <row r="750">
      <c r="A750" s="9" t="s">
        <v>501</v>
      </c>
    </row>
    <row r="751">
      <c r="A751" s="9" t="s">
        <v>501</v>
      </c>
    </row>
    <row r="752">
      <c r="A752" s="9" t="s">
        <v>501</v>
      </c>
    </row>
    <row r="753">
      <c r="A753" s="9" t="s">
        <v>501</v>
      </c>
    </row>
    <row r="754">
      <c r="A754" s="9" t="s">
        <v>501</v>
      </c>
    </row>
    <row r="755">
      <c r="A755" s="9" t="s">
        <v>501</v>
      </c>
    </row>
    <row r="756">
      <c r="A756" s="9" t="s">
        <v>501</v>
      </c>
    </row>
    <row r="757">
      <c r="A757" s="9" t="s">
        <v>501</v>
      </c>
    </row>
    <row r="758">
      <c r="A758" s="9" t="s">
        <v>501</v>
      </c>
    </row>
    <row r="759">
      <c r="A759" s="9" t="s">
        <v>501</v>
      </c>
    </row>
    <row r="760">
      <c r="A760" s="9" t="s">
        <v>501</v>
      </c>
    </row>
    <row r="761">
      <c r="A761" s="9" t="s">
        <v>501</v>
      </c>
    </row>
    <row r="762">
      <c r="A762" s="9" t="s">
        <v>501</v>
      </c>
    </row>
    <row r="763">
      <c r="A763" s="9" t="s">
        <v>501</v>
      </c>
    </row>
    <row r="764">
      <c r="A764" s="9" t="s">
        <v>501</v>
      </c>
    </row>
    <row r="765">
      <c r="A765" s="9" t="s">
        <v>501</v>
      </c>
    </row>
    <row r="766">
      <c r="A766" s="9" t="s">
        <v>501</v>
      </c>
    </row>
    <row r="767">
      <c r="A767" s="9" t="s">
        <v>501</v>
      </c>
    </row>
    <row r="768">
      <c r="A768" s="9" t="s">
        <v>501</v>
      </c>
    </row>
    <row r="769">
      <c r="A769" s="9" t="s">
        <v>501</v>
      </c>
    </row>
    <row r="770">
      <c r="A770" s="9" t="s">
        <v>501</v>
      </c>
    </row>
    <row r="771">
      <c r="A771" s="9" t="s">
        <v>501</v>
      </c>
    </row>
    <row r="772">
      <c r="A772" s="9" t="s">
        <v>501</v>
      </c>
    </row>
    <row r="773">
      <c r="A773" s="9" t="s">
        <v>501</v>
      </c>
    </row>
    <row r="774">
      <c r="A774" s="9" t="s">
        <v>501</v>
      </c>
    </row>
    <row r="775">
      <c r="A775" s="9" t="s">
        <v>501</v>
      </c>
    </row>
    <row r="776">
      <c r="A776" s="9" t="s">
        <v>501</v>
      </c>
    </row>
    <row r="777">
      <c r="A777" s="9" t="s">
        <v>501</v>
      </c>
    </row>
    <row r="778">
      <c r="A778" s="9" t="s">
        <v>501</v>
      </c>
    </row>
    <row r="779">
      <c r="A779" s="9" t="s">
        <v>501</v>
      </c>
    </row>
    <row r="780">
      <c r="A780" s="9" t="s">
        <v>501</v>
      </c>
    </row>
    <row r="781">
      <c r="A781" s="9" t="s">
        <v>501</v>
      </c>
    </row>
    <row r="782">
      <c r="A782" s="9" t="s">
        <v>501</v>
      </c>
    </row>
    <row r="783">
      <c r="A783" s="9" t="s">
        <v>501</v>
      </c>
    </row>
    <row r="784">
      <c r="A784" s="9" t="s">
        <v>501</v>
      </c>
    </row>
    <row r="785">
      <c r="A785" s="9" t="s">
        <v>501</v>
      </c>
    </row>
    <row r="786">
      <c r="A786" s="9" t="s">
        <v>501</v>
      </c>
    </row>
    <row r="787">
      <c r="A787" s="9" t="s">
        <v>501</v>
      </c>
    </row>
    <row r="788">
      <c r="A788" s="9" t="s">
        <v>501</v>
      </c>
    </row>
    <row r="789">
      <c r="A789" s="9" t="s">
        <v>501</v>
      </c>
    </row>
    <row r="790">
      <c r="A790" s="9" t="s">
        <v>501</v>
      </c>
    </row>
    <row r="791">
      <c r="A791" s="9" t="s">
        <v>501</v>
      </c>
    </row>
    <row r="792">
      <c r="A792" s="9" t="s">
        <v>501</v>
      </c>
    </row>
    <row r="793">
      <c r="A793" s="9" t="s">
        <v>501</v>
      </c>
    </row>
    <row r="794">
      <c r="A794" s="9" t="s">
        <v>501</v>
      </c>
    </row>
    <row r="795">
      <c r="A795" s="9" t="s">
        <v>501</v>
      </c>
    </row>
    <row r="796">
      <c r="A796" s="9" t="s">
        <v>501</v>
      </c>
    </row>
    <row r="797">
      <c r="A797" s="9" t="s">
        <v>501</v>
      </c>
    </row>
    <row r="798">
      <c r="A798" s="9" t="s">
        <v>501</v>
      </c>
    </row>
    <row r="799">
      <c r="A799" s="9" t="s">
        <v>501</v>
      </c>
    </row>
    <row r="800">
      <c r="A800" s="9" t="s">
        <v>501</v>
      </c>
    </row>
    <row r="801">
      <c r="A801" s="9" t="s">
        <v>501</v>
      </c>
    </row>
    <row r="802">
      <c r="A802" s="9" t="s">
        <v>501</v>
      </c>
    </row>
    <row r="803">
      <c r="A803" s="9" t="s">
        <v>501</v>
      </c>
    </row>
    <row r="804">
      <c r="A804" s="9" t="s">
        <v>501</v>
      </c>
    </row>
    <row r="805">
      <c r="A805" s="9" t="s">
        <v>501</v>
      </c>
    </row>
    <row r="806">
      <c r="A806" s="9" t="s">
        <v>501</v>
      </c>
    </row>
    <row r="807">
      <c r="A807" s="9" t="s">
        <v>501</v>
      </c>
    </row>
    <row r="808">
      <c r="A808" s="9" t="s">
        <v>501</v>
      </c>
    </row>
    <row r="809">
      <c r="A809" s="9" t="s">
        <v>501</v>
      </c>
    </row>
    <row r="810">
      <c r="A810" s="9" t="s">
        <v>501</v>
      </c>
    </row>
    <row r="811">
      <c r="A811" s="9" t="s">
        <v>501</v>
      </c>
    </row>
    <row r="812">
      <c r="A812" s="9" t="s">
        <v>501</v>
      </c>
    </row>
    <row r="813">
      <c r="A813" s="9" t="s">
        <v>501</v>
      </c>
    </row>
    <row r="814">
      <c r="A814" s="9" t="s">
        <v>501</v>
      </c>
    </row>
    <row r="815">
      <c r="A815" s="9" t="s">
        <v>501</v>
      </c>
    </row>
    <row r="816">
      <c r="A816" s="9" t="s">
        <v>501</v>
      </c>
    </row>
    <row r="817">
      <c r="A817" s="9" t="s">
        <v>501</v>
      </c>
    </row>
    <row r="818">
      <c r="A818" s="9" t="s">
        <v>501</v>
      </c>
    </row>
    <row r="819">
      <c r="A819" s="9" t="s">
        <v>501</v>
      </c>
    </row>
    <row r="820">
      <c r="A820" s="9" t="s">
        <v>501</v>
      </c>
    </row>
    <row r="821">
      <c r="A821" s="9" t="s">
        <v>501</v>
      </c>
    </row>
    <row r="822">
      <c r="A822" s="9" t="s">
        <v>501</v>
      </c>
    </row>
    <row r="823">
      <c r="A823" s="9" t="s">
        <v>501</v>
      </c>
    </row>
    <row r="824">
      <c r="A824" s="9" t="s">
        <v>501</v>
      </c>
    </row>
    <row r="825">
      <c r="A825" s="9" t="s">
        <v>501</v>
      </c>
    </row>
    <row r="826">
      <c r="A826" s="9" t="s">
        <v>501</v>
      </c>
    </row>
    <row r="827">
      <c r="A827" s="9" t="s">
        <v>501</v>
      </c>
    </row>
    <row r="828">
      <c r="A828" s="9" t="s">
        <v>501</v>
      </c>
    </row>
    <row r="829">
      <c r="A829" s="9" t="s">
        <v>501</v>
      </c>
    </row>
    <row r="830">
      <c r="A830" s="9" t="s">
        <v>501</v>
      </c>
    </row>
    <row r="831">
      <c r="A831" s="9" t="s">
        <v>501</v>
      </c>
    </row>
    <row r="832">
      <c r="A832" s="9" t="s">
        <v>501</v>
      </c>
    </row>
    <row r="833">
      <c r="A833" s="9" t="s">
        <v>501</v>
      </c>
    </row>
    <row r="834">
      <c r="A834" s="9" t="s">
        <v>501</v>
      </c>
    </row>
    <row r="835">
      <c r="A835" s="9" t="s">
        <v>501</v>
      </c>
    </row>
    <row r="836">
      <c r="A836" s="9" t="s">
        <v>501</v>
      </c>
    </row>
    <row r="837">
      <c r="A837" s="9" t="s">
        <v>501</v>
      </c>
    </row>
    <row r="838">
      <c r="A838" s="9" t="s">
        <v>501</v>
      </c>
    </row>
    <row r="839">
      <c r="A839" s="9" t="s">
        <v>501</v>
      </c>
    </row>
    <row r="840">
      <c r="A840" s="9" t="s">
        <v>501</v>
      </c>
    </row>
    <row r="841">
      <c r="A841" s="9" t="s">
        <v>501</v>
      </c>
    </row>
    <row r="842">
      <c r="A842" s="9" t="s">
        <v>501</v>
      </c>
    </row>
    <row r="843">
      <c r="A843" s="9" t="s">
        <v>501</v>
      </c>
    </row>
    <row r="844">
      <c r="A844" s="9" t="s">
        <v>501</v>
      </c>
    </row>
    <row r="845">
      <c r="A845" s="9" t="s">
        <v>501</v>
      </c>
    </row>
    <row r="846">
      <c r="A846" s="9" t="s">
        <v>501</v>
      </c>
    </row>
    <row r="847">
      <c r="A847" s="9" t="s">
        <v>501</v>
      </c>
    </row>
    <row r="848">
      <c r="A848" s="9" t="s">
        <v>501</v>
      </c>
    </row>
    <row r="849">
      <c r="A849" s="9" t="s">
        <v>501</v>
      </c>
    </row>
    <row r="850">
      <c r="A850" s="9" t="s">
        <v>501</v>
      </c>
    </row>
    <row r="851">
      <c r="A851" s="9" t="s">
        <v>501</v>
      </c>
    </row>
    <row r="852">
      <c r="A852" s="9" t="s">
        <v>501</v>
      </c>
    </row>
    <row r="853">
      <c r="A853" s="9" t="s">
        <v>501</v>
      </c>
    </row>
    <row r="854">
      <c r="A854" s="9" t="s">
        <v>501</v>
      </c>
    </row>
    <row r="855">
      <c r="A855" s="9" t="s">
        <v>501</v>
      </c>
    </row>
    <row r="856">
      <c r="A856" s="9" t="s">
        <v>501</v>
      </c>
    </row>
    <row r="857">
      <c r="A857" s="9" t="s">
        <v>501</v>
      </c>
    </row>
    <row r="858">
      <c r="A858" s="9" t="s">
        <v>501</v>
      </c>
    </row>
    <row r="859">
      <c r="A859" s="9" t="s">
        <v>501</v>
      </c>
    </row>
    <row r="860">
      <c r="A860" s="9" t="s">
        <v>501</v>
      </c>
    </row>
    <row r="861">
      <c r="A861" s="9" t="s">
        <v>501</v>
      </c>
    </row>
    <row r="862">
      <c r="A862" s="9" t="s">
        <v>501</v>
      </c>
    </row>
    <row r="863">
      <c r="A863" s="9" t="s">
        <v>501</v>
      </c>
    </row>
    <row r="864">
      <c r="A864" s="9" t="s">
        <v>501</v>
      </c>
    </row>
    <row r="865">
      <c r="A865" s="9" t="s">
        <v>501</v>
      </c>
    </row>
    <row r="866">
      <c r="A866" s="9" t="s">
        <v>501</v>
      </c>
    </row>
    <row r="867">
      <c r="A867" s="9" t="s">
        <v>501</v>
      </c>
    </row>
    <row r="868">
      <c r="A868" s="9" t="s">
        <v>501</v>
      </c>
    </row>
    <row r="869">
      <c r="A869" s="9" t="s">
        <v>501</v>
      </c>
    </row>
    <row r="870">
      <c r="A870" s="9" t="s">
        <v>501</v>
      </c>
    </row>
    <row r="871">
      <c r="A871" s="9" t="s">
        <v>501</v>
      </c>
    </row>
    <row r="872">
      <c r="A872" s="9" t="s">
        <v>501</v>
      </c>
    </row>
    <row r="873">
      <c r="A873" s="9" t="s">
        <v>501</v>
      </c>
    </row>
    <row r="874">
      <c r="A874" s="9" t="s">
        <v>501</v>
      </c>
    </row>
    <row r="875">
      <c r="A875" s="9" t="s">
        <v>501</v>
      </c>
    </row>
    <row r="876">
      <c r="A876" s="9" t="s">
        <v>501</v>
      </c>
    </row>
    <row r="877">
      <c r="A877" s="9" t="s">
        <v>501</v>
      </c>
    </row>
    <row r="878">
      <c r="A878" s="9" t="s">
        <v>501</v>
      </c>
    </row>
    <row r="879">
      <c r="A879" s="9" t="s">
        <v>501</v>
      </c>
    </row>
    <row r="880">
      <c r="A880" s="9" t="s">
        <v>501</v>
      </c>
    </row>
    <row r="881">
      <c r="A881" s="9" t="s">
        <v>501</v>
      </c>
    </row>
    <row r="882">
      <c r="A882" s="9" t="s">
        <v>501</v>
      </c>
    </row>
    <row r="883">
      <c r="A883" s="9" t="s">
        <v>501</v>
      </c>
    </row>
    <row r="884">
      <c r="A884" s="9" t="s">
        <v>501</v>
      </c>
    </row>
    <row r="885">
      <c r="A885" s="9" t="s">
        <v>501</v>
      </c>
    </row>
    <row r="886">
      <c r="A886" s="9" t="s">
        <v>501</v>
      </c>
    </row>
    <row r="887">
      <c r="A887" s="9" t="s">
        <v>501</v>
      </c>
    </row>
    <row r="888">
      <c r="A888" s="9" t="s">
        <v>501</v>
      </c>
    </row>
    <row r="889">
      <c r="A889" s="9" t="s">
        <v>501</v>
      </c>
    </row>
    <row r="890">
      <c r="A890" s="9" t="s">
        <v>501</v>
      </c>
    </row>
    <row r="891">
      <c r="A891" s="9" t="s">
        <v>501</v>
      </c>
    </row>
    <row r="892">
      <c r="A892" s="9" t="s">
        <v>501</v>
      </c>
    </row>
    <row r="893">
      <c r="A893" s="9" t="s">
        <v>501</v>
      </c>
    </row>
    <row r="894">
      <c r="A894" s="9" t="s">
        <v>501</v>
      </c>
    </row>
    <row r="895">
      <c r="A895" s="9" t="s">
        <v>501</v>
      </c>
    </row>
    <row r="896">
      <c r="A896" s="9" t="s">
        <v>501</v>
      </c>
    </row>
    <row r="897">
      <c r="A897" s="9" t="s">
        <v>501</v>
      </c>
    </row>
    <row r="898">
      <c r="A898" s="9" t="s">
        <v>501</v>
      </c>
    </row>
    <row r="899">
      <c r="A899" s="9" t="s">
        <v>501</v>
      </c>
    </row>
    <row r="900">
      <c r="A900" s="9" t="s">
        <v>501</v>
      </c>
    </row>
    <row r="901">
      <c r="A901" s="9" t="s">
        <v>501</v>
      </c>
    </row>
    <row r="902">
      <c r="A902" s="9" t="s">
        <v>501</v>
      </c>
    </row>
    <row r="903">
      <c r="A903" s="9" t="s">
        <v>501</v>
      </c>
    </row>
    <row r="904">
      <c r="A904" s="9" t="s">
        <v>501</v>
      </c>
    </row>
    <row r="905">
      <c r="A905" s="9" t="s">
        <v>501</v>
      </c>
    </row>
    <row r="906">
      <c r="A906" s="9" t="s">
        <v>501</v>
      </c>
    </row>
    <row r="907">
      <c r="A907" s="9" t="s">
        <v>501</v>
      </c>
    </row>
    <row r="908">
      <c r="A908" s="9" t="s">
        <v>501</v>
      </c>
    </row>
    <row r="909">
      <c r="A909" s="9" t="s">
        <v>501</v>
      </c>
    </row>
    <row r="910">
      <c r="A910" s="9" t="s">
        <v>501</v>
      </c>
    </row>
    <row r="911">
      <c r="A911" s="9" t="s">
        <v>501</v>
      </c>
    </row>
    <row r="912">
      <c r="A912" s="9" t="s">
        <v>501</v>
      </c>
    </row>
    <row r="913">
      <c r="A913" s="9" t="s">
        <v>501</v>
      </c>
    </row>
    <row r="914">
      <c r="A914" s="9" t="s">
        <v>501</v>
      </c>
    </row>
    <row r="915">
      <c r="A915" s="9" t="s">
        <v>501</v>
      </c>
    </row>
    <row r="916">
      <c r="A916" s="9" t="s">
        <v>501</v>
      </c>
    </row>
    <row r="917">
      <c r="A917" s="9" t="s">
        <v>501</v>
      </c>
    </row>
    <row r="918">
      <c r="A918" s="9" t="s">
        <v>501</v>
      </c>
    </row>
    <row r="919">
      <c r="A919" s="9" t="s">
        <v>501</v>
      </c>
    </row>
    <row r="920">
      <c r="A920" s="9" t="s">
        <v>501</v>
      </c>
    </row>
    <row r="921">
      <c r="A921" s="9" t="s">
        <v>501</v>
      </c>
    </row>
    <row r="922">
      <c r="A922" s="9" t="s">
        <v>501</v>
      </c>
    </row>
    <row r="923">
      <c r="A923" s="9" t="s">
        <v>501</v>
      </c>
    </row>
    <row r="924">
      <c r="A924" s="9" t="s">
        <v>501</v>
      </c>
    </row>
    <row r="925">
      <c r="A925" s="9" t="s">
        <v>501</v>
      </c>
    </row>
    <row r="926">
      <c r="A926" s="9" t="s">
        <v>501</v>
      </c>
    </row>
    <row r="927">
      <c r="A927" s="9" t="s">
        <v>501</v>
      </c>
    </row>
    <row r="928">
      <c r="A928" s="9" t="s">
        <v>501</v>
      </c>
    </row>
    <row r="929">
      <c r="A929" s="9" t="s">
        <v>501</v>
      </c>
    </row>
    <row r="930">
      <c r="A930" s="9" t="s">
        <v>501</v>
      </c>
    </row>
    <row r="931">
      <c r="A931" s="9" t="s">
        <v>501</v>
      </c>
    </row>
    <row r="932">
      <c r="A932" s="9" t="s">
        <v>501</v>
      </c>
    </row>
    <row r="933">
      <c r="A933" s="9" t="s">
        <v>501</v>
      </c>
    </row>
    <row r="934">
      <c r="A934" s="9" t="s">
        <v>501</v>
      </c>
    </row>
    <row r="935">
      <c r="A935" s="9" t="s">
        <v>501</v>
      </c>
    </row>
    <row r="936">
      <c r="A936" s="9" t="s">
        <v>501</v>
      </c>
    </row>
    <row r="937">
      <c r="A937" s="9" t="s">
        <v>501</v>
      </c>
    </row>
    <row r="938">
      <c r="A938" s="9" t="s">
        <v>501</v>
      </c>
    </row>
    <row r="939">
      <c r="A939" s="9" t="s">
        <v>501</v>
      </c>
    </row>
    <row r="940">
      <c r="A940" s="9" t="s">
        <v>501</v>
      </c>
    </row>
    <row r="941">
      <c r="A941" s="9" t="s">
        <v>501</v>
      </c>
    </row>
    <row r="942">
      <c r="A942" s="9" t="s">
        <v>501</v>
      </c>
    </row>
    <row r="943">
      <c r="A943" s="9" t="s">
        <v>501</v>
      </c>
    </row>
    <row r="944">
      <c r="A944" s="9" t="s">
        <v>501</v>
      </c>
    </row>
    <row r="945">
      <c r="A945" s="9" t="s">
        <v>501</v>
      </c>
    </row>
    <row r="946">
      <c r="A946" s="9" t="s">
        <v>501</v>
      </c>
    </row>
    <row r="947">
      <c r="A947" s="9" t="s">
        <v>501</v>
      </c>
    </row>
    <row r="948">
      <c r="A948" s="9" t="s">
        <v>501</v>
      </c>
    </row>
    <row r="949">
      <c r="A949" s="9" t="s">
        <v>501</v>
      </c>
    </row>
    <row r="950">
      <c r="A950" s="9" t="s">
        <v>501</v>
      </c>
    </row>
    <row r="951">
      <c r="A951" s="9" t="s">
        <v>501</v>
      </c>
    </row>
    <row r="952">
      <c r="A952" s="9" t="s">
        <v>501</v>
      </c>
    </row>
    <row r="953">
      <c r="A953" s="9" t="s">
        <v>501</v>
      </c>
    </row>
    <row r="954">
      <c r="A954" s="9" t="s">
        <v>501</v>
      </c>
    </row>
    <row r="955">
      <c r="A955" s="9" t="s">
        <v>501</v>
      </c>
    </row>
    <row r="956">
      <c r="A956" s="9" t="s">
        <v>501</v>
      </c>
    </row>
    <row r="957">
      <c r="A957" s="9" t="s">
        <v>501</v>
      </c>
    </row>
    <row r="958">
      <c r="A958" s="9" t="s">
        <v>501</v>
      </c>
    </row>
    <row r="959">
      <c r="A959" s="9" t="s">
        <v>501</v>
      </c>
    </row>
    <row r="960">
      <c r="A960" s="9" t="s">
        <v>501</v>
      </c>
    </row>
    <row r="961">
      <c r="A961" s="9" t="s">
        <v>501</v>
      </c>
    </row>
    <row r="962">
      <c r="A962" s="9" t="s">
        <v>501</v>
      </c>
    </row>
    <row r="963">
      <c r="A963" s="9" t="s">
        <v>501</v>
      </c>
    </row>
    <row r="964">
      <c r="A964" s="9" t="s">
        <v>501</v>
      </c>
    </row>
    <row r="965">
      <c r="A965" s="9" t="s">
        <v>501</v>
      </c>
    </row>
    <row r="966">
      <c r="A966" s="9" t="s">
        <v>501</v>
      </c>
    </row>
    <row r="967">
      <c r="A967" s="9" t="s">
        <v>501</v>
      </c>
    </row>
    <row r="968">
      <c r="A968" s="9" t="s">
        <v>501</v>
      </c>
    </row>
    <row r="969">
      <c r="A969" s="9" t="s">
        <v>501</v>
      </c>
    </row>
    <row r="970">
      <c r="A970" s="9" t="s">
        <v>501</v>
      </c>
    </row>
    <row r="971">
      <c r="A971" s="9" t="s">
        <v>501</v>
      </c>
    </row>
    <row r="972">
      <c r="A972" s="9" t="s">
        <v>501</v>
      </c>
    </row>
    <row r="973">
      <c r="A973" s="9" t="s">
        <v>501</v>
      </c>
    </row>
    <row r="974">
      <c r="A974" s="9" t="s">
        <v>501</v>
      </c>
    </row>
    <row r="975">
      <c r="A975" s="9" t="s">
        <v>501</v>
      </c>
    </row>
    <row r="976">
      <c r="A976" s="9" t="s">
        <v>501</v>
      </c>
    </row>
    <row r="977">
      <c r="A977" s="9" t="s">
        <v>501</v>
      </c>
    </row>
    <row r="978">
      <c r="A978" s="9" t="s">
        <v>501</v>
      </c>
    </row>
    <row r="979">
      <c r="A979" s="9" t="s">
        <v>501</v>
      </c>
    </row>
    <row r="980">
      <c r="A980" s="9" t="s">
        <v>501</v>
      </c>
    </row>
    <row r="981">
      <c r="A981" s="9" t="s">
        <v>501</v>
      </c>
    </row>
    <row r="982">
      <c r="A982" s="9" t="s">
        <v>501</v>
      </c>
    </row>
    <row r="983">
      <c r="A983" s="9" t="s">
        <v>501</v>
      </c>
    </row>
    <row r="984">
      <c r="A984" s="9" t="s">
        <v>501</v>
      </c>
    </row>
    <row r="985">
      <c r="A985" s="9" t="s">
        <v>501</v>
      </c>
    </row>
    <row r="986">
      <c r="A986" s="9" t="s">
        <v>501</v>
      </c>
    </row>
    <row r="987">
      <c r="A987" s="9" t="s">
        <v>501</v>
      </c>
    </row>
    <row r="988">
      <c r="A988" s="9" t="s">
        <v>501</v>
      </c>
    </row>
    <row r="989">
      <c r="A989" s="9" t="s">
        <v>501</v>
      </c>
    </row>
    <row r="990">
      <c r="A990" s="9" t="s">
        <v>501</v>
      </c>
    </row>
    <row r="991">
      <c r="A991" s="9" t="s">
        <v>501</v>
      </c>
    </row>
    <row r="992">
      <c r="A992" s="9" t="s">
        <v>501</v>
      </c>
    </row>
    <row r="993">
      <c r="A993" s="9" t="s">
        <v>501</v>
      </c>
    </row>
    <row r="994">
      <c r="A994" s="9" t="s">
        <v>501</v>
      </c>
    </row>
    <row r="995">
      <c r="A995" s="9" t="s">
        <v>501</v>
      </c>
    </row>
    <row r="996">
      <c r="A996" s="9" t="s">
        <v>501</v>
      </c>
    </row>
    <row r="997">
      <c r="A997" s="9" t="s">
        <v>501</v>
      </c>
    </row>
    <row r="998">
      <c r="A998" s="9" t="s">
        <v>501</v>
      </c>
    </row>
    <row r="999">
      <c r="A999" s="9" t="s">
        <v>501</v>
      </c>
    </row>
    <row r="1000">
      <c r="A1000" s="9" t="s">
        <v>501</v>
      </c>
    </row>
  </sheetData>
  <drawing r:id="rId1"/>
</worksheet>
</file>