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iitb_study\mtp\"/>
    </mc:Choice>
  </mc:AlternateContent>
  <xr:revisionPtr revIDLastSave="0" documentId="13_ncr:1_{07CA148C-7438-4998-9ADD-9E8D60ABAD40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BOM_Transmiter" sheetId="1" r:id="rId1"/>
    <sheet name="BOM_Receiver" sheetId="2" r:id="rId2"/>
    <sheet name="DesignCalc_Analogip_Txmtr" sheetId="3" r:id="rId3"/>
    <sheet name="DesignCalc_Analogop_Rxver" sheetId="5" r:id="rId4"/>
    <sheet name="Design_calc_RF" sheetId="4" r:id="rId5"/>
    <sheet name="Power Budget" sheetId="6" r:id="rId6"/>
    <sheet name="Costing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" i="7" l="1"/>
  <c r="G16" i="7"/>
  <c r="G9" i="7"/>
  <c r="G28" i="7" l="1"/>
  <c r="G29" i="7"/>
  <c r="G30" i="7"/>
  <c r="G31" i="7"/>
  <c r="G32" i="7"/>
  <c r="G33" i="7"/>
  <c r="G34" i="7"/>
  <c r="G35" i="7"/>
  <c r="G36" i="7"/>
  <c r="G37" i="7"/>
  <c r="G38" i="7"/>
  <c r="G39" i="7"/>
  <c r="G27" i="7"/>
  <c r="G8" i="7"/>
  <c r="G10" i="7"/>
  <c r="G11" i="7"/>
  <c r="G12" i="7"/>
  <c r="G13" i="7"/>
  <c r="G14" i="7"/>
  <c r="G15" i="7"/>
  <c r="G17" i="7"/>
  <c r="G7" i="7"/>
  <c r="G41" i="7" l="1"/>
  <c r="G19" i="7"/>
  <c r="D29" i="4"/>
  <c r="D27" i="4"/>
  <c r="D26" i="4"/>
  <c r="D24" i="4"/>
  <c r="E9" i="4"/>
  <c r="D9" i="4"/>
  <c r="D8" i="4"/>
  <c r="E76" i="3"/>
  <c r="E28" i="5"/>
  <c r="E27" i="5"/>
  <c r="F20" i="5"/>
  <c r="E20" i="5"/>
  <c r="E19" i="5"/>
  <c r="E18" i="5"/>
  <c r="E16" i="5"/>
  <c r="E15" i="5"/>
  <c r="E74" i="3"/>
  <c r="F70" i="3"/>
  <c r="E70" i="3"/>
  <c r="E68" i="3"/>
  <c r="G61" i="3"/>
  <c r="F61" i="3"/>
  <c r="E58" i="3"/>
  <c r="F51" i="3"/>
  <c r="F49" i="3"/>
  <c r="F36" i="3"/>
  <c r="F33" i="3"/>
  <c r="F31" i="3"/>
  <c r="F28" i="3"/>
</calcChain>
</file>

<file path=xl/sharedStrings.xml><?xml version="1.0" encoding="utf-8"?>
<sst xmlns="http://schemas.openxmlformats.org/spreadsheetml/2006/main" count="447" uniqueCount="286">
  <si>
    <t>CC1310 RF : Transmitter module  Revised: Thursday, May 21, 2020</t>
  </si>
  <si>
    <t xml:space="preserve">          Revision: </t>
  </si>
  <si>
    <t>Bill Of Materials            May 21,2020      5:41:48</t>
  </si>
  <si>
    <t>Item</t>
  </si>
  <si>
    <t>Quantity</t>
  </si>
  <si>
    <t>Reference</t>
  </si>
  <si>
    <t>Part</t>
  </si>
  <si>
    <t>A1</t>
  </si>
  <si>
    <t>868MHz/2440MHz</t>
  </si>
  <si>
    <t>CR9</t>
  </si>
  <si>
    <t>LS L296-P2Q2-1</t>
  </si>
  <si>
    <t>CR10</t>
  </si>
  <si>
    <t>LPL296-J2L2-25</t>
  </si>
  <si>
    <t>C3,C4,C5,C7,C9,C16,C20</t>
  </si>
  <si>
    <t>100nF</t>
  </si>
  <si>
    <t>C6,C8</t>
  </si>
  <si>
    <t>22uF</t>
  </si>
  <si>
    <t>C11,C22</t>
  </si>
  <si>
    <t>3.6pF</t>
  </si>
  <si>
    <t>C12</t>
  </si>
  <si>
    <t>2.7pF</t>
  </si>
  <si>
    <t>C13</t>
  </si>
  <si>
    <t>6.2pF</t>
  </si>
  <si>
    <t>C14</t>
  </si>
  <si>
    <t>3pF</t>
  </si>
  <si>
    <t>C15,C21</t>
  </si>
  <si>
    <t>100pF</t>
  </si>
  <si>
    <t>C17,C18</t>
  </si>
  <si>
    <t>12pF</t>
  </si>
  <si>
    <t>C19</t>
  </si>
  <si>
    <t>1uF</t>
  </si>
  <si>
    <t>C24</t>
  </si>
  <si>
    <t>DNM</t>
  </si>
  <si>
    <t>C58</t>
  </si>
  <si>
    <t>DNM_0402</t>
  </si>
  <si>
    <t>C60,C61</t>
  </si>
  <si>
    <t>2.2uF</t>
  </si>
  <si>
    <t>C62</t>
  </si>
  <si>
    <t>15pF</t>
  </si>
  <si>
    <t>C63</t>
  </si>
  <si>
    <t>680n</t>
  </si>
  <si>
    <t>C64</t>
  </si>
  <si>
    <t>2.2u</t>
  </si>
  <si>
    <t>C65</t>
  </si>
  <si>
    <t>682p</t>
  </si>
  <si>
    <t>FL1</t>
  </si>
  <si>
    <t>BLM18HE152SN1</t>
  </si>
  <si>
    <t>IC1</t>
  </si>
  <si>
    <t>LF356</t>
  </si>
  <si>
    <t>L1</t>
  </si>
  <si>
    <t>6.8uH</t>
  </si>
  <si>
    <t>L12,L23</t>
  </si>
  <si>
    <t>7.5nH</t>
  </si>
  <si>
    <t>L13,L14</t>
  </si>
  <si>
    <t>6.8nH</t>
  </si>
  <si>
    <t>L22</t>
  </si>
  <si>
    <t>27nH</t>
  </si>
  <si>
    <t>P11</t>
  </si>
  <si>
    <t>CONN_HEADER_2X5</t>
  </si>
  <si>
    <t>P12</t>
  </si>
  <si>
    <t>CONN_HEADER_2X2_P</t>
  </si>
  <si>
    <t>P13</t>
  </si>
  <si>
    <t>CONN_HEADER_2_P</t>
  </si>
  <si>
    <t>R1,R69</t>
  </si>
  <si>
    <t>100k</t>
  </si>
  <si>
    <t>R12</t>
  </si>
  <si>
    <t>1.8pF</t>
  </si>
  <si>
    <t>R67</t>
  </si>
  <si>
    <t>R68</t>
  </si>
  <si>
    <t>R71</t>
  </si>
  <si>
    <t>6k</t>
  </si>
  <si>
    <t>R72</t>
  </si>
  <si>
    <t>51k</t>
  </si>
  <si>
    <t>R73,R77</t>
  </si>
  <si>
    <t>30k</t>
  </si>
  <si>
    <t>R74</t>
  </si>
  <si>
    <t>68k</t>
  </si>
  <si>
    <t>R76</t>
  </si>
  <si>
    <t>75k</t>
  </si>
  <si>
    <t>U1</t>
  </si>
  <si>
    <t>CC1310F128RGZT</t>
  </si>
  <si>
    <t>U12</t>
  </si>
  <si>
    <t>TPS79601DR</t>
  </si>
  <si>
    <t>U14</t>
  </si>
  <si>
    <t>IC_REF_LM4040N_SC70-5</t>
  </si>
  <si>
    <t>Y1</t>
  </si>
  <si>
    <t>32.768kHz</t>
  </si>
  <si>
    <t>Y2</t>
  </si>
  <si>
    <t>24MHz</t>
  </si>
  <si>
    <t>CC1310 RF eceiver module   Revised: Thursday, May 21, 2020</t>
  </si>
  <si>
    <t>Bill Of Materials            May 21,2020      5:35:12</t>
  </si>
  <si>
    <t>C66,C67</t>
  </si>
  <si>
    <t>0.1u</t>
  </si>
  <si>
    <t>C68</t>
  </si>
  <si>
    <t>40nF</t>
  </si>
  <si>
    <t>C69,C72</t>
  </si>
  <si>
    <t>7uF</t>
  </si>
  <si>
    <t>C70,C71</t>
  </si>
  <si>
    <t>6.82nF</t>
  </si>
  <si>
    <t>L24,L25</t>
  </si>
  <si>
    <t>225uH</t>
  </si>
  <si>
    <t>3.5mm audio jack connector</t>
  </si>
  <si>
    <t>R1</t>
  </si>
  <si>
    <t>R73</t>
  </si>
  <si>
    <t>R78</t>
  </si>
  <si>
    <t>1k</t>
  </si>
  <si>
    <t>R79,R80</t>
  </si>
  <si>
    <t>300k</t>
  </si>
  <si>
    <t>U15</t>
  </si>
  <si>
    <t>MCP4921-EP</t>
  </si>
  <si>
    <t>U16</t>
  </si>
  <si>
    <t>TPA2005D1</t>
  </si>
  <si>
    <t>AS per reference of tidu765.pdf design</t>
  </si>
  <si>
    <t>POM-3535P-R</t>
  </si>
  <si>
    <t xml:space="preserve"> For reference microphone Part No:</t>
  </si>
  <si>
    <t xml:space="preserve">Sensitivity </t>
  </si>
  <si>
    <t xml:space="preserve"> -35 +/- 4 dBV</t>
  </si>
  <si>
    <t xml:space="preserve">Standard Operating Voltage </t>
  </si>
  <si>
    <t>2 Vdc</t>
  </si>
  <si>
    <t xml:space="preserve">Current Consumption (Max) </t>
  </si>
  <si>
    <t>0.5 mA</t>
  </si>
  <si>
    <t xml:space="preserve">Impedance </t>
  </si>
  <si>
    <t>2.2 kOhm</t>
  </si>
  <si>
    <t>Signal to Noise Ratio (Min)</t>
  </si>
  <si>
    <t xml:space="preserve"> 68 dB</t>
  </si>
  <si>
    <t>Selected parameters from microphone datasheet[2]</t>
  </si>
  <si>
    <t xml:space="preserve">Parameter </t>
  </si>
  <si>
    <t>Value  (Units)</t>
  </si>
  <si>
    <t>sensitivity</t>
  </si>
  <si>
    <t>mvolts per Pascal of
air pressure</t>
  </si>
  <si>
    <t>The output
current per Pascal of air pressure</t>
  </si>
  <si>
    <t>μA/Pa</t>
  </si>
  <si>
    <t>microphone output current for 2Pa Air pressure</t>
  </si>
  <si>
    <t>μA</t>
  </si>
  <si>
    <t>R76 = V/Imic</t>
  </si>
  <si>
    <t>Imic</t>
  </si>
  <si>
    <t>V</t>
  </si>
  <si>
    <t>(considering)</t>
  </si>
  <si>
    <t xml:space="preserve">R76 </t>
  </si>
  <si>
    <t>V(volt)</t>
  </si>
  <si>
    <t>kOhm</t>
  </si>
  <si>
    <t>fp</t>
  </si>
  <si>
    <t>Hz</t>
  </si>
  <si>
    <t xml:space="preserve">C65 </t>
  </si>
  <si>
    <t>1/(2*PI*fp*R76)</t>
  </si>
  <si>
    <t>use for compansates for parasitic capacitance at the op amp inverting input which can
cause instability. Capacitor C2 also forms a pole with resistor R2 in the response of the pre-amplifier. The
frequency of this pole must be high enough to not affect the microphone transfer function within the
audible bandwidth. For this design, a response deviation of -0.1dB at 500Hz is acceptable.</t>
  </si>
  <si>
    <t>The location of
the pole can be calculated using the relative gain at 500Hz</t>
  </si>
  <si>
    <t>nF</t>
  </si>
  <si>
    <t>pF</t>
  </si>
  <si>
    <t>Microphone Bias Resistor and Coupling Capacitor</t>
  </si>
  <si>
    <t>(Vcc - Vmic)/Is</t>
  </si>
  <si>
    <t>1/(2*PI*R71*fc)</t>
  </si>
  <si>
    <t>For HPF : cuttoff freq</t>
  </si>
  <si>
    <t xml:space="preserve">fc </t>
  </si>
  <si>
    <t>Vref ( at +terminal on opamp)</t>
  </si>
  <si>
    <t>R69</t>
  </si>
  <si>
    <t>k</t>
  </si>
  <si>
    <t>VDD</t>
  </si>
  <si>
    <t>iD</t>
  </si>
  <si>
    <t>uA</t>
  </si>
  <si>
    <t>use to filter thermal noise created by the resister</t>
  </si>
  <si>
    <t>uF</t>
  </si>
  <si>
    <t>fc</t>
  </si>
  <si>
    <t>Simulation results</t>
  </si>
  <si>
    <t>TPA2005D1 1.4-W MONO Filter-Free Class-D Audio Power Amplifier</t>
  </si>
  <si>
    <t>ref by datasheet</t>
  </si>
  <si>
    <t>Application Schematic With TPA2005D1 Summing Two Single-Ended Inputs</t>
  </si>
  <si>
    <t>Gain</t>
  </si>
  <si>
    <t>R79</t>
  </si>
  <si>
    <t>R80</t>
  </si>
  <si>
    <t>C70</t>
  </si>
  <si>
    <t>fc1</t>
  </si>
  <si>
    <t>considering</t>
  </si>
  <si>
    <t>F</t>
  </si>
  <si>
    <t>C71</t>
  </si>
  <si>
    <t>OP of Class D amplifier</t>
  </si>
  <si>
    <t>as per reference: SLAA701A–October 2016–Revised November 2016</t>
  </si>
  <si>
    <t>Type-2 Filter Equivalent Circuit</t>
  </si>
  <si>
    <r>
      <t>R</t>
    </r>
    <r>
      <rPr>
        <sz val="8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 = R</t>
    </r>
    <r>
      <rPr>
        <sz val="8"/>
        <color theme="1"/>
        <rFont val="Calibri"/>
        <family val="2"/>
        <scheme val="minor"/>
      </rPr>
      <t>BTL</t>
    </r>
  </si>
  <si>
    <r>
      <t>R</t>
    </r>
    <r>
      <rPr>
        <sz val="8"/>
        <color theme="1"/>
        <rFont val="Calibri"/>
        <family val="2"/>
        <scheme val="minor"/>
      </rPr>
      <t>BTL</t>
    </r>
  </si>
  <si>
    <t xml:space="preserve"> ohm</t>
  </si>
  <si>
    <t>f</t>
  </si>
  <si>
    <t>hz BW</t>
  </si>
  <si>
    <t>uH</t>
  </si>
  <si>
    <t>L24</t>
  </si>
  <si>
    <t>C69</t>
  </si>
  <si>
    <t>C72</t>
  </si>
  <si>
    <t>L25</t>
  </si>
  <si>
    <t>Noise gain</t>
  </si>
  <si>
    <t>Antenna</t>
  </si>
  <si>
    <t>ADC samplin Rate</t>
  </si>
  <si>
    <t>SPS</t>
  </si>
  <si>
    <t>Buffer size</t>
  </si>
  <si>
    <t>ENOB</t>
  </si>
  <si>
    <t>bits</t>
  </si>
  <si>
    <t>ADPCM compression</t>
  </si>
  <si>
    <t>12-04 bits</t>
  </si>
  <si>
    <t>Time for sampling</t>
  </si>
  <si>
    <t>sec</t>
  </si>
  <si>
    <t>ADC callback time</t>
  </si>
  <si>
    <t>Tranmiting bit rate</t>
  </si>
  <si>
    <t>kbps</t>
  </si>
  <si>
    <t>frame overhead</t>
  </si>
  <si>
    <t>bytes</t>
  </si>
  <si>
    <t>data</t>
  </si>
  <si>
    <t>Sequence number</t>
  </si>
  <si>
    <t>header</t>
  </si>
  <si>
    <t>Frame structure</t>
  </si>
  <si>
    <t>Preamble</t>
  </si>
  <si>
    <t>Sync word</t>
  </si>
  <si>
    <t>length</t>
  </si>
  <si>
    <t>adress  size</t>
  </si>
  <si>
    <t>sequence number size</t>
  </si>
  <si>
    <t>CRC</t>
  </si>
  <si>
    <t>4 byte</t>
  </si>
  <si>
    <t>1 byte</t>
  </si>
  <si>
    <t>2 byte</t>
  </si>
  <si>
    <t>52 byte</t>
  </si>
  <si>
    <t>data (code)</t>
  </si>
  <si>
    <t>ADPCM init value</t>
  </si>
  <si>
    <t>2 bye</t>
  </si>
  <si>
    <t>Data field</t>
  </si>
  <si>
    <t>Total frame size</t>
  </si>
  <si>
    <t>RF field</t>
  </si>
  <si>
    <t>Modulation</t>
  </si>
  <si>
    <t>2GFSK</t>
  </si>
  <si>
    <t>Deviation</t>
  </si>
  <si>
    <t>kHz</t>
  </si>
  <si>
    <t>frequency</t>
  </si>
  <si>
    <t>Mhz</t>
  </si>
  <si>
    <t>symbol rate</t>
  </si>
  <si>
    <t>Rx Filter BW</t>
  </si>
  <si>
    <t>Tx Power</t>
  </si>
  <si>
    <t>dbm</t>
  </si>
  <si>
    <t>Total command time</t>
  </si>
  <si>
    <t>msec</t>
  </si>
  <si>
    <t>ADC Sampling time</t>
  </si>
  <si>
    <t>Time remaining for ADPCM</t>
  </si>
  <si>
    <t>Power consumption</t>
  </si>
  <si>
    <t xml:space="preserve">Main MCU (Active@48Mhz) </t>
  </si>
  <si>
    <t>1.2mA + 25.5μA/Hz</t>
  </si>
  <si>
    <t>Radio Rx</t>
  </si>
  <si>
    <t>5.5mA</t>
  </si>
  <si>
    <t>RF core</t>
  </si>
  <si>
    <t>0.237mA</t>
  </si>
  <si>
    <t>μDMA</t>
  </si>
  <si>
    <t>0.130mA</t>
  </si>
  <si>
    <t>Timer</t>
  </si>
  <si>
    <t>0.113mA</t>
  </si>
  <si>
    <t>I2C</t>
  </si>
  <si>
    <t>0.012mA</t>
  </si>
  <si>
    <t>SPI</t>
  </si>
  <si>
    <t>0.093mA</t>
  </si>
  <si>
    <t>UART</t>
  </si>
  <si>
    <t>0.164mA</t>
  </si>
  <si>
    <t>ADC</t>
  </si>
  <si>
    <t>0.750mA</t>
  </si>
  <si>
    <t>Radio Tx (VDDR=1.95V) , 14dbm o/p power GFSK</t>
  </si>
  <si>
    <t>23.5mA</t>
  </si>
  <si>
    <t>Total</t>
  </si>
  <si>
    <t>32.9mA</t>
  </si>
  <si>
    <t>For CC1310</t>
  </si>
  <si>
    <t>RLED</t>
  </si>
  <si>
    <t>GLED</t>
  </si>
  <si>
    <t>Inductor</t>
  </si>
  <si>
    <t>opamp</t>
  </si>
  <si>
    <t>regulator</t>
  </si>
  <si>
    <t>Zener 4.1V</t>
  </si>
  <si>
    <t>DAC</t>
  </si>
  <si>
    <t>Audio amplifier</t>
  </si>
  <si>
    <t>caps</t>
  </si>
  <si>
    <t>Res</t>
  </si>
  <si>
    <t>ind</t>
  </si>
  <si>
    <t>res</t>
  </si>
  <si>
    <t>cost(PU)</t>
  </si>
  <si>
    <t>`</t>
  </si>
  <si>
    <t>NA</t>
  </si>
  <si>
    <t>868MHz/2440MHz Antenna</t>
  </si>
  <si>
    <t>LS L296-P2Q2-1 RLED</t>
  </si>
  <si>
    <t>LPL296-J2L2-25 GLED</t>
  </si>
  <si>
    <t>BLM18HE152SN1 coil</t>
  </si>
  <si>
    <t>LF356 opamp</t>
  </si>
  <si>
    <t>TPS79601DR regulator</t>
  </si>
  <si>
    <t>IC_REF_LM4040N_SC70-5 Zener 4.1V</t>
  </si>
  <si>
    <t>MCP4921-EP DAC</t>
  </si>
  <si>
    <t>TPA2005D1 Audio amplifier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</si>
</sst>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rgb="FF000000"/>
      <name val="Tw Cen MT"/>
      <family val="2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/>
    <xf numFmtId="0" fontId="0" fillId="2" borderId="0" xfId="0" applyFill="1"/>
    <xf numFmtId="0" fontId="0" fillId="0" borderId="0" xfId="0" applyAlignment="1">
      <alignment horizontal="center" vertical="center"/>
    </xf>
    <xf numFmtId="0" fontId="1" fillId="0" borderId="0" xfId="0" applyFont="1"/>
    <xf numFmtId="0" fontId="0" fillId="2" borderId="1" xfId="0" applyFill="1" applyBorder="1" applyAlignment="1">
      <alignment wrapText="1"/>
    </xf>
    <xf numFmtId="16" fontId="0" fillId="0" borderId="1" xfId="0" applyNumberFormat="1" applyBorder="1"/>
    <xf numFmtId="0" fontId="0" fillId="2" borderId="1" xfId="0" applyFill="1" applyBorder="1"/>
    <xf numFmtId="0" fontId="4" fillId="0" borderId="2" xfId="0" applyFont="1" applyFill="1" applyBorder="1" applyAlignment="1">
      <alignment horizontal="center" wrapText="1" readingOrder="1"/>
    </xf>
    <xf numFmtId="0" fontId="5" fillId="0" borderId="2" xfId="0" applyFont="1" applyFill="1" applyBorder="1" applyAlignment="1">
      <alignment horizontal="center" wrapText="1" readingOrder="1"/>
    </xf>
    <xf numFmtId="0" fontId="0" fillId="0" borderId="1" xfId="0" applyFill="1" applyBorder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3" fillId="0" borderId="3" xfId="0" applyFont="1" applyFill="1" applyBorder="1" applyAlignment="1">
      <alignment horizontal="center" vertical="center" wrapText="1" readingOrder="1"/>
    </xf>
    <xf numFmtId="0" fontId="3" fillId="0" borderId="4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7</xdr:col>
      <xdr:colOff>362684</xdr:colOff>
      <xdr:row>14</xdr:row>
      <xdr:rowOff>149679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BEB8C0-5285-4EA5-A454-3BFD0D6630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4643" y="381000"/>
          <a:ext cx="5928005" cy="243567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42</xdr:row>
      <xdr:rowOff>0</xdr:rowOff>
    </xdr:from>
    <xdr:to>
      <xdr:col>6</xdr:col>
      <xdr:colOff>170872</xdr:colOff>
      <xdr:row>47</xdr:row>
      <xdr:rowOff>122464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126B59-87DD-4E8F-B9D2-AC3EA9E102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54929" y="9388929"/>
          <a:ext cx="1586014" cy="1074964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381000</xdr:colOff>
      <xdr:row>83</xdr:row>
      <xdr:rowOff>67235</xdr:rowOff>
    </xdr:from>
    <xdr:to>
      <xdr:col>10</xdr:col>
      <xdr:colOff>328332</xdr:colOff>
      <xdr:row>100</xdr:row>
      <xdr:rowOff>19610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E0DCAE8-AFBD-4429-8186-9B681C9AF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6353" y="17268264"/>
          <a:ext cx="6704479" cy="3190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84</xdr:row>
      <xdr:rowOff>0</xdr:rowOff>
    </xdr:from>
    <xdr:to>
      <xdr:col>24</xdr:col>
      <xdr:colOff>9525</xdr:colOff>
      <xdr:row>100</xdr:row>
      <xdr:rowOff>142875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DEB03AF-64D3-406F-A3A7-68EAA3383B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9875" y="17392650"/>
          <a:ext cx="6715125" cy="3190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47626</xdr:colOff>
      <xdr:row>3</xdr:row>
      <xdr:rowOff>0</xdr:rowOff>
    </xdr:from>
    <xdr:to>
      <xdr:col>8</xdr:col>
      <xdr:colOff>161926</xdr:colOff>
      <xdr:row>10</xdr:row>
      <xdr:rowOff>152193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E7D510-9EA3-4472-B6F5-4BCD083A5D6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0346" r="4136"/>
        <a:stretch/>
      </xdr:blipFill>
      <xdr:spPr>
        <a:xfrm>
          <a:off x="1266826" y="571500"/>
          <a:ext cx="3962400" cy="1485693"/>
        </a:xfrm>
        <a:prstGeom prst="rect">
          <a:avLst/>
        </a:prstGeom>
      </xdr:spPr>
    </xdr:pic>
    <xdr:clientData/>
  </xdr:twoCellAnchor>
  <xdr:twoCellAnchor editAs="oneCell">
    <xdr:from>
      <xdr:col>13</xdr:col>
      <xdr:colOff>323850</xdr:colOff>
      <xdr:row>20</xdr:row>
      <xdr:rowOff>76200</xdr:rowOff>
    </xdr:from>
    <xdr:to>
      <xdr:col>16</xdr:col>
      <xdr:colOff>533145</xdr:colOff>
      <xdr:row>34</xdr:row>
      <xdr:rowOff>56819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28AE8-DBE4-4A28-981D-B4F174CFE2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48650" y="3886200"/>
          <a:ext cx="2038095" cy="2647619"/>
        </a:xfrm>
        <a:prstGeom prst="rect">
          <a:avLst/>
        </a:prstGeom>
      </xdr:spPr>
    </xdr:pic>
    <xdr:clientData/>
  </xdr:twoCellAnchor>
  <xdr:twoCellAnchor editAs="oneCell">
    <xdr:from>
      <xdr:col>11</xdr:col>
      <xdr:colOff>571500</xdr:colOff>
      <xdr:row>1</xdr:row>
      <xdr:rowOff>171450</xdr:rowOff>
    </xdr:from>
    <xdr:to>
      <xdr:col>20</xdr:col>
      <xdr:colOff>104148</xdr:colOff>
      <xdr:row>14</xdr:row>
      <xdr:rowOff>133045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2A283F7-571E-4091-A11D-F2BCD1CBB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77100" y="361950"/>
          <a:ext cx="5019048" cy="243809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37</xdr:row>
      <xdr:rowOff>0</xdr:rowOff>
    </xdr:from>
    <xdr:to>
      <xdr:col>20</xdr:col>
      <xdr:colOff>75657</xdr:colOff>
      <xdr:row>51</xdr:row>
      <xdr:rowOff>113952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9D2B5FC-CEF2-4954-B650-FEAC54C436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15300" y="7048500"/>
          <a:ext cx="4342857" cy="2780952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56</xdr:row>
      <xdr:rowOff>0</xdr:rowOff>
    </xdr:from>
    <xdr:to>
      <xdr:col>14</xdr:col>
      <xdr:colOff>466590</xdr:colOff>
      <xdr:row>59</xdr:row>
      <xdr:rowOff>28500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C71E611-E7C3-4EFC-A9F6-8AA84C188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115300" y="10668000"/>
          <a:ext cx="1076190" cy="6000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60</xdr:row>
      <xdr:rowOff>0</xdr:rowOff>
    </xdr:from>
    <xdr:to>
      <xdr:col>15</xdr:col>
      <xdr:colOff>209371</xdr:colOff>
      <xdr:row>62</xdr:row>
      <xdr:rowOff>171381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9FB1F31-2693-4DB9-ABFD-D32FE12636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115300" y="11430000"/>
          <a:ext cx="1428571" cy="5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opLeftCell="A30" workbookViewId="0">
      <selection activeCell="A5" sqref="A5:D47"/>
    </sheetView>
  </sheetViews>
  <sheetFormatPr defaultRowHeight="15" x14ac:dyDescent="0.25"/>
  <cols>
    <col min="4" max="4" width="18" customWidth="1"/>
  </cols>
  <sheetData>
    <row r="1" spans="1:4" x14ac:dyDescent="0.25">
      <c r="A1" t="s">
        <v>0</v>
      </c>
    </row>
    <row r="2" spans="1:4" x14ac:dyDescent="0.25">
      <c r="A2" t="s">
        <v>1</v>
      </c>
    </row>
    <row r="3" spans="1:4" x14ac:dyDescent="0.25">
      <c r="A3" t="s">
        <v>2</v>
      </c>
    </row>
    <row r="5" spans="1:4" x14ac:dyDescent="0.25">
      <c r="A5" s="1" t="s">
        <v>3</v>
      </c>
      <c r="B5" s="1" t="s">
        <v>4</v>
      </c>
      <c r="C5" s="1" t="s">
        <v>5</v>
      </c>
      <c r="D5" s="1" t="s">
        <v>6</v>
      </c>
    </row>
    <row r="6" spans="1:4" x14ac:dyDescent="0.25">
      <c r="A6" s="1">
        <v>1</v>
      </c>
      <c r="B6" s="1">
        <v>1</v>
      </c>
      <c r="C6" s="1" t="s">
        <v>7</v>
      </c>
      <c r="D6" s="1" t="s">
        <v>277</v>
      </c>
    </row>
    <row r="7" spans="1:4" x14ac:dyDescent="0.25">
      <c r="A7" s="1">
        <v>2</v>
      </c>
      <c r="B7" s="1">
        <v>1</v>
      </c>
      <c r="C7" s="1" t="s">
        <v>9</v>
      </c>
      <c r="D7" s="1" t="s">
        <v>278</v>
      </c>
    </row>
    <row r="8" spans="1:4" x14ac:dyDescent="0.25">
      <c r="A8" s="1">
        <v>3</v>
      </c>
      <c r="B8" s="1">
        <v>1</v>
      </c>
      <c r="C8" s="1" t="s">
        <v>11</v>
      </c>
      <c r="D8" s="1" t="s">
        <v>279</v>
      </c>
    </row>
    <row r="9" spans="1:4" x14ac:dyDescent="0.25">
      <c r="A9" s="1">
        <v>4</v>
      </c>
      <c r="B9" s="1">
        <v>7</v>
      </c>
      <c r="C9" s="1" t="s">
        <v>13</v>
      </c>
      <c r="D9" s="1" t="s">
        <v>14</v>
      </c>
    </row>
    <row r="10" spans="1:4" x14ac:dyDescent="0.25">
      <c r="A10" s="1">
        <v>5</v>
      </c>
      <c r="B10" s="1">
        <v>2</v>
      </c>
      <c r="C10" s="1" t="s">
        <v>15</v>
      </c>
      <c r="D10" s="1" t="s">
        <v>16</v>
      </c>
    </row>
    <row r="11" spans="1:4" x14ac:dyDescent="0.25">
      <c r="A11" s="1">
        <v>6</v>
      </c>
      <c r="B11" s="1">
        <v>2</v>
      </c>
      <c r="C11" s="1" t="s">
        <v>17</v>
      </c>
      <c r="D11" s="1" t="s">
        <v>18</v>
      </c>
    </row>
    <row r="12" spans="1:4" x14ac:dyDescent="0.25">
      <c r="A12" s="1">
        <v>7</v>
      </c>
      <c r="B12" s="1">
        <v>1</v>
      </c>
      <c r="C12" s="1" t="s">
        <v>19</v>
      </c>
      <c r="D12" s="1" t="s">
        <v>20</v>
      </c>
    </row>
    <row r="13" spans="1:4" x14ac:dyDescent="0.25">
      <c r="A13" s="1">
        <v>8</v>
      </c>
      <c r="B13" s="1">
        <v>1</v>
      </c>
      <c r="C13" s="1" t="s">
        <v>21</v>
      </c>
      <c r="D13" s="1" t="s">
        <v>22</v>
      </c>
    </row>
    <row r="14" spans="1:4" x14ac:dyDescent="0.25">
      <c r="A14" s="1">
        <v>9</v>
      </c>
      <c r="B14" s="1">
        <v>1</v>
      </c>
      <c r="C14" s="1" t="s">
        <v>23</v>
      </c>
      <c r="D14" s="1" t="s">
        <v>24</v>
      </c>
    </row>
    <row r="15" spans="1:4" x14ac:dyDescent="0.25">
      <c r="A15" s="1">
        <v>10</v>
      </c>
      <c r="B15" s="1">
        <v>2</v>
      </c>
      <c r="C15" s="1" t="s">
        <v>25</v>
      </c>
      <c r="D15" s="1" t="s">
        <v>26</v>
      </c>
    </row>
    <row r="16" spans="1:4" x14ac:dyDescent="0.25">
      <c r="A16" s="1">
        <v>11</v>
      </c>
      <c r="B16" s="1">
        <v>2</v>
      </c>
      <c r="C16" s="1" t="s">
        <v>27</v>
      </c>
      <c r="D16" s="1" t="s">
        <v>28</v>
      </c>
    </row>
    <row r="17" spans="1:5" x14ac:dyDescent="0.25">
      <c r="A17" s="1">
        <v>12</v>
      </c>
      <c r="B17" s="1">
        <v>1</v>
      </c>
      <c r="C17" s="1" t="s">
        <v>29</v>
      </c>
      <c r="D17" s="1" t="s">
        <v>30</v>
      </c>
    </row>
    <row r="18" spans="1:5" x14ac:dyDescent="0.25">
      <c r="A18" s="1">
        <v>13</v>
      </c>
      <c r="B18" s="1">
        <v>1</v>
      </c>
      <c r="C18" s="1" t="s">
        <v>31</v>
      </c>
      <c r="D18" s="1" t="s">
        <v>32</v>
      </c>
    </row>
    <row r="19" spans="1:5" x14ac:dyDescent="0.25">
      <c r="A19" s="1">
        <v>14</v>
      </c>
      <c r="B19" s="1">
        <v>1</v>
      </c>
      <c r="C19" s="1" t="s">
        <v>33</v>
      </c>
      <c r="D19" s="1" t="s">
        <v>34</v>
      </c>
    </row>
    <row r="20" spans="1:5" x14ac:dyDescent="0.25">
      <c r="A20" s="1">
        <v>15</v>
      </c>
      <c r="B20" s="1">
        <v>2</v>
      </c>
      <c r="C20" s="1" t="s">
        <v>35</v>
      </c>
      <c r="D20" s="1" t="s">
        <v>36</v>
      </c>
    </row>
    <row r="21" spans="1:5" x14ac:dyDescent="0.25">
      <c r="A21" s="1">
        <v>16</v>
      </c>
      <c r="B21" s="1">
        <v>1</v>
      </c>
      <c r="C21" s="1" t="s">
        <v>37</v>
      </c>
      <c r="D21" s="1" t="s">
        <v>38</v>
      </c>
    </row>
    <row r="22" spans="1:5" x14ac:dyDescent="0.25">
      <c r="A22" s="1">
        <v>17</v>
      </c>
      <c r="B22" s="1">
        <v>1</v>
      </c>
      <c r="C22" s="1" t="s">
        <v>39</v>
      </c>
      <c r="D22" s="1" t="s">
        <v>40</v>
      </c>
    </row>
    <row r="23" spans="1:5" x14ac:dyDescent="0.25">
      <c r="A23" s="1">
        <v>18</v>
      </c>
      <c r="B23" s="1">
        <v>1</v>
      </c>
      <c r="C23" s="1" t="s">
        <v>41</v>
      </c>
      <c r="D23" s="1" t="s">
        <v>42</v>
      </c>
    </row>
    <row r="24" spans="1:5" x14ac:dyDescent="0.25">
      <c r="A24" s="1">
        <v>19</v>
      </c>
      <c r="B24" s="1">
        <v>1</v>
      </c>
      <c r="C24" s="1" t="s">
        <v>43</v>
      </c>
      <c r="D24" s="1" t="s">
        <v>44</v>
      </c>
    </row>
    <row r="25" spans="1:5" x14ac:dyDescent="0.25">
      <c r="A25" s="1">
        <v>20</v>
      </c>
      <c r="B25" s="1">
        <v>1</v>
      </c>
      <c r="C25" s="1" t="s">
        <v>45</v>
      </c>
      <c r="D25" s="1" t="s">
        <v>280</v>
      </c>
      <c r="E25" t="s">
        <v>264</v>
      </c>
    </row>
    <row r="26" spans="1:5" x14ac:dyDescent="0.25">
      <c r="A26" s="1">
        <v>21</v>
      </c>
      <c r="B26" s="1">
        <v>1</v>
      </c>
      <c r="C26" s="1" t="s">
        <v>47</v>
      </c>
      <c r="D26" s="1" t="s">
        <v>281</v>
      </c>
    </row>
    <row r="27" spans="1:5" x14ac:dyDescent="0.25">
      <c r="A27" s="1">
        <v>22</v>
      </c>
      <c r="B27" s="1">
        <v>1</v>
      </c>
      <c r="C27" s="1" t="s">
        <v>49</v>
      </c>
      <c r="D27" s="1" t="s">
        <v>50</v>
      </c>
    </row>
    <row r="28" spans="1:5" x14ac:dyDescent="0.25">
      <c r="A28" s="1">
        <v>23</v>
      </c>
      <c r="B28" s="1">
        <v>2</v>
      </c>
      <c r="C28" s="1" t="s">
        <v>51</v>
      </c>
      <c r="D28" s="1" t="s">
        <v>52</v>
      </c>
    </row>
    <row r="29" spans="1:5" x14ac:dyDescent="0.25">
      <c r="A29" s="1">
        <v>24</v>
      </c>
      <c r="B29" s="1">
        <v>2</v>
      </c>
      <c r="C29" s="1" t="s">
        <v>53</v>
      </c>
      <c r="D29" s="1" t="s">
        <v>54</v>
      </c>
    </row>
    <row r="30" spans="1:5" x14ac:dyDescent="0.25">
      <c r="A30" s="1">
        <v>25</v>
      </c>
      <c r="B30" s="1">
        <v>1</v>
      </c>
      <c r="C30" s="1" t="s">
        <v>55</v>
      </c>
      <c r="D30" s="1" t="s">
        <v>56</v>
      </c>
    </row>
    <row r="31" spans="1:5" x14ac:dyDescent="0.25">
      <c r="A31" s="1">
        <v>26</v>
      </c>
      <c r="B31" s="1">
        <v>1</v>
      </c>
      <c r="C31" s="1" t="s">
        <v>57</v>
      </c>
      <c r="D31" s="1" t="s">
        <v>58</v>
      </c>
    </row>
    <row r="32" spans="1:5" x14ac:dyDescent="0.25">
      <c r="A32" s="1">
        <v>27</v>
      </c>
      <c r="B32" s="1">
        <v>1</v>
      </c>
      <c r="C32" s="1" t="s">
        <v>59</v>
      </c>
      <c r="D32" s="1" t="s">
        <v>60</v>
      </c>
    </row>
    <row r="33" spans="1:4" x14ac:dyDescent="0.25">
      <c r="A33" s="1">
        <v>28</v>
      </c>
      <c r="B33" s="1">
        <v>1</v>
      </c>
      <c r="C33" s="1" t="s">
        <v>61</v>
      </c>
      <c r="D33" s="1" t="s">
        <v>62</v>
      </c>
    </row>
    <row r="34" spans="1:4" x14ac:dyDescent="0.25">
      <c r="A34" s="1">
        <v>29</v>
      </c>
      <c r="B34" s="1">
        <v>2</v>
      </c>
      <c r="C34" s="1" t="s">
        <v>63</v>
      </c>
      <c r="D34" s="1" t="s">
        <v>64</v>
      </c>
    </row>
    <row r="35" spans="1:4" x14ac:dyDescent="0.25">
      <c r="A35" s="1">
        <v>30</v>
      </c>
      <c r="B35" s="1">
        <v>1</v>
      </c>
      <c r="C35" s="1" t="s">
        <v>65</v>
      </c>
      <c r="D35" s="1" t="s">
        <v>66</v>
      </c>
    </row>
    <row r="36" spans="1:4" x14ac:dyDescent="0.25">
      <c r="A36" s="1">
        <v>31</v>
      </c>
      <c r="B36" s="1">
        <v>1</v>
      </c>
      <c r="C36" s="1" t="s">
        <v>67</v>
      </c>
      <c r="D36" s="1">
        <v>220</v>
      </c>
    </row>
    <row r="37" spans="1:4" x14ac:dyDescent="0.25">
      <c r="A37" s="1">
        <v>32</v>
      </c>
      <c r="B37" s="1">
        <v>1</v>
      </c>
      <c r="C37" s="1" t="s">
        <v>68</v>
      </c>
      <c r="D37" s="1">
        <v>180</v>
      </c>
    </row>
    <row r="38" spans="1:4" x14ac:dyDescent="0.25">
      <c r="A38" s="1">
        <v>33</v>
      </c>
      <c r="B38" s="1">
        <v>1</v>
      </c>
      <c r="C38" s="1" t="s">
        <v>69</v>
      </c>
      <c r="D38" s="1" t="s">
        <v>70</v>
      </c>
    </row>
    <row r="39" spans="1:4" x14ac:dyDescent="0.25">
      <c r="A39" s="1">
        <v>34</v>
      </c>
      <c r="B39" s="1">
        <v>1</v>
      </c>
      <c r="C39" s="1" t="s">
        <v>71</v>
      </c>
      <c r="D39" s="1" t="s">
        <v>72</v>
      </c>
    </row>
    <row r="40" spans="1:4" x14ac:dyDescent="0.25">
      <c r="A40" s="1">
        <v>35</v>
      </c>
      <c r="B40" s="1">
        <v>2</v>
      </c>
      <c r="C40" s="1" t="s">
        <v>73</v>
      </c>
      <c r="D40" s="1" t="s">
        <v>74</v>
      </c>
    </row>
    <row r="41" spans="1:4" x14ac:dyDescent="0.25">
      <c r="A41" s="1">
        <v>36</v>
      </c>
      <c r="B41" s="1">
        <v>1</v>
      </c>
      <c r="C41" s="1" t="s">
        <v>75</v>
      </c>
      <c r="D41" s="1" t="s">
        <v>76</v>
      </c>
    </row>
    <row r="42" spans="1:4" x14ac:dyDescent="0.25">
      <c r="A42" s="1">
        <v>37</v>
      </c>
      <c r="B42" s="1">
        <v>1</v>
      </c>
      <c r="C42" s="1" t="s">
        <v>77</v>
      </c>
      <c r="D42" s="1" t="s">
        <v>78</v>
      </c>
    </row>
    <row r="43" spans="1:4" x14ac:dyDescent="0.25">
      <c r="A43" s="1">
        <v>38</v>
      </c>
      <c r="B43" s="1">
        <v>1</v>
      </c>
      <c r="C43" s="1" t="s">
        <v>79</v>
      </c>
      <c r="D43" s="1" t="s">
        <v>80</v>
      </c>
    </row>
    <row r="44" spans="1:4" x14ac:dyDescent="0.25">
      <c r="A44" s="1">
        <v>39</v>
      </c>
      <c r="B44" s="1">
        <v>1</v>
      </c>
      <c r="C44" s="1" t="s">
        <v>81</v>
      </c>
      <c r="D44" s="1" t="s">
        <v>282</v>
      </c>
    </row>
    <row r="45" spans="1:4" x14ac:dyDescent="0.25">
      <c r="A45" s="1">
        <v>40</v>
      </c>
      <c r="B45" s="1">
        <v>1</v>
      </c>
      <c r="C45" s="1" t="s">
        <v>83</v>
      </c>
      <c r="D45" s="1" t="s">
        <v>283</v>
      </c>
    </row>
    <row r="46" spans="1:4" x14ac:dyDescent="0.25">
      <c r="A46" s="1">
        <v>41</v>
      </c>
      <c r="B46" s="1">
        <v>1</v>
      </c>
      <c r="C46" s="1" t="s">
        <v>85</v>
      </c>
      <c r="D46" s="1" t="s">
        <v>86</v>
      </c>
    </row>
    <row r="47" spans="1:4" x14ac:dyDescent="0.25">
      <c r="A47" s="1">
        <v>42</v>
      </c>
      <c r="B47" s="1">
        <v>1</v>
      </c>
      <c r="C47" s="1" t="s">
        <v>87</v>
      </c>
      <c r="D47" s="1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9E5F1-9D28-4088-AB31-501C151C6123}">
  <dimension ref="A1:E48"/>
  <sheetViews>
    <sheetView topLeftCell="A33" workbookViewId="0">
      <selection activeCell="A5" sqref="A5:D48"/>
    </sheetView>
  </sheetViews>
  <sheetFormatPr defaultRowHeight="15" x14ac:dyDescent="0.25"/>
  <cols>
    <col min="4" max="4" width="20.7109375" style="2" customWidth="1"/>
  </cols>
  <sheetData>
    <row r="1" spans="1:4" x14ac:dyDescent="0.25">
      <c r="A1" t="s">
        <v>89</v>
      </c>
    </row>
    <row r="2" spans="1:4" x14ac:dyDescent="0.25">
      <c r="A2" t="s">
        <v>1</v>
      </c>
    </row>
    <row r="3" spans="1:4" x14ac:dyDescent="0.25">
      <c r="A3" t="s">
        <v>90</v>
      </c>
    </row>
    <row r="5" spans="1:4" x14ac:dyDescent="0.25">
      <c r="A5" s="1" t="s">
        <v>3</v>
      </c>
      <c r="B5" s="1" t="s">
        <v>4</v>
      </c>
      <c r="C5" s="1" t="s">
        <v>5</v>
      </c>
      <c r="D5" s="3" t="s">
        <v>6</v>
      </c>
    </row>
    <row r="6" spans="1:4" ht="30" x14ac:dyDescent="0.25">
      <c r="A6" s="1">
        <v>1</v>
      </c>
      <c r="B6" s="1">
        <v>1</v>
      </c>
      <c r="C6" s="1" t="s">
        <v>7</v>
      </c>
      <c r="D6" s="3" t="s">
        <v>277</v>
      </c>
    </row>
    <row r="7" spans="1:4" x14ac:dyDescent="0.25">
      <c r="A7" s="1">
        <v>2</v>
      </c>
      <c r="B7" s="1">
        <v>1</v>
      </c>
      <c r="C7" s="1" t="s">
        <v>9</v>
      </c>
      <c r="D7" s="3" t="s">
        <v>278</v>
      </c>
    </row>
    <row r="8" spans="1:4" x14ac:dyDescent="0.25">
      <c r="A8" s="1">
        <v>3</v>
      </c>
      <c r="B8" s="1">
        <v>1</v>
      </c>
      <c r="C8" s="1" t="s">
        <v>11</v>
      </c>
      <c r="D8" s="3" t="s">
        <v>279</v>
      </c>
    </row>
    <row r="9" spans="1:4" x14ac:dyDescent="0.25">
      <c r="A9" s="1">
        <v>4</v>
      </c>
      <c r="B9" s="1">
        <v>7</v>
      </c>
      <c r="C9" s="1" t="s">
        <v>13</v>
      </c>
      <c r="D9" s="3" t="s">
        <v>14</v>
      </c>
    </row>
    <row r="10" spans="1:4" x14ac:dyDescent="0.25">
      <c r="A10" s="1">
        <v>5</v>
      </c>
      <c r="B10" s="1">
        <v>2</v>
      </c>
      <c r="C10" s="1" t="s">
        <v>15</v>
      </c>
      <c r="D10" s="3" t="s">
        <v>16</v>
      </c>
    </row>
    <row r="11" spans="1:4" x14ac:dyDescent="0.25">
      <c r="A11" s="1">
        <v>6</v>
      </c>
      <c r="B11" s="1">
        <v>2</v>
      </c>
      <c r="C11" s="1" t="s">
        <v>17</v>
      </c>
      <c r="D11" s="3" t="s">
        <v>18</v>
      </c>
    </row>
    <row r="12" spans="1:4" x14ac:dyDescent="0.25">
      <c r="A12" s="1">
        <v>7</v>
      </c>
      <c r="B12" s="1">
        <v>1</v>
      </c>
      <c r="C12" s="1" t="s">
        <v>19</v>
      </c>
      <c r="D12" s="3" t="s">
        <v>20</v>
      </c>
    </row>
    <row r="13" spans="1:4" x14ac:dyDescent="0.25">
      <c r="A13" s="1">
        <v>8</v>
      </c>
      <c r="B13" s="1">
        <v>1</v>
      </c>
      <c r="C13" s="1" t="s">
        <v>21</v>
      </c>
      <c r="D13" s="3" t="s">
        <v>22</v>
      </c>
    </row>
    <row r="14" spans="1:4" x14ac:dyDescent="0.25">
      <c r="A14" s="1">
        <v>9</v>
      </c>
      <c r="B14" s="1">
        <v>1</v>
      </c>
      <c r="C14" s="1" t="s">
        <v>23</v>
      </c>
      <c r="D14" s="3" t="s">
        <v>24</v>
      </c>
    </row>
    <row r="15" spans="1:4" x14ac:dyDescent="0.25">
      <c r="A15" s="1">
        <v>10</v>
      </c>
      <c r="B15" s="1">
        <v>2</v>
      </c>
      <c r="C15" s="1" t="s">
        <v>25</v>
      </c>
      <c r="D15" s="3" t="s">
        <v>26</v>
      </c>
    </row>
    <row r="16" spans="1:4" x14ac:dyDescent="0.25">
      <c r="A16" s="1">
        <v>11</v>
      </c>
      <c r="B16" s="1">
        <v>2</v>
      </c>
      <c r="C16" s="1" t="s">
        <v>27</v>
      </c>
      <c r="D16" s="3" t="s">
        <v>28</v>
      </c>
    </row>
    <row r="17" spans="1:5" x14ac:dyDescent="0.25">
      <c r="A17" s="1">
        <v>12</v>
      </c>
      <c r="B17" s="1">
        <v>1</v>
      </c>
      <c r="C17" s="1" t="s">
        <v>29</v>
      </c>
      <c r="D17" s="3" t="s">
        <v>30</v>
      </c>
    </row>
    <row r="18" spans="1:5" x14ac:dyDescent="0.25">
      <c r="A18" s="1">
        <v>13</v>
      </c>
      <c r="B18" s="1">
        <v>1</v>
      </c>
      <c r="C18" s="1" t="s">
        <v>31</v>
      </c>
      <c r="D18" s="3" t="s">
        <v>32</v>
      </c>
    </row>
    <row r="19" spans="1:5" x14ac:dyDescent="0.25">
      <c r="A19" s="1">
        <v>14</v>
      </c>
      <c r="B19" s="1">
        <v>1</v>
      </c>
      <c r="C19" s="1" t="s">
        <v>33</v>
      </c>
      <c r="D19" s="3" t="s">
        <v>34</v>
      </c>
    </row>
    <row r="20" spans="1:5" x14ac:dyDescent="0.25">
      <c r="A20" s="1">
        <v>15</v>
      </c>
      <c r="B20" s="1">
        <v>2</v>
      </c>
      <c r="C20" s="1" t="s">
        <v>35</v>
      </c>
      <c r="D20" s="3" t="s">
        <v>36</v>
      </c>
    </row>
    <row r="21" spans="1:5" x14ac:dyDescent="0.25">
      <c r="A21" s="1">
        <v>16</v>
      </c>
      <c r="B21" s="1">
        <v>1</v>
      </c>
      <c r="C21" s="1" t="s">
        <v>37</v>
      </c>
      <c r="D21" s="3" t="s">
        <v>38</v>
      </c>
    </row>
    <row r="22" spans="1:5" x14ac:dyDescent="0.25">
      <c r="A22" s="1">
        <v>17</v>
      </c>
      <c r="B22" s="1">
        <v>2</v>
      </c>
      <c r="C22" s="1" t="s">
        <v>91</v>
      </c>
      <c r="D22" s="3" t="s">
        <v>92</v>
      </c>
    </row>
    <row r="23" spans="1:5" x14ac:dyDescent="0.25">
      <c r="A23" s="1">
        <v>18</v>
      </c>
      <c r="B23" s="1">
        <v>1</v>
      </c>
      <c r="C23" s="1" t="s">
        <v>93</v>
      </c>
      <c r="D23" s="3" t="s">
        <v>94</v>
      </c>
    </row>
    <row r="24" spans="1:5" x14ac:dyDescent="0.25">
      <c r="A24" s="1">
        <v>19</v>
      </c>
      <c r="B24" s="1">
        <v>2</v>
      </c>
      <c r="C24" s="1" t="s">
        <v>95</v>
      </c>
      <c r="D24" s="3" t="s">
        <v>96</v>
      </c>
    </row>
    <row r="25" spans="1:5" x14ac:dyDescent="0.25">
      <c r="A25" s="1">
        <v>20</v>
      </c>
      <c r="B25" s="1">
        <v>2</v>
      </c>
      <c r="C25" s="1" t="s">
        <v>97</v>
      </c>
      <c r="D25" s="3" t="s">
        <v>98</v>
      </c>
    </row>
    <row r="26" spans="1:5" x14ac:dyDescent="0.25">
      <c r="A26" s="1">
        <v>21</v>
      </c>
      <c r="B26" s="1">
        <v>1</v>
      </c>
      <c r="C26" s="1" t="s">
        <v>45</v>
      </c>
      <c r="D26" s="3" t="s">
        <v>280</v>
      </c>
      <c r="E26" t="s">
        <v>264</v>
      </c>
    </row>
    <row r="27" spans="1:5" x14ac:dyDescent="0.25">
      <c r="A27" s="1">
        <v>22</v>
      </c>
      <c r="B27" s="1">
        <v>1</v>
      </c>
      <c r="C27" s="1" t="s">
        <v>49</v>
      </c>
      <c r="D27" s="3" t="s">
        <v>50</v>
      </c>
    </row>
    <row r="28" spans="1:5" x14ac:dyDescent="0.25">
      <c r="A28" s="1">
        <v>23</v>
      </c>
      <c r="B28" s="1">
        <v>2</v>
      </c>
      <c r="C28" s="1" t="s">
        <v>51</v>
      </c>
      <c r="D28" s="3" t="s">
        <v>52</v>
      </c>
    </row>
    <row r="29" spans="1:5" x14ac:dyDescent="0.25">
      <c r="A29" s="1">
        <v>24</v>
      </c>
      <c r="B29" s="1">
        <v>2</v>
      </c>
      <c r="C29" s="1" t="s">
        <v>53</v>
      </c>
      <c r="D29" s="3" t="s">
        <v>54</v>
      </c>
    </row>
    <row r="30" spans="1:5" x14ac:dyDescent="0.25">
      <c r="A30" s="1">
        <v>25</v>
      </c>
      <c r="B30" s="1">
        <v>1</v>
      </c>
      <c r="C30" s="1" t="s">
        <v>55</v>
      </c>
      <c r="D30" s="3" t="s">
        <v>56</v>
      </c>
    </row>
    <row r="31" spans="1:5" x14ac:dyDescent="0.25">
      <c r="A31" s="1">
        <v>26</v>
      </c>
      <c r="B31" s="1">
        <v>2</v>
      </c>
      <c r="C31" s="1" t="s">
        <v>99</v>
      </c>
      <c r="D31" s="3" t="s">
        <v>100</v>
      </c>
    </row>
    <row r="32" spans="1:5" x14ac:dyDescent="0.25">
      <c r="A32" s="1">
        <v>27</v>
      </c>
      <c r="B32" s="1">
        <v>1</v>
      </c>
      <c r="C32" s="1" t="s">
        <v>57</v>
      </c>
      <c r="D32" s="3" t="s">
        <v>58</v>
      </c>
    </row>
    <row r="33" spans="1:4" ht="30" x14ac:dyDescent="0.25">
      <c r="A33" s="1">
        <v>28</v>
      </c>
      <c r="B33" s="1">
        <v>1</v>
      </c>
      <c r="C33" s="1" t="s">
        <v>59</v>
      </c>
      <c r="D33" s="3" t="s">
        <v>60</v>
      </c>
    </row>
    <row r="34" spans="1:4" ht="30" x14ac:dyDescent="0.25">
      <c r="A34" s="1">
        <v>29</v>
      </c>
      <c r="B34" s="1">
        <v>1</v>
      </c>
      <c r="C34" s="1" t="s">
        <v>61</v>
      </c>
      <c r="D34" s="3" t="s">
        <v>101</v>
      </c>
    </row>
    <row r="35" spans="1:4" x14ac:dyDescent="0.25">
      <c r="A35" s="1">
        <v>30</v>
      </c>
      <c r="B35" s="1">
        <v>1</v>
      </c>
      <c r="C35" s="1" t="s">
        <v>102</v>
      </c>
      <c r="D35" s="3" t="s">
        <v>64</v>
      </c>
    </row>
    <row r="36" spans="1:4" x14ac:dyDescent="0.25">
      <c r="A36" s="1">
        <v>31</v>
      </c>
      <c r="B36" s="1">
        <v>1</v>
      </c>
      <c r="C36" s="1" t="s">
        <v>65</v>
      </c>
      <c r="D36" s="3" t="s">
        <v>66</v>
      </c>
    </row>
    <row r="37" spans="1:4" x14ac:dyDescent="0.25">
      <c r="A37" s="1">
        <v>32</v>
      </c>
      <c r="B37" s="1">
        <v>1</v>
      </c>
      <c r="C37" s="1" t="s">
        <v>67</v>
      </c>
      <c r="D37" s="3">
        <v>220</v>
      </c>
    </row>
    <row r="38" spans="1:4" x14ac:dyDescent="0.25">
      <c r="A38" s="1">
        <v>33</v>
      </c>
      <c r="B38" s="1">
        <v>1</v>
      </c>
      <c r="C38" s="1" t="s">
        <v>68</v>
      </c>
      <c r="D38" s="3">
        <v>180</v>
      </c>
    </row>
    <row r="39" spans="1:4" x14ac:dyDescent="0.25">
      <c r="A39" s="1">
        <v>34</v>
      </c>
      <c r="B39" s="1">
        <v>1</v>
      </c>
      <c r="C39" s="1" t="s">
        <v>71</v>
      </c>
      <c r="D39" s="3" t="s">
        <v>72</v>
      </c>
    </row>
    <row r="40" spans="1:4" x14ac:dyDescent="0.25">
      <c r="A40" s="1">
        <v>35</v>
      </c>
      <c r="B40" s="1">
        <v>1</v>
      </c>
      <c r="C40" s="1" t="s">
        <v>103</v>
      </c>
      <c r="D40" s="3" t="s">
        <v>74</v>
      </c>
    </row>
    <row r="41" spans="1:4" x14ac:dyDescent="0.25">
      <c r="A41" s="1">
        <v>36</v>
      </c>
      <c r="B41" s="1">
        <v>1</v>
      </c>
      <c r="C41" s="1" t="s">
        <v>104</v>
      </c>
      <c r="D41" s="3" t="s">
        <v>105</v>
      </c>
    </row>
    <row r="42" spans="1:4" x14ac:dyDescent="0.25">
      <c r="A42" s="1">
        <v>37</v>
      </c>
      <c r="B42" s="1">
        <v>2</v>
      </c>
      <c r="C42" s="1" t="s">
        <v>106</v>
      </c>
      <c r="D42" s="3" t="s">
        <v>107</v>
      </c>
    </row>
    <row r="43" spans="1:4" x14ac:dyDescent="0.25">
      <c r="A43" s="1">
        <v>38</v>
      </c>
      <c r="B43" s="1">
        <v>1</v>
      </c>
      <c r="C43" s="1" t="s">
        <v>79</v>
      </c>
      <c r="D43" s="3" t="s">
        <v>80</v>
      </c>
    </row>
    <row r="44" spans="1:4" x14ac:dyDescent="0.25">
      <c r="A44" s="1">
        <v>39</v>
      </c>
      <c r="B44" s="1">
        <v>1</v>
      </c>
      <c r="C44" s="1" t="s">
        <v>81</v>
      </c>
      <c r="D44" s="3" t="s">
        <v>282</v>
      </c>
    </row>
    <row r="45" spans="1:4" x14ac:dyDescent="0.25">
      <c r="A45" s="1">
        <v>40</v>
      </c>
      <c r="B45" s="1">
        <v>1</v>
      </c>
      <c r="C45" s="1" t="s">
        <v>108</v>
      </c>
      <c r="D45" s="3" t="s">
        <v>284</v>
      </c>
    </row>
    <row r="46" spans="1:4" ht="30" x14ac:dyDescent="0.25">
      <c r="A46" s="1">
        <v>41</v>
      </c>
      <c r="B46" s="1">
        <v>1</v>
      </c>
      <c r="C46" s="1" t="s">
        <v>110</v>
      </c>
      <c r="D46" s="3" t="s">
        <v>285</v>
      </c>
    </row>
    <row r="47" spans="1:4" x14ac:dyDescent="0.25">
      <c r="A47" s="1">
        <v>42</v>
      </c>
      <c r="B47" s="1">
        <v>1</v>
      </c>
      <c r="C47" s="1" t="s">
        <v>85</v>
      </c>
      <c r="D47" s="3" t="s">
        <v>86</v>
      </c>
    </row>
    <row r="48" spans="1:4" x14ac:dyDescent="0.25">
      <c r="A48" s="1">
        <v>43</v>
      </c>
      <c r="B48" s="1">
        <v>1</v>
      </c>
      <c r="C48" s="1" t="s">
        <v>87</v>
      </c>
      <c r="D48" s="3" t="s">
        <v>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5630D-0B37-4283-AA6A-2B7383C23397}">
  <dimension ref="C17:S79"/>
  <sheetViews>
    <sheetView tabSelected="1" topLeftCell="A13" zoomScale="85" zoomScaleNormal="85" workbookViewId="0">
      <selection activeCell="I30" sqref="I30"/>
    </sheetView>
  </sheetViews>
  <sheetFormatPr defaultRowHeight="15" x14ac:dyDescent="0.25"/>
  <cols>
    <col min="4" max="4" width="24" customWidth="1"/>
    <col min="6" max="6" width="21.140625" customWidth="1"/>
    <col min="7" max="7" width="19.85546875" customWidth="1"/>
  </cols>
  <sheetData>
    <row r="17" spans="4:7" x14ac:dyDescent="0.25">
      <c r="D17" t="s">
        <v>112</v>
      </c>
    </row>
    <row r="19" spans="4:7" x14ac:dyDescent="0.25">
      <c r="D19" t="s">
        <v>114</v>
      </c>
      <c r="E19" t="s">
        <v>113</v>
      </c>
    </row>
    <row r="20" spans="4:7" x14ac:dyDescent="0.25">
      <c r="F20" t="s">
        <v>125</v>
      </c>
    </row>
    <row r="21" spans="4:7" x14ac:dyDescent="0.25">
      <c r="F21" s="3" t="s">
        <v>126</v>
      </c>
      <c r="G21" s="3" t="s">
        <v>127</v>
      </c>
    </row>
    <row r="22" spans="4:7" x14ac:dyDescent="0.25">
      <c r="F22" s="3" t="s">
        <v>115</v>
      </c>
      <c r="G22" s="3" t="s">
        <v>116</v>
      </c>
    </row>
    <row r="23" spans="4:7" ht="30" x14ac:dyDescent="0.25">
      <c r="F23" s="3" t="s">
        <v>117</v>
      </c>
      <c r="G23" s="3" t="s">
        <v>118</v>
      </c>
    </row>
    <row r="24" spans="4:7" ht="30" x14ac:dyDescent="0.25">
      <c r="F24" s="3" t="s">
        <v>119</v>
      </c>
      <c r="G24" s="3" t="s">
        <v>120</v>
      </c>
    </row>
    <row r="25" spans="4:7" x14ac:dyDescent="0.25">
      <c r="F25" s="3" t="s">
        <v>121</v>
      </c>
      <c r="G25" s="3" t="s">
        <v>122</v>
      </c>
    </row>
    <row r="26" spans="4:7" ht="30" x14ac:dyDescent="0.25">
      <c r="F26" s="3" t="s">
        <v>123</v>
      </c>
      <c r="G26" s="3" t="s">
        <v>124</v>
      </c>
    </row>
    <row r="28" spans="4:7" ht="30" x14ac:dyDescent="0.25">
      <c r="E28" t="s">
        <v>128</v>
      </c>
      <c r="F28">
        <f>10^(-35/20)*1000</f>
        <v>17.782794100389225</v>
      </c>
      <c r="G28" s="2" t="s">
        <v>129</v>
      </c>
    </row>
    <row r="30" spans="4:7" x14ac:dyDescent="0.25">
      <c r="E30" s="4" t="s">
        <v>130</v>
      </c>
    </row>
    <row r="31" spans="4:7" x14ac:dyDescent="0.25">
      <c r="E31" s="4"/>
      <c r="F31">
        <f>F28/2.2</f>
        <v>8.0830882274496467</v>
      </c>
      <c r="G31" t="s">
        <v>131</v>
      </c>
    </row>
    <row r="32" spans="4:7" x14ac:dyDescent="0.25">
      <c r="D32" t="s">
        <v>135</v>
      </c>
      <c r="E32" s="4" t="s">
        <v>132</v>
      </c>
    </row>
    <row r="33" spans="5:19" x14ac:dyDescent="0.25">
      <c r="E33" s="4"/>
      <c r="F33">
        <f>F31*2</f>
        <v>16.166176454899293</v>
      </c>
      <c r="G33" t="s">
        <v>133</v>
      </c>
    </row>
    <row r="34" spans="5:19" x14ac:dyDescent="0.25">
      <c r="E34" t="s">
        <v>139</v>
      </c>
      <c r="F34">
        <v>1.228</v>
      </c>
      <c r="G34" t="s">
        <v>137</v>
      </c>
    </row>
    <row r="35" spans="5:19" x14ac:dyDescent="0.25">
      <c r="E35" t="s">
        <v>134</v>
      </c>
    </row>
    <row r="36" spans="5:19" x14ac:dyDescent="0.25">
      <c r="E36" s="5" t="s">
        <v>138</v>
      </c>
      <c r="F36" s="5">
        <f>INT(F34*1000/F33)</f>
        <v>75</v>
      </c>
      <c r="G36" s="5" t="s">
        <v>140</v>
      </c>
    </row>
    <row r="39" spans="5:19" ht="64.5" customHeight="1" x14ac:dyDescent="0.25">
      <c r="E39" s="6" t="s">
        <v>43</v>
      </c>
      <c r="F39" s="14" t="s">
        <v>145</v>
      </c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</row>
    <row r="41" spans="5:19" x14ac:dyDescent="0.25">
      <c r="E41" s="4" t="s">
        <v>146</v>
      </c>
    </row>
    <row r="49" spans="4:9" x14ac:dyDescent="0.25">
      <c r="E49" t="s">
        <v>141</v>
      </c>
      <c r="F49">
        <f>500/SQRT((1/0.989)^2 -1)</f>
        <v>3343.1245885723779</v>
      </c>
      <c r="G49" t="s">
        <v>142</v>
      </c>
    </row>
    <row r="50" spans="4:9" x14ac:dyDescent="0.25">
      <c r="E50" t="s">
        <v>143</v>
      </c>
      <c r="F50" t="s">
        <v>144</v>
      </c>
    </row>
    <row r="51" spans="4:9" x14ac:dyDescent="0.25">
      <c r="E51" s="5" t="s">
        <v>143</v>
      </c>
      <c r="F51" s="5">
        <f>1/(2*PI()*F49*F36)</f>
        <v>6.347552571464674E-7</v>
      </c>
      <c r="G51" s="5" t="s">
        <v>147</v>
      </c>
      <c r="H51" s="5">
        <v>682</v>
      </c>
      <c r="I51" s="5" t="s">
        <v>148</v>
      </c>
    </row>
    <row r="54" spans="4:9" x14ac:dyDescent="0.25">
      <c r="D54" s="7" t="s">
        <v>149</v>
      </c>
    </row>
    <row r="56" spans="4:9" x14ac:dyDescent="0.25">
      <c r="D56" t="s">
        <v>69</v>
      </c>
      <c r="E56" t="s">
        <v>150</v>
      </c>
    </row>
    <row r="58" spans="4:9" x14ac:dyDescent="0.25">
      <c r="D58" s="5" t="s">
        <v>69</v>
      </c>
      <c r="E58" s="5">
        <f>(5-2)/0.5</f>
        <v>6</v>
      </c>
      <c r="F58" s="5" t="s">
        <v>140</v>
      </c>
    </row>
    <row r="60" spans="4:9" x14ac:dyDescent="0.25">
      <c r="D60" t="s">
        <v>152</v>
      </c>
      <c r="E60" t="s">
        <v>153</v>
      </c>
      <c r="F60">
        <v>50</v>
      </c>
      <c r="G60" t="s">
        <v>142</v>
      </c>
    </row>
    <row r="61" spans="4:9" x14ac:dyDescent="0.25">
      <c r="D61" s="5" t="s">
        <v>39</v>
      </c>
      <c r="E61" s="5" t="s">
        <v>151</v>
      </c>
      <c r="F61" s="5">
        <f>(1/(2*PI()*E58*F60))</f>
        <v>5.3051647697298452E-4</v>
      </c>
      <c r="G61" s="5">
        <f>F61*1000000</f>
        <v>530.51647697298449</v>
      </c>
      <c r="H61" s="5">
        <v>680</v>
      </c>
      <c r="I61" s="5" t="s">
        <v>147</v>
      </c>
    </row>
    <row r="63" spans="4:9" x14ac:dyDescent="0.25">
      <c r="D63" t="s">
        <v>157</v>
      </c>
      <c r="E63">
        <v>5</v>
      </c>
      <c r="F63" t="s">
        <v>136</v>
      </c>
    </row>
    <row r="64" spans="4:9" x14ac:dyDescent="0.25">
      <c r="D64" t="s">
        <v>155</v>
      </c>
      <c r="E64">
        <v>100</v>
      </c>
      <c r="F64" t="s">
        <v>156</v>
      </c>
    </row>
    <row r="65" spans="3:8" x14ac:dyDescent="0.25">
      <c r="D65" t="s">
        <v>75</v>
      </c>
      <c r="E65">
        <v>68</v>
      </c>
      <c r="F65" t="s">
        <v>156</v>
      </c>
    </row>
    <row r="68" spans="3:8" x14ac:dyDescent="0.25">
      <c r="D68" t="s">
        <v>154</v>
      </c>
      <c r="E68">
        <f>(E63*E65/(E65+E64))</f>
        <v>2.0238095238095237</v>
      </c>
      <c r="F68" t="s">
        <v>136</v>
      </c>
    </row>
    <row r="70" spans="3:8" x14ac:dyDescent="0.25">
      <c r="D70" t="s">
        <v>158</v>
      </c>
      <c r="E70">
        <f>(E63/(E64+E65))</f>
        <v>2.976190476190476E-2</v>
      </c>
      <c r="F70">
        <f>E70*1000</f>
        <v>29.761904761904759</v>
      </c>
      <c r="G70" t="s">
        <v>159</v>
      </c>
    </row>
    <row r="72" spans="3:8" x14ac:dyDescent="0.25">
      <c r="D72" t="s">
        <v>41</v>
      </c>
      <c r="E72" t="s">
        <v>160</v>
      </c>
      <c r="G72">
        <v>2.2000000000000002</v>
      </c>
      <c r="H72" t="s">
        <v>161</v>
      </c>
    </row>
    <row r="74" spans="3:8" x14ac:dyDescent="0.25">
      <c r="D74" t="s">
        <v>162</v>
      </c>
      <c r="E74">
        <f>(E64+E65)*1000/(2*PI()*(E64*E65)*G72)</f>
        <v>1.787301499962461</v>
      </c>
      <c r="F74" t="s">
        <v>142</v>
      </c>
    </row>
    <row r="76" spans="3:8" x14ac:dyDescent="0.25">
      <c r="D76" t="s">
        <v>188</v>
      </c>
      <c r="E76">
        <f>1+(F36/E58)</f>
        <v>13.5</v>
      </c>
    </row>
    <row r="79" spans="3:8" x14ac:dyDescent="0.25">
      <c r="C79" t="s">
        <v>163</v>
      </c>
    </row>
  </sheetData>
  <mergeCells count="1">
    <mergeCell ref="F39:S3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4E7E4-8BF2-4AF8-9376-6373260B4E6C}">
  <dimension ref="C1:Q65"/>
  <sheetViews>
    <sheetView workbookViewId="0">
      <selection activeCell="J15" sqref="J15"/>
    </sheetView>
  </sheetViews>
  <sheetFormatPr defaultRowHeight="15" x14ac:dyDescent="0.25"/>
  <cols>
    <col min="5" max="5" width="12" bestFit="1" customWidth="1"/>
  </cols>
  <sheetData>
    <row r="1" spans="4:17" x14ac:dyDescent="0.25">
      <c r="Q1" t="s">
        <v>165</v>
      </c>
    </row>
    <row r="14" spans="4:17" x14ac:dyDescent="0.25">
      <c r="D14" t="s">
        <v>167</v>
      </c>
      <c r="E14">
        <v>1</v>
      </c>
    </row>
    <row r="15" spans="4:17" x14ac:dyDescent="0.25">
      <c r="D15" s="5" t="s">
        <v>168</v>
      </c>
      <c r="E15" s="5">
        <f>2*150</f>
        <v>300</v>
      </c>
      <c r="F15" s="5" t="s">
        <v>156</v>
      </c>
    </row>
    <row r="16" spans="4:17" x14ac:dyDescent="0.25">
      <c r="D16" s="5" t="s">
        <v>169</v>
      </c>
      <c r="E16" s="5">
        <f>E15</f>
        <v>300</v>
      </c>
      <c r="F16" s="5" t="s">
        <v>156</v>
      </c>
      <c r="N16" t="s">
        <v>166</v>
      </c>
    </row>
    <row r="17" spans="3:14" x14ac:dyDescent="0.25">
      <c r="D17" t="s">
        <v>171</v>
      </c>
      <c r="E17">
        <v>150</v>
      </c>
      <c r="F17" t="s">
        <v>142</v>
      </c>
      <c r="G17" t="s">
        <v>172</v>
      </c>
    </row>
    <row r="18" spans="3:14" x14ac:dyDescent="0.25">
      <c r="D18" s="5" t="s">
        <v>170</v>
      </c>
      <c r="E18">
        <f>1/(2*PI()*E15*E17*1000)</f>
        <v>3.5367765131532301E-9</v>
      </c>
      <c r="F18" t="s">
        <v>173</v>
      </c>
    </row>
    <row r="19" spans="3:14" x14ac:dyDescent="0.25">
      <c r="E19" s="5">
        <f>E18*1000000000</f>
        <v>3.5367765131532303</v>
      </c>
      <c r="F19" s="5" t="s">
        <v>147</v>
      </c>
      <c r="N19" t="s">
        <v>164</v>
      </c>
    </row>
    <row r="20" spans="3:14" x14ac:dyDescent="0.25">
      <c r="D20" s="5" t="s">
        <v>174</v>
      </c>
      <c r="E20" s="5">
        <f>E19</f>
        <v>3.5367765131532303</v>
      </c>
      <c r="F20" s="5" t="str">
        <f>F19</f>
        <v>nF</v>
      </c>
    </row>
    <row r="25" spans="3:14" x14ac:dyDescent="0.25">
      <c r="D25" t="s">
        <v>179</v>
      </c>
      <c r="E25">
        <v>4</v>
      </c>
      <c r="F25" t="s">
        <v>180</v>
      </c>
      <c r="G25" t="s">
        <v>172</v>
      </c>
    </row>
    <row r="26" spans="3:14" x14ac:dyDescent="0.25">
      <c r="D26" t="s">
        <v>181</v>
      </c>
      <c r="E26">
        <v>4000</v>
      </c>
      <c r="F26" t="s">
        <v>182</v>
      </c>
    </row>
    <row r="27" spans="3:14" x14ac:dyDescent="0.25">
      <c r="C27" s="5" t="s">
        <v>187</v>
      </c>
      <c r="D27" s="5" t="s">
        <v>184</v>
      </c>
      <c r="E27" s="5">
        <f>(E25*SQRT(2)/(2*PI()*E26))*1000000</f>
        <v>225.07907903927656</v>
      </c>
      <c r="F27" s="5" t="s">
        <v>183</v>
      </c>
    </row>
    <row r="28" spans="3:14" x14ac:dyDescent="0.25">
      <c r="C28" s="5" t="s">
        <v>186</v>
      </c>
      <c r="D28" s="5" t="s">
        <v>185</v>
      </c>
      <c r="E28" s="5">
        <f>(1/(2*PI()*E26*E25*SQRT(2)))*1000000</f>
        <v>7.0337212199773909</v>
      </c>
      <c r="F28" s="5" t="s">
        <v>161</v>
      </c>
    </row>
    <row r="36" spans="14:14" x14ac:dyDescent="0.25">
      <c r="N36" t="s">
        <v>175</v>
      </c>
    </row>
    <row r="54" spans="14:14" x14ac:dyDescent="0.25">
      <c r="N54" t="s">
        <v>177</v>
      </c>
    </row>
    <row r="55" spans="14:14" x14ac:dyDescent="0.25">
      <c r="N55" t="s">
        <v>176</v>
      </c>
    </row>
    <row r="65" spans="14:14" x14ac:dyDescent="0.25">
      <c r="N65" t="s">
        <v>178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D522-0570-4D6A-AB9A-79CA232BF92A}">
  <dimension ref="B4:J29"/>
  <sheetViews>
    <sheetView topLeftCell="A13" workbookViewId="0">
      <selection activeCell="G27" sqref="G27"/>
    </sheetView>
  </sheetViews>
  <sheetFormatPr defaultRowHeight="15" x14ac:dyDescent="0.25"/>
  <cols>
    <col min="3" max="3" width="11.5703125" customWidth="1"/>
    <col min="7" max="7" width="13.7109375" customWidth="1"/>
  </cols>
  <sheetData>
    <row r="4" spans="2:10" x14ac:dyDescent="0.25">
      <c r="B4" s="1" t="s">
        <v>190</v>
      </c>
      <c r="C4" s="1"/>
      <c r="D4" s="1">
        <v>8000</v>
      </c>
      <c r="E4" s="1" t="s">
        <v>191</v>
      </c>
      <c r="H4" t="s">
        <v>223</v>
      </c>
    </row>
    <row r="5" spans="2:10" x14ac:dyDescent="0.25">
      <c r="B5" s="1" t="s">
        <v>192</v>
      </c>
      <c r="C5" s="1"/>
      <c r="D5" s="1">
        <v>100</v>
      </c>
      <c r="E5" s="1"/>
    </row>
    <row r="6" spans="2:10" x14ac:dyDescent="0.25">
      <c r="B6" s="1" t="s">
        <v>193</v>
      </c>
      <c r="C6" s="1"/>
      <c r="D6" s="1">
        <v>12</v>
      </c>
      <c r="E6" s="1" t="s">
        <v>194</v>
      </c>
      <c r="H6" s="1" t="s">
        <v>230</v>
      </c>
      <c r="I6" s="1">
        <v>50</v>
      </c>
      <c r="J6" s="1" t="s">
        <v>201</v>
      </c>
    </row>
    <row r="7" spans="2:10" x14ac:dyDescent="0.25">
      <c r="B7" s="1" t="s">
        <v>195</v>
      </c>
      <c r="C7" s="1"/>
      <c r="D7" s="9" t="s">
        <v>196</v>
      </c>
      <c r="E7" s="1"/>
      <c r="H7" s="1" t="s">
        <v>224</v>
      </c>
      <c r="I7" s="1" t="s">
        <v>225</v>
      </c>
      <c r="J7" s="1"/>
    </row>
    <row r="8" spans="2:10" x14ac:dyDescent="0.25">
      <c r="B8" s="1" t="s">
        <v>197</v>
      </c>
      <c r="C8" s="1"/>
      <c r="D8" s="1">
        <f>D5/D4</f>
        <v>1.2500000000000001E-2</v>
      </c>
      <c r="E8" s="1" t="s">
        <v>198</v>
      </c>
      <c r="H8" s="1" t="s">
        <v>226</v>
      </c>
      <c r="I8" s="1">
        <v>25</v>
      </c>
      <c r="J8" s="1" t="s">
        <v>227</v>
      </c>
    </row>
    <row r="9" spans="2:10" x14ac:dyDescent="0.25">
      <c r="B9" s="1" t="s">
        <v>199</v>
      </c>
      <c r="C9" s="1"/>
      <c r="D9" s="1">
        <f>D8</f>
        <v>1.2500000000000001E-2</v>
      </c>
      <c r="E9" s="1" t="str">
        <f>E8</f>
        <v>sec</v>
      </c>
      <c r="H9" s="1" t="s">
        <v>228</v>
      </c>
      <c r="I9" s="1">
        <v>868</v>
      </c>
      <c r="J9" s="1" t="s">
        <v>229</v>
      </c>
    </row>
    <row r="10" spans="2:10" x14ac:dyDescent="0.25">
      <c r="B10" s="1"/>
      <c r="C10" s="1"/>
      <c r="D10" s="1"/>
      <c r="E10" s="1"/>
      <c r="H10" s="1" t="s">
        <v>231</v>
      </c>
      <c r="I10" s="1">
        <v>98</v>
      </c>
      <c r="J10" s="1" t="s">
        <v>227</v>
      </c>
    </row>
    <row r="11" spans="2:10" x14ac:dyDescent="0.25">
      <c r="B11" s="1" t="s">
        <v>200</v>
      </c>
      <c r="C11" s="1"/>
      <c r="D11" s="1">
        <v>50</v>
      </c>
      <c r="E11" s="1" t="s">
        <v>201</v>
      </c>
      <c r="H11" s="1" t="s">
        <v>232</v>
      </c>
      <c r="I11" s="1">
        <v>14</v>
      </c>
      <c r="J11" s="1" t="s">
        <v>233</v>
      </c>
    </row>
    <row r="12" spans="2:10" x14ac:dyDescent="0.25">
      <c r="B12" s="1" t="s">
        <v>202</v>
      </c>
      <c r="C12" s="1"/>
      <c r="D12" s="1">
        <v>10</v>
      </c>
      <c r="E12" s="1" t="s">
        <v>203</v>
      </c>
    </row>
    <row r="13" spans="2:10" x14ac:dyDescent="0.25">
      <c r="B13" s="1" t="s">
        <v>204</v>
      </c>
      <c r="C13" s="1"/>
      <c r="D13" s="1">
        <v>52</v>
      </c>
      <c r="E13" s="1" t="s">
        <v>203</v>
      </c>
    </row>
    <row r="14" spans="2:10" x14ac:dyDescent="0.25">
      <c r="B14" s="1" t="s">
        <v>205</v>
      </c>
      <c r="C14" s="1"/>
      <c r="D14" s="1">
        <v>2</v>
      </c>
      <c r="E14" s="1" t="s">
        <v>203</v>
      </c>
    </row>
    <row r="15" spans="2:10" x14ac:dyDescent="0.25">
      <c r="B15" s="1" t="s">
        <v>206</v>
      </c>
      <c r="C15" s="1"/>
      <c r="D15" s="1">
        <v>2</v>
      </c>
      <c r="E15" s="1" t="s">
        <v>203</v>
      </c>
    </row>
    <row r="16" spans="2:10" x14ac:dyDescent="0.25">
      <c r="B16" s="1" t="s">
        <v>213</v>
      </c>
      <c r="C16" s="1"/>
      <c r="D16" s="1">
        <v>2</v>
      </c>
      <c r="E16" s="1" t="s">
        <v>203</v>
      </c>
    </row>
    <row r="18" spans="2:10" x14ac:dyDescent="0.25">
      <c r="B18" t="s">
        <v>207</v>
      </c>
    </row>
    <row r="19" spans="2:10" x14ac:dyDescent="0.25">
      <c r="E19" s="15" t="s">
        <v>206</v>
      </c>
      <c r="F19" s="15"/>
      <c r="H19" s="15" t="s">
        <v>221</v>
      </c>
      <c r="I19" s="15"/>
    </row>
    <row r="20" spans="2:10" ht="45" x14ac:dyDescent="0.25">
      <c r="C20" s="3" t="s">
        <v>208</v>
      </c>
      <c r="D20" s="3" t="s">
        <v>209</v>
      </c>
      <c r="E20" s="3" t="s">
        <v>210</v>
      </c>
      <c r="F20" s="3" t="s">
        <v>211</v>
      </c>
      <c r="G20" s="3" t="s">
        <v>212</v>
      </c>
      <c r="H20" s="8" t="s">
        <v>218</v>
      </c>
      <c r="I20" s="8" t="s">
        <v>219</v>
      </c>
      <c r="J20" s="3" t="s">
        <v>213</v>
      </c>
    </row>
    <row r="21" spans="2:10" x14ac:dyDescent="0.25">
      <c r="C21" s="3" t="s">
        <v>214</v>
      </c>
      <c r="D21" s="3" t="s">
        <v>214</v>
      </c>
      <c r="E21" s="3" t="s">
        <v>215</v>
      </c>
      <c r="F21" s="3" t="s">
        <v>215</v>
      </c>
      <c r="G21" s="3" t="s">
        <v>216</v>
      </c>
      <c r="H21" s="8" t="s">
        <v>217</v>
      </c>
      <c r="I21" s="8" t="s">
        <v>220</v>
      </c>
      <c r="J21" s="3" t="s">
        <v>216</v>
      </c>
    </row>
    <row r="24" spans="2:10" x14ac:dyDescent="0.25">
      <c r="B24" s="10" t="s">
        <v>222</v>
      </c>
      <c r="C24" s="10"/>
      <c r="D24" s="10">
        <f>SUM(D12:D16)</f>
        <v>68</v>
      </c>
    </row>
    <row r="26" spans="2:10" x14ac:dyDescent="0.25">
      <c r="B26" s="10" t="s">
        <v>234</v>
      </c>
      <c r="C26" s="10"/>
      <c r="D26" s="10">
        <f>(D24*8)/I6</f>
        <v>10.88</v>
      </c>
      <c r="E26" s="10" t="s">
        <v>235</v>
      </c>
    </row>
    <row r="27" spans="2:10" x14ac:dyDescent="0.25">
      <c r="B27" s="10" t="s">
        <v>236</v>
      </c>
      <c r="C27" s="10"/>
      <c r="D27" s="10">
        <f>D9*1000</f>
        <v>12.5</v>
      </c>
      <c r="E27" s="10" t="s">
        <v>235</v>
      </c>
    </row>
    <row r="29" spans="2:10" x14ac:dyDescent="0.25">
      <c r="B29" s="10" t="s">
        <v>237</v>
      </c>
      <c r="C29" s="10"/>
      <c r="D29" s="10">
        <f>D27-D26</f>
        <v>1.6199999999999992</v>
      </c>
      <c r="E29" s="10" t="s">
        <v>235</v>
      </c>
    </row>
  </sheetData>
  <mergeCells count="2">
    <mergeCell ref="H19:I19"/>
    <mergeCell ref="E19:F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ACA77-0539-40FC-9C86-C3BA69FAA4AF}">
  <dimension ref="C1:D14"/>
  <sheetViews>
    <sheetView workbookViewId="0">
      <selection activeCell="D13" sqref="D13"/>
    </sheetView>
  </sheetViews>
  <sheetFormatPr defaultRowHeight="15" x14ac:dyDescent="0.25"/>
  <cols>
    <col min="3" max="3" width="20" customWidth="1"/>
    <col min="4" max="4" width="25.28515625" customWidth="1"/>
  </cols>
  <sheetData>
    <row r="1" spans="3:4" x14ac:dyDescent="0.25">
      <c r="C1" s="7" t="s">
        <v>261</v>
      </c>
    </row>
    <row r="2" spans="3:4" ht="15.75" thickBot="1" x14ac:dyDescent="0.3"/>
    <row r="3" spans="3:4" ht="69.75" customHeight="1" thickBot="1" x14ac:dyDescent="0.3">
      <c r="C3" s="16" t="s">
        <v>238</v>
      </c>
      <c r="D3" s="17"/>
    </row>
    <row r="4" spans="3:4" ht="63.75" thickBot="1" x14ac:dyDescent="0.4">
      <c r="C4" s="11" t="s">
        <v>239</v>
      </c>
      <c r="D4" s="12" t="s">
        <v>240</v>
      </c>
    </row>
    <row r="5" spans="3:4" ht="21.75" thickBot="1" x14ac:dyDescent="0.4">
      <c r="C5" s="11" t="s">
        <v>241</v>
      </c>
      <c r="D5" s="12" t="s">
        <v>242</v>
      </c>
    </row>
    <row r="6" spans="3:4" ht="21.75" thickBot="1" x14ac:dyDescent="0.4">
      <c r="C6" s="11" t="s">
        <v>243</v>
      </c>
      <c r="D6" s="12" t="s">
        <v>244</v>
      </c>
    </row>
    <row r="7" spans="3:4" ht="21.75" thickBot="1" x14ac:dyDescent="0.4">
      <c r="C7" s="11" t="s">
        <v>245</v>
      </c>
      <c r="D7" s="12" t="s">
        <v>246</v>
      </c>
    </row>
    <row r="8" spans="3:4" ht="21.75" thickBot="1" x14ac:dyDescent="0.4">
      <c r="C8" s="11" t="s">
        <v>247</v>
      </c>
      <c r="D8" s="12" t="s">
        <v>248</v>
      </c>
    </row>
    <row r="9" spans="3:4" ht="21.75" thickBot="1" x14ac:dyDescent="0.4">
      <c r="C9" s="11" t="s">
        <v>249</v>
      </c>
      <c r="D9" s="12" t="s">
        <v>250</v>
      </c>
    </row>
    <row r="10" spans="3:4" ht="21.75" thickBot="1" x14ac:dyDescent="0.4">
      <c r="C10" s="11" t="s">
        <v>251</v>
      </c>
      <c r="D10" s="12" t="s">
        <v>252</v>
      </c>
    </row>
    <row r="11" spans="3:4" ht="21.75" thickBot="1" x14ac:dyDescent="0.4">
      <c r="C11" s="11" t="s">
        <v>253</v>
      </c>
      <c r="D11" s="12" t="s">
        <v>254</v>
      </c>
    </row>
    <row r="12" spans="3:4" ht="21.75" thickBot="1" x14ac:dyDescent="0.4">
      <c r="C12" s="11" t="s">
        <v>255</v>
      </c>
      <c r="D12" s="12" t="s">
        <v>256</v>
      </c>
    </row>
    <row r="13" spans="3:4" ht="84.75" thickBot="1" x14ac:dyDescent="0.4">
      <c r="C13" s="11" t="s">
        <v>257</v>
      </c>
      <c r="D13" s="12" t="s">
        <v>258</v>
      </c>
    </row>
    <row r="14" spans="3:4" ht="21.75" thickBot="1" x14ac:dyDescent="0.4">
      <c r="C14" s="11" t="s">
        <v>259</v>
      </c>
      <c r="D14" s="12" t="s">
        <v>260</v>
      </c>
    </row>
  </sheetData>
  <mergeCells count="1">
    <mergeCell ref="C3:D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87185-8AE3-4232-B7D0-F1147D9D1EF1}">
  <dimension ref="A1:J41"/>
  <sheetViews>
    <sheetView topLeftCell="A13" zoomScale="70" zoomScaleNormal="70" workbookViewId="0">
      <selection activeCell="D30" sqref="D30"/>
    </sheetView>
  </sheetViews>
  <sheetFormatPr defaultRowHeight="15" x14ac:dyDescent="0.25"/>
  <cols>
    <col min="4" max="4" width="20.7109375" customWidth="1"/>
  </cols>
  <sheetData>
    <row r="1" spans="1:7" x14ac:dyDescent="0.25">
      <c r="A1" t="s">
        <v>0</v>
      </c>
    </row>
    <row r="2" spans="1:7" x14ac:dyDescent="0.25">
      <c r="A2" t="s">
        <v>1</v>
      </c>
    </row>
    <row r="3" spans="1:7" x14ac:dyDescent="0.25">
      <c r="A3" t="s">
        <v>2</v>
      </c>
    </row>
    <row r="5" spans="1:7" x14ac:dyDescent="0.25">
      <c r="A5" s="1" t="s">
        <v>3</v>
      </c>
      <c r="B5" s="1" t="s">
        <v>4</v>
      </c>
      <c r="C5" s="1" t="s">
        <v>5</v>
      </c>
      <c r="D5" s="1" t="s">
        <v>6</v>
      </c>
      <c r="E5" s="1"/>
      <c r="F5" s="13" t="s">
        <v>274</v>
      </c>
      <c r="G5" s="13" t="s">
        <v>259</v>
      </c>
    </row>
    <row r="6" spans="1:7" x14ac:dyDescent="0.25">
      <c r="A6" s="1">
        <v>1</v>
      </c>
      <c r="B6" s="1">
        <v>1</v>
      </c>
      <c r="C6" s="1" t="s">
        <v>7</v>
      </c>
      <c r="D6" s="1" t="s">
        <v>8</v>
      </c>
      <c r="E6" s="1" t="s">
        <v>189</v>
      </c>
      <c r="F6" s="1" t="s">
        <v>276</v>
      </c>
      <c r="G6" s="1"/>
    </row>
    <row r="7" spans="1:7" x14ac:dyDescent="0.25">
      <c r="A7" s="1">
        <v>2</v>
      </c>
      <c r="B7" s="1">
        <v>1</v>
      </c>
      <c r="C7" s="1" t="s">
        <v>9</v>
      </c>
      <c r="D7" s="1" t="s">
        <v>10</v>
      </c>
      <c r="E7" s="1" t="s">
        <v>262</v>
      </c>
      <c r="F7" s="1">
        <v>0.11821</v>
      </c>
      <c r="G7" s="1">
        <f>F7*B7</f>
        <v>0.11821</v>
      </c>
    </row>
    <row r="8" spans="1:7" x14ac:dyDescent="0.25">
      <c r="A8" s="1">
        <v>3</v>
      </c>
      <c r="B8" s="1">
        <v>1</v>
      </c>
      <c r="C8" s="1" t="s">
        <v>11</v>
      </c>
      <c r="D8" s="1" t="s">
        <v>12</v>
      </c>
      <c r="E8" s="1" t="s">
        <v>263</v>
      </c>
      <c r="F8" s="1">
        <v>0.11821</v>
      </c>
      <c r="G8" s="1">
        <f t="shared" ref="G8:G18" si="0">F8*B8</f>
        <v>0.11821</v>
      </c>
    </row>
    <row r="9" spans="1:7" x14ac:dyDescent="0.25">
      <c r="A9" s="1">
        <v>4</v>
      </c>
      <c r="B9" s="1">
        <v>1</v>
      </c>
      <c r="C9" s="1" t="s">
        <v>45</v>
      </c>
      <c r="D9" s="1" t="s">
        <v>46</v>
      </c>
      <c r="E9" s="1" t="s">
        <v>264</v>
      </c>
      <c r="F9" s="1">
        <v>6.6189999999999999E-2</v>
      </c>
      <c r="G9" s="1">
        <f>F9*B9</f>
        <v>6.6189999999999999E-2</v>
      </c>
    </row>
    <row r="10" spans="1:7" x14ac:dyDescent="0.25">
      <c r="A10" s="1">
        <v>5</v>
      </c>
      <c r="B10" s="1">
        <v>1</v>
      </c>
      <c r="C10" s="1" t="s">
        <v>47</v>
      </c>
      <c r="D10" s="1" t="s">
        <v>48</v>
      </c>
      <c r="E10" s="1" t="s">
        <v>265</v>
      </c>
      <c r="F10" s="1">
        <v>0.29699999999999999</v>
      </c>
      <c r="G10" s="1">
        <f t="shared" si="0"/>
        <v>0.29699999999999999</v>
      </c>
    </row>
    <row r="11" spans="1:7" x14ac:dyDescent="0.25">
      <c r="A11" s="1">
        <v>9</v>
      </c>
      <c r="B11" s="1">
        <v>1</v>
      </c>
      <c r="C11" s="1" t="s">
        <v>79</v>
      </c>
      <c r="D11" s="1" t="s">
        <v>80</v>
      </c>
      <c r="E11" s="1"/>
      <c r="F11" s="1">
        <v>4.8563999999999998</v>
      </c>
      <c r="G11" s="1">
        <f t="shared" si="0"/>
        <v>4.8563999999999998</v>
      </c>
    </row>
    <row r="12" spans="1:7" x14ac:dyDescent="0.25">
      <c r="A12" s="1">
        <v>10</v>
      </c>
      <c r="B12" s="1">
        <v>1</v>
      </c>
      <c r="C12" s="1" t="s">
        <v>81</v>
      </c>
      <c r="D12" s="1" t="s">
        <v>82</v>
      </c>
      <c r="E12" s="1" t="s">
        <v>266</v>
      </c>
      <c r="F12" s="1">
        <v>2.3403</v>
      </c>
      <c r="G12" s="1">
        <f t="shared" si="0"/>
        <v>2.3403</v>
      </c>
    </row>
    <row r="13" spans="1:7" x14ac:dyDescent="0.25">
      <c r="A13" s="1">
        <v>11</v>
      </c>
      <c r="B13" s="1">
        <v>1</v>
      </c>
      <c r="C13" s="1" t="s">
        <v>83</v>
      </c>
      <c r="D13" s="1" t="s">
        <v>84</v>
      </c>
      <c r="E13" s="1" t="s">
        <v>267</v>
      </c>
      <c r="F13" s="1">
        <v>0.5292</v>
      </c>
      <c r="G13" s="1">
        <f t="shared" si="0"/>
        <v>0.5292</v>
      </c>
    </row>
    <row r="14" spans="1:7" x14ac:dyDescent="0.25">
      <c r="A14" s="1">
        <v>12</v>
      </c>
      <c r="B14" s="1">
        <v>1</v>
      </c>
      <c r="C14" s="1" t="s">
        <v>85</v>
      </c>
      <c r="D14" s="1" t="s">
        <v>86</v>
      </c>
      <c r="E14" s="1"/>
      <c r="F14" s="1">
        <v>0.77</v>
      </c>
      <c r="G14" s="1">
        <f t="shared" si="0"/>
        <v>0.77</v>
      </c>
    </row>
    <row r="15" spans="1:7" x14ac:dyDescent="0.25">
      <c r="A15" s="1">
        <v>13</v>
      </c>
      <c r="B15" s="1">
        <v>1</v>
      </c>
      <c r="C15" s="1" t="s">
        <v>87</v>
      </c>
      <c r="D15" s="1" t="s">
        <v>88</v>
      </c>
      <c r="E15" s="1"/>
      <c r="F15" s="1">
        <v>0.77</v>
      </c>
      <c r="G15" s="1">
        <f t="shared" si="0"/>
        <v>0.77</v>
      </c>
    </row>
    <row r="16" spans="1:7" x14ac:dyDescent="0.25">
      <c r="A16" s="1">
        <v>14</v>
      </c>
      <c r="B16" s="13">
        <v>27</v>
      </c>
      <c r="C16" s="13" t="s">
        <v>270</v>
      </c>
      <c r="D16" s="1"/>
      <c r="E16" s="1"/>
      <c r="F16" s="1">
        <v>1.5299999999999999E-3</v>
      </c>
      <c r="G16" s="1">
        <f>F16*B16</f>
        <v>4.1309999999999999E-2</v>
      </c>
    </row>
    <row r="17" spans="1:10" x14ac:dyDescent="0.25">
      <c r="A17" s="1">
        <v>15</v>
      </c>
      <c r="B17" s="13">
        <v>11</v>
      </c>
      <c r="C17" s="13" t="s">
        <v>271</v>
      </c>
      <c r="D17" s="1"/>
      <c r="E17" s="1"/>
      <c r="F17" s="1">
        <v>1.34E-3</v>
      </c>
      <c r="G17" s="1">
        <f t="shared" si="0"/>
        <v>1.474E-2</v>
      </c>
    </row>
    <row r="18" spans="1:10" x14ac:dyDescent="0.25">
      <c r="A18" s="1">
        <v>16</v>
      </c>
      <c r="B18" s="1">
        <v>6</v>
      </c>
      <c r="C18" s="13" t="s">
        <v>264</v>
      </c>
      <c r="D18" s="1"/>
      <c r="E18" s="1"/>
      <c r="F18" s="1">
        <v>7.7700000000000005E-2</v>
      </c>
      <c r="G18" s="1">
        <f>F18*B18</f>
        <v>0.46620000000000006</v>
      </c>
    </row>
    <row r="19" spans="1:10" x14ac:dyDescent="0.25">
      <c r="E19" s="1" t="s">
        <v>259</v>
      </c>
      <c r="F19" s="1"/>
      <c r="G19" s="13">
        <f>SUM(G6:G18)</f>
        <v>10.387759999999998</v>
      </c>
    </row>
    <row r="21" spans="1:10" x14ac:dyDescent="0.25">
      <c r="A21" t="s">
        <v>89</v>
      </c>
      <c r="D21" s="2"/>
    </row>
    <row r="22" spans="1:10" x14ac:dyDescent="0.25">
      <c r="A22" t="s">
        <v>1</v>
      </c>
      <c r="D22" s="2"/>
    </row>
    <row r="23" spans="1:10" x14ac:dyDescent="0.25">
      <c r="A23" t="s">
        <v>90</v>
      </c>
      <c r="D23" s="2"/>
    </row>
    <row r="24" spans="1:10" x14ac:dyDescent="0.25">
      <c r="D24" s="2"/>
    </row>
    <row r="25" spans="1:10" x14ac:dyDescent="0.25">
      <c r="A25" s="1" t="s">
        <v>3</v>
      </c>
      <c r="B25" s="1" t="s">
        <v>4</v>
      </c>
      <c r="C25" s="1" t="s">
        <v>5</v>
      </c>
      <c r="D25" s="3" t="s">
        <v>6</v>
      </c>
      <c r="E25" s="1"/>
      <c r="F25" s="13" t="s">
        <v>274</v>
      </c>
      <c r="G25" s="13" t="s">
        <v>259</v>
      </c>
    </row>
    <row r="26" spans="1:10" x14ac:dyDescent="0.25">
      <c r="A26" s="1">
        <v>1</v>
      </c>
      <c r="B26" s="1">
        <v>1</v>
      </c>
      <c r="C26" s="1" t="s">
        <v>7</v>
      </c>
      <c r="D26" s="3" t="s">
        <v>8</v>
      </c>
      <c r="E26" s="1"/>
      <c r="F26" s="1" t="s">
        <v>276</v>
      </c>
      <c r="G26" s="1"/>
      <c r="J26" t="s">
        <v>275</v>
      </c>
    </row>
    <row r="27" spans="1:10" x14ac:dyDescent="0.25">
      <c r="A27" s="1">
        <v>2</v>
      </c>
      <c r="B27" s="1">
        <v>1</v>
      </c>
      <c r="C27" s="1" t="s">
        <v>9</v>
      </c>
      <c r="D27" s="3" t="s">
        <v>10</v>
      </c>
      <c r="E27" s="1" t="s">
        <v>262</v>
      </c>
      <c r="F27" s="1">
        <v>0.11821</v>
      </c>
      <c r="G27" s="1">
        <f>F27*B27</f>
        <v>0.11821</v>
      </c>
    </row>
    <row r="28" spans="1:10" x14ac:dyDescent="0.25">
      <c r="A28" s="1">
        <v>3</v>
      </c>
      <c r="B28" s="1">
        <v>1</v>
      </c>
      <c r="C28" s="1" t="s">
        <v>11</v>
      </c>
      <c r="D28" s="3" t="s">
        <v>12</v>
      </c>
      <c r="E28" s="1" t="s">
        <v>263</v>
      </c>
      <c r="F28" s="1">
        <v>0.11821</v>
      </c>
      <c r="G28" s="1">
        <f t="shared" ref="G28:G39" si="1">F28*B28</f>
        <v>0.11821</v>
      </c>
    </row>
    <row r="29" spans="1:10" x14ac:dyDescent="0.25">
      <c r="A29" s="1">
        <v>4</v>
      </c>
      <c r="B29" s="1">
        <v>1</v>
      </c>
      <c r="C29" s="1" t="s">
        <v>45</v>
      </c>
      <c r="D29" s="3" t="s">
        <v>46</v>
      </c>
      <c r="E29" s="1" t="s">
        <v>264</v>
      </c>
      <c r="F29" s="1">
        <v>6.6189999999999999E-2</v>
      </c>
      <c r="G29" s="1">
        <f t="shared" si="1"/>
        <v>6.6189999999999999E-2</v>
      </c>
    </row>
    <row r="30" spans="1:10" ht="30" x14ac:dyDescent="0.25">
      <c r="A30" s="1">
        <v>7</v>
      </c>
      <c r="B30" s="1">
        <v>1</v>
      </c>
      <c r="C30" s="1" t="s">
        <v>61</v>
      </c>
      <c r="D30" s="8" t="s">
        <v>101</v>
      </c>
      <c r="E30" s="1"/>
      <c r="F30" s="1">
        <v>0.48320000000000002</v>
      </c>
      <c r="G30" s="1">
        <f t="shared" si="1"/>
        <v>0.48320000000000002</v>
      </c>
    </row>
    <row r="31" spans="1:10" x14ac:dyDescent="0.25">
      <c r="A31" s="1">
        <v>8</v>
      </c>
      <c r="B31" s="1">
        <v>1</v>
      </c>
      <c r="C31" s="1" t="s">
        <v>79</v>
      </c>
      <c r="D31" s="3" t="s">
        <v>80</v>
      </c>
      <c r="E31" s="1"/>
      <c r="F31" s="1">
        <v>4.8563999999999998</v>
      </c>
      <c r="G31" s="1">
        <f t="shared" si="1"/>
        <v>4.8563999999999998</v>
      </c>
    </row>
    <row r="32" spans="1:10" x14ac:dyDescent="0.25">
      <c r="A32" s="1">
        <v>9</v>
      </c>
      <c r="B32" s="1">
        <v>1</v>
      </c>
      <c r="C32" s="1" t="s">
        <v>81</v>
      </c>
      <c r="D32" s="3" t="s">
        <v>82</v>
      </c>
      <c r="E32" s="1" t="s">
        <v>266</v>
      </c>
      <c r="F32" s="1">
        <v>2.3403</v>
      </c>
      <c r="G32" s="1">
        <f t="shared" si="1"/>
        <v>2.3403</v>
      </c>
    </row>
    <row r="33" spans="1:7" x14ac:dyDescent="0.25">
      <c r="A33" s="1">
        <v>10</v>
      </c>
      <c r="B33" s="1">
        <v>1</v>
      </c>
      <c r="C33" s="1" t="s">
        <v>108</v>
      </c>
      <c r="D33" s="8" t="s">
        <v>109</v>
      </c>
      <c r="E33" s="1" t="s">
        <v>268</v>
      </c>
      <c r="F33" s="1">
        <v>1.49</v>
      </c>
      <c r="G33" s="1">
        <f t="shared" si="1"/>
        <v>1.49</v>
      </c>
    </row>
    <row r="34" spans="1:7" x14ac:dyDescent="0.25">
      <c r="A34" s="1">
        <v>11</v>
      </c>
      <c r="B34" s="1">
        <v>1</v>
      </c>
      <c r="C34" s="1" t="s">
        <v>110</v>
      </c>
      <c r="D34" s="8" t="s">
        <v>111</v>
      </c>
      <c r="E34" s="1" t="s">
        <v>269</v>
      </c>
      <c r="F34" s="1">
        <v>0.35</v>
      </c>
      <c r="G34" s="1">
        <f t="shared" si="1"/>
        <v>0.35</v>
      </c>
    </row>
    <row r="35" spans="1:7" x14ac:dyDescent="0.25">
      <c r="A35" s="1">
        <v>12</v>
      </c>
      <c r="B35" s="1">
        <v>1</v>
      </c>
      <c r="C35" s="1" t="s">
        <v>85</v>
      </c>
      <c r="D35" s="3" t="s">
        <v>86</v>
      </c>
      <c r="E35" s="1"/>
      <c r="F35" s="1">
        <v>0.77</v>
      </c>
      <c r="G35" s="1">
        <f t="shared" si="1"/>
        <v>0.77</v>
      </c>
    </row>
    <row r="36" spans="1:7" x14ac:dyDescent="0.25">
      <c r="A36" s="1">
        <v>13</v>
      </c>
      <c r="B36" s="1">
        <v>1</v>
      </c>
      <c r="C36" s="1" t="s">
        <v>87</v>
      </c>
      <c r="D36" s="3" t="s">
        <v>88</v>
      </c>
      <c r="E36" s="1"/>
      <c r="F36" s="1">
        <v>0.77</v>
      </c>
      <c r="G36" s="1">
        <f t="shared" si="1"/>
        <v>0.77</v>
      </c>
    </row>
    <row r="37" spans="1:7" x14ac:dyDescent="0.25">
      <c r="A37" s="1">
        <v>14</v>
      </c>
      <c r="B37" s="13">
        <v>31</v>
      </c>
      <c r="C37" s="13" t="s">
        <v>270</v>
      </c>
      <c r="D37" s="1"/>
      <c r="E37" s="1"/>
      <c r="F37" s="1">
        <v>1.5299999999999999E-3</v>
      </c>
      <c r="G37" s="1">
        <f t="shared" si="1"/>
        <v>4.743E-2</v>
      </c>
    </row>
    <row r="38" spans="1:7" x14ac:dyDescent="0.25">
      <c r="A38" s="1">
        <v>15</v>
      </c>
      <c r="B38" s="13">
        <v>8</v>
      </c>
      <c r="C38" s="13" t="s">
        <v>272</v>
      </c>
      <c r="D38" s="1"/>
      <c r="E38" s="1"/>
      <c r="F38" s="1">
        <v>7.7700000000000005E-2</v>
      </c>
      <c r="G38" s="1">
        <f t="shared" si="1"/>
        <v>0.62160000000000004</v>
      </c>
    </row>
    <row r="39" spans="1:7" x14ac:dyDescent="0.25">
      <c r="A39" s="1">
        <v>16</v>
      </c>
      <c r="B39" s="13">
        <v>9</v>
      </c>
      <c r="C39" s="13" t="s">
        <v>273</v>
      </c>
      <c r="D39" s="1"/>
      <c r="E39" s="1"/>
      <c r="F39" s="1">
        <v>1.34E-3</v>
      </c>
      <c r="G39" s="1">
        <f t="shared" si="1"/>
        <v>1.2060000000000001E-2</v>
      </c>
    </row>
    <row r="41" spans="1:7" x14ac:dyDescent="0.25">
      <c r="E41" s="1" t="s">
        <v>259</v>
      </c>
      <c r="F41" s="1"/>
      <c r="G41" s="1">
        <f>SUM(G26:G39)</f>
        <v>12.0436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BOM_Transmiter</vt:lpstr>
      <vt:lpstr>BOM_Receiver</vt:lpstr>
      <vt:lpstr>DesignCalc_Analogip_Txmtr</vt:lpstr>
      <vt:lpstr>DesignCalc_Analogop_Rxver</vt:lpstr>
      <vt:lpstr>Design_calc_RF</vt:lpstr>
      <vt:lpstr>Power Budget</vt:lpstr>
      <vt:lpstr>Costing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garg</dc:creator>
  <cp:lastModifiedBy>anilh</cp:lastModifiedBy>
  <dcterms:created xsi:type="dcterms:W3CDTF">2015-06-05T18:17:20Z</dcterms:created>
  <dcterms:modified xsi:type="dcterms:W3CDTF">2020-06-15T06:18:40Z</dcterms:modified>
</cp:coreProperties>
</file>