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Vrushant Data\Actual vrushant data\vrushant -D\vrushant\Buss Case\2017\"/>
    </mc:Choice>
  </mc:AlternateContent>
  <bookViews>
    <workbookView xWindow="0" yWindow="0" windowWidth="15360" windowHeight="7530"/>
  </bookViews>
  <sheets>
    <sheet name="MAS HOUSE" sheetId="1" r:id="rId1"/>
    <sheet name="Sheet2" sheetId="4" r:id="rId2"/>
    <sheet name="REVENUE" sheetId="2" state="hidden" r:id="rId3"/>
    <sheet name="Sheet1" sheetId="3" state="hidden" r:id="rId4"/>
  </sheets>
  <definedNames>
    <definedName name="_xlnm._FilterDatabase" localSheetId="0" hidden="1">'MAS HOUSE'!$A$3:$AP$33</definedName>
  </definedNames>
  <calcPr calcId="152511"/>
</workbook>
</file>

<file path=xl/calcChain.xml><?xml version="1.0" encoding="utf-8"?>
<calcChain xmlns="http://schemas.openxmlformats.org/spreadsheetml/2006/main">
  <c r="F25" i="1" l="1"/>
  <c r="F24" i="1"/>
  <c r="F23" i="1"/>
  <c r="F22" i="1"/>
  <c r="F21" i="1"/>
  <c r="F20" i="1"/>
  <c r="F19" i="1"/>
  <c r="F18" i="1"/>
  <c r="F17" i="1"/>
  <c r="F16" i="1"/>
  <c r="F15" i="1"/>
  <c r="F14" i="1"/>
  <c r="F13" i="1"/>
  <c r="F11" i="1"/>
  <c r="F10" i="1"/>
  <c r="F9" i="1"/>
  <c r="F8" i="1"/>
  <c r="F7" i="1"/>
  <c r="F6" i="1"/>
  <c r="F5" i="1"/>
  <c r="H25" i="1"/>
  <c r="H24" i="1"/>
  <c r="H23" i="1"/>
  <c r="H22" i="1"/>
  <c r="H21" i="1"/>
  <c r="H20" i="1"/>
  <c r="H19" i="1"/>
  <c r="H18" i="1"/>
  <c r="H17" i="1"/>
  <c r="H16" i="1"/>
  <c r="H15" i="1"/>
  <c r="H14" i="1"/>
  <c r="H13" i="1"/>
  <c r="H11" i="1"/>
  <c r="H10" i="1"/>
  <c r="H9" i="1"/>
  <c r="H8" i="1"/>
  <c r="H7" i="1"/>
  <c r="H6" i="1"/>
  <c r="H5" i="1"/>
  <c r="J25" i="1"/>
  <c r="J24" i="1"/>
  <c r="J23" i="1"/>
  <c r="J22" i="1"/>
  <c r="J21" i="1"/>
  <c r="J20" i="1"/>
  <c r="J19" i="1"/>
  <c r="J18" i="1"/>
  <c r="J17" i="1"/>
  <c r="J16" i="1"/>
  <c r="J15" i="1"/>
  <c r="J14" i="1"/>
  <c r="J13" i="1"/>
  <c r="J11" i="1"/>
  <c r="J10" i="1"/>
  <c r="J9" i="1"/>
  <c r="J8" i="1"/>
  <c r="J7" i="1"/>
  <c r="J6" i="1"/>
  <c r="J5" i="1"/>
  <c r="L25" i="1"/>
  <c r="L24" i="1"/>
  <c r="L23" i="1"/>
  <c r="L22" i="1"/>
  <c r="L21" i="1"/>
  <c r="L20" i="1"/>
  <c r="L19" i="1"/>
  <c r="L18" i="1"/>
  <c r="L17" i="1"/>
  <c r="L16" i="1"/>
  <c r="L15" i="1"/>
  <c r="L14" i="1"/>
  <c r="L13" i="1"/>
  <c r="L11" i="1"/>
  <c r="L10" i="1"/>
  <c r="L9" i="1"/>
  <c r="L8" i="1"/>
  <c r="L7" i="1"/>
  <c r="L6" i="1"/>
  <c r="L5" i="1"/>
  <c r="R25" i="1"/>
  <c r="R24" i="1"/>
  <c r="R23" i="1"/>
  <c r="R22" i="1"/>
  <c r="R21" i="1"/>
  <c r="R20" i="1"/>
  <c r="R19" i="1"/>
  <c r="R18" i="1"/>
  <c r="R17" i="1"/>
  <c r="R16" i="1"/>
  <c r="R15" i="1"/>
  <c r="R14" i="1"/>
  <c r="R13" i="1"/>
  <c r="R11" i="1"/>
  <c r="R10" i="1"/>
  <c r="R9" i="1"/>
  <c r="R8" i="1"/>
  <c r="R7" i="1"/>
  <c r="R6" i="1"/>
  <c r="R5" i="1"/>
  <c r="V25" i="1"/>
  <c r="V24" i="1"/>
  <c r="V23" i="1"/>
  <c r="V22" i="1"/>
  <c r="V21" i="1"/>
  <c r="V20" i="1"/>
  <c r="V19" i="1"/>
  <c r="V18" i="1"/>
  <c r="V17" i="1"/>
  <c r="V16" i="1"/>
  <c r="V15" i="1"/>
  <c r="V14" i="1"/>
  <c r="V13" i="1"/>
  <c r="V11" i="1"/>
  <c r="V10" i="1"/>
  <c r="V9" i="1"/>
  <c r="V8" i="1"/>
  <c r="V7" i="1"/>
  <c r="V6" i="1"/>
  <c r="V5" i="1"/>
  <c r="X25" i="1"/>
  <c r="X24" i="1"/>
  <c r="X23" i="1"/>
  <c r="X22" i="1"/>
  <c r="X21" i="1"/>
  <c r="X20" i="1"/>
  <c r="X19" i="1"/>
  <c r="X18" i="1"/>
  <c r="X17" i="1"/>
  <c r="X16" i="1"/>
  <c r="X15" i="1"/>
  <c r="X14" i="1"/>
  <c r="X13" i="1"/>
  <c r="X11" i="1"/>
  <c r="X10" i="1"/>
  <c r="X9" i="1"/>
  <c r="X8" i="1"/>
  <c r="X7" i="1"/>
  <c r="X6" i="1"/>
  <c r="X5" i="1"/>
  <c r="AD25" i="1"/>
  <c r="AD24" i="1"/>
  <c r="AD23" i="1"/>
  <c r="AD22" i="1"/>
  <c r="AD21" i="1"/>
  <c r="AD20" i="1"/>
  <c r="AD19" i="1"/>
  <c r="AD18" i="1"/>
  <c r="AD17" i="1"/>
  <c r="AD16" i="1"/>
  <c r="AD15" i="1"/>
  <c r="AD14" i="1"/>
  <c r="AD13" i="1"/>
  <c r="AD11" i="1"/>
  <c r="AD10" i="1"/>
  <c r="AD9" i="1"/>
  <c r="AD8" i="1"/>
  <c r="AD7" i="1"/>
  <c r="AD6" i="1"/>
  <c r="AD5" i="1"/>
  <c r="AJ25" i="1"/>
  <c r="AJ24" i="1"/>
  <c r="AJ23" i="1"/>
  <c r="AJ22" i="1"/>
  <c r="AJ21" i="1"/>
  <c r="AJ20" i="1"/>
  <c r="AJ19" i="1"/>
  <c r="AJ18" i="1"/>
  <c r="AJ17" i="1"/>
  <c r="AJ16" i="1"/>
  <c r="AJ15" i="1"/>
  <c r="AJ14" i="1"/>
  <c r="AJ13" i="1"/>
  <c r="AL25" i="1"/>
  <c r="AL24" i="1"/>
  <c r="AL23" i="1"/>
  <c r="AL22" i="1"/>
  <c r="AL21" i="1"/>
  <c r="AL20" i="1"/>
  <c r="AL19" i="1"/>
  <c r="AL18" i="1"/>
  <c r="AL17" i="1"/>
  <c r="AL16" i="1"/>
  <c r="AL15" i="1"/>
  <c r="AL14" i="1"/>
  <c r="AL13" i="1"/>
  <c r="AJ11" i="1"/>
  <c r="AJ10" i="1"/>
  <c r="AJ9" i="1"/>
  <c r="AJ8" i="1"/>
  <c r="AJ7" i="1"/>
  <c r="AJ6" i="1"/>
  <c r="AJ5" i="1"/>
  <c r="AL11" i="1"/>
  <c r="AL10" i="1"/>
  <c r="AL9" i="1"/>
  <c r="AL8" i="1"/>
  <c r="AL7" i="1"/>
  <c r="AL6" i="1"/>
  <c r="AL5" i="1"/>
  <c r="AL4" i="1"/>
  <c r="AJ4" i="1"/>
  <c r="AD4" i="1"/>
  <c r="X4" i="1"/>
  <c r="V4" i="1"/>
  <c r="R4" i="1"/>
  <c r="L4" i="1"/>
  <c r="J4" i="1"/>
  <c r="H4" i="1"/>
  <c r="F4" i="1"/>
  <c r="I39" i="1" l="1"/>
  <c r="I38" i="1"/>
  <c r="AK39" i="1"/>
  <c r="AK38" i="1"/>
  <c r="AI39" i="1"/>
  <c r="AI38" i="1"/>
  <c r="AC39" i="1"/>
  <c r="AC38" i="1"/>
  <c r="AA39" i="1"/>
  <c r="AA38" i="1"/>
  <c r="W39" i="1"/>
  <c r="W38" i="1"/>
  <c r="U39" i="1"/>
  <c r="U38" i="1"/>
  <c r="Q39" i="1"/>
  <c r="Q38" i="1"/>
  <c r="K39" i="1"/>
  <c r="K38" i="1"/>
  <c r="G39" i="1"/>
  <c r="G38" i="1"/>
  <c r="AK27" i="1"/>
  <c r="AI27" i="1"/>
  <c r="AC27" i="1"/>
  <c r="W27" i="1"/>
  <c r="U27" i="1"/>
  <c r="Q27" i="1"/>
  <c r="K27" i="1"/>
  <c r="I27" i="1"/>
  <c r="G27" i="1"/>
  <c r="E39" i="1"/>
  <c r="E38" i="1"/>
  <c r="E27" i="1"/>
  <c r="AO38" i="1" l="1"/>
  <c r="AO39" i="1"/>
  <c r="AB25" i="1"/>
  <c r="AB24" i="1"/>
  <c r="AB23" i="1"/>
  <c r="AB22" i="1"/>
  <c r="AB21" i="1"/>
  <c r="AB20" i="1"/>
  <c r="AB19" i="1"/>
  <c r="AB18" i="1"/>
  <c r="AB17" i="1"/>
  <c r="AB16" i="1"/>
  <c r="AB15" i="1"/>
  <c r="AB14" i="1"/>
  <c r="AB13" i="1"/>
  <c r="AB11" i="1"/>
  <c r="AB10" i="1"/>
  <c r="AB9" i="1"/>
  <c r="AB8" i="1"/>
  <c r="AB7" i="1"/>
  <c r="AB6" i="1"/>
  <c r="AB5" i="1"/>
  <c r="AB4" i="1"/>
  <c r="D8" i="1" l="1"/>
  <c r="D22" i="1" l="1"/>
  <c r="AP7" i="1" l="1"/>
  <c r="AP41" i="1"/>
  <c r="AP40" i="1"/>
  <c r="AP39" i="1"/>
  <c r="AP37" i="1"/>
  <c r="AP29" i="1"/>
  <c r="AP28" i="1"/>
  <c r="AJ27" i="1"/>
  <c r="AP11" i="1" l="1"/>
  <c r="AP9" i="1"/>
  <c r="AP6" i="1"/>
  <c r="AP10" i="1"/>
  <c r="AP5" i="1"/>
  <c r="AP8" i="1"/>
  <c r="AP20" i="1" l="1"/>
  <c r="AP16" i="1"/>
  <c r="AP13" i="1"/>
  <c r="AP4" i="1"/>
  <c r="AP25" i="1" l="1"/>
  <c r="AP24" i="1"/>
  <c r="AP23" i="1"/>
  <c r="AP22" i="1"/>
  <c r="AP21" i="1"/>
  <c r="AP19" i="1"/>
  <c r="AP18" i="1"/>
  <c r="AP17" i="1"/>
  <c r="AP15" i="1"/>
  <c r="AP14" i="1"/>
  <c r="AD38" i="1" l="1"/>
  <c r="AB38" i="1"/>
  <c r="X38" i="1"/>
  <c r="V38" i="1"/>
  <c r="R38" i="1"/>
  <c r="L38" i="1"/>
  <c r="J38" i="1"/>
  <c r="H38" i="1"/>
  <c r="X28" i="1"/>
  <c r="C38" i="1" l="1"/>
  <c r="L37" i="1"/>
  <c r="AL12" i="1" l="1"/>
  <c r="AL26" i="1" l="1"/>
  <c r="AO34" i="1"/>
  <c r="AO33" i="1"/>
  <c r="AO32" i="1"/>
  <c r="AO31" i="1"/>
  <c r="AO30" i="1"/>
  <c r="AO29" i="1"/>
  <c r="AO28" i="1"/>
  <c r="AO35" i="1"/>
  <c r="AO36" i="1"/>
  <c r="H31" i="1"/>
  <c r="F31" i="1"/>
  <c r="AU41" i="1" l="1"/>
  <c r="AT17" i="1" s="1"/>
  <c r="F27" i="1" l="1"/>
  <c r="F38" i="1" l="1"/>
  <c r="AO18" i="1" l="1"/>
  <c r="E12" i="1" l="1"/>
  <c r="F12" i="1"/>
  <c r="F32" i="1" s="1"/>
  <c r="E26" i="1"/>
  <c r="F26" i="1"/>
  <c r="F33" i="1" s="1"/>
  <c r="F35" i="1"/>
  <c r="F42" i="1" l="1"/>
  <c r="F34" i="1"/>
  <c r="F36" i="1" l="1"/>
  <c r="AO14" i="1"/>
  <c r="G26" i="1"/>
  <c r="C4" i="3" l="1"/>
  <c r="D4" i="3" s="1"/>
  <c r="E4" i="3" s="1"/>
  <c r="C3" i="3"/>
  <c r="D3" i="3" s="1"/>
  <c r="A3" i="3"/>
  <c r="C2" i="3"/>
  <c r="D2" i="3" s="1"/>
  <c r="L34" i="1"/>
  <c r="J34" i="1"/>
  <c r="H27" i="1"/>
  <c r="H35" i="1"/>
  <c r="H34" i="1"/>
  <c r="H36" i="1" s="1"/>
  <c r="E3" i="3" l="1"/>
  <c r="AO22" i="1"/>
  <c r="L27" i="1" l="1"/>
  <c r="J27" i="1"/>
  <c r="AP27" i="1" l="1"/>
  <c r="AO27" i="1"/>
  <c r="L35" i="1"/>
  <c r="J35" i="1"/>
  <c r="AO21" i="1"/>
  <c r="AU17" i="1" l="1"/>
  <c r="AW17" i="1" l="1"/>
  <c r="E11" i="2"/>
  <c r="AU18" i="1" l="1"/>
  <c r="AT18" i="1"/>
  <c r="AW18" i="1" l="1"/>
  <c r="AR39" i="1"/>
  <c r="AO41" i="1" l="1"/>
  <c r="AO40" i="1"/>
  <c r="L26" i="1"/>
  <c r="K26" i="1"/>
  <c r="I26" i="1"/>
  <c r="K12" i="1"/>
  <c r="I12" i="1"/>
  <c r="Q12" i="1"/>
  <c r="Q26" i="1"/>
  <c r="R26" i="1"/>
  <c r="R42" i="1" s="1"/>
  <c r="R30" i="1"/>
  <c r="AO17" i="1"/>
  <c r="AO16" i="1"/>
  <c r="U12" i="1"/>
  <c r="W12" i="1"/>
  <c r="Y12" i="1"/>
  <c r="AA12" i="1"/>
  <c r="AC12" i="1"/>
  <c r="AE12" i="1"/>
  <c r="AG12" i="1"/>
  <c r="AI12" i="1"/>
  <c r="AK12" i="1"/>
  <c r="U26" i="1"/>
  <c r="V26" i="1"/>
  <c r="V42" i="1" s="1"/>
  <c r="W26" i="1"/>
  <c r="X26" i="1"/>
  <c r="X34" i="1" s="1"/>
  <c r="Y26" i="1"/>
  <c r="Z26" i="1"/>
  <c r="Z34" i="1" s="1"/>
  <c r="AA26" i="1"/>
  <c r="AB26" i="1"/>
  <c r="AB34" i="1" s="1"/>
  <c r="AC26" i="1"/>
  <c r="AD26" i="1"/>
  <c r="AD42" i="1" s="1"/>
  <c r="AE26" i="1"/>
  <c r="AF26" i="1"/>
  <c r="AF34" i="1" s="1"/>
  <c r="AG26" i="1"/>
  <c r="AH26" i="1"/>
  <c r="AH34" i="1" s="1"/>
  <c r="AI26" i="1"/>
  <c r="AJ26" i="1"/>
  <c r="AJ34" i="1" s="1"/>
  <c r="AK26" i="1"/>
  <c r="AL42" i="1"/>
  <c r="V30" i="1"/>
  <c r="V31" i="1" s="1"/>
  <c r="X30" i="1"/>
  <c r="X31" i="1" s="1"/>
  <c r="Z30" i="1"/>
  <c r="Z31" i="1" s="1"/>
  <c r="Z35" i="1" s="1"/>
  <c r="AB30" i="1"/>
  <c r="AB31" i="1" s="1"/>
  <c r="AD30" i="1"/>
  <c r="AD31" i="1" s="1"/>
  <c r="AF30" i="1"/>
  <c r="AF31" i="1" s="1"/>
  <c r="AF35" i="1" s="1"/>
  <c r="AH30" i="1"/>
  <c r="AH31" i="1" s="1"/>
  <c r="AH35" i="1" s="1"/>
  <c r="AJ30" i="1"/>
  <c r="AJ31" i="1" s="1"/>
  <c r="AL30" i="1"/>
  <c r="AL31" i="1" s="1"/>
  <c r="AL34" i="1"/>
  <c r="Y38" i="1"/>
  <c r="Z38" i="1"/>
  <c r="AE38" i="1"/>
  <c r="AF38" i="1"/>
  <c r="AG38" i="1"/>
  <c r="AH38" i="1"/>
  <c r="AJ38" i="1"/>
  <c r="AP38" i="1" s="1"/>
  <c r="Z42" i="1"/>
  <c r="AH42" i="1"/>
  <c r="AO25" i="1"/>
  <c r="AO24" i="1"/>
  <c r="AO23" i="1"/>
  <c r="AO20" i="1"/>
  <c r="AO19" i="1"/>
  <c r="AO15" i="1"/>
  <c r="AO13" i="1"/>
  <c r="D38" i="1"/>
  <c r="AO5" i="1"/>
  <c r="AO6" i="1"/>
  <c r="AO7" i="1"/>
  <c r="AO8" i="1"/>
  <c r="AO9" i="1"/>
  <c r="AO10" i="1"/>
  <c r="AO11" i="1"/>
  <c r="D26" i="1"/>
  <c r="H26" i="1"/>
  <c r="C26" i="1"/>
  <c r="AO4" i="1"/>
  <c r="G12" i="1"/>
  <c r="D12" i="1"/>
  <c r="X12" i="1" s="1"/>
  <c r="C12" i="1"/>
  <c r="J12" i="1"/>
  <c r="J26" i="1"/>
  <c r="AP30" i="1" l="1"/>
  <c r="AF42" i="1"/>
  <c r="V34" i="1"/>
  <c r="AJ42" i="1"/>
  <c r="X42" i="1"/>
  <c r="AD34" i="1"/>
  <c r="AB42" i="1"/>
  <c r="R31" i="1"/>
  <c r="R34" i="1"/>
  <c r="AH9" i="1"/>
  <c r="D42" i="1"/>
  <c r="AF4" i="1"/>
  <c r="AH11" i="1"/>
  <c r="AF36" i="1"/>
  <c r="H12" i="1"/>
  <c r="AO26" i="1"/>
  <c r="Z4" i="1"/>
  <c r="AF5" i="1"/>
  <c r="Z7" i="1"/>
  <c r="Z8" i="1"/>
  <c r="AF9" i="1"/>
  <c r="Z5" i="1"/>
  <c r="AO12" i="1"/>
  <c r="AH8" i="1"/>
  <c r="AF8" i="1"/>
  <c r="AH4" i="1"/>
  <c r="L12" i="1"/>
  <c r="Z9" i="1"/>
  <c r="AH7" i="1"/>
  <c r="AH5" i="1"/>
  <c r="AF11" i="1"/>
  <c r="AF7" i="1"/>
  <c r="Z11" i="1"/>
  <c r="AH36" i="1"/>
  <c r="Z36" i="1"/>
  <c r="AP34" i="1" l="1"/>
  <c r="AO42" i="1"/>
  <c r="AP26" i="1"/>
  <c r="AU16" i="1" s="1"/>
  <c r="AL33" i="1"/>
  <c r="AH12" i="1"/>
  <c r="AH32" i="1" s="1"/>
  <c r="R12" i="1"/>
  <c r="R33" i="1" s="1"/>
  <c r="Z12" i="1"/>
  <c r="Z32" i="1" s="1"/>
  <c r="AF12" i="1"/>
  <c r="AF32" i="1" s="1"/>
  <c r="AD12" i="1"/>
  <c r="AD32" i="1" s="1"/>
  <c r="V12" i="1"/>
  <c r="V33" i="1" s="1"/>
  <c r="AJ12" i="1"/>
  <c r="AB12" i="1"/>
  <c r="AL32" i="1" l="1"/>
  <c r="AL35" i="1" s="1"/>
  <c r="AL36" i="1" s="1"/>
  <c r="AF33" i="1"/>
  <c r="Z33" i="1"/>
  <c r="R32" i="1"/>
  <c r="AD33" i="1"/>
  <c r="AD35" i="1" s="1"/>
  <c r="AD36" i="1" s="1"/>
  <c r="AH33" i="1"/>
  <c r="AP12" i="1"/>
  <c r="AT16" i="1" s="1"/>
  <c r="V32" i="1"/>
  <c r="V35" i="1" s="1"/>
  <c r="V36" i="1" s="1"/>
  <c r="AJ33" i="1"/>
  <c r="AJ32" i="1"/>
  <c r="X32" i="1"/>
  <c r="X33" i="1"/>
  <c r="AB32" i="1"/>
  <c r="AB33" i="1"/>
  <c r="AP33" i="1" l="1"/>
  <c r="AP32" i="1"/>
  <c r="AJ35" i="1"/>
  <c r="X35" i="1"/>
  <c r="X36" i="1" s="1"/>
  <c r="AB35" i="1"/>
  <c r="AB36" i="1" s="1"/>
  <c r="R35" i="1"/>
  <c r="H42" i="1"/>
  <c r="J31" i="1"/>
  <c r="J42" i="1"/>
  <c r="J36" i="1"/>
  <c r="L31" i="1"/>
  <c r="L42" i="1"/>
  <c r="L36" i="1"/>
  <c r="AP31" i="1" l="1"/>
  <c r="AJ36" i="1"/>
  <c r="AP35" i="1"/>
  <c r="R36" i="1"/>
  <c r="P42" i="1"/>
  <c r="N42" i="1"/>
  <c r="AS26" i="1"/>
  <c r="AP42" i="1" l="1"/>
  <c r="AV16" i="1"/>
  <c r="AW16" i="1" s="1"/>
  <c r="AW19" i="1" s="1"/>
  <c r="T42" i="1"/>
  <c r="AP36" i="1" l="1"/>
</calcChain>
</file>

<file path=xl/comments1.xml><?xml version="1.0" encoding="utf-8"?>
<comments xmlns="http://schemas.openxmlformats.org/spreadsheetml/2006/main">
  <authors>
    <author>Prakash</author>
    <author>Vrushan</author>
    <author>vrushant</author>
  </authors>
  <commentList>
    <comment ref="B4" authorId="0" shapeId="0">
      <text>
        <r>
          <rPr>
            <b/>
            <sz val="9"/>
            <color indexed="81"/>
            <rFont val="Tahoma"/>
            <family val="2"/>
          </rPr>
          <t xml:space="preserve">BHAVANA HARJANI
</t>
        </r>
      </text>
    </comment>
    <comment ref="B5" authorId="0" shapeId="0">
      <text>
        <r>
          <rPr>
            <b/>
            <sz val="9"/>
            <color indexed="81"/>
            <rFont val="Tahoma"/>
            <family val="2"/>
          </rPr>
          <t xml:space="preserve">Manish Vachher
</t>
        </r>
      </text>
    </comment>
    <comment ref="B7" authorId="0" shapeId="0">
      <text>
        <r>
          <rPr>
            <b/>
            <sz val="9"/>
            <color indexed="81"/>
            <rFont val="Tahoma"/>
            <family val="2"/>
          </rPr>
          <t xml:space="preserve">RENUKA
vrushant
Prakash
</t>
        </r>
      </text>
    </comment>
    <comment ref="B8" authorId="0" shapeId="0">
      <text>
        <r>
          <rPr>
            <b/>
            <sz val="9"/>
            <color indexed="81"/>
            <rFont val="Tahoma"/>
            <family val="2"/>
          </rPr>
          <t>VARSHA
Tasneem
Prakash 
matin
pranjali</t>
        </r>
      </text>
    </comment>
    <comment ref="B9" authorId="0" shapeId="0">
      <text>
        <r>
          <rPr>
            <b/>
            <sz val="9"/>
            <color indexed="81"/>
            <rFont val="Tahoma"/>
            <family val="2"/>
          </rPr>
          <t xml:space="preserve">SHYAMSUNDAR
HETAL
</t>
        </r>
      </text>
    </comment>
    <comment ref="B11" authorId="0" shapeId="0">
      <text>
        <r>
          <rPr>
            <b/>
            <sz val="9"/>
            <color indexed="81"/>
            <rFont val="Tahoma"/>
            <family val="2"/>
          </rPr>
          <t>Dharti
BHAUTIK
ashwin
darshit
samir</t>
        </r>
      </text>
    </comment>
    <comment ref="B14" authorId="1" shapeId="0">
      <text>
        <r>
          <rPr>
            <b/>
            <sz val="9"/>
            <color indexed="81"/>
            <rFont val="Tahoma"/>
            <family val="2"/>
          </rPr>
          <t xml:space="preserve">
krunal r solanki</t>
        </r>
      </text>
    </comment>
    <comment ref="B15" authorId="2" shapeId="0">
      <text>
        <r>
          <rPr>
            <sz val="9"/>
            <color indexed="81"/>
            <rFont val="Tahoma"/>
            <family val="2"/>
          </rPr>
          <t>Arpan pathak
Javid Malik</t>
        </r>
      </text>
    </comment>
    <comment ref="B17" authorId="0" shapeId="0">
      <text>
        <r>
          <rPr>
            <b/>
            <sz val="9"/>
            <color indexed="81"/>
            <rFont val="Tahoma"/>
            <family val="2"/>
          </rPr>
          <t>ABHISHEK PARMAR 
shivangi bijwani
SANDEEP SUTHAR</t>
        </r>
      </text>
    </comment>
    <comment ref="B18" authorId="0" shapeId="0">
      <text>
        <r>
          <rPr>
            <b/>
            <sz val="9"/>
            <color indexed="81"/>
            <rFont val="Tahoma"/>
            <family val="2"/>
          </rPr>
          <t xml:space="preserve">TEJAS AHUJA
</t>
        </r>
      </text>
    </comment>
    <comment ref="B19" authorId="0" shapeId="0">
      <text>
        <r>
          <rPr>
            <b/>
            <sz val="9"/>
            <color indexed="81"/>
            <rFont val="Tahoma"/>
            <family val="2"/>
          </rPr>
          <t>nitin
VIJAY
seema
SR patni
faiz</t>
        </r>
      </text>
    </comment>
    <comment ref="B21" authorId="0" shapeId="0">
      <text>
        <r>
          <rPr>
            <b/>
            <sz val="9"/>
            <color indexed="81"/>
            <rFont val="Tahoma"/>
            <family val="2"/>
          </rPr>
          <t>PARVEJ
MAULIK
Sandeep
nitesh jain
vishal lashkari
ankit madhukar
shailesh Dedun
rizvan</t>
        </r>
      </text>
    </comment>
    <comment ref="B22" authorId="0" shapeId="0">
      <text>
        <r>
          <rPr>
            <b/>
            <sz val="9"/>
            <color indexed="81"/>
            <rFont val="Tahoma"/>
            <family val="2"/>
          </rPr>
          <t xml:space="preserve">MADAN
nilesh
Mukesh 
abbas
anita patil 
vijay choksi
Tasneem
</t>
        </r>
      </text>
    </comment>
    <comment ref="B23" authorId="0" shapeId="0">
      <text>
        <r>
          <rPr>
            <b/>
            <sz val="9"/>
            <color indexed="81"/>
            <rFont val="Tahoma"/>
            <family val="2"/>
          </rPr>
          <t xml:space="preserve">
VISHAL VISHWAKARMA
KRUNAL SHAH
MEHULKUMAR ARVINDKUMAR NIRALA
RANJIT PARMAR
MANISHKUMAR D KIRI
PARUL RAMESHBHAI MAKWANA
JINAL PATEL
ALAVINA JAYANAND KHRISTI
PRATIK DILIPBHAI KIRI
SAMIR FARAHIM QURESHI
DEEPAK JOSHI
CHANDNI SUNILKUMAR SHARMA
RAHUL KISHORBHAI KHALAS
AJAYKUMAR BOKADE
VIPUL DESAI
MOHSIN PATHAN
MOFAIJHAN SHAIKH
CHANDNI DANI
MITUL PATEL
BHAVESH PRAJAPATI
NIMESH PATIL</t>
        </r>
      </text>
    </comment>
    <comment ref="B24" authorId="0" shapeId="0">
      <text>
        <r>
          <rPr>
            <b/>
            <sz val="9"/>
            <color indexed="81"/>
            <rFont val="Tahoma"/>
            <family val="2"/>
          </rPr>
          <t xml:space="preserve">DIPESH
SANDEEP DETHE
SANDEEP JARIWALA
</t>
        </r>
      </text>
    </comment>
    <comment ref="B25" authorId="1" shapeId="0">
      <text>
        <r>
          <rPr>
            <b/>
            <sz val="9"/>
            <color indexed="81"/>
            <rFont val="Tahoma"/>
            <family val="2"/>
          </rPr>
          <t>Kiran
Pravin Dhanavade 
Musab</t>
        </r>
      </text>
    </comment>
  </commentList>
</comments>
</file>

<file path=xl/sharedStrings.xml><?xml version="1.0" encoding="utf-8"?>
<sst xmlns="http://schemas.openxmlformats.org/spreadsheetml/2006/main" count="145" uniqueCount="98">
  <si>
    <t>Regional Manager</t>
  </si>
  <si>
    <t>Branch Manager</t>
  </si>
  <si>
    <t>Manager Operations</t>
  </si>
  <si>
    <t>Astt. Manager Operations</t>
  </si>
  <si>
    <t>Process Manager</t>
  </si>
  <si>
    <t>Manager - HR</t>
  </si>
  <si>
    <t>Manager -T&amp;Q</t>
  </si>
  <si>
    <t>AM/Sr / Executive- T&amp;Q</t>
  </si>
  <si>
    <t>Manager -IT</t>
  </si>
  <si>
    <t>AM/Sr / Executive- IT</t>
  </si>
  <si>
    <t>Team Leader - Field</t>
  </si>
  <si>
    <t>Agent</t>
  </si>
  <si>
    <t>FOS</t>
  </si>
  <si>
    <t>Cost Center</t>
  </si>
  <si>
    <t>Count / Amount</t>
  </si>
  <si>
    <t>Count</t>
  </si>
  <si>
    <t>Amount</t>
  </si>
  <si>
    <t>Branch Management Cost</t>
  </si>
  <si>
    <t>Total (BMC)</t>
  </si>
  <si>
    <t>Total</t>
  </si>
  <si>
    <t>Direct Supervisory Cost</t>
  </si>
  <si>
    <t>Total (DSC)</t>
  </si>
  <si>
    <t>Average Agent Cost</t>
  </si>
  <si>
    <t>Average FOS Cost</t>
  </si>
  <si>
    <t xml:space="preserve">Average DSC  Per Agent </t>
  </si>
  <si>
    <t xml:space="preserve">Average BMC Per Agent </t>
  </si>
  <si>
    <t>Average Revenue per Agent / FOS</t>
  </si>
  <si>
    <t>Average Total Manpower cost per agent</t>
  </si>
  <si>
    <t>Manpower Cost Vs Revenue (%)</t>
  </si>
  <si>
    <t>Manpower Analytics</t>
  </si>
  <si>
    <t xml:space="preserve">Trainer </t>
  </si>
  <si>
    <t>Backend</t>
  </si>
  <si>
    <t>Team Leader</t>
  </si>
  <si>
    <t>Quality</t>
  </si>
  <si>
    <t>Process Manager (Dist. according process)</t>
  </si>
  <si>
    <t>Revenue</t>
  </si>
  <si>
    <t>Incentives</t>
  </si>
  <si>
    <t>Training  incentive</t>
  </si>
  <si>
    <t>Fos Salary Variable</t>
  </si>
  <si>
    <t xml:space="preserve">Contractual Manpower </t>
  </si>
  <si>
    <t>Performance  Incentive</t>
  </si>
  <si>
    <t>Total  Branch Salary</t>
  </si>
  <si>
    <t>BSS Others</t>
  </si>
  <si>
    <t>AM/Sr / Executive-HR/training HR/MIS-Exe</t>
  </si>
  <si>
    <t>AM/Sr / Executive- FA &amp; Admin/ Supervisor</t>
  </si>
  <si>
    <t>SR/EXECUTIVE - BACKEND/MIS Exe</t>
  </si>
  <si>
    <t>CC</t>
  </si>
  <si>
    <t>Process</t>
  </si>
  <si>
    <t>Manager -Dialer</t>
  </si>
  <si>
    <t>AM/Sr / Executive- Dailer</t>
  </si>
  <si>
    <t>BO/AHMH</t>
  </si>
  <si>
    <t>PV</t>
  </si>
  <si>
    <t>P2P</t>
  </si>
  <si>
    <t>SM/OB/AHM/002</t>
  </si>
  <si>
    <t>CM/OB/AHMH/0119</t>
  </si>
  <si>
    <t>CS/OB/AHMH/0120</t>
  </si>
  <si>
    <t>SM/OB/AHMH/0145</t>
  </si>
  <si>
    <t>CNC</t>
  </si>
  <si>
    <t>CS</t>
  </si>
  <si>
    <t>LOB</t>
  </si>
  <si>
    <t>Seats</t>
  </si>
  <si>
    <t>Hours</t>
  </si>
  <si>
    <t>Rate</t>
  </si>
  <si>
    <t>SnM</t>
  </si>
  <si>
    <t>Collection</t>
  </si>
  <si>
    <t>Credit</t>
  </si>
  <si>
    <t>Phase</t>
  </si>
  <si>
    <t>SALARY CTC</t>
  </si>
  <si>
    <t>TOTAL</t>
  </si>
  <si>
    <t>BMC</t>
  </si>
  <si>
    <t>DSC</t>
  </si>
  <si>
    <t>AGENT</t>
  </si>
  <si>
    <t>SALARY</t>
  </si>
  <si>
    <t>INCENTIVE</t>
  </si>
  <si>
    <t>SM</t>
  </si>
  <si>
    <t>SM/OB/AHMO/0188</t>
  </si>
  <si>
    <t>CS/IB/AHM/0194</t>
  </si>
  <si>
    <t>Insurance</t>
  </si>
  <si>
    <t>SM/BLD/AHMH/0196</t>
  </si>
  <si>
    <t>Pik Quick</t>
  </si>
  <si>
    <t>SM/BLD/AHMH/0197</t>
  </si>
  <si>
    <t>International</t>
  </si>
  <si>
    <t>SM/OB/AHMH/0169</t>
  </si>
  <si>
    <t>Telenor</t>
  </si>
  <si>
    <t>Reliance</t>
  </si>
  <si>
    <t>CS/OB/AHMH/0204</t>
  </si>
  <si>
    <t>National</t>
  </si>
  <si>
    <t>CS/IB/AHM/0207</t>
  </si>
  <si>
    <t>CS/BLD/AHM/0206</t>
  </si>
  <si>
    <t>Idea Collection</t>
  </si>
  <si>
    <t>Idea Ebu</t>
  </si>
  <si>
    <t>CS/BLD/AHM/0210</t>
  </si>
  <si>
    <t>CS/BLD/AHM/0211</t>
  </si>
  <si>
    <t>Idea Postpaid Retention</t>
  </si>
  <si>
    <t>Idea Postpaid TV</t>
  </si>
  <si>
    <t>Idea Inbound Prepaid TV</t>
  </si>
  <si>
    <t>VRM</t>
  </si>
  <si>
    <t>BSS/OB/AHMH/0225</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</si>
</sst>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9"/>
      <color indexed="81"/>
      <name val="Tahoma"/>
      <family val="2"/>
    </font>
    <font>
      <sz val="11"/>
      <color rgb="FF17365D"/>
      <name val="Trebuchet MS"/>
      <family val="2"/>
    </font>
    <font>
      <b/>
      <sz val="10"/>
      <color rgb="FF000000"/>
      <name val="Calibri"/>
      <family val="2"/>
    </font>
    <font>
      <b/>
      <sz val="10"/>
      <color rgb="FFFFFFFF"/>
      <name val="Calibri"/>
      <family val="2"/>
    </font>
    <font>
      <sz val="10"/>
      <color rgb="FF000000"/>
      <name val="Calibri"/>
      <family val="2"/>
    </font>
    <font>
      <sz val="9"/>
      <color indexed="81"/>
      <name val="Tahoma"/>
      <family val="2"/>
    </font>
    <font>
      <b/>
      <sz val="8"/>
      <color theme="1"/>
      <name val="Calibri"/>
      <family val="2"/>
      <scheme val="minor"/>
    </font>
    <font>
      <sz val="8"/>
      <color theme="1"/>
      <name val="Calibri"/>
      <family val="2"/>
      <scheme val="minor"/>
    </font>
    <font>
      <b/>
      <sz val="8"/>
      <color rgb="FFFFFF00"/>
      <name val="Calibri"/>
      <family val="2"/>
      <scheme val="minor"/>
    </font>
    <font>
      <b/>
      <sz val="8"/>
      <name val="Calibri"/>
      <family val="2"/>
      <scheme val="minor"/>
    </font>
    <font>
      <b/>
      <sz val="8"/>
      <color theme="0"/>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rgb="FF00B050"/>
        <bgColor indexed="64"/>
      </patternFill>
    </fill>
    <fill>
      <patternFill patternType="solid">
        <fgColor rgb="FFDCE6F1"/>
        <bgColor indexed="64"/>
      </patternFill>
    </fill>
    <fill>
      <patternFill patternType="solid">
        <fgColor rgb="FF17375D"/>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70C0"/>
        <bgColor indexed="64"/>
      </patternFill>
    </fill>
    <fill>
      <patternFill patternType="solid">
        <fgColor theme="5" tint="-0.49998474074526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dotted">
        <color indexed="64"/>
      </left>
      <right style="medium">
        <color indexed="64"/>
      </right>
      <top/>
      <bottom style="dotted">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dotted">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medium">
        <color indexed="64"/>
      </left>
      <right style="dotted">
        <color indexed="64"/>
      </right>
      <top/>
      <bottom style="medium">
        <color indexed="64"/>
      </bottom>
      <diagonal/>
    </border>
    <border>
      <left/>
      <right style="dotted">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110">
    <xf numFmtId="0" fontId="0" fillId="0" borderId="0" xfId="0"/>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0" fontId="0" fillId="0" borderId="0" xfId="0" applyFill="1" applyAlignment="1">
      <alignment horizontal="center"/>
    </xf>
    <xf numFmtId="0" fontId="0" fillId="0" borderId="0" xfId="0" applyFont="1" applyAlignment="1">
      <alignment horizontal="center"/>
    </xf>
    <xf numFmtId="0" fontId="0" fillId="3" borderId="0" xfId="0" applyFill="1" applyAlignment="1">
      <alignment horizontal="center"/>
    </xf>
    <xf numFmtId="0" fontId="2" fillId="3" borderId="0" xfId="0" applyFont="1" applyFill="1" applyAlignment="1">
      <alignment horizontal="center"/>
    </xf>
    <xf numFmtId="0" fontId="3" fillId="0" borderId="23" xfId="0" applyFont="1" applyBorder="1" applyAlignment="1">
      <alignment horizontal="center"/>
    </xf>
    <xf numFmtId="0" fontId="0" fillId="0" borderId="0" xfId="0" applyBorder="1" applyAlignment="1">
      <alignment horizontal="center"/>
    </xf>
    <xf numFmtId="16" fontId="0" fillId="0" borderId="0" xfId="0" applyNumberFormat="1" applyBorder="1" applyAlignment="1">
      <alignment horizontal="center"/>
    </xf>
    <xf numFmtId="0" fontId="5" fillId="0" borderId="0" xfId="0" applyFont="1"/>
    <xf numFmtId="0" fontId="6" fillId="6" borderId="33" xfId="0" applyFont="1" applyFill="1" applyBorder="1"/>
    <xf numFmtId="0" fontId="6" fillId="6" borderId="34" xfId="0" applyFont="1" applyFill="1" applyBorder="1" applyAlignment="1">
      <alignment horizontal="center"/>
    </xf>
    <xf numFmtId="0" fontId="6" fillId="6" borderId="35" xfId="0" applyFont="1" applyFill="1" applyBorder="1" applyAlignment="1">
      <alignment horizontal="center"/>
    </xf>
    <xf numFmtId="0" fontId="7" fillId="7" borderId="23" xfId="0" applyFont="1" applyFill="1" applyBorder="1" applyAlignment="1">
      <alignment horizontal="center"/>
    </xf>
    <xf numFmtId="0" fontId="8" fillId="0" borderId="33" xfId="0" applyFont="1" applyBorder="1"/>
    <xf numFmtId="0" fontId="8" fillId="0" borderId="34" xfId="0" applyFont="1" applyBorder="1" applyAlignment="1">
      <alignment horizontal="center"/>
    </xf>
    <xf numFmtId="0" fontId="8" fillId="0" borderId="35" xfId="0" applyFont="1" applyBorder="1" applyAlignment="1">
      <alignment horizontal="center"/>
    </xf>
    <xf numFmtId="0" fontId="3" fillId="8" borderId="0" xfId="0" applyFont="1" applyFill="1"/>
    <xf numFmtId="0" fontId="3" fillId="8" borderId="36" xfId="0" applyFont="1" applyFill="1" applyBorder="1" applyAlignment="1">
      <alignment horizontal="center"/>
    </xf>
    <xf numFmtId="0" fontId="3" fillId="8" borderId="37" xfId="0" applyFont="1" applyFill="1" applyBorder="1" applyAlignment="1">
      <alignment horizontal="center"/>
    </xf>
    <xf numFmtId="0" fontId="3" fillId="0" borderId="38" xfId="0" applyFont="1" applyBorder="1" applyAlignment="1">
      <alignment horizontal="center"/>
    </xf>
    <xf numFmtId="1" fontId="0" fillId="0" borderId="0" xfId="0" applyNumberFormat="1" applyBorder="1" applyAlignment="1">
      <alignment horizontal="center"/>
    </xf>
    <xf numFmtId="0" fontId="3" fillId="0" borderId="0" xfId="0" applyFont="1" applyBorder="1" applyAlignment="1">
      <alignment horizontal="center"/>
    </xf>
    <xf numFmtId="0" fontId="0" fillId="0" borderId="0" xfId="0" applyBorder="1"/>
    <xf numFmtId="0" fontId="2" fillId="0" borderId="0" xfId="0" applyFont="1" applyAlignment="1">
      <alignment horizontal="center" wrapText="1"/>
    </xf>
    <xf numFmtId="0" fontId="10" fillId="0" borderId="5" xfId="0" applyFont="1" applyBorder="1" applyAlignment="1">
      <alignment horizontal="center"/>
    </xf>
    <xf numFmtId="0" fontId="10" fillId="0" borderId="26" xfId="0" applyFont="1" applyBorder="1" applyAlignment="1">
      <alignment horizontal="center"/>
    </xf>
    <xf numFmtId="0" fontId="10" fillId="0" borderId="0" xfId="0" applyFont="1" applyAlignment="1">
      <alignment horizontal="center"/>
    </xf>
    <xf numFmtId="0" fontId="10" fillId="0" borderId="5" xfId="0" applyFont="1" applyBorder="1" applyAlignment="1">
      <alignment horizontal="center" wrapText="1"/>
    </xf>
    <xf numFmtId="0" fontId="10" fillId="0" borderId="27" xfId="0" applyFont="1" applyBorder="1" applyAlignment="1">
      <alignment horizontal="center" wrapText="1"/>
    </xf>
    <xf numFmtId="0" fontId="10" fillId="0" borderId="0" xfId="0" applyFont="1" applyAlignment="1">
      <alignment horizontal="center" wrapText="1"/>
    </xf>
    <xf numFmtId="0" fontId="11" fillId="0" borderId="6" xfId="0" applyFont="1" applyBorder="1" applyAlignment="1">
      <alignment horizontal="center"/>
    </xf>
    <xf numFmtId="0" fontId="11" fillId="0" borderId="4" xfId="0" applyFont="1" applyBorder="1" applyAlignment="1">
      <alignment horizontal="center"/>
    </xf>
    <xf numFmtId="0" fontId="11" fillId="0" borderId="1" xfId="0" applyFont="1" applyBorder="1" applyAlignment="1">
      <alignment horizontal="center"/>
    </xf>
    <xf numFmtId="0" fontId="11" fillId="0" borderId="1" xfId="0" applyFont="1" applyFill="1" applyBorder="1" applyAlignment="1">
      <alignment horizontal="center"/>
    </xf>
    <xf numFmtId="0" fontId="11" fillId="0" borderId="0" xfId="0" applyFont="1" applyAlignment="1">
      <alignment horizontal="center"/>
    </xf>
    <xf numFmtId="0" fontId="11" fillId="0" borderId="22" xfId="0" applyFont="1" applyBorder="1" applyAlignment="1">
      <alignment horizontal="center" wrapText="1"/>
    </xf>
    <xf numFmtId="1" fontId="11" fillId="0" borderId="1" xfId="0" applyNumberFormat="1" applyFont="1" applyBorder="1" applyAlignment="1">
      <alignment horizontal="center"/>
    </xf>
    <xf numFmtId="1" fontId="11" fillId="0" borderId="1" xfId="0" applyNumberFormat="1" applyFont="1" applyFill="1" applyBorder="1" applyAlignment="1">
      <alignment horizontal="center"/>
    </xf>
    <xf numFmtId="0" fontId="11" fillId="2" borderId="2" xfId="0" applyFont="1" applyFill="1" applyBorder="1" applyAlignment="1">
      <alignment horizontal="center"/>
    </xf>
    <xf numFmtId="0" fontId="10" fillId="2" borderId="1" xfId="0" applyFont="1" applyFill="1" applyBorder="1" applyAlignment="1">
      <alignment horizontal="center"/>
    </xf>
    <xf numFmtId="1" fontId="10" fillId="2" borderId="1" xfId="0" applyNumberFormat="1" applyFont="1" applyFill="1" applyBorder="1" applyAlignment="1">
      <alignment horizontal="center"/>
    </xf>
    <xf numFmtId="1" fontId="11" fillId="0" borderId="0" xfId="0" applyNumberFormat="1" applyFont="1" applyAlignment="1">
      <alignment horizontal="center"/>
    </xf>
    <xf numFmtId="0" fontId="11" fillId="0" borderId="22" xfId="0" applyFont="1" applyBorder="1" applyAlignment="1">
      <alignment horizontal="center"/>
    </xf>
    <xf numFmtId="0" fontId="10" fillId="0" borderId="1" xfId="0" applyFont="1" applyBorder="1" applyAlignment="1">
      <alignment horizontal="center"/>
    </xf>
    <xf numFmtId="0" fontId="11" fillId="0" borderId="7" xfId="0" applyFont="1" applyBorder="1" applyAlignment="1">
      <alignment horizontal="center" vertical="center"/>
    </xf>
    <xf numFmtId="1" fontId="10" fillId="0" borderId="1" xfId="0" applyNumberFormat="1" applyFont="1" applyBorder="1" applyAlignment="1">
      <alignment horizontal="center"/>
    </xf>
    <xf numFmtId="0" fontId="11" fillId="0" borderId="0" xfId="0" applyFont="1" applyBorder="1" applyAlignment="1">
      <alignment horizontal="center" vertical="center" textRotation="90" wrapText="1"/>
    </xf>
    <xf numFmtId="0" fontId="10" fillId="2" borderId="2" xfId="0" applyFont="1" applyFill="1" applyBorder="1" applyAlignment="1">
      <alignment horizontal="center"/>
    </xf>
    <xf numFmtId="1" fontId="12" fillId="5" borderId="0" xfId="0" applyNumberFormat="1" applyFont="1" applyFill="1" applyAlignment="1">
      <alignment horizontal="center"/>
    </xf>
    <xf numFmtId="1" fontId="10" fillId="0" borderId="0" xfId="0" applyNumberFormat="1" applyFont="1" applyAlignment="1">
      <alignment horizontal="center"/>
    </xf>
    <xf numFmtId="0" fontId="11" fillId="3" borderId="1" xfId="0" applyFont="1" applyFill="1" applyBorder="1" applyAlignment="1">
      <alignment horizontal="center"/>
    </xf>
    <xf numFmtId="1" fontId="11" fillId="3" borderId="1" xfId="0" applyNumberFormat="1" applyFont="1" applyFill="1" applyBorder="1" applyAlignment="1">
      <alignment horizontal="center"/>
    </xf>
    <xf numFmtId="1" fontId="11" fillId="3" borderId="0" xfId="0" applyNumberFormat="1" applyFont="1" applyFill="1" applyAlignment="1">
      <alignment horizontal="center"/>
    </xf>
    <xf numFmtId="0" fontId="11" fillId="3" borderId="0" xfId="0" applyFont="1" applyFill="1" applyAlignment="1">
      <alignment horizontal="center"/>
    </xf>
    <xf numFmtId="9" fontId="11" fillId="0" borderId="1" xfId="1" applyFont="1" applyBorder="1" applyAlignment="1">
      <alignment horizontal="center"/>
    </xf>
    <xf numFmtId="9" fontId="11" fillId="0" borderId="1" xfId="1" applyFont="1" applyFill="1" applyBorder="1" applyAlignment="1">
      <alignment horizontal="center"/>
    </xf>
    <xf numFmtId="9" fontId="11" fillId="0" borderId="1" xfId="0" applyNumberFormat="1" applyFont="1" applyBorder="1" applyAlignment="1">
      <alignment horizontal="center" vertical="center"/>
    </xf>
    <xf numFmtId="0" fontId="10" fillId="4" borderId="1" xfId="0" applyFont="1" applyFill="1" applyBorder="1" applyAlignment="1">
      <alignment horizontal="center"/>
    </xf>
    <xf numFmtId="1" fontId="10" fillId="4" borderId="1" xfId="0" applyNumberFormat="1" applyFont="1" applyFill="1" applyBorder="1" applyAlignment="1">
      <alignment horizontal="center"/>
    </xf>
    <xf numFmtId="0" fontId="11" fillId="0" borderId="3" xfId="0" applyFont="1" applyFill="1" applyBorder="1" applyAlignment="1">
      <alignment horizontal="center"/>
    </xf>
    <xf numFmtId="0" fontId="11" fillId="0" borderId="3" xfId="0" applyFont="1" applyBorder="1" applyAlignment="1">
      <alignment horizontal="center"/>
    </xf>
    <xf numFmtId="1" fontId="10" fillId="3" borderId="0" xfId="0" applyNumberFormat="1" applyFont="1" applyFill="1" applyAlignment="1">
      <alignment horizontal="center"/>
    </xf>
    <xf numFmtId="0" fontId="10" fillId="3" borderId="0" xfId="0" applyFont="1" applyFill="1" applyAlignment="1">
      <alignment horizontal="center"/>
    </xf>
    <xf numFmtId="3" fontId="10" fillId="4" borderId="1" xfId="0" applyNumberFormat="1" applyFont="1" applyFill="1" applyBorder="1" applyAlignment="1">
      <alignment horizontal="center"/>
    </xf>
    <xf numFmtId="0" fontId="14" fillId="9" borderId="15"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0" borderId="15" xfId="0" applyFont="1" applyBorder="1" applyAlignment="1">
      <alignment horizontal="center" vertical="center" wrapText="1"/>
    </xf>
    <xf numFmtId="0" fontId="10" fillId="0" borderId="20" xfId="0" applyFont="1" applyBorder="1" applyAlignment="1">
      <alignment horizontal="center" vertical="center" wrapText="1"/>
    </xf>
    <xf numFmtId="0" fontId="12" fillId="12" borderId="15" xfId="0" applyFont="1" applyFill="1" applyBorder="1" applyAlignment="1">
      <alignment horizontal="center" vertical="center" wrapText="1"/>
    </xf>
    <xf numFmtId="0" fontId="12" fillId="12" borderId="20" xfId="0" applyFont="1" applyFill="1" applyBorder="1" applyAlignment="1">
      <alignment horizontal="center" vertical="center" wrapText="1"/>
    </xf>
    <xf numFmtId="0" fontId="10" fillId="0" borderId="13" xfId="0" applyFont="1" applyBorder="1" applyAlignment="1">
      <alignment horizontal="center"/>
    </xf>
    <xf numFmtId="0" fontId="10" fillId="0" borderId="16" xfId="0" applyFont="1" applyBorder="1" applyAlignment="1">
      <alignment horizontal="center"/>
    </xf>
    <xf numFmtId="0" fontId="10" fillId="0" borderId="40" xfId="0" applyFont="1" applyBorder="1" applyAlignment="1">
      <alignment horizontal="center" vertical="center"/>
    </xf>
    <xf numFmtId="0" fontId="10" fillId="0" borderId="39" xfId="0" applyFont="1" applyBorder="1" applyAlignment="1">
      <alignment horizontal="center" vertical="center"/>
    </xf>
    <xf numFmtId="0" fontId="10" fillId="0" borderId="41" xfId="0" applyFont="1" applyBorder="1" applyAlignment="1">
      <alignment horizontal="center" vertical="center"/>
    </xf>
    <xf numFmtId="0" fontId="10" fillId="0" borderId="38" xfId="0" applyFont="1" applyBorder="1" applyAlignment="1">
      <alignment horizontal="center" vertical="center"/>
    </xf>
    <xf numFmtId="0" fontId="14" fillId="9" borderId="21"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24"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14" fillId="9" borderId="10"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4" fillId="11" borderId="15" xfId="0" applyFont="1" applyFill="1" applyBorder="1" applyAlignment="1">
      <alignment horizontal="center" vertical="center" wrapText="1"/>
    </xf>
    <xf numFmtId="0" fontId="14" fillId="11" borderId="20" xfId="0" applyFont="1" applyFill="1" applyBorder="1" applyAlignment="1">
      <alignment horizontal="center" vertical="center" wrapText="1"/>
    </xf>
    <xf numFmtId="0" fontId="13" fillId="10" borderId="15" xfId="0" applyFont="1" applyFill="1" applyBorder="1" applyAlignment="1">
      <alignment horizontal="center" vertical="center" wrapText="1"/>
    </xf>
    <xf numFmtId="0" fontId="13" fillId="10" borderId="20"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1" fillId="0" borderId="8" xfId="0" applyFont="1" applyBorder="1" applyAlignment="1">
      <alignment horizontal="center" vertical="center" textRotation="90" wrapText="1"/>
    </xf>
    <xf numFmtId="0" fontId="11" fillId="0" borderId="9" xfId="0" applyFont="1" applyBorder="1" applyAlignment="1">
      <alignment horizontal="center" vertical="center" textRotation="90" wrapText="1"/>
    </xf>
    <xf numFmtId="0" fontId="11" fillId="0" borderId="10"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11" fillId="0" borderId="14" xfId="0" applyFont="1" applyBorder="1" applyAlignment="1">
      <alignment horizontal="center" vertical="center" textRotation="90" wrapText="1"/>
    </xf>
    <xf numFmtId="0" fontId="11" fillId="0" borderId="15" xfId="0" applyFont="1" applyBorder="1" applyAlignment="1">
      <alignment horizontal="center" vertical="center" textRotation="90" wrapText="1"/>
    </xf>
    <xf numFmtId="0" fontId="11" fillId="0" borderId="17" xfId="0" applyFont="1" applyBorder="1" applyAlignment="1">
      <alignment horizontal="center" vertical="center" textRotation="90" wrapText="1"/>
    </xf>
    <xf numFmtId="0" fontId="11" fillId="0" borderId="18" xfId="0" applyFont="1" applyBorder="1" applyAlignment="1">
      <alignment horizontal="center" vertical="center" textRotation="90" wrapText="1"/>
    </xf>
    <xf numFmtId="0" fontId="11" fillId="0" borderId="19" xfId="0" applyFont="1" applyBorder="1" applyAlignment="1">
      <alignment horizontal="center" vertical="center" textRotation="90" wrapText="1"/>
    </xf>
    <xf numFmtId="0" fontId="10" fillId="0" borderId="25" xfId="0" applyFont="1" applyBorder="1" applyAlignment="1">
      <alignment horizontal="center" vertical="center" wrapText="1"/>
    </xf>
    <xf numFmtId="0" fontId="10" fillId="0" borderId="29" xfId="0" applyFont="1" applyBorder="1" applyAlignment="1">
      <alignment horizontal="center"/>
    </xf>
    <xf numFmtId="0" fontId="10" fillId="0" borderId="28" xfId="0" applyFont="1" applyBorder="1" applyAlignment="1">
      <alignment horizontal="center"/>
    </xf>
    <xf numFmtId="16" fontId="3" fillId="0" borderId="30" xfId="0" applyNumberFormat="1" applyFont="1" applyBorder="1" applyAlignment="1">
      <alignment horizontal="center"/>
    </xf>
    <xf numFmtId="16" fontId="3" fillId="0" borderId="31" xfId="0" applyNumberFormat="1" applyFont="1" applyBorder="1" applyAlignment="1">
      <alignment horizontal="center"/>
    </xf>
    <xf numFmtId="16" fontId="3" fillId="0" borderId="32"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W67"/>
  <sheetViews>
    <sheetView tabSelected="1" zoomScaleNormal="100" workbookViewId="0">
      <pane ySplit="3" topLeftCell="A31" activePane="bottomLeft" state="frozen"/>
      <selection activeCell="C1" sqref="C1"/>
      <selection pane="bottomLeft" activeCell="AX13" sqref="AX13"/>
    </sheetView>
  </sheetViews>
  <sheetFormatPr defaultRowHeight="15" x14ac:dyDescent="0.25"/>
  <cols>
    <col min="1" max="1" width="9.42578125" style="1" customWidth="1"/>
    <col min="2" max="2" width="39.85546875" style="1" customWidth="1"/>
    <col min="3" max="3" width="6.42578125" style="1" customWidth="1"/>
    <col min="4" max="4" width="8.140625" style="1" customWidth="1"/>
    <col min="5" max="5" width="6.42578125" style="1" customWidth="1"/>
    <col min="6" max="6" width="12.28515625" style="1" customWidth="1"/>
    <col min="7" max="7" width="6.42578125" style="1" customWidth="1"/>
    <col min="8" max="8" width="12.42578125" style="1" customWidth="1"/>
    <col min="9" max="9" width="6.42578125" style="1" customWidth="1"/>
    <col min="10" max="10" width="10.85546875" style="1" customWidth="1"/>
    <col min="11" max="11" width="6.42578125" style="1" customWidth="1"/>
    <col min="12" max="12" width="11.85546875" style="1" customWidth="1"/>
    <col min="13" max="13" width="6.42578125" style="1" hidden="1" customWidth="1"/>
    <col min="14" max="14" width="8.140625" style="1" hidden="1" customWidth="1"/>
    <col min="15" max="15" width="6.42578125" style="1" hidden="1" customWidth="1"/>
    <col min="16" max="16" width="12.28515625" style="1" hidden="1" customWidth="1"/>
    <col min="17" max="17" width="6.42578125" style="1" customWidth="1"/>
    <col min="18" max="18" width="12.5703125" style="1" customWidth="1"/>
    <col min="19" max="19" width="6.42578125" style="1" hidden="1" customWidth="1"/>
    <col min="20" max="20" width="8.140625" style="1" hidden="1" customWidth="1"/>
    <col min="21" max="21" width="6.42578125" style="1" customWidth="1"/>
    <col min="22" max="22" width="11.28515625" style="1" customWidth="1"/>
    <col min="23" max="23" width="6.42578125" style="1" customWidth="1"/>
    <col min="24" max="24" width="12.28515625" style="1" customWidth="1"/>
    <col min="25" max="25" width="6.42578125" style="1" hidden="1" customWidth="1"/>
    <col min="26" max="26" width="8.140625" style="1" hidden="1" customWidth="1"/>
    <col min="27" max="27" width="6.42578125" style="1" customWidth="1"/>
    <col min="28" max="28" width="12.28515625" style="1" customWidth="1"/>
    <col min="29" max="29" width="6.42578125" style="1" customWidth="1"/>
    <col min="30" max="30" width="12.28515625" style="1" customWidth="1"/>
    <col min="31" max="31" width="6.42578125" style="1" hidden="1" customWidth="1"/>
    <col min="32" max="32" width="8.140625" style="1" hidden="1" customWidth="1"/>
    <col min="33" max="33" width="6.42578125" style="4" hidden="1" customWidth="1"/>
    <col min="34" max="34" width="8.140625" style="4" hidden="1" customWidth="1"/>
    <col min="35" max="35" width="6.42578125" style="1" customWidth="1"/>
    <col min="36" max="36" width="8.140625" style="1" customWidth="1"/>
    <col min="37" max="37" width="6.42578125" style="1" customWidth="1"/>
    <col min="38" max="38" width="12.28515625" style="1" customWidth="1"/>
    <col min="39" max="39" width="6.42578125" style="1" hidden="1" customWidth="1"/>
    <col min="40" max="40" width="13.85546875" style="1" hidden="1" customWidth="1"/>
    <col min="41" max="41" width="6.42578125" style="1" customWidth="1"/>
    <col min="42" max="42" width="8.140625" style="1" customWidth="1"/>
    <col min="43" max="43" width="10.42578125" style="1" bestFit="1" customWidth="1"/>
    <col min="44" max="44" width="7.7109375" style="1" customWidth="1"/>
    <col min="45" max="45" width="11.42578125" style="1" bestFit="1" customWidth="1"/>
    <col min="46" max="47" width="7.140625" style="1" customWidth="1"/>
    <col min="48" max="48" width="8.140625" style="1" customWidth="1"/>
    <col min="49" max="49" width="12.28515625" style="1" customWidth="1"/>
    <col min="50" max="16384" width="9.140625" style="1"/>
  </cols>
  <sheetData>
    <row r="1" spans="1:49" s="3" customFormat="1" x14ac:dyDescent="0.25">
      <c r="A1" s="27"/>
      <c r="B1" s="28" t="s">
        <v>13</v>
      </c>
      <c r="C1" s="85" t="s">
        <v>50</v>
      </c>
      <c r="D1" s="86"/>
      <c r="E1" s="75" t="s">
        <v>76</v>
      </c>
      <c r="F1" s="76"/>
      <c r="G1" s="85" t="s">
        <v>56</v>
      </c>
      <c r="H1" s="86"/>
      <c r="I1" s="85" t="s">
        <v>53</v>
      </c>
      <c r="J1" s="86"/>
      <c r="K1" s="105" t="s">
        <v>54</v>
      </c>
      <c r="L1" s="106"/>
      <c r="M1" s="85" t="s">
        <v>55</v>
      </c>
      <c r="N1" s="86"/>
      <c r="O1" s="75" t="s">
        <v>75</v>
      </c>
      <c r="P1" s="76"/>
      <c r="Q1" s="75" t="s">
        <v>78</v>
      </c>
      <c r="R1" s="76"/>
      <c r="S1" s="75" t="s">
        <v>82</v>
      </c>
      <c r="T1" s="76"/>
      <c r="U1" s="75" t="s">
        <v>87</v>
      </c>
      <c r="V1" s="76"/>
      <c r="W1" s="75" t="s">
        <v>88</v>
      </c>
      <c r="X1" s="76"/>
      <c r="Y1" s="75"/>
      <c r="Z1" s="76"/>
      <c r="AA1" s="75" t="s">
        <v>91</v>
      </c>
      <c r="AB1" s="76"/>
      <c r="AC1" s="75" t="s">
        <v>92</v>
      </c>
      <c r="AD1" s="76"/>
      <c r="AE1" s="75" t="s">
        <v>46</v>
      </c>
      <c r="AF1" s="76"/>
      <c r="AG1" s="75" t="s">
        <v>46</v>
      </c>
      <c r="AH1" s="84"/>
      <c r="AI1" s="75" t="s">
        <v>97</v>
      </c>
      <c r="AJ1" s="76"/>
      <c r="AK1" s="75" t="s">
        <v>85</v>
      </c>
      <c r="AL1" s="76"/>
      <c r="AM1" s="85" t="s">
        <v>80</v>
      </c>
      <c r="AN1" s="86"/>
      <c r="AO1" s="77" t="s">
        <v>19</v>
      </c>
      <c r="AP1" s="78"/>
      <c r="AQ1" s="29"/>
      <c r="AR1" s="29"/>
      <c r="AS1" s="29"/>
      <c r="AT1" s="29"/>
      <c r="AU1" s="29"/>
      <c r="AV1" s="29"/>
      <c r="AW1" s="29"/>
    </row>
    <row r="2" spans="1:49" s="26" customFormat="1" ht="37.5" customHeight="1" thickBot="1" x14ac:dyDescent="0.3">
      <c r="A2" s="30"/>
      <c r="B2" s="31"/>
      <c r="C2" s="71" t="s">
        <v>42</v>
      </c>
      <c r="D2" s="72"/>
      <c r="E2" s="69" t="s">
        <v>90</v>
      </c>
      <c r="F2" s="70"/>
      <c r="G2" s="67" t="s">
        <v>52</v>
      </c>
      <c r="H2" s="68"/>
      <c r="I2" s="67" t="s">
        <v>86</v>
      </c>
      <c r="J2" s="68"/>
      <c r="K2" s="81" t="s">
        <v>57</v>
      </c>
      <c r="L2" s="81"/>
      <c r="M2" s="71" t="s">
        <v>58</v>
      </c>
      <c r="N2" s="72"/>
      <c r="O2" s="71" t="s">
        <v>83</v>
      </c>
      <c r="P2" s="72"/>
      <c r="Q2" s="73" t="s">
        <v>77</v>
      </c>
      <c r="R2" s="74"/>
      <c r="S2" s="71" t="s">
        <v>81</v>
      </c>
      <c r="T2" s="72"/>
      <c r="U2" s="91" t="s">
        <v>95</v>
      </c>
      <c r="V2" s="92"/>
      <c r="W2" s="69" t="s">
        <v>89</v>
      </c>
      <c r="X2" s="70"/>
      <c r="Y2" s="69"/>
      <c r="Z2" s="70"/>
      <c r="AA2" s="69" t="s">
        <v>93</v>
      </c>
      <c r="AB2" s="70"/>
      <c r="AC2" s="69" t="s">
        <v>94</v>
      </c>
      <c r="AD2" s="70"/>
      <c r="AE2" s="82" t="s">
        <v>47</v>
      </c>
      <c r="AF2" s="83"/>
      <c r="AG2" s="82" t="s">
        <v>47</v>
      </c>
      <c r="AH2" s="104"/>
      <c r="AI2" s="67" t="s">
        <v>96</v>
      </c>
      <c r="AJ2" s="68"/>
      <c r="AK2" s="89" t="s">
        <v>84</v>
      </c>
      <c r="AL2" s="90"/>
      <c r="AM2" s="87" t="s">
        <v>79</v>
      </c>
      <c r="AN2" s="88"/>
      <c r="AO2" s="79"/>
      <c r="AP2" s="80"/>
      <c r="AQ2" s="32"/>
      <c r="AR2" s="32"/>
      <c r="AS2" s="32"/>
      <c r="AT2" s="32"/>
      <c r="AU2" s="32"/>
      <c r="AV2" s="32"/>
      <c r="AW2" s="32"/>
    </row>
    <row r="3" spans="1:49" ht="14.1" customHeight="1" thickBot="1" x14ac:dyDescent="0.3">
      <c r="A3" s="33"/>
      <c r="B3" s="34" t="s">
        <v>14</v>
      </c>
      <c r="C3" s="34" t="s">
        <v>15</v>
      </c>
      <c r="D3" s="34" t="s">
        <v>16</v>
      </c>
      <c r="E3" s="34" t="s">
        <v>15</v>
      </c>
      <c r="F3" s="34" t="s">
        <v>16</v>
      </c>
      <c r="G3" s="34" t="s">
        <v>15</v>
      </c>
      <c r="H3" s="34" t="s">
        <v>16</v>
      </c>
      <c r="I3" s="34" t="s">
        <v>15</v>
      </c>
      <c r="J3" s="34" t="s">
        <v>16</v>
      </c>
      <c r="K3" s="34" t="s">
        <v>15</v>
      </c>
      <c r="L3" s="34" t="s">
        <v>16</v>
      </c>
      <c r="M3" s="34" t="s">
        <v>15</v>
      </c>
      <c r="N3" s="34" t="s">
        <v>16</v>
      </c>
      <c r="O3" s="34" t="s">
        <v>15</v>
      </c>
      <c r="P3" s="34" t="s">
        <v>16</v>
      </c>
      <c r="Q3" s="34" t="s">
        <v>15</v>
      </c>
      <c r="R3" s="34" t="s">
        <v>16</v>
      </c>
      <c r="S3" s="34" t="s">
        <v>15</v>
      </c>
      <c r="T3" s="34" t="s">
        <v>16</v>
      </c>
      <c r="U3" s="35" t="s">
        <v>15</v>
      </c>
      <c r="V3" s="35" t="s">
        <v>16</v>
      </c>
      <c r="W3" s="35" t="s">
        <v>15</v>
      </c>
      <c r="X3" s="35" t="s">
        <v>16</v>
      </c>
      <c r="Y3" s="35" t="s">
        <v>15</v>
      </c>
      <c r="Z3" s="35" t="s">
        <v>16</v>
      </c>
      <c r="AA3" s="35" t="s">
        <v>15</v>
      </c>
      <c r="AB3" s="35" t="s">
        <v>16</v>
      </c>
      <c r="AC3" s="35" t="s">
        <v>15</v>
      </c>
      <c r="AD3" s="35" t="s">
        <v>16</v>
      </c>
      <c r="AE3" s="35" t="s">
        <v>15</v>
      </c>
      <c r="AF3" s="35" t="s">
        <v>16</v>
      </c>
      <c r="AG3" s="36" t="s">
        <v>15</v>
      </c>
      <c r="AH3" s="36" t="s">
        <v>16</v>
      </c>
      <c r="AI3" s="34" t="s">
        <v>15</v>
      </c>
      <c r="AJ3" s="34" t="s">
        <v>16</v>
      </c>
      <c r="AK3" s="34" t="s">
        <v>15</v>
      </c>
      <c r="AL3" s="34" t="s">
        <v>16</v>
      </c>
      <c r="AM3" s="34" t="s">
        <v>15</v>
      </c>
      <c r="AN3" s="34" t="s">
        <v>16</v>
      </c>
      <c r="AO3" s="34" t="s">
        <v>15</v>
      </c>
      <c r="AP3" s="34" t="s">
        <v>16</v>
      </c>
      <c r="AQ3" s="37"/>
      <c r="AR3" s="37"/>
      <c r="AS3" s="37"/>
      <c r="AT3" s="37"/>
      <c r="AU3" s="37"/>
      <c r="AV3" s="37"/>
      <c r="AW3" s="37"/>
    </row>
    <row r="4" spans="1:49" ht="14.1" customHeight="1" x14ac:dyDescent="0.25">
      <c r="A4" s="98" t="s">
        <v>17</v>
      </c>
      <c r="B4" s="35" t="s">
        <v>0</v>
      </c>
      <c r="C4" s="35">
        <v>1</v>
      </c>
      <c r="D4" s="38">
        <v>17500</v>
      </c>
      <c r="E4" s="39"/>
      <c r="F4" s="39">
        <f>D4/375*14</f>
        <v>653.33333333333326</v>
      </c>
      <c r="G4" s="35"/>
      <c r="H4" s="39">
        <f>D4/375*80</f>
        <v>3733.333333333333</v>
      </c>
      <c r="I4" s="39"/>
      <c r="J4" s="39">
        <f>D4/375*116</f>
        <v>5413.333333333333</v>
      </c>
      <c r="K4" s="39"/>
      <c r="L4" s="39">
        <f>D4/375*24</f>
        <v>1120</v>
      </c>
      <c r="M4" s="39"/>
      <c r="N4" s="39"/>
      <c r="O4" s="35"/>
      <c r="P4" s="39"/>
      <c r="Q4" s="35"/>
      <c r="R4" s="39">
        <f>D4/375*3</f>
        <v>140</v>
      </c>
      <c r="S4" s="35"/>
      <c r="T4" s="35"/>
      <c r="U4" s="35"/>
      <c r="V4" s="35">
        <f>D4/375*43</f>
        <v>2006.6666666666665</v>
      </c>
      <c r="W4" s="35"/>
      <c r="X4" s="35">
        <f>D4/375*21</f>
        <v>980</v>
      </c>
      <c r="Y4" s="35"/>
      <c r="Z4" s="35">
        <f>$D4*SUM(Y27:Y28)/SUM($AO27:$AO28)</f>
        <v>0</v>
      </c>
      <c r="AA4" s="35"/>
      <c r="AB4" s="35">
        <f>D4/333*0</f>
        <v>0</v>
      </c>
      <c r="AC4" s="35"/>
      <c r="AD4" s="35">
        <f>D4/375*50</f>
        <v>2333.333333333333</v>
      </c>
      <c r="AE4" s="35"/>
      <c r="AF4" s="35">
        <f>$D4*SUM(AE27:AE28)/SUM($AO27:$AO28)</f>
        <v>0</v>
      </c>
      <c r="AG4" s="36"/>
      <c r="AH4" s="35">
        <f>$D4*SUM(AG27:AG28)/SUM($AO27:$AO28)</f>
        <v>0</v>
      </c>
      <c r="AI4" s="35"/>
      <c r="AJ4" s="35">
        <f>D4/375*15</f>
        <v>700</v>
      </c>
      <c r="AK4" s="35"/>
      <c r="AL4" s="35">
        <f>D4/375*9</f>
        <v>420</v>
      </c>
      <c r="AM4" s="35"/>
      <c r="AN4" s="35"/>
      <c r="AO4" s="39">
        <f t="shared" ref="AO4:AO11" si="0">C4+E4+G4+O4+Q4+S4+U4+W4+Y4+AA4+AC4+AE4+AG4+AI4+AK4</f>
        <v>1</v>
      </c>
      <c r="AP4" s="39">
        <f>R4+P4+N4+L4+J4+H4+F4+AN4+AL4+T4+V4+X4+AD4+AB4+AJ4</f>
        <v>17500</v>
      </c>
      <c r="AQ4" s="37"/>
      <c r="AR4" s="37"/>
      <c r="AS4" s="37"/>
      <c r="AT4" s="37"/>
      <c r="AU4" s="37"/>
      <c r="AV4" s="37"/>
      <c r="AW4" s="37"/>
    </row>
    <row r="5" spans="1:49" ht="14.1" customHeight="1" x14ac:dyDescent="0.25">
      <c r="A5" s="99"/>
      <c r="B5" s="35" t="s">
        <v>1</v>
      </c>
      <c r="C5" s="35">
        <v>1</v>
      </c>
      <c r="D5" s="38">
        <v>79439</v>
      </c>
      <c r="E5" s="39"/>
      <c r="F5" s="39">
        <f t="shared" ref="F5:F25" si="1">D5/375*14</f>
        <v>2965.7226666666666</v>
      </c>
      <c r="G5" s="35"/>
      <c r="H5" s="39">
        <f t="shared" ref="H5:H25" si="2">D5/375*80</f>
        <v>16946.986666666668</v>
      </c>
      <c r="I5" s="39"/>
      <c r="J5" s="39">
        <f t="shared" ref="J5:J25" si="3">D5/375*116</f>
        <v>24573.130666666668</v>
      </c>
      <c r="K5" s="39"/>
      <c r="L5" s="39">
        <f t="shared" ref="L5:L25" si="4">D5/375*24</f>
        <v>5084.0959999999995</v>
      </c>
      <c r="M5" s="39"/>
      <c r="N5" s="39"/>
      <c r="O5" s="39"/>
      <c r="P5" s="39"/>
      <c r="Q5" s="39"/>
      <c r="R5" s="39">
        <f t="shared" ref="R5:R25" si="5">D5/375*3</f>
        <v>635.51199999999994</v>
      </c>
      <c r="S5" s="39"/>
      <c r="T5" s="35"/>
      <c r="U5" s="39"/>
      <c r="V5" s="35">
        <f t="shared" ref="V5:V25" si="6">D5/375*43</f>
        <v>9109.0053333333326</v>
      </c>
      <c r="W5" s="39"/>
      <c r="X5" s="35">
        <f t="shared" ref="X5:X25" si="7">D5/375*21</f>
        <v>4448.5839999999998</v>
      </c>
      <c r="Y5" s="39"/>
      <c r="Z5" s="35">
        <f>$D5*SUM(Y27:Y28)/SUM($AO27:$AO28)</f>
        <v>0</v>
      </c>
      <c r="AA5" s="39"/>
      <c r="AB5" s="35">
        <f t="shared" ref="AB5:AB25" si="8">D5/333*0</f>
        <v>0</v>
      </c>
      <c r="AC5" s="39"/>
      <c r="AD5" s="35">
        <f t="shared" ref="AD5:AD25" si="9">D5/375*50</f>
        <v>10591.866666666667</v>
      </c>
      <c r="AE5" s="39"/>
      <c r="AF5" s="35">
        <f>$D5*SUM(AE27:AE28)/SUM($AO27:$AO28)</f>
        <v>0</v>
      </c>
      <c r="AG5" s="40"/>
      <c r="AH5" s="35">
        <f>$D5*SUM(AG27:AG28)/SUM($AO27:$AO28)</f>
        <v>0</v>
      </c>
      <c r="AI5" s="39"/>
      <c r="AJ5" s="35">
        <f t="shared" ref="AJ5:AJ25" si="10">D5/375*15</f>
        <v>3177.56</v>
      </c>
      <c r="AK5" s="39"/>
      <c r="AL5" s="35">
        <f t="shared" ref="AL5:AL25" si="11">D5/375*9</f>
        <v>1906.5360000000001</v>
      </c>
      <c r="AM5" s="39"/>
      <c r="AN5" s="35"/>
      <c r="AO5" s="39">
        <f t="shared" si="0"/>
        <v>1</v>
      </c>
      <c r="AP5" s="39">
        <f t="shared" ref="AP5:AP11" si="12">R5+P5+N5+L5+J5+H5+F5+AN5+AL5+T5+V5+X5+AD5+AB5+AJ5</f>
        <v>79439</v>
      </c>
      <c r="AQ5" s="37"/>
      <c r="AR5" s="37"/>
      <c r="AS5" s="37"/>
      <c r="AT5" s="37"/>
      <c r="AU5" s="37"/>
      <c r="AV5" s="37"/>
      <c r="AW5" s="37"/>
    </row>
    <row r="6" spans="1:49" s="5" customFormat="1" ht="14.1" customHeight="1" x14ac:dyDescent="0.25">
      <c r="A6" s="99"/>
      <c r="B6" s="35" t="s">
        <v>5</v>
      </c>
      <c r="C6" s="35">
        <v>0</v>
      </c>
      <c r="D6" s="35">
        <v>0</v>
      </c>
      <c r="E6" s="39"/>
      <c r="F6" s="39">
        <f t="shared" si="1"/>
        <v>0</v>
      </c>
      <c r="G6" s="35"/>
      <c r="H6" s="39">
        <f t="shared" si="2"/>
        <v>0</v>
      </c>
      <c r="I6" s="39"/>
      <c r="J6" s="39">
        <f t="shared" si="3"/>
        <v>0</v>
      </c>
      <c r="K6" s="39"/>
      <c r="L6" s="39">
        <f t="shared" si="4"/>
        <v>0</v>
      </c>
      <c r="M6" s="39"/>
      <c r="N6" s="39"/>
      <c r="O6" s="39"/>
      <c r="P6" s="39"/>
      <c r="Q6" s="39"/>
      <c r="R6" s="39">
        <f t="shared" si="5"/>
        <v>0</v>
      </c>
      <c r="S6" s="39"/>
      <c r="T6" s="35"/>
      <c r="U6" s="39"/>
      <c r="V6" s="35">
        <f t="shared" si="6"/>
        <v>0</v>
      </c>
      <c r="W6" s="39"/>
      <c r="X6" s="35">
        <f t="shared" si="7"/>
        <v>0</v>
      </c>
      <c r="Y6" s="39"/>
      <c r="Z6" s="35">
        <v>0</v>
      </c>
      <c r="AA6" s="39"/>
      <c r="AB6" s="35">
        <f t="shared" si="8"/>
        <v>0</v>
      </c>
      <c r="AC6" s="39"/>
      <c r="AD6" s="35">
        <f t="shared" si="9"/>
        <v>0</v>
      </c>
      <c r="AE6" s="39"/>
      <c r="AF6" s="35">
        <v>0</v>
      </c>
      <c r="AG6" s="40"/>
      <c r="AH6" s="35">
        <v>0</v>
      </c>
      <c r="AI6" s="39"/>
      <c r="AJ6" s="35">
        <f t="shared" si="10"/>
        <v>0</v>
      </c>
      <c r="AK6" s="39"/>
      <c r="AL6" s="35">
        <f t="shared" si="11"/>
        <v>0</v>
      </c>
      <c r="AM6" s="39"/>
      <c r="AN6" s="35"/>
      <c r="AO6" s="39">
        <f t="shared" si="0"/>
        <v>0</v>
      </c>
      <c r="AP6" s="39">
        <f t="shared" si="12"/>
        <v>0</v>
      </c>
      <c r="AQ6" s="37"/>
      <c r="AR6" s="37"/>
      <c r="AS6" s="37"/>
      <c r="AT6" s="37"/>
      <c r="AU6" s="37"/>
      <c r="AV6" s="37"/>
      <c r="AW6" s="37"/>
    </row>
    <row r="7" spans="1:49" ht="14.1" customHeight="1" x14ac:dyDescent="0.25">
      <c r="A7" s="99"/>
      <c r="B7" s="35" t="s">
        <v>43</v>
      </c>
      <c r="C7" s="35">
        <v>4</v>
      </c>
      <c r="D7" s="35">
        <v>58427</v>
      </c>
      <c r="E7" s="39"/>
      <c r="F7" s="39">
        <f t="shared" si="1"/>
        <v>2181.2746666666667</v>
      </c>
      <c r="G7" s="35"/>
      <c r="H7" s="39">
        <f t="shared" si="2"/>
        <v>12464.426666666666</v>
      </c>
      <c r="I7" s="39"/>
      <c r="J7" s="39">
        <f t="shared" si="3"/>
        <v>18073.418666666665</v>
      </c>
      <c r="K7" s="39"/>
      <c r="L7" s="39">
        <f t="shared" si="4"/>
        <v>3739.3279999999995</v>
      </c>
      <c r="M7" s="39"/>
      <c r="N7" s="39"/>
      <c r="O7" s="39"/>
      <c r="P7" s="39"/>
      <c r="Q7" s="39"/>
      <c r="R7" s="39">
        <f t="shared" si="5"/>
        <v>467.41599999999994</v>
      </c>
      <c r="S7" s="39"/>
      <c r="T7" s="35"/>
      <c r="U7" s="39"/>
      <c r="V7" s="35">
        <f t="shared" si="6"/>
        <v>6699.6293333333333</v>
      </c>
      <c r="W7" s="39"/>
      <c r="X7" s="35">
        <f t="shared" si="7"/>
        <v>3271.9119999999998</v>
      </c>
      <c r="Y7" s="39"/>
      <c r="Z7" s="35">
        <f>$D7*SUM(Y27:Y28)/SUM($AO27:$AO28)</f>
        <v>0</v>
      </c>
      <c r="AA7" s="39"/>
      <c r="AB7" s="35">
        <f t="shared" si="8"/>
        <v>0</v>
      </c>
      <c r="AC7" s="39"/>
      <c r="AD7" s="35">
        <f t="shared" si="9"/>
        <v>7790.2666666666664</v>
      </c>
      <c r="AE7" s="39"/>
      <c r="AF7" s="35">
        <f>$D7*SUM(AE27:AE28)/SUM($AO27:$AO28)</f>
        <v>0</v>
      </c>
      <c r="AG7" s="40"/>
      <c r="AH7" s="35">
        <f>$D7*SUM(AG27:AG28)/SUM($AO27:$AO28)</f>
        <v>0</v>
      </c>
      <c r="AI7" s="39"/>
      <c r="AJ7" s="35">
        <f t="shared" si="10"/>
        <v>2337.08</v>
      </c>
      <c r="AK7" s="39"/>
      <c r="AL7" s="35">
        <f t="shared" si="11"/>
        <v>1402.2479999999998</v>
      </c>
      <c r="AM7" s="39"/>
      <c r="AN7" s="35"/>
      <c r="AO7" s="39">
        <f t="shared" si="0"/>
        <v>4</v>
      </c>
      <c r="AP7" s="39">
        <f t="shared" si="12"/>
        <v>58426.999999999985</v>
      </c>
      <c r="AQ7" s="37"/>
      <c r="AR7" s="37"/>
      <c r="AS7" s="37"/>
      <c r="AT7" s="37"/>
      <c r="AU7" s="37"/>
      <c r="AV7" s="37"/>
      <c r="AW7" s="37"/>
    </row>
    <row r="8" spans="1:49" ht="14.1" customHeight="1" x14ac:dyDescent="0.25">
      <c r="A8" s="99"/>
      <c r="B8" s="35" t="s">
        <v>30</v>
      </c>
      <c r="C8" s="35">
        <v>4</v>
      </c>
      <c r="D8" s="35">
        <f>75226+6800-16648</f>
        <v>65378</v>
      </c>
      <c r="E8" s="39"/>
      <c r="F8" s="39">
        <f t="shared" si="1"/>
        <v>2440.7786666666666</v>
      </c>
      <c r="G8" s="35"/>
      <c r="H8" s="39">
        <f t="shared" si="2"/>
        <v>13947.306666666665</v>
      </c>
      <c r="I8" s="39"/>
      <c r="J8" s="39">
        <f t="shared" si="3"/>
        <v>20223.594666666664</v>
      </c>
      <c r="K8" s="39"/>
      <c r="L8" s="39">
        <f t="shared" si="4"/>
        <v>4184.192</v>
      </c>
      <c r="M8" s="39"/>
      <c r="N8" s="39"/>
      <c r="O8" s="39"/>
      <c r="P8" s="39"/>
      <c r="Q8" s="39"/>
      <c r="R8" s="39">
        <f t="shared" si="5"/>
        <v>523.024</v>
      </c>
      <c r="S8" s="39"/>
      <c r="T8" s="35"/>
      <c r="U8" s="39"/>
      <c r="V8" s="35">
        <f t="shared" si="6"/>
        <v>7496.6773333333331</v>
      </c>
      <c r="W8" s="39"/>
      <c r="X8" s="35">
        <f t="shared" si="7"/>
        <v>3661.1679999999997</v>
      </c>
      <c r="Y8" s="39"/>
      <c r="Z8" s="35">
        <f>$D8*SUM(Y27:Y28)/SUM($AO27:$AO28)</f>
        <v>0</v>
      </c>
      <c r="AA8" s="39"/>
      <c r="AB8" s="35">
        <f t="shared" si="8"/>
        <v>0</v>
      </c>
      <c r="AC8" s="39"/>
      <c r="AD8" s="35">
        <f t="shared" si="9"/>
        <v>8717.0666666666657</v>
      </c>
      <c r="AE8" s="39"/>
      <c r="AF8" s="35">
        <f>$D8*SUM(AE27:AE28)/SUM($AO27:$AO28)</f>
        <v>0</v>
      </c>
      <c r="AG8" s="40">
        <v>0</v>
      </c>
      <c r="AH8" s="35">
        <f>$D8*SUM(AG27:AG28)/SUM($AO27:$AO28)</f>
        <v>0</v>
      </c>
      <c r="AI8" s="39"/>
      <c r="AJ8" s="35">
        <f t="shared" si="10"/>
        <v>2615.12</v>
      </c>
      <c r="AK8" s="39"/>
      <c r="AL8" s="35">
        <f t="shared" si="11"/>
        <v>1569.0719999999999</v>
      </c>
      <c r="AM8" s="39"/>
      <c r="AN8" s="35"/>
      <c r="AO8" s="39">
        <f t="shared" si="0"/>
        <v>4</v>
      </c>
      <c r="AP8" s="39">
        <f t="shared" si="12"/>
        <v>65377.999999999993</v>
      </c>
      <c r="AQ8" s="37"/>
      <c r="AR8" s="37"/>
      <c r="AS8" s="37"/>
      <c r="AT8" s="37"/>
      <c r="AU8" s="37"/>
      <c r="AV8" s="37"/>
      <c r="AW8" s="37"/>
    </row>
    <row r="9" spans="1:49" ht="14.1" customHeight="1" x14ac:dyDescent="0.25">
      <c r="A9" s="99"/>
      <c r="B9" s="35" t="s">
        <v>44</v>
      </c>
      <c r="C9" s="35">
        <v>2</v>
      </c>
      <c r="D9" s="35">
        <v>32235</v>
      </c>
      <c r="E9" s="39"/>
      <c r="F9" s="39">
        <f t="shared" si="1"/>
        <v>1203.4399999999998</v>
      </c>
      <c r="G9" s="35"/>
      <c r="H9" s="39">
        <f t="shared" si="2"/>
        <v>6876.7999999999993</v>
      </c>
      <c r="I9" s="39"/>
      <c r="J9" s="39">
        <f t="shared" si="3"/>
        <v>9971.3599999999988</v>
      </c>
      <c r="K9" s="39"/>
      <c r="L9" s="39">
        <f t="shared" si="4"/>
        <v>2063.04</v>
      </c>
      <c r="M9" s="39"/>
      <c r="N9" s="39"/>
      <c r="O9" s="39"/>
      <c r="P9" s="39"/>
      <c r="Q9" s="39"/>
      <c r="R9" s="39">
        <f t="shared" si="5"/>
        <v>257.88</v>
      </c>
      <c r="S9" s="39"/>
      <c r="T9" s="35"/>
      <c r="U9" s="39"/>
      <c r="V9" s="35">
        <f t="shared" si="6"/>
        <v>3696.2799999999997</v>
      </c>
      <c r="W9" s="39"/>
      <c r="X9" s="35">
        <f t="shared" si="7"/>
        <v>1805.1599999999999</v>
      </c>
      <c r="Y9" s="39"/>
      <c r="Z9" s="35">
        <f>$D9*SUM(Y27:Y28)/SUM($AO27:$AO28)</f>
        <v>0</v>
      </c>
      <c r="AA9" s="39"/>
      <c r="AB9" s="35">
        <f t="shared" si="8"/>
        <v>0</v>
      </c>
      <c r="AC9" s="39"/>
      <c r="AD9" s="35">
        <f t="shared" si="9"/>
        <v>4298</v>
      </c>
      <c r="AE9" s="39"/>
      <c r="AF9" s="35">
        <f>$D9*SUM(AE27:AE28)/SUM($AO27:$AO28)</f>
        <v>0</v>
      </c>
      <c r="AG9" s="40"/>
      <c r="AH9" s="35">
        <f>$D9*SUM(AG27:AG28)/SUM($AO27:$AO28)</f>
        <v>0</v>
      </c>
      <c r="AI9" s="39"/>
      <c r="AJ9" s="35">
        <f t="shared" si="10"/>
        <v>1289.3999999999999</v>
      </c>
      <c r="AK9" s="39"/>
      <c r="AL9" s="35">
        <f t="shared" si="11"/>
        <v>773.64</v>
      </c>
      <c r="AM9" s="39"/>
      <c r="AN9" s="35"/>
      <c r="AO9" s="39">
        <f t="shared" si="0"/>
        <v>2</v>
      </c>
      <c r="AP9" s="39">
        <f t="shared" si="12"/>
        <v>32234.999999999996</v>
      </c>
      <c r="AQ9" s="37"/>
      <c r="AR9" s="37"/>
      <c r="AS9" s="37"/>
      <c r="AT9" s="37"/>
      <c r="AU9" s="37"/>
      <c r="AV9" s="37"/>
      <c r="AW9" s="37"/>
    </row>
    <row r="10" spans="1:49" ht="14.1" customHeight="1" x14ac:dyDescent="0.25">
      <c r="A10" s="99"/>
      <c r="B10" s="35" t="s">
        <v>8</v>
      </c>
      <c r="C10" s="35">
        <v>0</v>
      </c>
      <c r="D10" s="35">
        <v>0</v>
      </c>
      <c r="E10" s="39"/>
      <c r="F10" s="39">
        <f t="shared" si="1"/>
        <v>0</v>
      </c>
      <c r="G10" s="35"/>
      <c r="H10" s="39">
        <f t="shared" si="2"/>
        <v>0</v>
      </c>
      <c r="I10" s="39"/>
      <c r="J10" s="39">
        <f t="shared" si="3"/>
        <v>0</v>
      </c>
      <c r="K10" s="39"/>
      <c r="L10" s="39">
        <f t="shared" si="4"/>
        <v>0</v>
      </c>
      <c r="M10" s="39"/>
      <c r="N10" s="39"/>
      <c r="O10" s="39"/>
      <c r="P10" s="39"/>
      <c r="Q10" s="39"/>
      <c r="R10" s="39">
        <f t="shared" si="5"/>
        <v>0</v>
      </c>
      <c r="S10" s="39"/>
      <c r="T10" s="35"/>
      <c r="U10" s="39"/>
      <c r="V10" s="35">
        <f t="shared" si="6"/>
        <v>0</v>
      </c>
      <c r="W10" s="39"/>
      <c r="X10" s="35">
        <f t="shared" si="7"/>
        <v>0</v>
      </c>
      <c r="Y10" s="39"/>
      <c r="Z10" s="35">
        <v>0</v>
      </c>
      <c r="AA10" s="39"/>
      <c r="AB10" s="35">
        <f t="shared" si="8"/>
        <v>0</v>
      </c>
      <c r="AC10" s="39"/>
      <c r="AD10" s="35">
        <f t="shared" si="9"/>
        <v>0</v>
      </c>
      <c r="AE10" s="39"/>
      <c r="AF10" s="35">
        <v>0</v>
      </c>
      <c r="AG10" s="40"/>
      <c r="AH10" s="35">
        <v>0</v>
      </c>
      <c r="AI10" s="39"/>
      <c r="AJ10" s="35">
        <f t="shared" si="10"/>
        <v>0</v>
      </c>
      <c r="AK10" s="39"/>
      <c r="AL10" s="35">
        <f t="shared" si="11"/>
        <v>0</v>
      </c>
      <c r="AM10" s="39"/>
      <c r="AN10" s="35"/>
      <c r="AO10" s="39">
        <f t="shared" si="0"/>
        <v>0</v>
      </c>
      <c r="AP10" s="39">
        <f t="shared" si="12"/>
        <v>0</v>
      </c>
      <c r="AQ10" s="37"/>
      <c r="AR10" s="37"/>
      <c r="AS10" s="37"/>
      <c r="AT10" s="37"/>
      <c r="AU10" s="37"/>
      <c r="AV10" s="37"/>
      <c r="AW10" s="37"/>
    </row>
    <row r="11" spans="1:49" ht="14.1" customHeight="1" thickBot="1" x14ac:dyDescent="0.3">
      <c r="A11" s="100"/>
      <c r="B11" s="35" t="s">
        <v>9</v>
      </c>
      <c r="C11" s="35">
        <v>5</v>
      </c>
      <c r="D11" s="35">
        <v>40485</v>
      </c>
      <c r="E11" s="39"/>
      <c r="F11" s="39">
        <f t="shared" si="1"/>
        <v>1511.4399999999998</v>
      </c>
      <c r="G11" s="35"/>
      <c r="H11" s="39">
        <f t="shared" si="2"/>
        <v>8636.7999999999993</v>
      </c>
      <c r="I11" s="39"/>
      <c r="J11" s="39">
        <f t="shared" si="3"/>
        <v>12523.359999999999</v>
      </c>
      <c r="K11" s="39"/>
      <c r="L11" s="39">
        <f t="shared" si="4"/>
        <v>2591.04</v>
      </c>
      <c r="M11" s="39"/>
      <c r="N11" s="39"/>
      <c r="O11" s="35"/>
      <c r="P11" s="39"/>
      <c r="Q11" s="35"/>
      <c r="R11" s="39">
        <f t="shared" si="5"/>
        <v>323.88</v>
      </c>
      <c r="S11" s="35"/>
      <c r="T11" s="35"/>
      <c r="U11" s="35"/>
      <c r="V11" s="35">
        <f t="shared" si="6"/>
        <v>4642.28</v>
      </c>
      <c r="W11" s="35"/>
      <c r="X11" s="35">
        <f t="shared" si="7"/>
        <v>2267.16</v>
      </c>
      <c r="Y11" s="35"/>
      <c r="Z11" s="35">
        <f>$D11*SUM(Y27:Y28)/SUM($AO27:$AO28)</f>
        <v>0</v>
      </c>
      <c r="AA11" s="35"/>
      <c r="AB11" s="35">
        <f t="shared" si="8"/>
        <v>0</v>
      </c>
      <c r="AC11" s="35"/>
      <c r="AD11" s="35">
        <f t="shared" si="9"/>
        <v>5398</v>
      </c>
      <c r="AE11" s="35"/>
      <c r="AF11" s="35">
        <f>$D11*SUM(AE27:AE28)/SUM($AO27:$AO28)</f>
        <v>0</v>
      </c>
      <c r="AG11" s="36"/>
      <c r="AH11" s="35">
        <f>$D11*SUM(AG27:AG28)/SUM($AO27:$AO28)</f>
        <v>0</v>
      </c>
      <c r="AI11" s="35"/>
      <c r="AJ11" s="35">
        <f t="shared" si="10"/>
        <v>1619.3999999999999</v>
      </c>
      <c r="AK11" s="39"/>
      <c r="AL11" s="35">
        <f t="shared" si="11"/>
        <v>971.64</v>
      </c>
      <c r="AM11" s="39"/>
      <c r="AN11" s="35"/>
      <c r="AO11" s="39">
        <f t="shared" si="0"/>
        <v>5</v>
      </c>
      <c r="AP11" s="39">
        <f t="shared" si="12"/>
        <v>40484.999999999993</v>
      </c>
      <c r="AQ11" s="37"/>
      <c r="AR11" s="37"/>
      <c r="AS11" s="37"/>
      <c r="AT11" s="37"/>
      <c r="AU11" s="37"/>
      <c r="AV11" s="37"/>
      <c r="AW11" s="37"/>
    </row>
    <row r="12" spans="1:49" ht="14.1" customHeight="1" thickBot="1" x14ac:dyDescent="0.3">
      <c r="A12" s="41"/>
      <c r="B12" s="42" t="s">
        <v>18</v>
      </c>
      <c r="C12" s="42">
        <f>SUM(C4:C11)</f>
        <v>17</v>
      </c>
      <c r="D12" s="42">
        <f t="shared" ref="D12:AK12" si="13">SUM(D4:D11)</f>
        <v>293464</v>
      </c>
      <c r="E12" s="42">
        <f>SUM(E4:E11)</f>
        <v>0</v>
      </c>
      <c r="F12" s="43">
        <f t="shared" si="13"/>
        <v>10955.989333333335</v>
      </c>
      <c r="G12" s="42">
        <f>SUM(G4:G11)</f>
        <v>0</v>
      </c>
      <c r="H12" s="43">
        <f t="shared" si="13"/>
        <v>62605.653333333335</v>
      </c>
      <c r="I12" s="42">
        <f>SUM(I4:I11)</f>
        <v>0</v>
      </c>
      <c r="J12" s="43">
        <f t="shared" si="13"/>
        <v>90778.19733333333</v>
      </c>
      <c r="K12" s="42">
        <f t="shared" si="13"/>
        <v>0</v>
      </c>
      <c r="L12" s="43">
        <f t="shared" si="13"/>
        <v>18781.696</v>
      </c>
      <c r="M12" s="42"/>
      <c r="N12" s="43"/>
      <c r="O12" s="42"/>
      <c r="P12" s="43"/>
      <c r="Q12" s="42">
        <f>SUM(Q4:Q11)</f>
        <v>0</v>
      </c>
      <c r="R12" s="43">
        <f t="shared" si="13"/>
        <v>2347.712</v>
      </c>
      <c r="S12" s="42"/>
      <c r="T12" s="43"/>
      <c r="U12" s="42">
        <f>SUM(U4:U11)</f>
        <v>0</v>
      </c>
      <c r="V12" s="43">
        <f t="shared" si="13"/>
        <v>33650.538666666667</v>
      </c>
      <c r="W12" s="42">
        <f t="shared" si="13"/>
        <v>0</v>
      </c>
      <c r="X12" s="35">
        <f t="shared" ref="X12" si="14">D12/359*21</f>
        <v>17166.41782729805</v>
      </c>
      <c r="Y12" s="42">
        <f t="shared" si="13"/>
        <v>0</v>
      </c>
      <c r="Z12" s="43">
        <f t="shared" si="13"/>
        <v>0</v>
      </c>
      <c r="AA12" s="42">
        <f t="shared" si="13"/>
        <v>0</v>
      </c>
      <c r="AB12" s="43">
        <f t="shared" si="13"/>
        <v>0</v>
      </c>
      <c r="AC12" s="42">
        <f t="shared" si="13"/>
        <v>0</v>
      </c>
      <c r="AD12" s="43">
        <f t="shared" si="13"/>
        <v>39128.533333333333</v>
      </c>
      <c r="AE12" s="42">
        <f t="shared" si="13"/>
        <v>0</v>
      </c>
      <c r="AF12" s="43">
        <f t="shared" si="13"/>
        <v>0</v>
      </c>
      <c r="AG12" s="43">
        <f t="shared" si="13"/>
        <v>0</v>
      </c>
      <c r="AH12" s="43">
        <f t="shared" si="13"/>
        <v>0</v>
      </c>
      <c r="AI12" s="42">
        <f t="shared" si="13"/>
        <v>0</v>
      </c>
      <c r="AJ12" s="43">
        <f t="shared" si="13"/>
        <v>11738.559999999998</v>
      </c>
      <c r="AK12" s="42">
        <f t="shared" si="13"/>
        <v>0</v>
      </c>
      <c r="AL12" s="43">
        <f>SUM(AL4:AL11)</f>
        <v>7043.1360000000004</v>
      </c>
      <c r="AM12" s="42"/>
      <c r="AN12" s="43"/>
      <c r="AO12" s="42">
        <f>SUM(AO4:AO11)</f>
        <v>17</v>
      </c>
      <c r="AP12" s="43">
        <f>SUM(AP4:AP11)</f>
        <v>293464</v>
      </c>
      <c r="AQ12" s="44"/>
      <c r="AR12" s="37"/>
      <c r="AS12" s="37"/>
      <c r="AT12" s="37"/>
      <c r="AU12" s="37"/>
      <c r="AV12" s="37"/>
      <c r="AW12" s="37"/>
    </row>
    <row r="13" spans="1:49" ht="14.1" customHeight="1" x14ac:dyDescent="0.25">
      <c r="A13" s="101" t="s">
        <v>20</v>
      </c>
      <c r="B13" s="35" t="s">
        <v>6</v>
      </c>
      <c r="C13" s="35">
        <v>0</v>
      </c>
      <c r="D13" s="35">
        <v>0</v>
      </c>
      <c r="E13" s="35"/>
      <c r="F13" s="39">
        <f t="shared" si="1"/>
        <v>0</v>
      </c>
      <c r="G13" s="35"/>
      <c r="H13" s="39">
        <f t="shared" si="2"/>
        <v>0</v>
      </c>
      <c r="I13" s="35"/>
      <c r="J13" s="39">
        <f t="shared" si="3"/>
        <v>0</v>
      </c>
      <c r="K13" s="35"/>
      <c r="L13" s="39">
        <f t="shared" si="4"/>
        <v>0</v>
      </c>
      <c r="M13" s="35"/>
      <c r="N13" s="35"/>
      <c r="O13" s="35"/>
      <c r="P13" s="39"/>
      <c r="Q13" s="35"/>
      <c r="R13" s="39">
        <f t="shared" si="5"/>
        <v>0</v>
      </c>
      <c r="S13" s="35"/>
      <c r="T13" s="35"/>
      <c r="U13" s="35"/>
      <c r="V13" s="35">
        <f t="shared" si="6"/>
        <v>0</v>
      </c>
      <c r="W13" s="35"/>
      <c r="X13" s="35">
        <f t="shared" si="7"/>
        <v>0</v>
      </c>
      <c r="Y13" s="35"/>
      <c r="Z13" s="35"/>
      <c r="AA13" s="35"/>
      <c r="AB13" s="35">
        <f t="shared" si="8"/>
        <v>0</v>
      </c>
      <c r="AC13" s="35"/>
      <c r="AD13" s="35">
        <f t="shared" si="9"/>
        <v>0</v>
      </c>
      <c r="AE13" s="35"/>
      <c r="AF13" s="35"/>
      <c r="AG13" s="36"/>
      <c r="AH13" s="36"/>
      <c r="AI13" s="35"/>
      <c r="AJ13" s="35">
        <f t="shared" si="10"/>
        <v>0</v>
      </c>
      <c r="AK13" s="35"/>
      <c r="AL13" s="35">
        <f t="shared" si="11"/>
        <v>0</v>
      </c>
      <c r="AM13" s="35"/>
      <c r="AN13" s="35"/>
      <c r="AO13" s="39">
        <f t="shared" ref="AO13:AO18" si="15">C13+E13+G13+O13+Q13+S13+U13+W13+Y13+AA13+AC13+AE13+AG13+AI13+AK13+AM13</f>
        <v>0</v>
      </c>
      <c r="AP13" s="39">
        <f>R13+P13+N13+L13+J13+H13+F13+AN13+AL13+T13+V13+X13+AD13+AB13+AJ13</f>
        <v>0</v>
      </c>
      <c r="AQ13" s="37"/>
      <c r="AR13" s="37"/>
      <c r="AS13" s="37"/>
      <c r="AT13" s="37"/>
      <c r="AU13" s="37"/>
      <c r="AV13" s="37"/>
      <c r="AW13" s="37"/>
    </row>
    <row r="14" spans="1:49" ht="14.1" customHeight="1" x14ac:dyDescent="0.25">
      <c r="A14" s="102"/>
      <c r="B14" s="35" t="s">
        <v>7</v>
      </c>
      <c r="C14" s="35">
        <v>1</v>
      </c>
      <c r="D14" s="45">
        <v>23687</v>
      </c>
      <c r="E14" s="35"/>
      <c r="F14" s="39">
        <f t="shared" si="1"/>
        <v>884.31466666666665</v>
      </c>
      <c r="G14" s="35"/>
      <c r="H14" s="39">
        <f t="shared" si="2"/>
        <v>5053.2266666666674</v>
      </c>
      <c r="I14" s="35"/>
      <c r="J14" s="39">
        <f t="shared" si="3"/>
        <v>7327.1786666666667</v>
      </c>
      <c r="K14" s="35"/>
      <c r="L14" s="39">
        <f t="shared" si="4"/>
        <v>1515.9680000000001</v>
      </c>
      <c r="M14" s="35"/>
      <c r="N14" s="35"/>
      <c r="O14" s="35"/>
      <c r="P14" s="39"/>
      <c r="Q14" s="35"/>
      <c r="R14" s="39">
        <f t="shared" si="5"/>
        <v>189.49600000000001</v>
      </c>
      <c r="S14" s="35"/>
      <c r="T14" s="35"/>
      <c r="U14" s="35"/>
      <c r="V14" s="35">
        <f t="shared" si="6"/>
        <v>2716.1093333333333</v>
      </c>
      <c r="W14" s="35"/>
      <c r="X14" s="35">
        <f t="shared" si="7"/>
        <v>1326.472</v>
      </c>
      <c r="Y14" s="35"/>
      <c r="Z14" s="35"/>
      <c r="AA14" s="35"/>
      <c r="AB14" s="35">
        <f t="shared" si="8"/>
        <v>0</v>
      </c>
      <c r="AC14" s="35"/>
      <c r="AD14" s="35">
        <f t="shared" si="9"/>
        <v>3158.2666666666669</v>
      </c>
      <c r="AE14" s="35"/>
      <c r="AF14" s="35"/>
      <c r="AG14" s="36"/>
      <c r="AH14" s="36"/>
      <c r="AI14" s="35"/>
      <c r="AJ14" s="35">
        <f t="shared" si="10"/>
        <v>947.48</v>
      </c>
      <c r="AK14" s="35"/>
      <c r="AL14" s="35">
        <f t="shared" si="11"/>
        <v>568.48800000000006</v>
      </c>
      <c r="AM14" s="35"/>
      <c r="AN14" s="35"/>
      <c r="AO14" s="39">
        <f t="shared" si="15"/>
        <v>1</v>
      </c>
      <c r="AP14" s="39">
        <f t="shared" ref="AP14:AP25" si="16">R14+P14+N14+L14+J14+H14+F14+AN14+AL14+T14+V14+X14+AD14+AB14+AJ14</f>
        <v>23687</v>
      </c>
      <c r="AQ14" s="37"/>
      <c r="AR14" s="37"/>
      <c r="AS14" s="37"/>
      <c r="AT14" s="37"/>
      <c r="AU14" s="37"/>
      <c r="AV14" s="37"/>
      <c r="AW14" s="37"/>
    </row>
    <row r="15" spans="1:49" ht="14.1" customHeight="1" x14ac:dyDescent="0.25">
      <c r="A15" s="102"/>
      <c r="B15" s="35" t="s">
        <v>2</v>
      </c>
      <c r="C15" s="35">
        <v>2</v>
      </c>
      <c r="D15" s="35">
        <v>93826</v>
      </c>
      <c r="E15" s="35"/>
      <c r="F15" s="39">
        <f t="shared" si="1"/>
        <v>3502.8373333333334</v>
      </c>
      <c r="G15" s="35">
        <v>0</v>
      </c>
      <c r="H15" s="39">
        <f t="shared" si="2"/>
        <v>20016.213333333333</v>
      </c>
      <c r="I15" s="35"/>
      <c r="J15" s="39">
        <f t="shared" si="3"/>
        <v>29023.509333333332</v>
      </c>
      <c r="K15" s="35"/>
      <c r="L15" s="39">
        <f t="shared" si="4"/>
        <v>6004.8639999999996</v>
      </c>
      <c r="M15" s="35"/>
      <c r="N15" s="35"/>
      <c r="O15" s="35"/>
      <c r="P15" s="39"/>
      <c r="Q15" s="35"/>
      <c r="R15" s="39">
        <f t="shared" si="5"/>
        <v>750.60799999999995</v>
      </c>
      <c r="S15" s="35"/>
      <c r="T15" s="35"/>
      <c r="U15" s="35"/>
      <c r="V15" s="35">
        <f t="shared" si="6"/>
        <v>10758.714666666667</v>
      </c>
      <c r="W15" s="35"/>
      <c r="X15" s="35">
        <f t="shared" si="7"/>
        <v>5254.2559999999994</v>
      </c>
      <c r="Y15" s="35"/>
      <c r="Z15" s="35"/>
      <c r="AA15" s="35"/>
      <c r="AB15" s="35">
        <f t="shared" si="8"/>
        <v>0</v>
      </c>
      <c r="AC15" s="35"/>
      <c r="AD15" s="35">
        <f t="shared" si="9"/>
        <v>12510.133333333333</v>
      </c>
      <c r="AE15" s="35"/>
      <c r="AF15" s="35"/>
      <c r="AG15" s="36"/>
      <c r="AH15" s="36"/>
      <c r="AI15" s="35"/>
      <c r="AJ15" s="35">
        <f t="shared" si="10"/>
        <v>3753.04</v>
      </c>
      <c r="AK15" s="35"/>
      <c r="AL15" s="35">
        <f t="shared" si="11"/>
        <v>2251.8240000000001</v>
      </c>
      <c r="AM15" s="35"/>
      <c r="AN15" s="35"/>
      <c r="AO15" s="39">
        <f t="shared" si="15"/>
        <v>2</v>
      </c>
      <c r="AP15" s="39">
        <f t="shared" si="16"/>
        <v>93825.999999999985</v>
      </c>
      <c r="AQ15" s="37"/>
      <c r="AR15" s="37"/>
      <c r="AS15" s="93" t="s">
        <v>67</v>
      </c>
      <c r="AT15" s="46" t="s">
        <v>69</v>
      </c>
      <c r="AU15" s="46" t="s">
        <v>70</v>
      </c>
      <c r="AV15" s="46" t="s">
        <v>71</v>
      </c>
      <c r="AW15" s="46" t="s">
        <v>68</v>
      </c>
    </row>
    <row r="16" spans="1:49" ht="14.1" customHeight="1" x14ac:dyDescent="0.25">
      <c r="A16" s="102"/>
      <c r="B16" s="47" t="s">
        <v>48</v>
      </c>
      <c r="C16" s="35">
        <v>0</v>
      </c>
      <c r="D16" s="35">
        <v>0</v>
      </c>
      <c r="E16" s="35"/>
      <c r="F16" s="39">
        <f t="shared" si="1"/>
        <v>0</v>
      </c>
      <c r="G16" s="35"/>
      <c r="H16" s="39">
        <f t="shared" si="2"/>
        <v>0</v>
      </c>
      <c r="I16" s="35"/>
      <c r="J16" s="39">
        <f t="shared" si="3"/>
        <v>0</v>
      </c>
      <c r="K16" s="35"/>
      <c r="L16" s="39">
        <f t="shared" si="4"/>
        <v>0</v>
      </c>
      <c r="M16" s="35"/>
      <c r="N16" s="35"/>
      <c r="O16" s="35"/>
      <c r="P16" s="39"/>
      <c r="Q16" s="35"/>
      <c r="R16" s="39">
        <f t="shared" si="5"/>
        <v>0</v>
      </c>
      <c r="S16" s="35"/>
      <c r="T16" s="35"/>
      <c r="U16" s="35"/>
      <c r="V16" s="35">
        <f t="shared" si="6"/>
        <v>0</v>
      </c>
      <c r="W16" s="35"/>
      <c r="X16" s="35">
        <f t="shared" si="7"/>
        <v>0</v>
      </c>
      <c r="Y16" s="35"/>
      <c r="Z16" s="35"/>
      <c r="AA16" s="35"/>
      <c r="AB16" s="35">
        <f t="shared" si="8"/>
        <v>0</v>
      </c>
      <c r="AC16" s="35"/>
      <c r="AD16" s="35">
        <f t="shared" si="9"/>
        <v>0</v>
      </c>
      <c r="AE16" s="35"/>
      <c r="AF16" s="35"/>
      <c r="AG16" s="36"/>
      <c r="AH16" s="36"/>
      <c r="AI16" s="35"/>
      <c r="AJ16" s="35">
        <f t="shared" si="10"/>
        <v>0</v>
      </c>
      <c r="AK16" s="35"/>
      <c r="AL16" s="35">
        <f t="shared" si="11"/>
        <v>0</v>
      </c>
      <c r="AM16" s="35"/>
      <c r="AN16" s="35"/>
      <c r="AO16" s="39">
        <f t="shared" si="15"/>
        <v>0</v>
      </c>
      <c r="AP16" s="39">
        <f t="shared" si="16"/>
        <v>0</v>
      </c>
      <c r="AQ16" s="37"/>
      <c r="AR16" s="37"/>
      <c r="AS16" s="94"/>
      <c r="AT16" s="39">
        <f>AP12</f>
        <v>293464</v>
      </c>
      <c r="AU16" s="39">
        <f>AP26</f>
        <v>944578</v>
      </c>
      <c r="AV16" s="39">
        <f>AP27</f>
        <v>1579860</v>
      </c>
      <c r="AW16" s="46">
        <f>AV16+AU16+AT16</f>
        <v>2817902</v>
      </c>
    </row>
    <row r="17" spans="1:49" ht="14.1" customHeight="1" x14ac:dyDescent="0.25">
      <c r="A17" s="102"/>
      <c r="B17" s="47" t="s">
        <v>49</v>
      </c>
      <c r="C17" s="35">
        <v>3</v>
      </c>
      <c r="D17" s="35">
        <v>46935</v>
      </c>
      <c r="E17" s="35"/>
      <c r="F17" s="39">
        <f t="shared" si="1"/>
        <v>1752.24</v>
      </c>
      <c r="G17" s="35"/>
      <c r="H17" s="39">
        <f t="shared" si="2"/>
        <v>10012.799999999999</v>
      </c>
      <c r="I17" s="35"/>
      <c r="J17" s="39">
        <f t="shared" si="3"/>
        <v>14518.56</v>
      </c>
      <c r="K17" s="35"/>
      <c r="L17" s="39">
        <f t="shared" si="4"/>
        <v>3003.84</v>
      </c>
      <c r="M17" s="35"/>
      <c r="N17" s="35"/>
      <c r="O17" s="35"/>
      <c r="P17" s="39"/>
      <c r="Q17" s="35"/>
      <c r="R17" s="39">
        <f t="shared" si="5"/>
        <v>375.48</v>
      </c>
      <c r="S17" s="35"/>
      <c r="T17" s="35"/>
      <c r="U17" s="35"/>
      <c r="V17" s="35">
        <f t="shared" si="6"/>
        <v>5381.88</v>
      </c>
      <c r="W17" s="35"/>
      <c r="X17" s="35">
        <f t="shared" si="7"/>
        <v>2628.36</v>
      </c>
      <c r="Y17" s="35"/>
      <c r="Z17" s="35"/>
      <c r="AA17" s="35"/>
      <c r="AB17" s="35">
        <f t="shared" si="8"/>
        <v>0</v>
      </c>
      <c r="AC17" s="35"/>
      <c r="AD17" s="35">
        <f t="shared" si="9"/>
        <v>6258</v>
      </c>
      <c r="AE17" s="35"/>
      <c r="AF17" s="35"/>
      <c r="AG17" s="36"/>
      <c r="AH17" s="36"/>
      <c r="AI17" s="35"/>
      <c r="AJ17" s="35">
        <f t="shared" si="10"/>
        <v>1877.3999999999999</v>
      </c>
      <c r="AK17" s="35"/>
      <c r="AL17" s="35">
        <f t="shared" si="11"/>
        <v>1126.44</v>
      </c>
      <c r="AM17" s="35"/>
      <c r="AN17" s="35"/>
      <c r="AO17" s="39">
        <f t="shared" si="15"/>
        <v>3</v>
      </c>
      <c r="AP17" s="39">
        <f t="shared" si="16"/>
        <v>46935</v>
      </c>
      <c r="AQ17" s="37"/>
      <c r="AR17" s="37"/>
      <c r="AS17" s="46" t="s">
        <v>12</v>
      </c>
      <c r="AT17" s="39">
        <f>AU41</f>
        <v>412808</v>
      </c>
      <c r="AU17" s="35">
        <f>H41</f>
        <v>0</v>
      </c>
      <c r="AV17" s="35"/>
      <c r="AW17" s="48">
        <f>AV17+AU17+AT17</f>
        <v>412808</v>
      </c>
    </row>
    <row r="18" spans="1:49" ht="14.1" customHeight="1" x14ac:dyDescent="0.25">
      <c r="A18" s="102"/>
      <c r="B18" s="35" t="s">
        <v>3</v>
      </c>
      <c r="C18" s="35">
        <v>1</v>
      </c>
      <c r="D18" s="35">
        <v>47595</v>
      </c>
      <c r="E18" s="35"/>
      <c r="F18" s="39">
        <f t="shared" si="1"/>
        <v>1776.88</v>
      </c>
      <c r="G18" s="35"/>
      <c r="H18" s="39">
        <f t="shared" si="2"/>
        <v>10153.6</v>
      </c>
      <c r="I18" s="35"/>
      <c r="J18" s="39">
        <f t="shared" si="3"/>
        <v>14722.72</v>
      </c>
      <c r="K18" s="35"/>
      <c r="L18" s="39">
        <f t="shared" si="4"/>
        <v>3046.08</v>
      </c>
      <c r="M18" s="35"/>
      <c r="N18" s="35"/>
      <c r="O18" s="35"/>
      <c r="P18" s="39"/>
      <c r="Q18" s="35"/>
      <c r="R18" s="39">
        <f t="shared" si="5"/>
        <v>380.76</v>
      </c>
      <c r="S18" s="35"/>
      <c r="T18" s="35"/>
      <c r="U18" s="35"/>
      <c r="V18" s="35">
        <f t="shared" si="6"/>
        <v>5457.56</v>
      </c>
      <c r="W18" s="35"/>
      <c r="X18" s="35">
        <f t="shared" si="7"/>
        <v>2665.32</v>
      </c>
      <c r="Y18" s="35"/>
      <c r="Z18" s="35"/>
      <c r="AA18" s="35"/>
      <c r="AB18" s="35">
        <f t="shared" si="8"/>
        <v>0</v>
      </c>
      <c r="AC18" s="35"/>
      <c r="AD18" s="35">
        <f t="shared" si="9"/>
        <v>6346</v>
      </c>
      <c r="AE18" s="35"/>
      <c r="AF18" s="35"/>
      <c r="AG18" s="36"/>
      <c r="AH18" s="36"/>
      <c r="AI18" s="35"/>
      <c r="AJ18" s="35">
        <f t="shared" si="10"/>
        <v>1903.8</v>
      </c>
      <c r="AK18" s="35"/>
      <c r="AL18" s="35">
        <f t="shared" si="11"/>
        <v>1142.28</v>
      </c>
      <c r="AM18" s="35"/>
      <c r="AN18" s="35"/>
      <c r="AO18" s="39">
        <f t="shared" si="15"/>
        <v>1</v>
      </c>
      <c r="AP18" s="39">
        <f t="shared" si="16"/>
        <v>47595</v>
      </c>
      <c r="AQ18" s="37"/>
      <c r="AR18" s="37"/>
      <c r="AS18" s="46" t="s">
        <v>73</v>
      </c>
      <c r="AT18" s="39">
        <f>AP39</f>
        <v>563535</v>
      </c>
      <c r="AU18" s="39">
        <f>AP40</f>
        <v>23100</v>
      </c>
      <c r="AV18" s="35"/>
      <c r="AW18" s="46">
        <f>AU18+AT18</f>
        <v>586635</v>
      </c>
    </row>
    <row r="19" spans="1:49" ht="14.1" customHeight="1" x14ac:dyDescent="0.25">
      <c r="A19" s="102"/>
      <c r="B19" s="35" t="s">
        <v>4</v>
      </c>
      <c r="C19" s="35">
        <v>5</v>
      </c>
      <c r="D19" s="35">
        <v>141858</v>
      </c>
      <c r="E19" s="35">
        <v>0</v>
      </c>
      <c r="F19" s="39">
        <f t="shared" si="1"/>
        <v>5296.0320000000002</v>
      </c>
      <c r="G19" s="35">
        <v>2</v>
      </c>
      <c r="H19" s="39">
        <f t="shared" si="2"/>
        <v>30263.040000000001</v>
      </c>
      <c r="I19" s="35"/>
      <c r="J19" s="39">
        <f t="shared" si="3"/>
        <v>43881.408000000003</v>
      </c>
      <c r="K19" s="35"/>
      <c r="L19" s="39">
        <f t="shared" si="4"/>
        <v>9078.9120000000003</v>
      </c>
      <c r="M19" s="35"/>
      <c r="N19" s="35"/>
      <c r="O19" s="35"/>
      <c r="P19" s="39"/>
      <c r="Q19" s="35"/>
      <c r="R19" s="39">
        <f t="shared" si="5"/>
        <v>1134.864</v>
      </c>
      <c r="S19" s="35"/>
      <c r="T19" s="35"/>
      <c r="U19" s="35"/>
      <c r="V19" s="35">
        <f t="shared" si="6"/>
        <v>16266.384</v>
      </c>
      <c r="W19" s="35"/>
      <c r="X19" s="35">
        <f t="shared" si="7"/>
        <v>7944.0480000000007</v>
      </c>
      <c r="Y19" s="35"/>
      <c r="Z19" s="35"/>
      <c r="AA19" s="35"/>
      <c r="AB19" s="35">
        <f t="shared" si="8"/>
        <v>0</v>
      </c>
      <c r="AC19" s="35"/>
      <c r="AD19" s="35">
        <f t="shared" si="9"/>
        <v>18914.400000000001</v>
      </c>
      <c r="AE19" s="35"/>
      <c r="AF19" s="44"/>
      <c r="AG19" s="36"/>
      <c r="AH19" s="36"/>
      <c r="AI19" s="35"/>
      <c r="AJ19" s="35">
        <f t="shared" si="10"/>
        <v>5674.32</v>
      </c>
      <c r="AK19" s="35"/>
      <c r="AL19" s="35">
        <f t="shared" si="11"/>
        <v>3404.5920000000001</v>
      </c>
      <c r="AM19" s="35"/>
      <c r="AN19" s="35"/>
      <c r="AO19" s="39">
        <f t="shared" ref="AO19:AO25" si="17">C19+E19+G19+O19+Q19+S19+U19+W19+Y19+AA19+AC19+AE19+AG19+AI19+AK19+AM19</f>
        <v>7</v>
      </c>
      <c r="AP19" s="39">
        <f t="shared" si="16"/>
        <v>141858.00000000003</v>
      </c>
      <c r="AQ19" s="37"/>
      <c r="AR19" s="37"/>
      <c r="AS19" s="37"/>
      <c r="AT19" s="37"/>
      <c r="AU19" s="37"/>
      <c r="AV19" s="37"/>
      <c r="AW19" s="29">
        <f>SUM(AW16:AW18)</f>
        <v>3817345</v>
      </c>
    </row>
    <row r="20" spans="1:49" ht="14.1" customHeight="1" x14ac:dyDescent="0.25">
      <c r="A20" s="102"/>
      <c r="B20" s="35" t="s">
        <v>34</v>
      </c>
      <c r="C20" s="35"/>
      <c r="D20" s="35"/>
      <c r="E20" s="35"/>
      <c r="F20" s="39">
        <f t="shared" si="1"/>
        <v>0</v>
      </c>
      <c r="G20" s="35"/>
      <c r="H20" s="39">
        <f t="shared" si="2"/>
        <v>0</v>
      </c>
      <c r="I20" s="35"/>
      <c r="J20" s="39">
        <f t="shared" si="3"/>
        <v>0</v>
      </c>
      <c r="K20" s="35"/>
      <c r="L20" s="39">
        <f t="shared" si="4"/>
        <v>0</v>
      </c>
      <c r="M20" s="35"/>
      <c r="N20" s="35"/>
      <c r="O20" s="35"/>
      <c r="P20" s="39"/>
      <c r="Q20" s="35"/>
      <c r="R20" s="39">
        <f t="shared" si="5"/>
        <v>0</v>
      </c>
      <c r="S20" s="35"/>
      <c r="T20" s="35"/>
      <c r="U20" s="35"/>
      <c r="V20" s="35">
        <f t="shared" si="6"/>
        <v>0</v>
      </c>
      <c r="W20" s="35"/>
      <c r="X20" s="35">
        <f t="shared" si="7"/>
        <v>0</v>
      </c>
      <c r="Y20" s="35"/>
      <c r="Z20" s="35"/>
      <c r="AA20" s="35"/>
      <c r="AB20" s="35">
        <f t="shared" si="8"/>
        <v>0</v>
      </c>
      <c r="AC20" s="35"/>
      <c r="AD20" s="35">
        <f t="shared" si="9"/>
        <v>0</v>
      </c>
      <c r="AE20" s="35"/>
      <c r="AF20" s="35"/>
      <c r="AG20" s="36"/>
      <c r="AH20" s="36"/>
      <c r="AI20" s="35"/>
      <c r="AJ20" s="35">
        <f t="shared" si="10"/>
        <v>0</v>
      </c>
      <c r="AK20" s="35"/>
      <c r="AL20" s="35">
        <f t="shared" si="11"/>
        <v>0</v>
      </c>
      <c r="AM20" s="35"/>
      <c r="AN20" s="35"/>
      <c r="AO20" s="39">
        <f t="shared" si="17"/>
        <v>0</v>
      </c>
      <c r="AP20" s="39">
        <f t="shared" si="16"/>
        <v>0</v>
      </c>
      <c r="AQ20" s="37"/>
      <c r="AR20" s="37"/>
      <c r="AS20" s="37"/>
      <c r="AT20" s="37"/>
      <c r="AU20" s="37"/>
      <c r="AV20" s="37"/>
      <c r="AW20" s="37"/>
    </row>
    <row r="21" spans="1:49" ht="14.1" customHeight="1" x14ac:dyDescent="0.25">
      <c r="A21" s="102"/>
      <c r="B21" s="35" t="s">
        <v>31</v>
      </c>
      <c r="C21" s="35">
        <v>8</v>
      </c>
      <c r="D21" s="35">
        <v>85461</v>
      </c>
      <c r="E21" s="35">
        <v>4</v>
      </c>
      <c r="F21" s="39">
        <f t="shared" si="1"/>
        <v>3190.5439999999999</v>
      </c>
      <c r="G21" s="35">
        <v>3</v>
      </c>
      <c r="H21" s="39">
        <f t="shared" si="2"/>
        <v>18231.68</v>
      </c>
      <c r="I21" s="35"/>
      <c r="J21" s="39">
        <f t="shared" si="3"/>
        <v>26435.935999999998</v>
      </c>
      <c r="K21" s="35"/>
      <c r="L21" s="39">
        <f t="shared" si="4"/>
        <v>5469.5039999999999</v>
      </c>
      <c r="M21" s="35"/>
      <c r="N21" s="35"/>
      <c r="O21" s="35"/>
      <c r="P21" s="39"/>
      <c r="Q21" s="35"/>
      <c r="R21" s="39">
        <f t="shared" si="5"/>
        <v>683.68799999999999</v>
      </c>
      <c r="S21" s="35"/>
      <c r="T21" s="35"/>
      <c r="U21" s="35"/>
      <c r="V21" s="35">
        <f t="shared" si="6"/>
        <v>9799.5280000000002</v>
      </c>
      <c r="W21" s="35"/>
      <c r="X21" s="35">
        <f t="shared" si="7"/>
        <v>4785.8159999999998</v>
      </c>
      <c r="Y21" s="35"/>
      <c r="Z21" s="35"/>
      <c r="AA21" s="35"/>
      <c r="AB21" s="35">
        <f t="shared" si="8"/>
        <v>0</v>
      </c>
      <c r="AC21" s="35"/>
      <c r="AD21" s="35">
        <f t="shared" si="9"/>
        <v>11394.8</v>
      </c>
      <c r="AE21" s="35"/>
      <c r="AF21" s="35"/>
      <c r="AG21" s="36"/>
      <c r="AH21" s="36"/>
      <c r="AI21" s="35"/>
      <c r="AJ21" s="35">
        <f t="shared" si="10"/>
        <v>3418.4399999999996</v>
      </c>
      <c r="AK21" s="35"/>
      <c r="AL21" s="35">
        <f t="shared" si="11"/>
        <v>2051.0639999999999</v>
      </c>
      <c r="AM21" s="35"/>
      <c r="AN21" s="35"/>
      <c r="AO21" s="39">
        <f t="shared" si="17"/>
        <v>15</v>
      </c>
      <c r="AP21" s="39">
        <f t="shared" si="16"/>
        <v>85461.000000000015</v>
      </c>
      <c r="AQ21" s="37"/>
      <c r="AR21" s="37"/>
      <c r="AS21" s="37"/>
      <c r="AT21" s="37"/>
      <c r="AU21" s="37"/>
      <c r="AV21" s="37"/>
      <c r="AW21" s="37"/>
    </row>
    <row r="22" spans="1:49" ht="14.1" customHeight="1" x14ac:dyDescent="0.25">
      <c r="A22" s="102"/>
      <c r="B22" s="35" t="s">
        <v>33</v>
      </c>
      <c r="C22" s="35">
        <v>7</v>
      </c>
      <c r="D22" s="35">
        <f>85982+6500</f>
        <v>92482</v>
      </c>
      <c r="E22" s="35">
        <v>0</v>
      </c>
      <c r="F22" s="39">
        <f t="shared" si="1"/>
        <v>3452.661333333333</v>
      </c>
      <c r="G22" s="35"/>
      <c r="H22" s="39">
        <f t="shared" si="2"/>
        <v>19729.493333333332</v>
      </c>
      <c r="I22" s="35"/>
      <c r="J22" s="39">
        <f t="shared" si="3"/>
        <v>28607.765333333333</v>
      </c>
      <c r="K22" s="35"/>
      <c r="L22" s="39">
        <f t="shared" si="4"/>
        <v>5918.848</v>
      </c>
      <c r="M22" s="35"/>
      <c r="N22" s="35"/>
      <c r="O22" s="35"/>
      <c r="P22" s="39"/>
      <c r="Q22" s="35"/>
      <c r="R22" s="39">
        <f t="shared" si="5"/>
        <v>739.85599999999999</v>
      </c>
      <c r="S22" s="35"/>
      <c r="T22" s="35"/>
      <c r="U22" s="35"/>
      <c r="V22" s="35">
        <f t="shared" si="6"/>
        <v>10604.602666666666</v>
      </c>
      <c r="W22" s="35"/>
      <c r="X22" s="35">
        <f t="shared" si="7"/>
        <v>5178.9920000000002</v>
      </c>
      <c r="Y22" s="35"/>
      <c r="Z22" s="35"/>
      <c r="AA22" s="35"/>
      <c r="AB22" s="35">
        <f t="shared" si="8"/>
        <v>0</v>
      </c>
      <c r="AC22" s="35"/>
      <c r="AD22" s="35">
        <f t="shared" si="9"/>
        <v>12330.933333333332</v>
      </c>
      <c r="AE22" s="35"/>
      <c r="AF22" s="35"/>
      <c r="AG22" s="36"/>
      <c r="AH22" s="36"/>
      <c r="AI22" s="35"/>
      <c r="AJ22" s="35">
        <f t="shared" si="10"/>
        <v>3699.2799999999997</v>
      </c>
      <c r="AK22" s="35"/>
      <c r="AL22" s="35">
        <f t="shared" si="11"/>
        <v>2219.5679999999998</v>
      </c>
      <c r="AM22" s="35"/>
      <c r="AN22" s="35"/>
      <c r="AO22" s="39">
        <f t="shared" si="17"/>
        <v>7</v>
      </c>
      <c r="AP22" s="39">
        <f t="shared" si="16"/>
        <v>92481.999999999985</v>
      </c>
      <c r="AQ22" s="37"/>
      <c r="AR22" s="37"/>
      <c r="AS22" s="44"/>
      <c r="AT22" s="37"/>
      <c r="AU22" s="37"/>
      <c r="AV22" s="37"/>
      <c r="AW22" s="37"/>
    </row>
    <row r="23" spans="1:49" ht="14.1" customHeight="1" x14ac:dyDescent="0.25">
      <c r="A23" s="102"/>
      <c r="B23" s="35" t="s">
        <v>32</v>
      </c>
      <c r="C23" s="35">
        <v>22</v>
      </c>
      <c r="D23" s="35">
        <v>330012</v>
      </c>
      <c r="E23" s="35">
        <v>0</v>
      </c>
      <c r="F23" s="39">
        <f t="shared" si="1"/>
        <v>12320.448</v>
      </c>
      <c r="G23" s="35">
        <v>4</v>
      </c>
      <c r="H23" s="39">
        <f t="shared" si="2"/>
        <v>70402.559999999998</v>
      </c>
      <c r="I23" s="35"/>
      <c r="J23" s="39">
        <f t="shared" si="3"/>
        <v>102083.712</v>
      </c>
      <c r="K23" s="35"/>
      <c r="L23" s="39">
        <f t="shared" si="4"/>
        <v>21120.768</v>
      </c>
      <c r="M23" s="35"/>
      <c r="N23" s="35"/>
      <c r="O23" s="35"/>
      <c r="P23" s="39"/>
      <c r="Q23" s="35"/>
      <c r="R23" s="39">
        <f t="shared" si="5"/>
        <v>2640.096</v>
      </c>
      <c r="S23" s="35"/>
      <c r="T23" s="35"/>
      <c r="U23" s="35"/>
      <c r="V23" s="35">
        <f t="shared" si="6"/>
        <v>37841.376000000004</v>
      </c>
      <c r="W23" s="35"/>
      <c r="X23" s="35">
        <f t="shared" si="7"/>
        <v>18480.672000000002</v>
      </c>
      <c r="Y23" s="35"/>
      <c r="Z23" s="35"/>
      <c r="AA23" s="35"/>
      <c r="AB23" s="35">
        <f t="shared" si="8"/>
        <v>0</v>
      </c>
      <c r="AC23" s="35"/>
      <c r="AD23" s="35">
        <f t="shared" si="9"/>
        <v>44001.599999999999</v>
      </c>
      <c r="AE23" s="35"/>
      <c r="AF23" s="35"/>
      <c r="AG23" s="36"/>
      <c r="AH23" s="36"/>
      <c r="AI23" s="35"/>
      <c r="AJ23" s="35">
        <f t="shared" si="10"/>
        <v>13200.480000000001</v>
      </c>
      <c r="AK23" s="35"/>
      <c r="AL23" s="35">
        <f t="shared" si="11"/>
        <v>7920.2880000000005</v>
      </c>
      <c r="AM23" s="35"/>
      <c r="AN23" s="35"/>
      <c r="AO23" s="39">
        <f t="shared" si="17"/>
        <v>26</v>
      </c>
      <c r="AP23" s="39">
        <f t="shared" si="16"/>
        <v>330012</v>
      </c>
      <c r="AQ23" s="37"/>
      <c r="AR23" s="37"/>
      <c r="AS23" s="37"/>
      <c r="AT23" s="37"/>
      <c r="AU23" s="37"/>
      <c r="AV23" s="37"/>
      <c r="AW23" s="37"/>
    </row>
    <row r="24" spans="1:49" ht="14.1" customHeight="1" thickBot="1" x14ac:dyDescent="0.3">
      <c r="A24" s="103"/>
      <c r="B24" s="35" t="s">
        <v>10</v>
      </c>
      <c r="C24" s="35">
        <v>3</v>
      </c>
      <c r="D24" s="35">
        <v>47269</v>
      </c>
      <c r="E24" s="35"/>
      <c r="F24" s="39">
        <f t="shared" si="1"/>
        <v>1764.7093333333335</v>
      </c>
      <c r="G24" s="35">
        <v>3</v>
      </c>
      <c r="H24" s="39">
        <f t="shared" si="2"/>
        <v>10084.053333333333</v>
      </c>
      <c r="I24" s="35"/>
      <c r="J24" s="39">
        <f t="shared" si="3"/>
        <v>14621.877333333334</v>
      </c>
      <c r="K24" s="35"/>
      <c r="L24" s="39">
        <f t="shared" si="4"/>
        <v>3025.2160000000003</v>
      </c>
      <c r="M24" s="35"/>
      <c r="N24" s="35"/>
      <c r="O24" s="35"/>
      <c r="P24" s="39"/>
      <c r="Q24" s="35"/>
      <c r="R24" s="39">
        <f t="shared" si="5"/>
        <v>378.15200000000004</v>
      </c>
      <c r="S24" s="35"/>
      <c r="T24" s="35"/>
      <c r="U24" s="35"/>
      <c r="V24" s="35">
        <f t="shared" si="6"/>
        <v>5420.1786666666667</v>
      </c>
      <c r="W24" s="35"/>
      <c r="X24" s="35">
        <f t="shared" si="7"/>
        <v>2647.0640000000003</v>
      </c>
      <c r="Y24" s="35"/>
      <c r="Z24" s="35"/>
      <c r="AA24" s="35"/>
      <c r="AB24" s="35">
        <f t="shared" si="8"/>
        <v>0</v>
      </c>
      <c r="AC24" s="35"/>
      <c r="AD24" s="35">
        <f t="shared" si="9"/>
        <v>6302.5333333333338</v>
      </c>
      <c r="AE24" s="35"/>
      <c r="AF24" s="35"/>
      <c r="AG24" s="36"/>
      <c r="AH24" s="36"/>
      <c r="AI24" s="35"/>
      <c r="AJ24" s="35">
        <f t="shared" si="10"/>
        <v>1890.76</v>
      </c>
      <c r="AK24" s="35"/>
      <c r="AL24" s="35">
        <f t="shared" si="11"/>
        <v>1134.4560000000001</v>
      </c>
      <c r="AM24" s="35"/>
      <c r="AN24" s="35"/>
      <c r="AO24" s="39">
        <f t="shared" si="17"/>
        <v>6</v>
      </c>
      <c r="AP24" s="39">
        <f t="shared" si="16"/>
        <v>47269</v>
      </c>
      <c r="AQ24" s="37"/>
      <c r="AR24" s="37"/>
      <c r="AS24" s="37"/>
      <c r="AT24" s="37"/>
      <c r="AU24" s="37"/>
      <c r="AV24" s="37"/>
      <c r="AW24" s="37"/>
    </row>
    <row r="25" spans="1:49" x14ac:dyDescent="0.25">
      <c r="A25" s="49"/>
      <c r="B25" s="35" t="s">
        <v>45</v>
      </c>
      <c r="C25" s="35">
        <v>3</v>
      </c>
      <c r="D25" s="35">
        <v>35453</v>
      </c>
      <c r="E25" s="35"/>
      <c r="F25" s="39">
        <f t="shared" si="1"/>
        <v>1323.5786666666665</v>
      </c>
      <c r="G25" s="35">
        <v>1</v>
      </c>
      <c r="H25" s="39">
        <f t="shared" si="2"/>
        <v>7563.3066666666664</v>
      </c>
      <c r="I25" s="35">
        <v>1</v>
      </c>
      <c r="J25" s="39">
        <f t="shared" si="3"/>
        <v>10966.794666666667</v>
      </c>
      <c r="K25" s="35">
        <v>1</v>
      </c>
      <c r="L25" s="39">
        <f t="shared" si="4"/>
        <v>2268.9919999999997</v>
      </c>
      <c r="M25" s="35"/>
      <c r="N25" s="35"/>
      <c r="O25" s="35"/>
      <c r="P25" s="39"/>
      <c r="Q25" s="35"/>
      <c r="R25" s="39">
        <f t="shared" si="5"/>
        <v>283.62399999999997</v>
      </c>
      <c r="S25" s="35"/>
      <c r="T25" s="35"/>
      <c r="U25" s="35"/>
      <c r="V25" s="35">
        <f t="shared" si="6"/>
        <v>4065.277333333333</v>
      </c>
      <c r="W25" s="35"/>
      <c r="X25" s="35">
        <f t="shared" si="7"/>
        <v>1985.3679999999999</v>
      </c>
      <c r="Y25" s="35"/>
      <c r="Z25" s="35"/>
      <c r="AA25" s="35"/>
      <c r="AB25" s="35">
        <f t="shared" si="8"/>
        <v>0</v>
      </c>
      <c r="AC25" s="35"/>
      <c r="AD25" s="35">
        <f t="shared" si="9"/>
        <v>4727.0666666666666</v>
      </c>
      <c r="AE25" s="35"/>
      <c r="AF25" s="35"/>
      <c r="AG25" s="36"/>
      <c r="AH25" s="36"/>
      <c r="AI25" s="35"/>
      <c r="AJ25" s="35">
        <f t="shared" si="10"/>
        <v>1418.12</v>
      </c>
      <c r="AK25" s="35"/>
      <c r="AL25" s="35">
        <f t="shared" si="11"/>
        <v>850.87199999999996</v>
      </c>
      <c r="AM25" s="35"/>
      <c r="AN25" s="35"/>
      <c r="AO25" s="39">
        <f t="shared" si="17"/>
        <v>4</v>
      </c>
      <c r="AP25" s="39">
        <f t="shared" si="16"/>
        <v>35453</v>
      </c>
      <c r="AQ25" s="37"/>
      <c r="AR25" s="37"/>
      <c r="AS25" s="37"/>
      <c r="AT25" s="37"/>
      <c r="AU25" s="37"/>
      <c r="AV25" s="37"/>
      <c r="AW25" s="37"/>
    </row>
    <row r="26" spans="1:49" s="3" customFormat="1" ht="15.75" thickBot="1" x14ac:dyDescent="0.3">
      <c r="A26" s="50"/>
      <c r="B26" s="42" t="s">
        <v>21</v>
      </c>
      <c r="C26" s="42">
        <f>SUM(C13:C25)</f>
        <v>55</v>
      </c>
      <c r="D26" s="42">
        <f t="shared" ref="D26:AK26" si="18">SUM(D13:D25)</f>
        <v>944578</v>
      </c>
      <c r="E26" s="42">
        <f t="shared" si="18"/>
        <v>4</v>
      </c>
      <c r="F26" s="42">
        <f>SUM(F13:F25)</f>
        <v>35264.245333333332</v>
      </c>
      <c r="G26" s="42">
        <f t="shared" si="18"/>
        <v>13</v>
      </c>
      <c r="H26" s="42">
        <f t="shared" si="18"/>
        <v>201509.97333333336</v>
      </c>
      <c r="I26" s="42">
        <f t="shared" si="18"/>
        <v>1</v>
      </c>
      <c r="J26" s="43">
        <f t="shared" si="18"/>
        <v>292189.46133333328</v>
      </c>
      <c r="K26" s="42">
        <f t="shared" si="18"/>
        <v>1</v>
      </c>
      <c r="L26" s="43">
        <f t="shared" si="18"/>
        <v>60452.991999999998</v>
      </c>
      <c r="M26" s="42"/>
      <c r="N26" s="43"/>
      <c r="O26" s="42"/>
      <c r="P26" s="42"/>
      <c r="Q26" s="42">
        <f t="shared" si="18"/>
        <v>0</v>
      </c>
      <c r="R26" s="42">
        <f t="shared" si="18"/>
        <v>7556.6239999999998</v>
      </c>
      <c r="S26" s="42"/>
      <c r="T26" s="42"/>
      <c r="U26" s="42">
        <f t="shared" si="18"/>
        <v>0</v>
      </c>
      <c r="V26" s="42">
        <f t="shared" si="18"/>
        <v>108311.61066666667</v>
      </c>
      <c r="W26" s="42">
        <f t="shared" si="18"/>
        <v>0</v>
      </c>
      <c r="X26" s="42">
        <f t="shared" si="18"/>
        <v>52896.368000000002</v>
      </c>
      <c r="Y26" s="42">
        <f t="shared" si="18"/>
        <v>0</v>
      </c>
      <c r="Z26" s="42">
        <f t="shared" si="18"/>
        <v>0</v>
      </c>
      <c r="AA26" s="42">
        <f t="shared" si="18"/>
        <v>0</v>
      </c>
      <c r="AB26" s="42">
        <f t="shared" si="18"/>
        <v>0</v>
      </c>
      <c r="AC26" s="42">
        <f t="shared" si="18"/>
        <v>0</v>
      </c>
      <c r="AD26" s="43">
        <f t="shared" si="18"/>
        <v>125943.73333333334</v>
      </c>
      <c r="AE26" s="42">
        <f t="shared" si="18"/>
        <v>0</v>
      </c>
      <c r="AF26" s="42">
        <f t="shared" si="18"/>
        <v>0</v>
      </c>
      <c r="AG26" s="42">
        <f t="shared" si="18"/>
        <v>0</v>
      </c>
      <c r="AH26" s="42">
        <f>SUM(AH13:AH25)</f>
        <v>0</v>
      </c>
      <c r="AI26" s="42">
        <f t="shared" si="18"/>
        <v>0</v>
      </c>
      <c r="AJ26" s="42">
        <f t="shared" si="18"/>
        <v>37783.120000000003</v>
      </c>
      <c r="AK26" s="42">
        <f t="shared" si="18"/>
        <v>0</v>
      </c>
      <c r="AL26" s="42">
        <f>SUM(AL13:AL25)</f>
        <v>22669.871999999999</v>
      </c>
      <c r="AM26" s="42"/>
      <c r="AN26" s="42"/>
      <c r="AO26" s="43">
        <f>SUM(AO13:AO25)</f>
        <v>72</v>
      </c>
      <c r="AP26" s="43">
        <f>SUM(AP13:AP25)</f>
        <v>944578</v>
      </c>
      <c r="AQ26" s="44"/>
      <c r="AR26" s="29" t="s">
        <v>72</v>
      </c>
      <c r="AS26" s="51">
        <f>AP26+AP27+AP12</f>
        <v>2817902</v>
      </c>
      <c r="AT26" s="52"/>
      <c r="AU26" s="29"/>
      <c r="AV26" s="29"/>
      <c r="AW26" s="29"/>
    </row>
    <row r="27" spans="1:49" s="6" customFormat="1" ht="15" customHeight="1" x14ac:dyDescent="0.25">
      <c r="A27" s="95" t="s">
        <v>29</v>
      </c>
      <c r="B27" s="53" t="s">
        <v>11</v>
      </c>
      <c r="C27" s="53"/>
      <c r="D27" s="53"/>
      <c r="E27" s="53">
        <f>E37</f>
        <v>14</v>
      </c>
      <c r="F27" s="54">
        <f>F30*E27</f>
        <v>0</v>
      </c>
      <c r="G27" s="53">
        <f>G37</f>
        <v>80</v>
      </c>
      <c r="H27" s="54">
        <f>H30*G27</f>
        <v>471360</v>
      </c>
      <c r="I27" s="53">
        <f>I37</f>
        <v>116</v>
      </c>
      <c r="J27" s="54">
        <f>J30*I27</f>
        <v>681500</v>
      </c>
      <c r="K27" s="53">
        <f>K37</f>
        <v>24</v>
      </c>
      <c r="L27" s="54">
        <f>L30*K27</f>
        <v>141000</v>
      </c>
      <c r="M27" s="54"/>
      <c r="N27" s="54"/>
      <c r="O27" s="54"/>
      <c r="P27" s="54"/>
      <c r="Q27" s="53">
        <f>Q37</f>
        <v>3</v>
      </c>
      <c r="R27" s="54">
        <v>22500</v>
      </c>
      <c r="S27" s="54"/>
      <c r="T27" s="54"/>
      <c r="U27" s="53">
        <f>U37</f>
        <v>43</v>
      </c>
      <c r="V27" s="54"/>
      <c r="W27" s="53">
        <f>W37</f>
        <v>21</v>
      </c>
      <c r="X27" s="54"/>
      <c r="Y27" s="54"/>
      <c r="Z27" s="54"/>
      <c r="AA27" s="53"/>
      <c r="AB27" s="37"/>
      <c r="AC27" s="53">
        <f>AC37</f>
        <v>50</v>
      </c>
      <c r="AD27" s="54">
        <v>90000</v>
      </c>
      <c r="AE27" s="54"/>
      <c r="AF27" s="54"/>
      <c r="AG27" s="40"/>
      <c r="AH27" s="40"/>
      <c r="AI27" s="53">
        <f>AI37</f>
        <v>15</v>
      </c>
      <c r="AJ27" s="54">
        <f>107500+5500+5500+5500</f>
        <v>124000</v>
      </c>
      <c r="AK27" s="53">
        <f>AK37</f>
        <v>9</v>
      </c>
      <c r="AL27" s="54">
        <v>49500</v>
      </c>
      <c r="AM27" s="54"/>
      <c r="AN27" s="54"/>
      <c r="AO27" s="39">
        <f t="shared" ref="AO27:AO34" si="19">C27+E27+G27+O27+Q27+S27+U27+W27+Y27+AA27+AC27+AE27+AG27+AI27+AK27+M27+K27+I27</f>
        <v>375</v>
      </c>
      <c r="AP27" s="39">
        <f>R27+P27+N27+L27+J27+H27+F27+AN27+AL27+T27+V27+X27+AD27+AB27+AJ27</f>
        <v>1579860</v>
      </c>
      <c r="AQ27" s="55"/>
      <c r="AR27" s="55"/>
      <c r="AS27" s="56"/>
      <c r="AT27" s="56"/>
      <c r="AU27" s="56"/>
      <c r="AV27" s="56"/>
      <c r="AW27" s="56"/>
    </row>
    <row r="28" spans="1:49" s="6" customFormat="1" x14ac:dyDescent="0.25">
      <c r="A28" s="96"/>
      <c r="B28" s="53" t="s">
        <v>12</v>
      </c>
      <c r="C28" s="53"/>
      <c r="D28" s="53"/>
      <c r="E28" s="53">
        <v>10</v>
      </c>
      <c r="F28" s="53">
        <v>145294</v>
      </c>
      <c r="G28" s="54">
        <v>27</v>
      </c>
      <c r="H28" s="53">
        <v>179514</v>
      </c>
      <c r="I28" s="54"/>
      <c r="J28" s="54"/>
      <c r="K28" s="54"/>
      <c r="L28" s="54"/>
      <c r="M28" s="54"/>
      <c r="N28" s="54"/>
      <c r="O28" s="54"/>
      <c r="P28" s="54"/>
      <c r="Q28" s="54"/>
      <c r="R28" s="54"/>
      <c r="S28" s="54"/>
      <c r="T28" s="54"/>
      <c r="U28" s="54"/>
      <c r="V28" s="54"/>
      <c r="W28" s="54">
        <v>11</v>
      </c>
      <c r="X28" s="54">
        <f>8000*11</f>
        <v>88000</v>
      </c>
      <c r="Y28" s="54"/>
      <c r="Z28" s="54"/>
      <c r="AA28" s="54"/>
      <c r="AB28" s="54"/>
      <c r="AC28" s="54"/>
      <c r="AD28" s="54"/>
      <c r="AE28" s="54"/>
      <c r="AF28" s="54"/>
      <c r="AG28" s="40"/>
      <c r="AH28" s="40"/>
      <c r="AI28" s="54"/>
      <c r="AJ28" s="54"/>
      <c r="AK28" s="54"/>
      <c r="AL28" s="54"/>
      <c r="AM28" s="54"/>
      <c r="AN28" s="54"/>
      <c r="AO28" s="39">
        <f t="shared" si="19"/>
        <v>48</v>
      </c>
      <c r="AP28" s="39">
        <f t="shared" ref="AP28:AP35" si="20">R28+P28+N28+L28+J28+H28+F28+AN28+AL28+T28+V28+X28+AD28+AB28+AJ28</f>
        <v>412808</v>
      </c>
      <c r="AQ28" s="56"/>
      <c r="AR28" s="56"/>
      <c r="AS28" s="56"/>
      <c r="AT28" s="56"/>
      <c r="AU28" s="56"/>
      <c r="AV28" s="56"/>
      <c r="AW28" s="56"/>
    </row>
    <row r="29" spans="1:49" s="6" customFormat="1" x14ac:dyDescent="0.25">
      <c r="A29" s="96"/>
      <c r="B29" s="53" t="s">
        <v>39</v>
      </c>
      <c r="C29" s="53"/>
      <c r="D29" s="53"/>
      <c r="E29" s="53"/>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40"/>
      <c r="AH29" s="40"/>
      <c r="AI29" s="54"/>
      <c r="AJ29" s="54"/>
      <c r="AK29" s="54"/>
      <c r="AL29" s="54"/>
      <c r="AM29" s="54"/>
      <c r="AN29" s="54"/>
      <c r="AO29" s="39">
        <f t="shared" si="19"/>
        <v>0</v>
      </c>
      <c r="AP29" s="39">
        <f t="shared" si="20"/>
        <v>0</v>
      </c>
      <c r="AQ29" s="56"/>
      <c r="AR29" s="56"/>
      <c r="AS29" s="56"/>
      <c r="AT29" s="56"/>
      <c r="AU29" s="56"/>
      <c r="AV29" s="56"/>
      <c r="AW29" s="56"/>
    </row>
    <row r="30" spans="1:49" s="6" customFormat="1" x14ac:dyDescent="0.25">
      <c r="A30" s="96"/>
      <c r="B30" s="53" t="s">
        <v>22</v>
      </c>
      <c r="C30" s="53"/>
      <c r="D30" s="53"/>
      <c r="E30" s="53"/>
      <c r="F30" s="54"/>
      <c r="G30" s="54"/>
      <c r="H30" s="54">
        <v>5892</v>
      </c>
      <c r="I30" s="54"/>
      <c r="J30" s="54">
        <v>5875</v>
      </c>
      <c r="K30" s="54"/>
      <c r="L30" s="54">
        <v>5875</v>
      </c>
      <c r="M30" s="54"/>
      <c r="N30" s="54"/>
      <c r="O30" s="54"/>
      <c r="P30" s="54"/>
      <c r="Q30" s="54"/>
      <c r="R30" s="54">
        <f>SUM(R27:R28)/Q27</f>
        <v>7500</v>
      </c>
      <c r="S30" s="54"/>
      <c r="T30" s="54"/>
      <c r="U30" s="54"/>
      <c r="V30" s="54">
        <f>SUM(V27:V28)/U27</f>
        <v>0</v>
      </c>
      <c r="W30" s="54"/>
      <c r="X30" s="54">
        <f>SUM(X27:X28)/W27</f>
        <v>4190.4761904761908</v>
      </c>
      <c r="Y30" s="54"/>
      <c r="Z30" s="54" t="e">
        <f>SUM(Z27:Z28)/Y27</f>
        <v>#DIV/0!</v>
      </c>
      <c r="AA30" s="54"/>
      <c r="AB30" s="54" t="e">
        <f>SUM(AB27:AB28)/AA27</f>
        <v>#DIV/0!</v>
      </c>
      <c r="AC30" s="54"/>
      <c r="AD30" s="54">
        <f>SUM(AD27:AD28)/AC27</f>
        <v>1800</v>
      </c>
      <c r="AE30" s="54"/>
      <c r="AF30" s="54" t="e">
        <f>SUM(AF27:AF28)/AE27</f>
        <v>#DIV/0!</v>
      </c>
      <c r="AG30" s="40"/>
      <c r="AH30" s="40" t="e">
        <f>SUM(AH27:AH28)/AG27</f>
        <v>#DIV/0!</v>
      </c>
      <c r="AI30" s="54"/>
      <c r="AJ30" s="54">
        <f>SUM(AJ27:AJ28)/AI27</f>
        <v>8266.6666666666661</v>
      </c>
      <c r="AK30" s="54"/>
      <c r="AL30" s="54">
        <f>SUM(AL27:AL28)/AK27</f>
        <v>5500</v>
      </c>
      <c r="AM30" s="54"/>
      <c r="AN30" s="54"/>
      <c r="AO30" s="39">
        <f t="shared" si="19"/>
        <v>0</v>
      </c>
      <c r="AP30" s="39" t="e">
        <f t="shared" si="20"/>
        <v>#DIV/0!</v>
      </c>
      <c r="AQ30" s="56"/>
      <c r="AR30" s="56"/>
      <c r="AS30" s="56"/>
      <c r="AT30" s="55"/>
      <c r="AU30" s="56"/>
      <c r="AV30" s="56"/>
      <c r="AW30" s="56"/>
    </row>
    <row r="31" spans="1:49" x14ac:dyDescent="0.25">
      <c r="A31" s="96"/>
      <c r="B31" s="35" t="s">
        <v>23</v>
      </c>
      <c r="C31" s="35"/>
      <c r="D31" s="35"/>
      <c r="E31" s="35"/>
      <c r="F31" s="39">
        <f>114000/10</f>
        <v>11400</v>
      </c>
      <c r="G31" s="39"/>
      <c r="H31" s="39">
        <f>150000/24</f>
        <v>6250</v>
      </c>
      <c r="I31" s="39"/>
      <c r="J31" s="39">
        <f>J28/J27</f>
        <v>0</v>
      </c>
      <c r="K31" s="39"/>
      <c r="L31" s="39">
        <f>L28/L27</f>
        <v>0</v>
      </c>
      <c r="M31" s="39"/>
      <c r="N31" s="39"/>
      <c r="O31" s="39"/>
      <c r="P31" s="39"/>
      <c r="Q31" s="39"/>
      <c r="R31" s="39">
        <f>SUM(R28:R30)/Q27</f>
        <v>2500</v>
      </c>
      <c r="S31" s="39"/>
      <c r="T31" s="39"/>
      <c r="U31" s="39"/>
      <c r="V31" s="39">
        <f>SUM(V28:V30)/U27</f>
        <v>0</v>
      </c>
      <c r="W31" s="39"/>
      <c r="X31" s="39">
        <f>SUM(X28:X30)/W27</f>
        <v>4390.022675736961</v>
      </c>
      <c r="Y31" s="39"/>
      <c r="Z31" s="39" t="e">
        <f>SUM(Z28:Z30)/Y27</f>
        <v>#DIV/0!</v>
      </c>
      <c r="AA31" s="39"/>
      <c r="AB31" s="39" t="e">
        <f>SUM(AB28:AB30)/AA27</f>
        <v>#DIV/0!</v>
      </c>
      <c r="AC31" s="39"/>
      <c r="AD31" s="39">
        <f>SUM(AD28:AD30)/AC27</f>
        <v>36</v>
      </c>
      <c r="AE31" s="39"/>
      <c r="AF31" s="39" t="e">
        <f>SUM(AF28:AF30)/AE27</f>
        <v>#DIV/0!</v>
      </c>
      <c r="AG31" s="40"/>
      <c r="AH31" s="40" t="e">
        <f>SUM(AH28:AH30)/AG27</f>
        <v>#DIV/0!</v>
      </c>
      <c r="AI31" s="39"/>
      <c r="AJ31" s="39">
        <f>SUM(AJ28:AJ30)/AI27</f>
        <v>551.11111111111109</v>
      </c>
      <c r="AK31" s="39"/>
      <c r="AL31" s="39">
        <f>SUM(AL28:AL30)/AK27</f>
        <v>611.11111111111109</v>
      </c>
      <c r="AM31" s="39"/>
      <c r="AN31" s="39"/>
      <c r="AO31" s="39">
        <f t="shared" si="19"/>
        <v>0</v>
      </c>
      <c r="AP31" s="39" t="e">
        <f t="shared" si="20"/>
        <v>#DIV/0!</v>
      </c>
      <c r="AQ31" s="37"/>
      <c r="AR31" s="37"/>
      <c r="AS31" s="37"/>
      <c r="AT31" s="37"/>
      <c r="AU31" s="37"/>
      <c r="AV31" s="37"/>
      <c r="AW31" s="37"/>
    </row>
    <row r="32" spans="1:49" x14ac:dyDescent="0.25">
      <c r="A32" s="96"/>
      <c r="B32" s="35" t="s">
        <v>25</v>
      </c>
      <c r="C32" s="35"/>
      <c r="D32" s="35"/>
      <c r="E32" s="35"/>
      <c r="F32" s="39">
        <f>F12/E27</f>
        <v>782.57066666666674</v>
      </c>
      <c r="G32" s="39"/>
      <c r="H32" s="39">
        <v>1729</v>
      </c>
      <c r="I32" s="39"/>
      <c r="J32" s="39">
        <v>1729</v>
      </c>
      <c r="K32" s="39"/>
      <c r="L32" s="39">
        <v>1729</v>
      </c>
      <c r="M32" s="39"/>
      <c r="N32" s="39"/>
      <c r="O32" s="39"/>
      <c r="P32" s="39"/>
      <c r="Q32" s="39"/>
      <c r="R32" s="39">
        <f>R12/Q27</f>
        <v>782.57066666666663</v>
      </c>
      <c r="S32" s="39"/>
      <c r="T32" s="39"/>
      <c r="U32" s="39"/>
      <c r="V32" s="39">
        <f>V12/U27</f>
        <v>782.57066666666663</v>
      </c>
      <c r="W32" s="39"/>
      <c r="X32" s="39">
        <f>X12/W27</f>
        <v>817.44846796657384</v>
      </c>
      <c r="Y32" s="39"/>
      <c r="Z32" s="39" t="e">
        <f>Z12/Y27</f>
        <v>#DIV/0!</v>
      </c>
      <c r="AA32" s="39"/>
      <c r="AB32" s="39" t="e">
        <f>AB12/AA27</f>
        <v>#DIV/0!</v>
      </c>
      <c r="AC32" s="39"/>
      <c r="AD32" s="39">
        <f>AD12/AC27</f>
        <v>782.57066666666663</v>
      </c>
      <c r="AE32" s="39"/>
      <c r="AF32" s="39" t="e">
        <f>AF12/AE27</f>
        <v>#DIV/0!</v>
      </c>
      <c r="AG32" s="40"/>
      <c r="AH32" s="40" t="e">
        <f>AH12/AG27</f>
        <v>#DIV/0!</v>
      </c>
      <c r="AI32" s="39"/>
      <c r="AJ32" s="39">
        <f>AJ12/AI27</f>
        <v>782.57066666666651</v>
      </c>
      <c r="AK32" s="39"/>
      <c r="AL32" s="39">
        <f>AL12/AK27</f>
        <v>782.57066666666674</v>
      </c>
      <c r="AM32" s="39"/>
      <c r="AN32" s="39"/>
      <c r="AO32" s="39">
        <f t="shared" si="19"/>
        <v>0</v>
      </c>
      <c r="AP32" s="39" t="e">
        <f t="shared" si="20"/>
        <v>#DIV/0!</v>
      </c>
      <c r="AQ32" s="37"/>
      <c r="AR32" s="37"/>
      <c r="AS32" s="37"/>
      <c r="AT32" s="37"/>
      <c r="AU32" s="37"/>
      <c r="AV32" s="37"/>
      <c r="AW32" s="37"/>
    </row>
    <row r="33" spans="1:49" x14ac:dyDescent="0.25">
      <c r="A33" s="96"/>
      <c r="B33" s="35" t="s">
        <v>24</v>
      </c>
      <c r="C33" s="35"/>
      <c r="D33" s="35"/>
      <c r="E33" s="39"/>
      <c r="F33" s="39">
        <f>F26/E27</f>
        <v>2518.8746666666666</v>
      </c>
      <c r="G33" s="39"/>
      <c r="H33" s="39">
        <v>1338</v>
      </c>
      <c r="I33" s="39"/>
      <c r="J33" s="39">
        <v>1338</v>
      </c>
      <c r="K33" s="39"/>
      <c r="L33" s="39">
        <v>1338</v>
      </c>
      <c r="M33" s="39"/>
      <c r="N33" s="39"/>
      <c r="O33" s="39"/>
      <c r="P33" s="39"/>
      <c r="Q33" s="39"/>
      <c r="R33" s="39">
        <f>R12/Q27</f>
        <v>782.57066666666663</v>
      </c>
      <c r="S33" s="39"/>
      <c r="T33" s="39"/>
      <c r="U33" s="39"/>
      <c r="V33" s="39">
        <f>V12/U27</f>
        <v>782.57066666666663</v>
      </c>
      <c r="W33" s="39"/>
      <c r="X33" s="39">
        <f>X12/W27</f>
        <v>817.44846796657384</v>
      </c>
      <c r="Y33" s="39"/>
      <c r="Z33" s="39" t="e">
        <f>Z12/Y27</f>
        <v>#DIV/0!</v>
      </c>
      <c r="AA33" s="39"/>
      <c r="AB33" s="39" t="e">
        <f>AB12/AA27</f>
        <v>#DIV/0!</v>
      </c>
      <c r="AC33" s="39"/>
      <c r="AD33" s="39">
        <f>AD12/AC27</f>
        <v>782.57066666666663</v>
      </c>
      <c r="AE33" s="39"/>
      <c r="AF33" s="39" t="e">
        <f>AF12/AE27</f>
        <v>#DIV/0!</v>
      </c>
      <c r="AG33" s="40"/>
      <c r="AH33" s="40" t="e">
        <f>AH12/AG27</f>
        <v>#DIV/0!</v>
      </c>
      <c r="AI33" s="54"/>
      <c r="AJ33" s="39">
        <f>AJ12/AI27</f>
        <v>782.57066666666651</v>
      </c>
      <c r="AK33" s="54"/>
      <c r="AL33" s="39">
        <f>AL12/AK27</f>
        <v>782.57066666666674</v>
      </c>
      <c r="AM33" s="54"/>
      <c r="AN33" s="39"/>
      <c r="AO33" s="39">
        <f t="shared" si="19"/>
        <v>0</v>
      </c>
      <c r="AP33" s="39" t="e">
        <f t="shared" si="20"/>
        <v>#DIV/0!</v>
      </c>
      <c r="AQ33" s="37"/>
      <c r="AR33" s="37"/>
      <c r="AS33" s="37"/>
      <c r="AT33" s="37"/>
      <c r="AU33" s="37"/>
      <c r="AV33" s="37"/>
      <c r="AW33" s="37"/>
    </row>
    <row r="34" spans="1:49" x14ac:dyDescent="0.25">
      <c r="A34" s="96"/>
      <c r="B34" s="35" t="s">
        <v>27</v>
      </c>
      <c r="C34" s="35"/>
      <c r="D34" s="35"/>
      <c r="E34" s="35"/>
      <c r="F34" s="39">
        <f>(F27+F26+F12)/E27</f>
        <v>3301.4453333333336</v>
      </c>
      <c r="G34" s="35"/>
      <c r="H34" s="39">
        <f>H30+H32+H33</f>
        <v>8959</v>
      </c>
      <c r="I34" s="39"/>
      <c r="J34" s="39">
        <f>J30+J32+J33</f>
        <v>8942</v>
      </c>
      <c r="K34" s="39"/>
      <c r="L34" s="39">
        <f>L30+L32+L33</f>
        <v>8942</v>
      </c>
      <c r="M34" s="39"/>
      <c r="N34" s="39"/>
      <c r="O34" s="35"/>
      <c r="P34" s="39"/>
      <c r="Q34" s="35"/>
      <c r="R34" s="39">
        <f>R26/Q27</f>
        <v>2518.8746666666666</v>
      </c>
      <c r="S34" s="35"/>
      <c r="T34" s="39"/>
      <c r="U34" s="35"/>
      <c r="V34" s="39">
        <f>V26/U27</f>
        <v>2518.8746666666671</v>
      </c>
      <c r="W34" s="35"/>
      <c r="X34" s="39">
        <f>X26/W27</f>
        <v>2518.8746666666666</v>
      </c>
      <c r="Y34" s="35"/>
      <c r="Z34" s="39" t="e">
        <f>Z26/Y27</f>
        <v>#DIV/0!</v>
      </c>
      <c r="AA34" s="35"/>
      <c r="AB34" s="39" t="e">
        <f>AB26/AA27</f>
        <v>#DIV/0!</v>
      </c>
      <c r="AC34" s="35"/>
      <c r="AD34" s="39">
        <f>AD26/AC27</f>
        <v>2518.8746666666666</v>
      </c>
      <c r="AE34" s="35"/>
      <c r="AF34" s="39" t="e">
        <f>AF26/AE27</f>
        <v>#DIV/0!</v>
      </c>
      <c r="AG34" s="36"/>
      <c r="AH34" s="40" t="e">
        <f>AH26/AG27</f>
        <v>#DIV/0!</v>
      </c>
      <c r="AI34" s="35"/>
      <c r="AJ34" s="39">
        <f>AJ26/AI27</f>
        <v>2518.8746666666671</v>
      </c>
      <c r="AK34" s="39"/>
      <c r="AL34" s="39">
        <f>AL26/AK27</f>
        <v>2518.8746666666666</v>
      </c>
      <c r="AM34" s="39"/>
      <c r="AN34" s="39"/>
      <c r="AO34" s="39">
        <f t="shared" si="19"/>
        <v>0</v>
      </c>
      <c r="AP34" s="39" t="e">
        <f t="shared" si="20"/>
        <v>#DIV/0!</v>
      </c>
      <c r="AQ34" s="37"/>
      <c r="AR34" s="37"/>
      <c r="AS34" s="37"/>
      <c r="AT34" s="37"/>
      <c r="AU34" s="37"/>
      <c r="AV34" s="37"/>
      <c r="AW34" s="37"/>
    </row>
    <row r="35" spans="1:49" x14ac:dyDescent="0.25">
      <c r="A35" s="96"/>
      <c r="B35" s="35" t="s">
        <v>26</v>
      </c>
      <c r="C35" s="35"/>
      <c r="D35" s="35"/>
      <c r="E35" s="35"/>
      <c r="F35" s="39">
        <f>F37/E27</f>
        <v>21428.571428571428</v>
      </c>
      <c r="G35" s="35"/>
      <c r="H35" s="39">
        <f>1000000/90</f>
        <v>11111.111111111111</v>
      </c>
      <c r="I35" s="39"/>
      <c r="J35" s="39">
        <f>J37/I27</f>
        <v>18096</v>
      </c>
      <c r="K35" s="39"/>
      <c r="L35" s="39">
        <f>L37/K27</f>
        <v>12000</v>
      </c>
      <c r="M35" s="39"/>
      <c r="N35" s="39"/>
      <c r="O35" s="35"/>
      <c r="P35" s="39"/>
      <c r="Q35" s="35"/>
      <c r="R35" s="39">
        <f>SUM(R31:R34)</f>
        <v>6584.0159999999996</v>
      </c>
      <c r="S35" s="35"/>
      <c r="T35" s="39"/>
      <c r="U35" s="35"/>
      <c r="V35" s="39">
        <f>SUM(V31:V34)</f>
        <v>4084.0160000000005</v>
      </c>
      <c r="W35" s="35"/>
      <c r="X35" s="39">
        <f>SUM(X31:X34)</f>
        <v>8543.7942783367762</v>
      </c>
      <c r="Y35" s="35"/>
      <c r="Z35" s="39" t="e">
        <f>SUM(Z31:Z34)</f>
        <v>#DIV/0!</v>
      </c>
      <c r="AA35" s="35"/>
      <c r="AB35" s="39" t="e">
        <f>SUM(AB31:AB34)</f>
        <v>#DIV/0!</v>
      </c>
      <c r="AC35" s="35"/>
      <c r="AD35" s="39">
        <f>SUM(AD31:AD34)</f>
        <v>4120.0159999999996</v>
      </c>
      <c r="AE35" s="35"/>
      <c r="AF35" s="39" t="e">
        <f>SUM(AF31:AF34)</f>
        <v>#DIV/0!</v>
      </c>
      <c r="AG35" s="36"/>
      <c r="AH35" s="40" t="e">
        <f>SUM(AH31:AH34)</f>
        <v>#DIV/0!</v>
      </c>
      <c r="AI35" s="35"/>
      <c r="AJ35" s="39">
        <f>SUM(AJ31:AJ34)</f>
        <v>4635.1271111111109</v>
      </c>
      <c r="AK35" s="39"/>
      <c r="AL35" s="39">
        <f>SUM(AL31:AL34)</f>
        <v>4695.1271111111109</v>
      </c>
      <c r="AM35" s="39"/>
      <c r="AN35" s="39"/>
      <c r="AO35" s="39">
        <f>C35+E35+G35+O35+Q35+S35+U35+W35+Y35+AA35+AC35+AE35+AG35+AI35+AK35+M35+K35+I35</f>
        <v>0</v>
      </c>
      <c r="AP35" s="39" t="e">
        <f t="shared" si="20"/>
        <v>#DIV/0!</v>
      </c>
      <c r="AQ35" s="44"/>
      <c r="AR35" s="37"/>
      <c r="AS35" s="37"/>
      <c r="AT35" s="37"/>
      <c r="AU35" s="37"/>
      <c r="AV35" s="37"/>
      <c r="AW35" s="37"/>
    </row>
    <row r="36" spans="1:49" ht="15.75" thickBot="1" x14ac:dyDescent="0.3">
      <c r="A36" s="97"/>
      <c r="B36" s="35" t="s">
        <v>28</v>
      </c>
      <c r="C36" s="35"/>
      <c r="D36" s="35"/>
      <c r="E36" s="35"/>
      <c r="F36" s="57">
        <f>F34/F35</f>
        <v>0.1540674488888889</v>
      </c>
      <c r="G36" s="35"/>
      <c r="H36" s="57">
        <f>H34/H37</f>
        <v>6.6362962962962964E-3</v>
      </c>
      <c r="I36" s="57"/>
      <c r="J36" s="57">
        <f>J34/J35</f>
        <v>0.49414235190097261</v>
      </c>
      <c r="K36" s="57"/>
      <c r="L36" s="57">
        <f>L34/L35</f>
        <v>0.74516666666666664</v>
      </c>
      <c r="M36" s="57"/>
      <c r="N36" s="57"/>
      <c r="O36" s="35"/>
      <c r="P36" s="57"/>
      <c r="Q36" s="35"/>
      <c r="R36" s="57">
        <f>R34/R35</f>
        <v>0.38257420192579528</v>
      </c>
      <c r="S36" s="35"/>
      <c r="T36" s="57"/>
      <c r="U36" s="35"/>
      <c r="V36" s="57">
        <f>V34/V35</f>
        <v>0.61676415240945837</v>
      </c>
      <c r="W36" s="35"/>
      <c r="X36" s="57">
        <f>X34/X35</f>
        <v>0.29481920849304638</v>
      </c>
      <c r="Y36" s="35"/>
      <c r="Z36" s="57" t="e">
        <f>Z34/Z35</f>
        <v>#DIV/0!</v>
      </c>
      <c r="AA36" s="35"/>
      <c r="AB36" s="57" t="e">
        <f>AB34/AB35</f>
        <v>#DIV/0!</v>
      </c>
      <c r="AC36" s="35"/>
      <c r="AD36" s="57">
        <f>AD34/AD35</f>
        <v>0.6113749720065812</v>
      </c>
      <c r="AE36" s="35"/>
      <c r="AF36" s="57" t="e">
        <f>AF34/AF35</f>
        <v>#DIV/0!</v>
      </c>
      <c r="AG36" s="36"/>
      <c r="AH36" s="58" t="e">
        <f>AH34/AH35</f>
        <v>#DIV/0!</v>
      </c>
      <c r="AI36" s="35"/>
      <c r="AJ36" s="57">
        <f>AJ34/AJ35</f>
        <v>0.5434316268541024</v>
      </c>
      <c r="AK36" s="57"/>
      <c r="AL36" s="57">
        <f>AL34/AL35</f>
        <v>0.53648700174819552</v>
      </c>
      <c r="AM36" s="57"/>
      <c r="AN36" s="57"/>
      <c r="AO36" s="59">
        <f>C36+E36+G36+O36+Q36+S36+U36+W36+Y36+AA36+AC36+AE36+AG36+AI36+M36+K36+I36</f>
        <v>0</v>
      </c>
      <c r="AP36" s="57" t="e">
        <f>AP34/AP35</f>
        <v>#DIV/0!</v>
      </c>
      <c r="AQ36" s="37"/>
      <c r="AR36" s="37"/>
      <c r="AS36" s="37"/>
      <c r="AT36" s="37"/>
      <c r="AU36" s="37"/>
      <c r="AV36" s="37"/>
      <c r="AW36" s="37"/>
    </row>
    <row r="37" spans="1:49" s="3" customFormat="1" x14ac:dyDescent="0.25">
      <c r="A37" s="60"/>
      <c r="B37" s="60" t="s">
        <v>35</v>
      </c>
      <c r="C37" s="60"/>
      <c r="D37" s="60"/>
      <c r="E37" s="60">
        <v>14</v>
      </c>
      <c r="F37" s="60">
        <v>300000</v>
      </c>
      <c r="G37" s="60">
        <v>80</v>
      </c>
      <c r="H37" s="60">
        <v>1350000</v>
      </c>
      <c r="I37" s="60">
        <v>116</v>
      </c>
      <c r="J37" s="60">
        <v>2099136</v>
      </c>
      <c r="K37" s="60">
        <v>24</v>
      </c>
      <c r="L37" s="60">
        <f>K37*12000</f>
        <v>288000</v>
      </c>
      <c r="M37" s="60"/>
      <c r="N37" s="60"/>
      <c r="O37" s="60"/>
      <c r="P37" s="60"/>
      <c r="Q37" s="60">
        <v>3</v>
      </c>
      <c r="R37" s="60">
        <v>150000</v>
      </c>
      <c r="S37" s="60"/>
      <c r="T37" s="60"/>
      <c r="U37" s="60">
        <v>43</v>
      </c>
      <c r="V37" s="60">
        <v>655750</v>
      </c>
      <c r="W37" s="60">
        <v>21</v>
      </c>
      <c r="X37" s="60">
        <v>350000</v>
      </c>
      <c r="Y37" s="60"/>
      <c r="Z37" s="60"/>
      <c r="AA37" s="60">
        <v>0</v>
      </c>
      <c r="AB37" s="60">
        <v>0</v>
      </c>
      <c r="AC37" s="60">
        <v>50</v>
      </c>
      <c r="AD37" s="60">
        <v>815000</v>
      </c>
      <c r="AE37" s="60"/>
      <c r="AF37" s="60"/>
      <c r="AG37" s="60"/>
      <c r="AH37" s="60"/>
      <c r="AI37" s="60">
        <v>15</v>
      </c>
      <c r="AJ37" s="60">
        <v>255000</v>
      </c>
      <c r="AK37" s="60">
        <v>9</v>
      </c>
      <c r="AL37" s="60">
        <v>153000</v>
      </c>
      <c r="AM37" s="60"/>
      <c r="AN37" s="60"/>
      <c r="AO37" s="61">
        <v>0</v>
      </c>
      <c r="AP37" s="66">
        <f>R37+P37+N37+L37+J37+H37+F37+AN37+AL37+T37+V37+X37+AD37+AB37+AJ37</f>
        <v>6415886</v>
      </c>
      <c r="AQ37" s="44"/>
      <c r="AR37" s="29"/>
      <c r="AS37" s="29"/>
      <c r="AT37" s="29"/>
      <c r="AU37" s="29"/>
      <c r="AV37" s="29"/>
      <c r="AW37" s="29"/>
    </row>
    <row r="38" spans="1:49" x14ac:dyDescent="0.25">
      <c r="A38" s="50"/>
      <c r="B38" s="50" t="s">
        <v>36</v>
      </c>
      <c r="C38" s="50">
        <f t="shared" ref="C38:AJ38" si="21">C39+C40+C41</f>
        <v>0</v>
      </c>
      <c r="D38" s="50">
        <f t="shared" si="21"/>
        <v>0</v>
      </c>
      <c r="E38" s="50">
        <f>E37</f>
        <v>14</v>
      </c>
      <c r="F38" s="50">
        <f t="shared" si="21"/>
        <v>5000</v>
      </c>
      <c r="G38" s="50">
        <f>G37</f>
        <v>80</v>
      </c>
      <c r="H38" s="50">
        <f t="shared" si="21"/>
        <v>70000</v>
      </c>
      <c r="I38" s="50">
        <f>I37</f>
        <v>116</v>
      </c>
      <c r="J38" s="50">
        <f t="shared" si="21"/>
        <v>133710</v>
      </c>
      <c r="K38" s="50">
        <f>K37</f>
        <v>24</v>
      </c>
      <c r="L38" s="50">
        <f t="shared" si="21"/>
        <v>10153</v>
      </c>
      <c r="M38" s="50"/>
      <c r="N38" s="50"/>
      <c r="O38" s="50"/>
      <c r="P38" s="50"/>
      <c r="Q38" s="50">
        <f>Q37</f>
        <v>3</v>
      </c>
      <c r="R38" s="50">
        <f t="shared" si="21"/>
        <v>5000</v>
      </c>
      <c r="S38" s="60"/>
      <c r="T38" s="50"/>
      <c r="U38" s="50">
        <f>U37</f>
        <v>43</v>
      </c>
      <c r="V38" s="50">
        <f t="shared" si="21"/>
        <v>254262</v>
      </c>
      <c r="W38" s="50">
        <f>W37</f>
        <v>21</v>
      </c>
      <c r="X38" s="50">
        <f t="shared" si="21"/>
        <v>4500</v>
      </c>
      <c r="Y38" s="50">
        <f t="shared" si="21"/>
        <v>0</v>
      </c>
      <c r="Z38" s="50">
        <f t="shared" si="21"/>
        <v>0</v>
      </c>
      <c r="AA38" s="50">
        <f>AA37</f>
        <v>0</v>
      </c>
      <c r="AB38" s="50">
        <f t="shared" si="21"/>
        <v>36028</v>
      </c>
      <c r="AC38" s="50">
        <f>AC37</f>
        <v>50</v>
      </c>
      <c r="AD38" s="50">
        <f t="shared" si="21"/>
        <v>40082</v>
      </c>
      <c r="AE38" s="50">
        <f t="shared" si="21"/>
        <v>0</v>
      </c>
      <c r="AF38" s="50">
        <f t="shared" si="21"/>
        <v>0</v>
      </c>
      <c r="AG38" s="50">
        <f t="shared" si="21"/>
        <v>0</v>
      </c>
      <c r="AH38" s="50">
        <f t="shared" si="21"/>
        <v>0</v>
      </c>
      <c r="AI38" s="50">
        <f>AI37</f>
        <v>15</v>
      </c>
      <c r="AJ38" s="50">
        <f t="shared" si="21"/>
        <v>18000</v>
      </c>
      <c r="AK38" s="50">
        <f>AK37</f>
        <v>9</v>
      </c>
      <c r="AL38" s="50">
        <v>5000</v>
      </c>
      <c r="AM38" s="60"/>
      <c r="AN38" s="50"/>
      <c r="AO38" s="50">
        <f>M38+K38+I38+G38+E38+O38+Q38+U38+W38+AA38+AC38+AK38+AM38</f>
        <v>360</v>
      </c>
      <c r="AP38" s="61">
        <f>N38+L38+J38+H38+F38+P38+R38+T38+AL38+AN38+V38+X38+AB38+AD38+AJ38</f>
        <v>581735</v>
      </c>
      <c r="AQ38" s="44"/>
      <c r="AR38" s="37"/>
      <c r="AS38" s="37"/>
      <c r="AT38" s="37"/>
      <c r="AU38" s="37"/>
      <c r="AV38" s="37"/>
      <c r="AW38" s="37"/>
    </row>
    <row r="39" spans="1:49" x14ac:dyDescent="0.25">
      <c r="A39" s="37"/>
      <c r="B39" s="36" t="s">
        <v>40</v>
      </c>
      <c r="C39" s="35"/>
      <c r="D39" s="35"/>
      <c r="E39" s="46">
        <f>E37</f>
        <v>14</v>
      </c>
      <c r="F39" s="35">
        <v>5000</v>
      </c>
      <c r="G39" s="46">
        <f>G37</f>
        <v>80</v>
      </c>
      <c r="H39" s="35">
        <v>70000</v>
      </c>
      <c r="I39" s="46">
        <f>I37</f>
        <v>116</v>
      </c>
      <c r="J39" s="35">
        <v>126810</v>
      </c>
      <c r="K39" s="46">
        <f>K37</f>
        <v>24</v>
      </c>
      <c r="L39" s="35">
        <v>10153</v>
      </c>
      <c r="M39" s="35"/>
      <c r="N39" s="35"/>
      <c r="O39" s="46"/>
      <c r="P39" s="35"/>
      <c r="Q39" s="46">
        <f>Q37</f>
        <v>3</v>
      </c>
      <c r="R39" s="35">
        <v>5000</v>
      </c>
      <c r="S39" s="60"/>
      <c r="T39" s="35"/>
      <c r="U39" s="46">
        <f>U37</f>
        <v>43</v>
      </c>
      <c r="V39" s="35">
        <v>240262</v>
      </c>
      <c r="W39" s="46">
        <f>W37</f>
        <v>21</v>
      </c>
      <c r="X39" s="35">
        <v>4500</v>
      </c>
      <c r="Y39" s="35"/>
      <c r="Z39" s="35"/>
      <c r="AA39" s="46">
        <f>AA37</f>
        <v>0</v>
      </c>
      <c r="AB39" s="35">
        <v>36028</v>
      </c>
      <c r="AC39" s="46">
        <f>AC37</f>
        <v>50</v>
      </c>
      <c r="AD39" s="35">
        <v>37882</v>
      </c>
      <c r="AE39" s="35"/>
      <c r="AF39" s="35"/>
      <c r="AG39" s="36"/>
      <c r="AH39" s="36"/>
      <c r="AI39" s="46">
        <f>AI37</f>
        <v>15</v>
      </c>
      <c r="AJ39" s="35">
        <v>18000</v>
      </c>
      <c r="AK39" s="46">
        <f>AK37</f>
        <v>9</v>
      </c>
      <c r="AL39" s="35">
        <v>9900</v>
      </c>
      <c r="AM39" s="60"/>
      <c r="AN39" s="35"/>
      <c r="AO39" s="42">
        <f>M39+K39+I39+G39+E39+O39+Q39</f>
        <v>237</v>
      </c>
      <c r="AP39" s="61">
        <f>N39+L39+J39+H39+F39+P39+R39+T39+AL39+AN39+V39+X39+AB39+AD39+AJ39</f>
        <v>563535</v>
      </c>
      <c r="AQ39" s="52" t="s">
        <v>73</v>
      </c>
      <c r="AR39" s="51">
        <f>AP39+AP40</f>
        <v>586635</v>
      </c>
      <c r="AS39" s="37"/>
      <c r="AT39" s="37"/>
      <c r="AU39" s="37"/>
      <c r="AV39" s="37"/>
      <c r="AW39" s="37"/>
    </row>
    <row r="40" spans="1:49" x14ac:dyDescent="0.25">
      <c r="A40" s="37"/>
      <c r="B40" s="36" t="s">
        <v>37</v>
      </c>
      <c r="C40" s="35"/>
      <c r="D40" s="35"/>
      <c r="E40" s="35">
        <v>0</v>
      </c>
      <c r="F40" s="35">
        <v>0</v>
      </c>
      <c r="G40" s="35"/>
      <c r="H40" s="35"/>
      <c r="I40" s="35">
        <v>9</v>
      </c>
      <c r="J40" s="35">
        <v>6900</v>
      </c>
      <c r="K40" s="35"/>
      <c r="L40" s="35"/>
      <c r="M40" s="35"/>
      <c r="N40" s="35"/>
      <c r="O40" s="35"/>
      <c r="P40" s="35"/>
      <c r="Q40" s="35"/>
      <c r="R40" s="35">
        <v>0</v>
      </c>
      <c r="S40" s="35"/>
      <c r="T40" s="35"/>
      <c r="U40" s="35">
        <v>6</v>
      </c>
      <c r="V40" s="35">
        <v>14000</v>
      </c>
      <c r="W40" s="35"/>
      <c r="X40" s="35"/>
      <c r="Y40" s="35"/>
      <c r="Z40" s="35"/>
      <c r="AA40" s="35">
        <v>0</v>
      </c>
      <c r="AB40" s="35">
        <v>0</v>
      </c>
      <c r="AC40" s="35">
        <v>1</v>
      </c>
      <c r="AD40" s="35">
        <v>2200</v>
      </c>
      <c r="AE40" s="35"/>
      <c r="AF40" s="35"/>
      <c r="AG40" s="36"/>
      <c r="AH40" s="36"/>
      <c r="AI40" s="35"/>
      <c r="AJ40" s="35"/>
      <c r="AK40" s="35"/>
      <c r="AL40" s="35"/>
      <c r="AM40" s="35"/>
      <c r="AN40" s="35"/>
      <c r="AO40" s="35">
        <f>M40+K40+I40+G40+E40</f>
        <v>9</v>
      </c>
      <c r="AP40" s="61">
        <f>N40+L40+J40+H40+F40+P40+R40+T40+AL40+AN40+V40+X40+AB40+AD40+AJ40</f>
        <v>23100</v>
      </c>
      <c r="AQ40" s="44"/>
      <c r="AR40" s="37"/>
      <c r="AS40" s="37"/>
      <c r="AT40" s="37"/>
      <c r="AU40" s="37"/>
      <c r="AV40" s="37"/>
      <c r="AW40" s="37"/>
    </row>
    <row r="41" spans="1:49" x14ac:dyDescent="0.25">
      <c r="A41" s="37"/>
      <c r="B41" s="62" t="s">
        <v>38</v>
      </c>
      <c r="C41" s="63"/>
      <c r="D41" s="63"/>
      <c r="E41" s="63">
        <v>0</v>
      </c>
      <c r="F41" s="63">
        <v>0</v>
      </c>
      <c r="G41" s="63"/>
      <c r="H41" s="63"/>
      <c r="I41" s="63"/>
      <c r="J41" s="63"/>
      <c r="K41" s="63"/>
      <c r="L41" s="63"/>
      <c r="M41" s="63"/>
      <c r="N41" s="63"/>
      <c r="O41" s="63"/>
      <c r="P41" s="63"/>
      <c r="Q41" s="63"/>
      <c r="R41" s="63">
        <v>0</v>
      </c>
      <c r="S41" s="63"/>
      <c r="T41" s="63"/>
      <c r="U41" s="63"/>
      <c r="V41" s="63"/>
      <c r="W41" s="63"/>
      <c r="X41" s="63"/>
      <c r="Y41" s="63"/>
      <c r="Z41" s="63"/>
      <c r="AA41" s="63"/>
      <c r="AB41" s="63"/>
      <c r="AC41" s="63"/>
      <c r="AD41" s="63"/>
      <c r="AE41" s="63"/>
      <c r="AF41" s="63"/>
      <c r="AG41" s="62"/>
      <c r="AH41" s="62"/>
      <c r="AI41" s="63"/>
      <c r="AJ41" s="63"/>
      <c r="AK41" s="63"/>
      <c r="AL41" s="63"/>
      <c r="AM41" s="63"/>
      <c r="AN41" s="63"/>
      <c r="AO41" s="35">
        <f>M41+K41+I41+G41+E41</f>
        <v>0</v>
      </c>
      <c r="AP41" s="61">
        <f>N41+L41+J41+H41+F41+P41+R41+T41+AL41+AN41+V41+X41+AB41+AD41+AJ41</f>
        <v>0</v>
      </c>
      <c r="AQ41" s="37"/>
      <c r="AR41" s="37"/>
      <c r="AS41" s="37"/>
      <c r="AT41" s="29" t="s">
        <v>12</v>
      </c>
      <c r="AU41" s="51">
        <f>AP28</f>
        <v>412808</v>
      </c>
      <c r="AV41" s="37"/>
      <c r="AW41" s="37"/>
    </row>
    <row r="42" spans="1:49" s="7" customFormat="1" x14ac:dyDescent="0.25">
      <c r="A42" s="60"/>
      <c r="B42" s="60" t="s">
        <v>41</v>
      </c>
      <c r="C42" s="60"/>
      <c r="D42" s="60">
        <f>+D41+D40+D39+D28+D27+D26+D12</f>
        <v>1238042</v>
      </c>
      <c r="E42" s="60"/>
      <c r="F42" s="61">
        <f>F38+F27+F26+F12</f>
        <v>51220.234666666671</v>
      </c>
      <c r="G42" s="60"/>
      <c r="H42" s="61">
        <f>H38+H28+H27+H26+H12</f>
        <v>984989.62666666671</v>
      </c>
      <c r="I42" s="61"/>
      <c r="J42" s="61">
        <f>J38+J27+J26+J12</f>
        <v>1198177.6586666666</v>
      </c>
      <c r="K42" s="61"/>
      <c r="L42" s="61">
        <f>L38+L27+L26+L12</f>
        <v>230387.68799999999</v>
      </c>
      <c r="M42" s="61"/>
      <c r="N42" s="61">
        <f>N38+N27+N26+N12</f>
        <v>0</v>
      </c>
      <c r="O42" s="60"/>
      <c r="P42" s="60">
        <f>+P41+P40+P39+P28+P27+P26</f>
        <v>0</v>
      </c>
      <c r="Q42" s="60"/>
      <c r="R42" s="60">
        <f>+R41+R40+R39+R28+R27+R26</f>
        <v>35056.623999999996</v>
      </c>
      <c r="S42" s="60"/>
      <c r="T42" s="61">
        <f>+T41+T40+T39+T28+T27+T26</f>
        <v>0</v>
      </c>
      <c r="U42" s="60"/>
      <c r="V42" s="60">
        <f>+V41+V40+V39+V28+V27+V26</f>
        <v>362573.61066666665</v>
      </c>
      <c r="W42" s="60"/>
      <c r="X42" s="60">
        <f>+X41+X40+X39+X28+X27+X26</f>
        <v>145396.36800000002</v>
      </c>
      <c r="Y42" s="60"/>
      <c r="Z42" s="60">
        <f>+Z41+Z40+Z39+Z28+Z27+Z26</f>
        <v>0</v>
      </c>
      <c r="AA42" s="60"/>
      <c r="AB42" s="60">
        <f>+AB41+AB40+AB39+AB28+AB27+AB26</f>
        <v>36028</v>
      </c>
      <c r="AC42" s="60"/>
      <c r="AD42" s="60">
        <f>+AD41+AD40+AD39+AD28+AD27+AD26</f>
        <v>256025.73333333334</v>
      </c>
      <c r="AE42" s="60"/>
      <c r="AF42" s="61">
        <f>+AF41+AF40+AF39+AF28+AF27+AF26+AF29</f>
        <v>0</v>
      </c>
      <c r="AG42" s="60"/>
      <c r="AH42" s="60">
        <f>+AH41+AH40+AH39+AH28+AH27+AH26</f>
        <v>0</v>
      </c>
      <c r="AI42" s="60"/>
      <c r="AJ42" s="60">
        <f>+AJ41+AJ40+AJ39+AJ28+AJ27+AJ26</f>
        <v>179783.12</v>
      </c>
      <c r="AK42" s="60"/>
      <c r="AL42" s="60">
        <f>+AL41+AL40+AL39+AL28+AL27+AL26</f>
        <v>82069.872000000003</v>
      </c>
      <c r="AM42" s="60"/>
      <c r="AN42" s="60"/>
      <c r="AO42" s="61">
        <f>+AO37+AO26+AO12</f>
        <v>89</v>
      </c>
      <c r="AP42" s="61">
        <f>AP38+AP28+AP27+AP26+AP12</f>
        <v>3812445</v>
      </c>
      <c r="AQ42" s="64"/>
      <c r="AR42" s="65"/>
      <c r="AS42" s="65"/>
      <c r="AT42" s="65"/>
      <c r="AU42" s="65"/>
      <c r="AV42" s="65"/>
      <c r="AW42" s="65"/>
    </row>
    <row r="43" spans="1:49" x14ac:dyDescent="0.25">
      <c r="H43" s="2"/>
      <c r="AP43" s="2"/>
    </row>
    <row r="44" spans="1:49" x14ac:dyDescent="0.25">
      <c r="D44" s="9"/>
      <c r="E44" s="9"/>
      <c r="F44" s="9"/>
      <c r="G44" s="9"/>
      <c r="H44" s="23"/>
      <c r="I44" s="9"/>
      <c r="J44" s="9"/>
      <c r="K44" s="9"/>
      <c r="L44" s="9"/>
      <c r="M44" s="9"/>
      <c r="N44" s="9"/>
      <c r="O44" s="9"/>
      <c r="P44" s="9"/>
      <c r="AP44" s="2"/>
    </row>
    <row r="45" spans="1:49" x14ac:dyDescent="0.25">
      <c r="D45" s="24"/>
      <c r="E45" s="9"/>
      <c r="F45" s="23"/>
      <c r="G45" s="23"/>
      <c r="H45" s="23"/>
      <c r="I45" s="9"/>
      <c r="J45" s="23"/>
      <c r="K45" s="9"/>
      <c r="L45" s="23"/>
      <c r="M45" s="9"/>
      <c r="N45" s="23"/>
      <c r="O45" s="23"/>
      <c r="P45" s="9"/>
    </row>
    <row r="46" spans="1:49" x14ac:dyDescent="0.25">
      <c r="D46" s="24"/>
      <c r="E46" s="9"/>
      <c r="F46" s="23"/>
      <c r="G46" s="9"/>
      <c r="H46" s="23"/>
      <c r="I46" s="23"/>
      <c r="J46" s="23"/>
      <c r="K46" s="9"/>
      <c r="L46" s="23"/>
      <c r="M46" s="9"/>
      <c r="N46" s="23"/>
      <c r="O46" s="23"/>
      <c r="P46" s="25"/>
      <c r="Q46" s="25"/>
      <c r="R46"/>
      <c r="S46"/>
      <c r="AO46"/>
    </row>
    <row r="47" spans="1:49" x14ac:dyDescent="0.25">
      <c r="D47" s="9"/>
      <c r="E47" s="9"/>
      <c r="F47" s="9"/>
      <c r="G47" s="9"/>
      <c r="H47" s="9"/>
      <c r="I47" s="9"/>
      <c r="J47" s="9"/>
      <c r="K47" s="9"/>
      <c r="L47" s="9"/>
      <c r="M47" s="9"/>
      <c r="N47" s="9"/>
      <c r="O47" s="9"/>
      <c r="P47" s="25"/>
      <c r="Q47" s="25"/>
      <c r="R47"/>
      <c r="S47"/>
      <c r="AO47"/>
    </row>
    <row r="48" spans="1:49" x14ac:dyDescent="0.25">
      <c r="D48" s="9"/>
      <c r="E48" s="9"/>
      <c r="F48" s="9"/>
      <c r="G48" s="9"/>
      <c r="H48" s="23"/>
      <c r="I48" s="9"/>
      <c r="J48" s="9"/>
      <c r="K48" s="9"/>
      <c r="L48" s="9"/>
      <c r="M48" s="9"/>
      <c r="N48" s="9"/>
      <c r="O48" s="9"/>
      <c r="P48" s="25"/>
      <c r="Q48" s="25"/>
      <c r="R48"/>
      <c r="S48"/>
      <c r="AO48"/>
    </row>
    <row r="49" spans="3:41" x14ac:dyDescent="0.25">
      <c r="C49" s="9"/>
      <c r="D49" s="9"/>
      <c r="E49" s="9"/>
      <c r="F49" s="9"/>
      <c r="G49" s="9"/>
      <c r="H49" s="9"/>
      <c r="I49" s="9"/>
      <c r="J49" s="9"/>
      <c r="K49" s="9"/>
      <c r="L49" s="9"/>
      <c r="M49" s="9"/>
      <c r="N49" s="9"/>
      <c r="O49" s="9"/>
      <c r="P49" s="25"/>
      <c r="Q49" s="25"/>
      <c r="R49"/>
      <c r="S49"/>
      <c r="AO49"/>
    </row>
    <row r="50" spans="3:41" x14ac:dyDescent="0.25">
      <c r="C50" s="9"/>
      <c r="D50" s="9"/>
      <c r="E50" s="9"/>
      <c r="F50" s="9"/>
      <c r="G50" s="9"/>
      <c r="H50" s="9"/>
      <c r="I50" s="9"/>
      <c r="J50" s="9"/>
      <c r="K50" s="9"/>
      <c r="L50" s="9"/>
      <c r="M50" s="9"/>
      <c r="N50" s="9"/>
      <c r="O50" s="9"/>
      <c r="P50" s="9"/>
      <c r="Q50" s="25"/>
      <c r="R50"/>
      <c r="S50"/>
      <c r="AO50"/>
    </row>
    <row r="51" spans="3:41" x14ac:dyDescent="0.25">
      <c r="C51" s="9"/>
      <c r="D51" s="9"/>
      <c r="E51" s="9"/>
      <c r="F51" s="9"/>
      <c r="G51" s="9"/>
      <c r="H51" s="9"/>
      <c r="I51" s="9"/>
      <c r="J51" s="9"/>
      <c r="K51" s="9"/>
      <c r="L51" s="9"/>
      <c r="M51" s="9"/>
      <c r="N51" s="9"/>
      <c r="O51" s="9"/>
      <c r="P51" s="25"/>
      <c r="Q51" s="25"/>
      <c r="R51"/>
      <c r="S51"/>
      <c r="AO51"/>
    </row>
    <row r="52" spans="3:41" x14ac:dyDescent="0.25">
      <c r="C52" s="10"/>
      <c r="D52" s="9"/>
      <c r="E52" s="9"/>
      <c r="F52" s="9"/>
      <c r="G52" s="9"/>
      <c r="H52" s="9"/>
      <c r="I52" s="9"/>
      <c r="J52" s="9"/>
      <c r="K52" s="9"/>
      <c r="L52" s="9"/>
      <c r="M52" s="9"/>
      <c r="N52" s="9"/>
      <c r="O52" s="9"/>
      <c r="P52" s="9"/>
    </row>
    <row r="53" spans="3:41" x14ac:dyDescent="0.25">
      <c r="C53" s="9"/>
      <c r="D53" s="9"/>
      <c r="E53" s="9"/>
      <c r="F53" s="9"/>
      <c r="G53" s="9"/>
      <c r="H53" s="9"/>
      <c r="I53" s="9"/>
      <c r="J53" s="9"/>
      <c r="K53" s="9"/>
      <c r="L53" s="9"/>
      <c r="M53" s="9"/>
      <c r="N53" s="9"/>
      <c r="O53" s="9"/>
      <c r="P53" s="9"/>
    </row>
    <row r="54" spans="3:41" x14ac:dyDescent="0.25">
      <c r="C54" s="9"/>
      <c r="D54" s="9"/>
      <c r="E54" s="9"/>
      <c r="F54" s="9"/>
      <c r="G54" s="9"/>
      <c r="H54" s="9"/>
      <c r="I54" s="9"/>
      <c r="J54" s="9"/>
      <c r="K54" s="9"/>
      <c r="L54" s="9"/>
      <c r="M54" s="9"/>
      <c r="N54" s="9"/>
      <c r="O54" s="9"/>
      <c r="P54" s="9"/>
    </row>
    <row r="55" spans="3:41" x14ac:dyDescent="0.25">
      <c r="C55" s="9"/>
      <c r="D55" s="9"/>
      <c r="E55" s="9"/>
      <c r="F55" s="9"/>
      <c r="G55" s="9"/>
      <c r="H55" s="9"/>
      <c r="I55" s="9"/>
      <c r="J55" s="9"/>
      <c r="K55" s="9"/>
      <c r="L55" s="9"/>
      <c r="M55" s="9"/>
      <c r="N55" s="9"/>
      <c r="O55" s="9"/>
      <c r="P55" s="9"/>
    </row>
    <row r="56" spans="3:41" x14ac:dyDescent="0.25">
      <c r="C56" s="9"/>
      <c r="D56" s="9"/>
      <c r="E56" s="9"/>
      <c r="F56" s="9"/>
      <c r="G56" s="9"/>
      <c r="H56" s="9"/>
      <c r="I56" s="9"/>
      <c r="J56" s="9"/>
      <c r="K56" s="9"/>
      <c r="L56" s="9"/>
      <c r="M56" s="9"/>
      <c r="N56" s="9"/>
      <c r="O56" s="9"/>
      <c r="P56" s="9"/>
    </row>
    <row r="57" spans="3:41" x14ac:dyDescent="0.25">
      <c r="C57" s="9"/>
      <c r="D57" s="9"/>
      <c r="E57" s="9"/>
      <c r="F57" s="9"/>
      <c r="G57" s="9"/>
      <c r="H57" s="9"/>
    </row>
    <row r="58" spans="3:41" x14ac:dyDescent="0.25">
      <c r="C58" s="9"/>
      <c r="D58" s="9"/>
      <c r="E58" s="9"/>
      <c r="F58" s="9"/>
      <c r="G58" s="9"/>
      <c r="H58" s="9"/>
    </row>
    <row r="59" spans="3:41" x14ac:dyDescent="0.25">
      <c r="C59" s="9"/>
      <c r="D59" s="9"/>
      <c r="E59" s="9"/>
      <c r="F59" s="9"/>
      <c r="G59" s="9"/>
      <c r="H59" s="9"/>
    </row>
    <row r="65" spans="6:15" x14ac:dyDescent="0.25">
      <c r="F65" s="2"/>
      <c r="H65" s="2"/>
      <c r="J65" s="2"/>
      <c r="L65" s="2"/>
      <c r="N65" s="2"/>
      <c r="O65" s="2"/>
    </row>
    <row r="66" spans="6:15" x14ac:dyDescent="0.25">
      <c r="H66" s="2"/>
      <c r="O66" s="2"/>
    </row>
    <row r="67" spans="6:15" x14ac:dyDescent="0.25">
      <c r="O67" s="2"/>
    </row>
  </sheetData>
  <mergeCells count="43">
    <mergeCell ref="AS15:AS16"/>
    <mergeCell ref="A27:A36"/>
    <mergeCell ref="C1:D1"/>
    <mergeCell ref="A4:A11"/>
    <mergeCell ref="E1:F1"/>
    <mergeCell ref="G1:H1"/>
    <mergeCell ref="A13:A24"/>
    <mergeCell ref="C2:D2"/>
    <mergeCell ref="E2:F2"/>
    <mergeCell ref="G2:H2"/>
    <mergeCell ref="AG2:AH2"/>
    <mergeCell ref="O2:P2"/>
    <mergeCell ref="O1:P1"/>
    <mergeCell ref="I1:J1"/>
    <mergeCell ref="K1:L1"/>
    <mergeCell ref="M1:N1"/>
    <mergeCell ref="AO1:AP2"/>
    <mergeCell ref="I2:J2"/>
    <mergeCell ref="K2:L2"/>
    <mergeCell ref="AE2:AF2"/>
    <mergeCell ref="AC2:AD2"/>
    <mergeCell ref="M2:N2"/>
    <mergeCell ref="AA1:AB1"/>
    <mergeCell ref="AC1:AD1"/>
    <mergeCell ref="AE1:AF1"/>
    <mergeCell ref="AG1:AH1"/>
    <mergeCell ref="AM1:AN1"/>
    <mergeCell ref="AM2:AN2"/>
    <mergeCell ref="AK2:AL2"/>
    <mergeCell ref="Q1:R1"/>
    <mergeCell ref="AI1:AJ1"/>
    <mergeCell ref="U2:V2"/>
    <mergeCell ref="AK1:AL1"/>
    <mergeCell ref="Y1:Z1"/>
    <mergeCell ref="W1:X1"/>
    <mergeCell ref="U1:V1"/>
    <mergeCell ref="S1:T1"/>
    <mergeCell ref="AI2:AJ2"/>
    <mergeCell ref="Y2:Z2"/>
    <mergeCell ref="AA2:AB2"/>
    <mergeCell ref="S2:T2"/>
    <mergeCell ref="Q2:R2"/>
    <mergeCell ref="W2:X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I37"/>
  <sheetViews>
    <sheetView workbookViewId="0">
      <selection activeCell="E4" sqref="E4:K18"/>
    </sheetView>
  </sheetViews>
  <sheetFormatPr defaultRowHeight="15" x14ac:dyDescent="0.25"/>
  <sheetData>
    <row r="37" spans="9:9" x14ac:dyDescent="0.25">
      <c r="I37">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1"/>
  <sheetViews>
    <sheetView workbookViewId="0">
      <selection activeCell="A11" sqref="A11:XFD11"/>
    </sheetView>
  </sheetViews>
  <sheetFormatPr defaultRowHeight="15" x14ac:dyDescent="0.25"/>
  <cols>
    <col min="1" max="1" width="9" bestFit="1" customWidth="1"/>
    <col min="2" max="2" width="7" bestFit="1" customWidth="1"/>
    <col min="3" max="4" width="6" bestFit="1" customWidth="1"/>
    <col min="5" max="5" width="8" bestFit="1" customWidth="1"/>
  </cols>
  <sheetData>
    <row r="1" spans="1:6" ht="17.25" thickBot="1" x14ac:dyDescent="0.35">
      <c r="A1" s="11"/>
    </row>
    <row r="2" spans="1:6" ht="15.75" thickBot="1" x14ac:dyDescent="0.3">
      <c r="A2" s="107">
        <v>42050</v>
      </c>
      <c r="B2" s="108"/>
      <c r="C2" s="108"/>
      <c r="D2" s="108"/>
      <c r="E2" s="109"/>
    </row>
    <row r="3" spans="1:6" x14ac:dyDescent="0.25">
      <c r="A3" s="12" t="s">
        <v>59</v>
      </c>
      <c r="B3" s="13" t="s">
        <v>60</v>
      </c>
      <c r="C3" s="13" t="s">
        <v>61</v>
      </c>
      <c r="D3" s="14" t="s">
        <v>62</v>
      </c>
      <c r="E3" s="15" t="s">
        <v>35</v>
      </c>
    </row>
    <row r="4" spans="1:6" x14ac:dyDescent="0.25">
      <c r="A4" s="16" t="s">
        <v>63</v>
      </c>
      <c r="B4" s="17">
        <v>162</v>
      </c>
      <c r="C4" s="17">
        <v>33696</v>
      </c>
      <c r="D4" s="18">
        <v>85</v>
      </c>
      <c r="E4" s="8">
        <v>2864160</v>
      </c>
    </row>
    <row r="5" spans="1:6" x14ac:dyDescent="0.25">
      <c r="A5" s="16" t="s">
        <v>58</v>
      </c>
      <c r="B5" s="17">
        <v>91.52</v>
      </c>
      <c r="C5" s="17">
        <v>19037</v>
      </c>
      <c r="D5" s="18">
        <v>85</v>
      </c>
      <c r="E5" s="8">
        <v>1618145</v>
      </c>
    </row>
    <row r="6" spans="1:6" x14ac:dyDescent="0.25">
      <c r="A6" s="16" t="s">
        <v>64</v>
      </c>
      <c r="B6" s="17">
        <v>38.26</v>
      </c>
      <c r="C6" s="17">
        <v>7345</v>
      </c>
      <c r="D6" s="18">
        <v>85</v>
      </c>
      <c r="E6" s="8">
        <v>624325</v>
      </c>
    </row>
    <row r="7" spans="1:6" x14ac:dyDescent="0.25">
      <c r="A7" s="16" t="s">
        <v>65</v>
      </c>
      <c r="B7" s="17">
        <v>10.98</v>
      </c>
      <c r="C7" s="17">
        <v>2459</v>
      </c>
      <c r="D7" s="18">
        <v>85</v>
      </c>
      <c r="E7" s="8">
        <v>209015</v>
      </c>
    </row>
    <row r="8" spans="1:6" x14ac:dyDescent="0.25">
      <c r="A8" s="16" t="s">
        <v>66</v>
      </c>
      <c r="B8" s="17">
        <v>13</v>
      </c>
      <c r="C8" s="17">
        <v>2704</v>
      </c>
      <c r="D8" s="18">
        <v>86</v>
      </c>
      <c r="E8" s="8">
        <v>229840</v>
      </c>
    </row>
    <row r="9" spans="1:6" x14ac:dyDescent="0.25">
      <c r="A9" s="16" t="s">
        <v>52</v>
      </c>
      <c r="B9" s="17">
        <v>90</v>
      </c>
      <c r="C9" s="17"/>
      <c r="D9" s="18"/>
      <c r="E9" s="8">
        <v>1065000</v>
      </c>
    </row>
    <row r="10" spans="1:6" x14ac:dyDescent="0.25">
      <c r="A10" s="16" t="s">
        <v>51</v>
      </c>
      <c r="B10" s="17">
        <v>53</v>
      </c>
      <c r="C10" s="17"/>
      <c r="D10" s="18"/>
      <c r="E10" s="8">
        <v>798000</v>
      </c>
    </row>
    <row r="11" spans="1:6" ht="15.75" thickBot="1" x14ac:dyDescent="0.3">
      <c r="A11" s="19"/>
      <c r="B11" s="20">
        <v>468.76</v>
      </c>
      <c r="C11" s="21">
        <v>65241</v>
      </c>
      <c r="D11" s="21"/>
      <c r="E11">
        <f>SUM(E4:E10)</f>
        <v>7408485</v>
      </c>
      <c r="F11" s="22">
        <v>7558485</v>
      </c>
    </row>
  </sheetData>
  <mergeCells count="1">
    <mergeCell ref="A2:E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E4"/>
  <sheetViews>
    <sheetView workbookViewId="0">
      <selection sqref="A1:E6"/>
    </sheetView>
  </sheetViews>
  <sheetFormatPr defaultRowHeight="15" x14ac:dyDescent="0.25"/>
  <sheetData>
    <row r="2" spans="1:5" x14ac:dyDescent="0.25">
      <c r="A2" t="s">
        <v>58</v>
      </c>
      <c r="B2">
        <v>50</v>
      </c>
      <c r="C2">
        <f>+B2*208</f>
        <v>10400</v>
      </c>
      <c r="D2">
        <f>+C2*85</f>
        <v>884000</v>
      </c>
    </row>
    <row r="3" spans="1:5" x14ac:dyDescent="0.25">
      <c r="A3">
        <f>B3+B2</f>
        <v>81</v>
      </c>
      <c r="B3">
        <v>31</v>
      </c>
      <c r="C3">
        <f>+B3*208</f>
        <v>6448</v>
      </c>
      <c r="D3">
        <f>+C3*85</f>
        <v>548080</v>
      </c>
      <c r="E3">
        <f>++D3+D2</f>
        <v>1432080</v>
      </c>
    </row>
    <row r="4" spans="1:5" x14ac:dyDescent="0.25">
      <c r="A4" t="s">
        <v>74</v>
      </c>
      <c r="B4">
        <v>136</v>
      </c>
      <c r="C4">
        <f>+B4*208</f>
        <v>28288</v>
      </c>
      <c r="D4">
        <f>+C4*81</f>
        <v>2291328</v>
      </c>
      <c r="E4">
        <f>+D4</f>
        <v>2291328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 HOUSE</vt:lpstr>
      <vt:lpstr>Sheet2</vt:lpstr>
      <vt:lpstr>REVENUE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Vrushant</cp:lastModifiedBy>
  <dcterms:created xsi:type="dcterms:W3CDTF">2014-03-29T11:20:07Z</dcterms:created>
  <dcterms:modified xsi:type="dcterms:W3CDTF">2017-04-18T06:37:18Z</dcterms:modified>
</cp:coreProperties>
</file>